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hidePivotFieldList="1" defaultThemeVersion="124226"/>
  <mc:AlternateContent xmlns:mc="http://schemas.openxmlformats.org/markup-compatibility/2006">
    <mc:Choice Requires="x15">
      <x15ac:absPath xmlns:x15ac="http://schemas.microsoft.com/office/spreadsheetml/2010/11/ac" url="G:\Dept\Rates\WA Rate Case 2017 UG-170929\Rebuttal\CD\"/>
    </mc:Choice>
  </mc:AlternateContent>
  <bookViews>
    <workbookView xWindow="480" yWindow="135" windowWidth="18195" windowHeight="6900" xr2:uid="{00000000-000D-0000-FFFF-FFFF00000000}"/>
  </bookViews>
  <sheets>
    <sheet name="Cover Page MPP-8" sheetId="51" r:id="rId1"/>
    <sheet name="Exh MPP-8 - ROO Summary Sheet" sheetId="1" r:id="rId2"/>
    <sheet name="Cover Page MPP-9" sheetId="53" r:id="rId3"/>
    <sheet name="Exh MPP-9 - Rev Req Calc" sheetId="26" r:id="rId4"/>
    <sheet name="Cover Page MPP-10" sheetId="54" r:id="rId5"/>
    <sheet name="Exh MPP-10 - Conversion Factor" sheetId="2" r:id="rId6"/>
    <sheet name="Cover Page MPP-11" sheetId="55" r:id="rId7"/>
    <sheet name="Exh MPP-11 - Summary of Adj" sheetId="4" r:id="rId8"/>
    <sheet name="Cover Page MPP-12" sheetId="56" r:id="rId9"/>
    <sheet name="MPP-12 - Plant Additions" sheetId="49" r:id="rId10"/>
    <sheet name="Cover Page MPP-13" sheetId="63" r:id="rId11"/>
    <sheet name="MPP-13 - Updated Staff Method" sheetId="61" r:id="rId12"/>
    <sheet name="Cover Page MPP-14" sheetId="64" r:id="rId13"/>
    <sheet name="MPP-14 - Working Capital" sheetId="62" r:id="rId14"/>
    <sheet name="MPP-6 - Supporting Explanations" sheetId="50" r:id="rId15"/>
    <sheet name="Workpaper - Support Documents &gt;" sheetId="37" r:id="rId16"/>
    <sheet name="Index" sheetId="57" r:id="rId17"/>
    <sheet name="Operating Report" sheetId="31" r:id="rId18"/>
    <sheet name="Rate Base" sheetId="32" r:id="rId19"/>
    <sheet name="Plant in Serv &amp; Accum Depr" sheetId="58" r:id="rId20"/>
    <sheet name="Adv for Const. &amp; Def Tax" sheetId="59" r:id="rId21"/>
    <sheet name="Capital Structure Calculation" sheetId="3" r:id="rId22"/>
    <sheet name="State Allocation Formulas" sheetId="60" r:id="rId23"/>
    <sheet name="Adjustment Workpapers---&gt;" sheetId="30" r:id="rId24"/>
    <sheet name="Weather Normalization" sheetId="21" r:id="rId25"/>
    <sheet name="Advertising Adj" sheetId="18" r:id="rId26"/>
    <sheet name="Restate Revenues" sheetId="36" r:id="rId27"/>
    <sheet name="Low-Income Bill Assistance" sheetId="44" r:id="rId28"/>
    <sheet name="Interest Coord. Adj." sheetId="24" r:id="rId29"/>
    <sheet name="Pro Forma Wage Adjustment" sheetId="6" r:id="rId30"/>
    <sheet name="Pro Forma Plant Additions" sheetId="13" r:id="rId31"/>
    <sheet name="Rate Case Costs" sheetId="15" r:id="rId32"/>
    <sheet name="Pro Forma Compliance Department" sheetId="46" r:id="rId33"/>
    <sheet name="MAOP UG-160787 Deferral" sheetId="38" r:id="rId34"/>
    <sheet name="Miscellaneous Charges" sheetId="41" r:id="rId35"/>
    <sheet name="CRM Adjustment (a)" sheetId="47" r:id="rId36"/>
    <sheet name="CRM Adjustment (b)" sheetId="48" r:id="rId37"/>
    <sheet name="Revenue Adjustment" sheetId="5" r:id="rId38"/>
  </sheets>
  <externalReferences>
    <externalReference r:id="rId39"/>
  </externalReferences>
  <definedNames>
    <definedName name="first_day">'[1]Historic Data'!$K$3</definedName>
    <definedName name="_xlnm.Print_Area" localSheetId="21">'Capital Structure Calculation'!$A$1:$J$17</definedName>
    <definedName name="_xlnm.Print_Area" localSheetId="35">'CRM Adjustment (a)'!$A$1:$H$23</definedName>
    <definedName name="_xlnm.Print_Area" localSheetId="7">'Exh MPP-11 - Summary of Adj'!$A$1:$AD$45</definedName>
    <definedName name="_xlnm.Print_Area" localSheetId="1">'Exh MPP-8 - ROO Summary Sheet'!$A$1:$Q$42</definedName>
    <definedName name="_xlnm.Print_Area" localSheetId="16">Index!$A$1:$F$38</definedName>
    <definedName name="_xlnm.Print_Area" localSheetId="34">'Miscellaneous Charges'!$A$1:$O$19</definedName>
    <definedName name="_xlnm.Print_Area" localSheetId="17">'Operating Report'!$A$1:$H$186,'Operating Report'!$I$1:$AF$157</definedName>
    <definedName name="_xlnm.Print_Area" localSheetId="30">'Pro Forma Plant Additions'!$A$1:$F$34</definedName>
    <definedName name="_xlnm.Print_Area" localSheetId="29">'Pro Forma Wage Adjustment'!$A$1:$Q$92</definedName>
    <definedName name="_xlnm.Print_Area" localSheetId="37">'Revenue Adjustment'!$A$1:$G$27</definedName>
    <definedName name="_xlnm.Print_Area" localSheetId="22">'State Allocation Formulas'!$A$1:$T$80</definedName>
    <definedName name="_xlnm.Print_Area" localSheetId="24">'Weather Normalization'!$A$1:$H$46</definedName>
    <definedName name="_xlnm.Print_Area" localSheetId="15">'Workpaper - Support Documents &gt;'!$A$1:$I$31</definedName>
    <definedName name="_xlnm.Print_Titles" localSheetId="20">'Adv for Const. &amp; Def Tax'!$A:$A,'Adv for Const. &amp; Def Tax'!$1:$8</definedName>
    <definedName name="_xlnm.Print_Titles" localSheetId="25">'Advertising Adj'!$1:$5</definedName>
    <definedName name="_xlnm.Print_Titles" localSheetId="36">'CRM Adjustment (b)'!$A:$A,'CRM Adjustment (b)'!$1:$7</definedName>
    <definedName name="_xlnm.Print_Titles" localSheetId="9">'MPP-12 - Plant Additions'!$A:$A,'MPP-12 - Plant Additions'!$1:$7</definedName>
    <definedName name="_xlnm.Print_Titles" localSheetId="14">'MPP-6 - Supporting Explanations'!$A:$B,'MPP-6 - Supporting Explanations'!$1:$7</definedName>
    <definedName name="_xlnm.Print_Titles" localSheetId="17">'Operating Report'!$A:$A,'Operating Report'!$1:$13</definedName>
    <definedName name="_xlnm.Print_Titles" localSheetId="19">'Plant in Serv &amp; Accum Depr'!$A:$A,'Plant in Serv &amp; Accum Depr'!$1:$8</definedName>
    <definedName name="_xlnm.Print_Titles" localSheetId="29">'Pro Forma Wage Adjustment'!$1:$7</definedName>
    <definedName name="_xlnm.Print_Titles" localSheetId="26">'Restate Revenues'!$1:$8</definedName>
  </definedNames>
  <calcPr calcId="171027"/>
  <fileRecoveryPr autoRecover="0"/>
</workbook>
</file>

<file path=xl/calcChain.xml><?xml version="1.0" encoding="utf-8"?>
<calcChain xmlns="http://schemas.openxmlformats.org/spreadsheetml/2006/main">
  <c r="N24" i="4" l="1"/>
  <c r="W25" i="4"/>
  <c r="O139" i="31"/>
  <c r="G18" i="15"/>
  <c r="G16" i="15"/>
  <c r="G15" i="15"/>
  <c r="G13" i="15"/>
  <c r="G12" i="15"/>
  <c r="G11" i="15"/>
  <c r="G10" i="15"/>
  <c r="L29" i="4"/>
  <c r="K29" i="4"/>
  <c r="K33" i="4" s="1"/>
  <c r="M142" i="31" s="1"/>
  <c r="M148" i="31" s="1"/>
  <c r="O29" i="4"/>
  <c r="P29" i="4"/>
  <c r="M32" i="4"/>
  <c r="P17" i="6"/>
  <c r="M29" i="4"/>
  <c r="M26" i="4"/>
  <c r="M25" i="4"/>
  <c r="M24" i="4"/>
  <c r="O120" i="31"/>
  <c r="O119" i="31"/>
  <c r="O114" i="31"/>
  <c r="O110" i="31"/>
  <c r="O109" i="31"/>
  <c r="O89" i="31"/>
  <c r="O92" i="31" s="1"/>
  <c r="O88" i="31"/>
  <c r="O82" i="31"/>
  <c r="O81" i="31"/>
  <c r="O80" i="31"/>
  <c r="O79" i="31"/>
  <c r="O78" i="31"/>
  <c r="O77" i="31"/>
  <c r="O76" i="31"/>
  <c r="O75" i="31"/>
  <c r="O74" i="31"/>
  <c r="O68" i="31"/>
  <c r="O67" i="31"/>
  <c r="O66" i="31"/>
  <c r="O65" i="31"/>
  <c r="O64" i="31"/>
  <c r="O63" i="31"/>
  <c r="O62" i="31"/>
  <c r="O61" i="31"/>
  <c r="O60" i="31"/>
  <c r="O56" i="31"/>
  <c r="P36" i="6"/>
  <c r="P61" i="6"/>
  <c r="P85" i="6"/>
  <c r="P84" i="6"/>
  <c r="P83" i="6"/>
  <c r="P82" i="6"/>
  <c r="P81" i="6"/>
  <c r="P80" i="6"/>
  <c r="P79" i="6"/>
  <c r="P78" i="6"/>
  <c r="P77" i="6"/>
  <c r="P76" i="6"/>
  <c r="P75" i="6"/>
  <c r="P74" i="6"/>
  <c r="P73" i="6"/>
  <c r="P72" i="6"/>
  <c r="P71" i="6"/>
  <c r="P70" i="6"/>
  <c r="P60" i="6"/>
  <c r="P59" i="6"/>
  <c r="P58" i="6"/>
  <c r="P57" i="6"/>
  <c r="P56" i="6"/>
  <c r="P55" i="6"/>
  <c r="P54" i="6"/>
  <c r="P53" i="6"/>
  <c r="P52" i="6"/>
  <c r="P51" i="6"/>
  <c r="P50" i="6"/>
  <c r="P49" i="6"/>
  <c r="P48" i="6"/>
  <c r="P47" i="6"/>
  <c r="P46" i="6"/>
  <c r="P45" i="6"/>
  <c r="P44" i="6"/>
  <c r="P43" i="6"/>
  <c r="P42" i="6"/>
  <c r="P41" i="6"/>
  <c r="P40" i="6"/>
  <c r="P39" i="6"/>
  <c r="P34" i="6"/>
  <c r="P33" i="6"/>
  <c r="P32" i="6"/>
  <c r="P31" i="6"/>
  <c r="P30" i="6"/>
  <c r="P29" i="6"/>
  <c r="P28" i="6"/>
  <c r="P27" i="6"/>
  <c r="P26" i="6"/>
  <c r="P25" i="6"/>
  <c r="P24" i="6"/>
  <c r="P23" i="6"/>
  <c r="P22" i="6"/>
  <c r="P21" i="6"/>
  <c r="P20" i="6"/>
  <c r="Q60" i="6"/>
  <c r="Q59" i="6"/>
  <c r="Q58" i="6"/>
  <c r="Q57" i="6"/>
  <c r="Q56" i="6"/>
  <c r="Q55" i="6"/>
  <c r="Q54" i="6"/>
  <c r="T82" i="31" s="1"/>
  <c r="Q53" i="6"/>
  <c r="Q52" i="6"/>
  <c r="Q51" i="6"/>
  <c r="Q50" i="6"/>
  <c r="T78" i="31" s="1"/>
  <c r="Q49" i="6"/>
  <c r="Q48" i="6"/>
  <c r="Q47" i="6"/>
  <c r="Q46" i="6"/>
  <c r="Q45" i="6"/>
  <c r="Q44" i="6"/>
  <c r="Q43" i="6"/>
  <c r="Q42" i="6"/>
  <c r="Q41" i="6"/>
  <c r="Q40" i="6"/>
  <c r="Q39" i="6"/>
  <c r="Q13" i="6"/>
  <c r="P15" i="6"/>
  <c r="P13" i="6"/>
  <c r="P11" i="6"/>
  <c r="T75" i="31"/>
  <c r="T77" i="31"/>
  <c r="T79" i="31"/>
  <c r="AA33" i="4"/>
  <c r="K19" i="4"/>
  <c r="K43" i="4"/>
  <c r="AB134" i="31"/>
  <c r="AB122" i="31"/>
  <c r="AB120" i="31"/>
  <c r="AB106" i="31"/>
  <c r="AB99" i="31"/>
  <c r="AB92" i="31"/>
  <c r="AB83" i="31"/>
  <c r="AB71" i="31"/>
  <c r="AB84" i="31" s="1"/>
  <c r="AB149" i="31" s="1"/>
  <c r="AB50" i="31"/>
  <c r="AB36" i="31"/>
  <c r="AB26" i="31"/>
  <c r="AB17" i="31"/>
  <c r="AB27" i="31" s="1"/>
  <c r="AB53" i="31" s="1"/>
  <c r="AB148" i="31"/>
  <c r="AB144" i="31"/>
  <c r="R134" i="31"/>
  <c r="Q134" i="31"/>
  <c r="P134" i="31"/>
  <c r="O134" i="31"/>
  <c r="N134" i="31"/>
  <c r="M134" i="31"/>
  <c r="R120" i="31"/>
  <c r="R122" i="31" s="1"/>
  <c r="Q120" i="31"/>
  <c r="Q122" i="31" s="1"/>
  <c r="P120" i="31"/>
  <c r="P122" i="31" s="1"/>
  <c r="N120" i="31"/>
  <c r="N122" i="31" s="1"/>
  <c r="M120" i="31"/>
  <c r="M122" i="31" s="1"/>
  <c r="R106" i="31"/>
  <c r="Q106" i="31"/>
  <c r="P106" i="31"/>
  <c r="O106" i="31"/>
  <c r="N106" i="31"/>
  <c r="M106" i="31"/>
  <c r="Q99" i="31"/>
  <c r="P99" i="31"/>
  <c r="M99" i="31"/>
  <c r="R99" i="31"/>
  <c r="O99" i="31"/>
  <c r="N99" i="31"/>
  <c r="R92" i="31"/>
  <c r="Q92" i="31"/>
  <c r="P92" i="31"/>
  <c r="N92" i="31"/>
  <c r="M92" i="31"/>
  <c r="R83" i="31"/>
  <c r="Q83" i="31"/>
  <c r="P83" i="31"/>
  <c r="N83" i="31"/>
  <c r="M83" i="31"/>
  <c r="R71" i="31"/>
  <c r="R84" i="31" s="1"/>
  <c r="Q71" i="31"/>
  <c r="Q84" i="31" s="1"/>
  <c r="P71" i="31"/>
  <c r="P84" i="31" s="1"/>
  <c r="N71" i="31"/>
  <c r="N84" i="31" s="1"/>
  <c r="M71" i="31"/>
  <c r="M84" i="31" s="1"/>
  <c r="R52" i="31"/>
  <c r="Q52" i="31"/>
  <c r="P52" i="31"/>
  <c r="O52" i="31"/>
  <c r="N52" i="31"/>
  <c r="M52" i="31"/>
  <c r="R50" i="31"/>
  <c r="Q50" i="31"/>
  <c r="P50" i="31"/>
  <c r="O50" i="31"/>
  <c r="N50" i="31"/>
  <c r="M50" i="31"/>
  <c r="R36" i="31"/>
  <c r="Q36" i="31"/>
  <c r="P36" i="31"/>
  <c r="O36" i="31"/>
  <c r="N36" i="31"/>
  <c r="M36" i="31"/>
  <c r="R26" i="31"/>
  <c r="Q26" i="31"/>
  <c r="P26" i="31"/>
  <c r="O26" i="31"/>
  <c r="N26" i="31"/>
  <c r="M26" i="31"/>
  <c r="R17" i="31"/>
  <c r="R27" i="31" s="1"/>
  <c r="R53" i="31" s="1"/>
  <c r="Q17" i="31"/>
  <c r="Q27" i="31" s="1"/>
  <c r="Q53" i="31" s="1"/>
  <c r="P17" i="31"/>
  <c r="P27" i="31" s="1"/>
  <c r="P53" i="31" s="1"/>
  <c r="O17" i="31"/>
  <c r="O27" i="31" s="1"/>
  <c r="O53" i="31" s="1"/>
  <c r="N17" i="31"/>
  <c r="N27" i="31" s="1"/>
  <c r="N53" i="31" s="1"/>
  <c r="M17" i="31"/>
  <c r="M27" i="31" s="1"/>
  <c r="M53" i="31" s="1"/>
  <c r="D9" i="38"/>
  <c r="D39" i="1"/>
  <c r="W247" i="62"/>
  <c r="W209" i="62"/>
  <c r="U47" i="62"/>
  <c r="AB437" i="62"/>
  <c r="AB436" i="62"/>
  <c r="R606" i="62"/>
  <c r="Q606" i="62"/>
  <c r="P606" i="62"/>
  <c r="O606" i="62"/>
  <c r="N606" i="62"/>
  <c r="M606" i="62"/>
  <c r="L606" i="62"/>
  <c r="K606" i="62"/>
  <c r="J606" i="62"/>
  <c r="I606" i="62"/>
  <c r="H606" i="62"/>
  <c r="G606" i="62"/>
  <c r="F606" i="62"/>
  <c r="S605" i="62"/>
  <c r="W605" i="62" s="1"/>
  <c r="S604" i="62"/>
  <c r="W604" i="62" s="1"/>
  <c r="W603" i="62"/>
  <c r="S603" i="62"/>
  <c r="S602" i="62"/>
  <c r="W602" i="62" s="1"/>
  <c r="S601" i="62"/>
  <c r="W601" i="62" s="1"/>
  <c r="S600" i="62"/>
  <c r="W600" i="62" s="1"/>
  <c r="W599" i="62"/>
  <c r="S599" i="62"/>
  <c r="W598" i="62"/>
  <c r="S598" i="62"/>
  <c r="S597" i="62"/>
  <c r="W597" i="62" s="1"/>
  <c r="S596" i="62"/>
  <c r="W596" i="62" s="1"/>
  <c r="W595" i="62"/>
  <c r="S595" i="62"/>
  <c r="S594" i="62"/>
  <c r="R592" i="62"/>
  <c r="Q592" i="62"/>
  <c r="P592" i="62"/>
  <c r="O592" i="62"/>
  <c r="N592" i="62"/>
  <c r="M592" i="62"/>
  <c r="L592" i="62"/>
  <c r="K592" i="62"/>
  <c r="J592" i="62"/>
  <c r="I592" i="62"/>
  <c r="H592" i="62"/>
  <c r="G592" i="62"/>
  <c r="F592" i="62"/>
  <c r="S591" i="62"/>
  <c r="W591" i="62" s="1"/>
  <c r="W590" i="62"/>
  <c r="S590" i="62"/>
  <c r="W589" i="62"/>
  <c r="S589" i="62"/>
  <c r="S588" i="62"/>
  <c r="W588" i="62" s="1"/>
  <c r="S587" i="62"/>
  <c r="W587" i="62" s="1"/>
  <c r="W586" i="62"/>
  <c r="S586" i="62"/>
  <c r="W585" i="62"/>
  <c r="S585" i="62"/>
  <c r="W584" i="62"/>
  <c r="S584" i="62"/>
  <c r="S583" i="62"/>
  <c r="W583" i="62" s="1"/>
  <c r="W582" i="62"/>
  <c r="S582" i="62"/>
  <c r="W581" i="62"/>
  <c r="S581" i="62"/>
  <c r="W580" i="62"/>
  <c r="S580" i="62"/>
  <c r="S579" i="62"/>
  <c r="W579" i="62" s="1"/>
  <c r="W578" i="62"/>
  <c r="S578" i="62"/>
  <c r="W577" i="62"/>
  <c r="S577" i="62"/>
  <c r="W576" i="62"/>
  <c r="S576" i="62"/>
  <c r="S575" i="62"/>
  <c r="W575" i="62" s="1"/>
  <c r="W574" i="62"/>
  <c r="S574" i="62"/>
  <c r="W573" i="62"/>
  <c r="S573" i="62"/>
  <c r="S572" i="62"/>
  <c r="W572" i="62" s="1"/>
  <c r="S571" i="62"/>
  <c r="W571" i="62" s="1"/>
  <c r="W570" i="62"/>
  <c r="S570" i="62"/>
  <c r="W569" i="62"/>
  <c r="S569" i="62"/>
  <c r="S568" i="62"/>
  <c r="W568" i="62" s="1"/>
  <c r="S567" i="62"/>
  <c r="W567" i="62" s="1"/>
  <c r="W566" i="62"/>
  <c r="S566" i="62"/>
  <c r="W565" i="62"/>
  <c r="S565" i="62"/>
  <c r="W564" i="62"/>
  <c r="S564" i="62"/>
  <c r="S563" i="62"/>
  <c r="W563" i="62" s="1"/>
  <c r="W562" i="62"/>
  <c r="S562" i="62"/>
  <c r="W561" i="62"/>
  <c r="S561" i="62"/>
  <c r="W560" i="62"/>
  <c r="S560" i="62"/>
  <c r="S559" i="62"/>
  <c r="W559" i="62" s="1"/>
  <c r="W558" i="62"/>
  <c r="S558" i="62"/>
  <c r="W557" i="62"/>
  <c r="S557" i="62"/>
  <c r="S556" i="62"/>
  <c r="W556" i="62" s="1"/>
  <c r="S555" i="62"/>
  <c r="W555" i="62" s="1"/>
  <c r="W554" i="62"/>
  <c r="S554" i="62"/>
  <c r="W553" i="62"/>
  <c r="S553" i="62"/>
  <c r="S552" i="62"/>
  <c r="W552" i="62" s="1"/>
  <c r="S551" i="62"/>
  <c r="W551" i="62" s="1"/>
  <c r="W550" i="62"/>
  <c r="S550" i="62"/>
  <c r="W549" i="62"/>
  <c r="S549" i="62"/>
  <c r="W548" i="62"/>
  <c r="S548" i="62"/>
  <c r="S547" i="62"/>
  <c r="W547" i="62" s="1"/>
  <c r="W546" i="62"/>
  <c r="S546" i="62"/>
  <c r="W545" i="62"/>
  <c r="S545" i="62"/>
  <c r="W544" i="62"/>
  <c r="S544" i="62"/>
  <c r="S543" i="62"/>
  <c r="W543" i="62" s="1"/>
  <c r="W542" i="62"/>
  <c r="S542" i="62"/>
  <c r="W541" i="62"/>
  <c r="S541" i="62"/>
  <c r="S540" i="62"/>
  <c r="W540" i="62" s="1"/>
  <c r="S539" i="62"/>
  <c r="W539" i="62" s="1"/>
  <c r="W538" i="62"/>
  <c r="S538" i="62"/>
  <c r="W537" i="62"/>
  <c r="S537" i="62"/>
  <c r="S536" i="62"/>
  <c r="W536" i="62" s="1"/>
  <c r="S535" i="62"/>
  <c r="W535" i="62" s="1"/>
  <c r="W534" i="62"/>
  <c r="S534" i="62"/>
  <c r="R532" i="62"/>
  <c r="Q532" i="62"/>
  <c r="P532" i="62"/>
  <c r="O532" i="62"/>
  <c r="N532" i="62"/>
  <c r="M532" i="62"/>
  <c r="L532" i="62"/>
  <c r="K532" i="62"/>
  <c r="J532" i="62"/>
  <c r="I532" i="62"/>
  <c r="H532" i="62"/>
  <c r="G532" i="62"/>
  <c r="F532" i="62"/>
  <c r="AD531" i="62"/>
  <c r="V531" i="62"/>
  <c r="S531" i="62"/>
  <c r="AD530" i="62"/>
  <c r="V530" i="62"/>
  <c r="S530" i="62"/>
  <c r="AB529" i="62"/>
  <c r="S529" i="62"/>
  <c r="V529" i="62" s="1"/>
  <c r="AD529" i="62" s="1"/>
  <c r="X528" i="62"/>
  <c r="S528" i="62"/>
  <c r="Z527" i="62"/>
  <c r="X527" i="62"/>
  <c r="S527" i="62"/>
  <c r="X526" i="62"/>
  <c r="S526" i="62"/>
  <c r="Z525" i="62"/>
  <c r="X525" i="62"/>
  <c r="S525" i="62"/>
  <c r="Z524" i="62"/>
  <c r="X524" i="62"/>
  <c r="S524" i="62"/>
  <c r="AA523" i="62"/>
  <c r="S523" i="62"/>
  <c r="X523" i="62" s="1"/>
  <c r="X522" i="62"/>
  <c r="S522" i="62"/>
  <c r="AA521" i="62"/>
  <c r="X521" i="62"/>
  <c r="S521" i="62"/>
  <c r="Y520" i="62"/>
  <c r="X520" i="62"/>
  <c r="S520" i="62"/>
  <c r="AA520" i="62" s="1"/>
  <c r="AA519" i="62"/>
  <c r="X519" i="62"/>
  <c r="S519" i="62"/>
  <c r="R517" i="62"/>
  <c r="Q517" i="62"/>
  <c r="P517" i="62"/>
  <c r="O517" i="62"/>
  <c r="N517" i="62"/>
  <c r="M517" i="62"/>
  <c r="L517" i="62"/>
  <c r="K517" i="62"/>
  <c r="J517" i="62"/>
  <c r="I517" i="62"/>
  <c r="H517" i="62"/>
  <c r="G517" i="62"/>
  <c r="F517" i="62"/>
  <c r="X516" i="62"/>
  <c r="S516" i="62"/>
  <c r="AA516" i="62" s="1"/>
  <c r="AD515" i="62"/>
  <c r="V515" i="62"/>
  <c r="S515" i="62"/>
  <c r="AD514" i="62"/>
  <c r="V514" i="62"/>
  <c r="S514" i="62"/>
  <c r="AD513" i="62"/>
  <c r="V513" i="62"/>
  <c r="S513" i="62"/>
  <c r="AD512" i="62"/>
  <c r="V512" i="62"/>
  <c r="S512" i="62"/>
  <c r="AD511" i="62"/>
  <c r="V511" i="62"/>
  <c r="S511" i="62"/>
  <c r="AD510" i="62"/>
  <c r="V510" i="62"/>
  <c r="S510" i="62"/>
  <c r="AD509" i="62"/>
  <c r="V509" i="62"/>
  <c r="S509" i="62"/>
  <c r="AD508" i="62"/>
  <c r="V508" i="62"/>
  <c r="S508" i="62"/>
  <c r="AD507" i="62"/>
  <c r="V507" i="62"/>
  <c r="S507" i="62"/>
  <c r="AD506" i="62"/>
  <c r="V506" i="62"/>
  <c r="S506" i="62"/>
  <c r="AD505" i="62"/>
  <c r="V505" i="62"/>
  <c r="S505" i="62"/>
  <c r="AD504" i="62"/>
  <c r="V504" i="62"/>
  <c r="S504" i="62"/>
  <c r="X503" i="62"/>
  <c r="S503" i="62"/>
  <c r="X502" i="62"/>
  <c r="S502" i="62"/>
  <c r="S501" i="62"/>
  <c r="X501" i="62" s="1"/>
  <c r="X500" i="62"/>
  <c r="S500" i="62"/>
  <c r="X499" i="62"/>
  <c r="S499" i="62"/>
  <c r="AD498" i="62"/>
  <c r="V498" i="62"/>
  <c r="S498" i="62"/>
  <c r="S497" i="62"/>
  <c r="S496" i="62"/>
  <c r="V496" i="62" s="1"/>
  <c r="AD496" i="62" s="1"/>
  <c r="S495" i="62"/>
  <c r="V495" i="62" s="1"/>
  <c r="AD495" i="62" s="1"/>
  <c r="S494" i="62"/>
  <c r="V494" i="62" s="1"/>
  <c r="AD494" i="62" s="1"/>
  <c r="S493" i="62"/>
  <c r="V493" i="62" s="1"/>
  <c r="AD493" i="62" s="1"/>
  <c r="S492" i="62"/>
  <c r="R490" i="62"/>
  <c r="Q490" i="62"/>
  <c r="P490" i="62"/>
  <c r="O490" i="62"/>
  <c r="N490" i="62"/>
  <c r="M490" i="62"/>
  <c r="L490" i="62"/>
  <c r="K490" i="62"/>
  <c r="J490" i="62"/>
  <c r="I490" i="62"/>
  <c r="H490" i="62"/>
  <c r="G490" i="62"/>
  <c r="F490" i="62"/>
  <c r="AD489" i="62"/>
  <c r="S489" i="62"/>
  <c r="X489" i="62" s="1"/>
  <c r="AD488" i="62"/>
  <c r="S488" i="62"/>
  <c r="X488" i="62" s="1"/>
  <c r="AD487" i="62"/>
  <c r="S487" i="62"/>
  <c r="X487" i="62" s="1"/>
  <c r="AD486" i="62"/>
  <c r="X486" i="62"/>
  <c r="AB486" i="62" s="1"/>
  <c r="S486" i="62"/>
  <c r="AD485" i="62"/>
  <c r="AB485" i="62"/>
  <c r="X485" i="62"/>
  <c r="S485" i="62"/>
  <c r="AD484" i="62"/>
  <c r="AB484" i="62"/>
  <c r="X484" i="62"/>
  <c r="S484" i="62"/>
  <c r="AD483" i="62"/>
  <c r="S483" i="62"/>
  <c r="X483" i="62" s="1"/>
  <c r="AB483" i="62" s="1"/>
  <c r="AD482" i="62"/>
  <c r="S482" i="62"/>
  <c r="X482" i="62" s="1"/>
  <c r="AB482" i="62" s="1"/>
  <c r="AD481" i="62"/>
  <c r="X481" i="62"/>
  <c r="AB481" i="62" s="1"/>
  <c r="S481" i="62"/>
  <c r="AD480" i="62"/>
  <c r="AB480" i="62"/>
  <c r="X480" i="62"/>
  <c r="S480" i="62"/>
  <c r="AD479" i="62"/>
  <c r="S479" i="62"/>
  <c r="X479" i="62" s="1"/>
  <c r="AB479" i="62" s="1"/>
  <c r="AD478" i="62"/>
  <c r="X478" i="62"/>
  <c r="AB478" i="62" s="1"/>
  <c r="S478" i="62"/>
  <c r="AD477" i="62"/>
  <c r="X477" i="62"/>
  <c r="AB477" i="62" s="1"/>
  <c r="S477" i="62"/>
  <c r="AD476" i="62"/>
  <c r="AB476" i="62"/>
  <c r="X476" i="62"/>
  <c r="S476" i="62"/>
  <c r="AD475" i="62"/>
  <c r="V475" i="62"/>
  <c r="S475" i="62"/>
  <c r="AD474" i="62"/>
  <c r="V474" i="62"/>
  <c r="S474" i="62"/>
  <c r="AD473" i="62"/>
  <c r="V473" i="62"/>
  <c r="S473" i="62"/>
  <c r="AD472" i="62"/>
  <c r="V472" i="62"/>
  <c r="S472" i="62"/>
  <c r="AD471" i="62"/>
  <c r="V471" i="62"/>
  <c r="S471" i="62"/>
  <c r="AD470" i="62"/>
  <c r="V470" i="62"/>
  <c r="S470" i="62"/>
  <c r="AD469" i="62"/>
  <c r="V469" i="62"/>
  <c r="S469" i="62"/>
  <c r="AD468" i="62"/>
  <c r="V468" i="62"/>
  <c r="S468" i="62"/>
  <c r="AD467" i="62"/>
  <c r="V467" i="62"/>
  <c r="S467" i="62"/>
  <c r="AD466" i="62"/>
  <c r="V466" i="62"/>
  <c r="S466" i="62"/>
  <c r="AD465" i="62"/>
  <c r="V465" i="62"/>
  <c r="S465" i="62"/>
  <c r="AD464" i="62"/>
  <c r="V464" i="62"/>
  <c r="S464" i="62"/>
  <c r="AD463" i="62"/>
  <c r="V463" i="62"/>
  <c r="S463" i="62"/>
  <c r="AD462" i="62"/>
  <c r="V462" i="62"/>
  <c r="S462" i="62"/>
  <c r="AD461" i="62"/>
  <c r="V461" i="62"/>
  <c r="S461" i="62"/>
  <c r="AD460" i="62"/>
  <c r="V460" i="62"/>
  <c r="S460" i="62"/>
  <c r="AD459" i="62"/>
  <c r="V459" i="62"/>
  <c r="S459" i="62"/>
  <c r="AD458" i="62"/>
  <c r="V458" i="62"/>
  <c r="S458" i="62"/>
  <c r="AD457" i="62"/>
  <c r="V457" i="62"/>
  <c r="S457" i="62"/>
  <c r="AD456" i="62"/>
  <c r="V456" i="62"/>
  <c r="S456" i="62"/>
  <c r="AD455" i="62"/>
  <c r="V455" i="62"/>
  <c r="S455" i="62"/>
  <c r="S454" i="62"/>
  <c r="V454" i="62" s="1"/>
  <c r="AD454" i="62" s="1"/>
  <c r="AD453" i="62"/>
  <c r="S453" i="62"/>
  <c r="V453" i="62" s="1"/>
  <c r="S452" i="62"/>
  <c r="V452" i="62" s="1"/>
  <c r="AD452" i="62" s="1"/>
  <c r="S451" i="62"/>
  <c r="V451" i="62" s="1"/>
  <c r="AD451" i="62" s="1"/>
  <c r="S450" i="62"/>
  <c r="V450" i="62" s="1"/>
  <c r="AD450" i="62" s="1"/>
  <c r="AD449" i="62"/>
  <c r="S449" i="62"/>
  <c r="V449" i="62" s="1"/>
  <c r="S448" i="62"/>
  <c r="V448" i="62" s="1"/>
  <c r="AD448" i="62" s="1"/>
  <c r="S447" i="62"/>
  <c r="V447" i="62" s="1"/>
  <c r="AD447" i="62" s="1"/>
  <c r="S446" i="62"/>
  <c r="V446" i="62" s="1"/>
  <c r="AD446" i="62" s="1"/>
  <c r="AD445" i="62"/>
  <c r="S445" i="62"/>
  <c r="V445" i="62" s="1"/>
  <c r="AD444" i="62"/>
  <c r="S444" i="62"/>
  <c r="V444" i="62" s="1"/>
  <c r="S443" i="62"/>
  <c r="V443" i="62" s="1"/>
  <c r="AD443" i="62" s="1"/>
  <c r="S442" i="62"/>
  <c r="V442" i="62" s="1"/>
  <c r="AD442" i="62" s="1"/>
  <c r="AD441" i="62"/>
  <c r="S441" i="62"/>
  <c r="V441" i="62" s="1"/>
  <c r="S440" i="62"/>
  <c r="V440" i="62" s="1"/>
  <c r="AD440" i="62" s="1"/>
  <c r="S439" i="62"/>
  <c r="V439" i="62" s="1"/>
  <c r="AD439" i="62" s="1"/>
  <c r="S438" i="62"/>
  <c r="S437" i="62"/>
  <c r="X437" i="62" s="1"/>
  <c r="S436" i="62"/>
  <c r="X436" i="62" s="1"/>
  <c r="S435" i="62"/>
  <c r="W435" i="62" s="1"/>
  <c r="S434" i="62"/>
  <c r="V434" i="62" s="1"/>
  <c r="AD434" i="62" s="1"/>
  <c r="AD433" i="62"/>
  <c r="S433" i="62"/>
  <c r="V433" i="62" s="1"/>
  <c r="S432" i="62"/>
  <c r="V432" i="62" s="1"/>
  <c r="AD432" i="62" s="1"/>
  <c r="AD431" i="62"/>
  <c r="S431" i="62"/>
  <c r="V431" i="62" s="1"/>
  <c r="S430" i="62"/>
  <c r="V430" i="62" s="1"/>
  <c r="AD430" i="62" s="1"/>
  <c r="AD429" i="62"/>
  <c r="S429" i="62"/>
  <c r="V429" i="62" s="1"/>
  <c r="S428" i="62"/>
  <c r="V428" i="62" s="1"/>
  <c r="AD428" i="62" s="1"/>
  <c r="S427" i="62"/>
  <c r="V427" i="62" s="1"/>
  <c r="AD427" i="62" s="1"/>
  <c r="S426" i="62"/>
  <c r="V426" i="62" s="1"/>
  <c r="AD426" i="62" s="1"/>
  <c r="AD425" i="62"/>
  <c r="S425" i="62"/>
  <c r="V425" i="62" s="1"/>
  <c r="S424" i="62"/>
  <c r="V424" i="62" s="1"/>
  <c r="AD424" i="62" s="1"/>
  <c r="AD423" i="62"/>
  <c r="V423" i="62"/>
  <c r="S423" i="62"/>
  <c r="S422" i="62"/>
  <c r="V422" i="62" s="1"/>
  <c r="AD422" i="62" s="1"/>
  <c r="S421" i="62"/>
  <c r="V421" i="62" s="1"/>
  <c r="AD421" i="62" s="1"/>
  <c r="S420" i="62"/>
  <c r="V420" i="62" s="1"/>
  <c r="AD420" i="62" s="1"/>
  <c r="V419" i="62"/>
  <c r="AD419" i="62" s="1"/>
  <c r="S419" i="62"/>
  <c r="S418" i="62"/>
  <c r="V418" i="62" s="1"/>
  <c r="AD418" i="62" s="1"/>
  <c r="S417" i="62"/>
  <c r="V417" i="62" s="1"/>
  <c r="AD417" i="62" s="1"/>
  <c r="S416" i="62"/>
  <c r="V416" i="62" s="1"/>
  <c r="AD416" i="62" s="1"/>
  <c r="AD415" i="62"/>
  <c r="V415" i="62"/>
  <c r="S415" i="62"/>
  <c r="S414" i="62"/>
  <c r="V414" i="62" s="1"/>
  <c r="AD414" i="62" s="1"/>
  <c r="R412" i="62"/>
  <c r="R608" i="62" s="1"/>
  <c r="L412" i="62"/>
  <c r="K412" i="62"/>
  <c r="K608" i="62" s="1"/>
  <c r="G412" i="62"/>
  <c r="R410" i="62"/>
  <c r="Q410" i="62"/>
  <c r="P410" i="62"/>
  <c r="O410" i="62"/>
  <c r="N410" i="62"/>
  <c r="N412" i="62" s="1"/>
  <c r="M410" i="62"/>
  <c r="L410" i="62"/>
  <c r="K410" i="62"/>
  <c r="J410" i="62"/>
  <c r="I410" i="62"/>
  <c r="H410" i="62"/>
  <c r="G410" i="62"/>
  <c r="F410" i="62"/>
  <c r="F412" i="62" s="1"/>
  <c r="S409" i="62"/>
  <c r="V409" i="62" s="1"/>
  <c r="AD409" i="62" s="1"/>
  <c r="V408" i="62"/>
  <c r="AD408" i="62" s="1"/>
  <c r="S408" i="62"/>
  <c r="V407" i="62"/>
  <c r="AD407" i="62" s="1"/>
  <c r="S407" i="62"/>
  <c r="S406" i="62"/>
  <c r="V406" i="62" s="1"/>
  <c r="AD406" i="62" s="1"/>
  <c r="AD405" i="62"/>
  <c r="S405" i="62"/>
  <c r="V405" i="62" s="1"/>
  <c r="R403" i="62"/>
  <c r="Q403" i="62"/>
  <c r="Q412" i="62" s="1"/>
  <c r="P403" i="62"/>
  <c r="P412" i="62" s="1"/>
  <c r="O403" i="62"/>
  <c r="O412" i="62" s="1"/>
  <c r="N403" i="62"/>
  <c r="M403" i="62"/>
  <c r="M412" i="62" s="1"/>
  <c r="L403" i="62"/>
  <c r="K403" i="62"/>
  <c r="J403" i="62"/>
  <c r="J412" i="62" s="1"/>
  <c r="I403" i="62"/>
  <c r="I412" i="62" s="1"/>
  <c r="H403" i="62"/>
  <c r="H412" i="62" s="1"/>
  <c r="G403" i="62"/>
  <c r="F403" i="62"/>
  <c r="X402" i="62"/>
  <c r="S402" i="62"/>
  <c r="AB402" i="62" s="1"/>
  <c r="S401" i="62"/>
  <c r="AB400" i="62"/>
  <c r="S400" i="62"/>
  <c r="X400" i="62" s="1"/>
  <c r="AB399" i="62"/>
  <c r="X399" i="62"/>
  <c r="S399" i="62"/>
  <c r="X398" i="62"/>
  <c r="S398" i="62"/>
  <c r="AB398" i="62" s="1"/>
  <c r="S397" i="62"/>
  <c r="AB396" i="62"/>
  <c r="S396" i="62"/>
  <c r="X396" i="62" s="1"/>
  <c r="AB395" i="62"/>
  <c r="X395" i="62"/>
  <c r="S395" i="62"/>
  <c r="X394" i="62"/>
  <c r="S394" i="62"/>
  <c r="AB394" i="62" s="1"/>
  <c r="S393" i="62"/>
  <c r="AB392" i="62"/>
  <c r="S392" i="62"/>
  <c r="X392" i="62" s="1"/>
  <c r="AD391" i="62"/>
  <c r="S390" i="62"/>
  <c r="V390" i="62" s="1"/>
  <c r="AD390" i="62" s="1"/>
  <c r="S389" i="62"/>
  <c r="V389" i="62" s="1"/>
  <c r="AD389" i="62" s="1"/>
  <c r="AD388" i="62"/>
  <c r="S388" i="62"/>
  <c r="V388" i="62" s="1"/>
  <c r="S387" i="62"/>
  <c r="V387" i="62" s="1"/>
  <c r="AD387" i="62" s="1"/>
  <c r="S386" i="62"/>
  <c r="V386" i="62" s="1"/>
  <c r="AD386" i="62" s="1"/>
  <c r="S385" i="62"/>
  <c r="V385" i="62" s="1"/>
  <c r="AD385" i="62" s="1"/>
  <c r="AD384" i="62"/>
  <c r="S384" i="62"/>
  <c r="V384" i="62" s="1"/>
  <c r="S383" i="62"/>
  <c r="V383" i="62" s="1"/>
  <c r="AD383" i="62" s="1"/>
  <c r="S382" i="62"/>
  <c r="V382" i="62" s="1"/>
  <c r="AD382" i="62" s="1"/>
  <c r="S381" i="62"/>
  <c r="V381" i="62" s="1"/>
  <c r="AD381" i="62" s="1"/>
  <c r="AD380" i="62"/>
  <c r="S380" i="62"/>
  <c r="V380" i="62" s="1"/>
  <c r="S379" i="62"/>
  <c r="V379" i="62" s="1"/>
  <c r="AD379" i="62" s="1"/>
  <c r="S378" i="62"/>
  <c r="V378" i="62" s="1"/>
  <c r="AD378" i="62" s="1"/>
  <c r="S377" i="62"/>
  <c r="V377" i="62" s="1"/>
  <c r="S375" i="62"/>
  <c r="AC375" i="62" s="1"/>
  <c r="W374" i="62"/>
  <c r="S374" i="62"/>
  <c r="AC374" i="62" s="1"/>
  <c r="R372" i="62"/>
  <c r="Q372" i="62"/>
  <c r="P372" i="62"/>
  <c r="O372" i="62"/>
  <c r="N372" i="62"/>
  <c r="M372" i="62"/>
  <c r="L372" i="62"/>
  <c r="K372" i="62"/>
  <c r="J372" i="62"/>
  <c r="I372" i="62"/>
  <c r="H372" i="62"/>
  <c r="G372" i="62"/>
  <c r="F372" i="62"/>
  <c r="S371" i="62"/>
  <c r="S370" i="62"/>
  <c r="AC370" i="62" s="1"/>
  <c r="W369" i="62"/>
  <c r="S369" i="62"/>
  <c r="AC369" i="62" s="1"/>
  <c r="S368" i="62"/>
  <c r="AC368" i="62" s="1"/>
  <c r="S367" i="62"/>
  <c r="S366" i="62"/>
  <c r="AC366" i="62" s="1"/>
  <c r="W365" i="62"/>
  <c r="S365" i="62"/>
  <c r="AC365" i="62" s="1"/>
  <c r="S364" i="62"/>
  <c r="AC364" i="62" s="1"/>
  <c r="S363" i="62"/>
  <c r="S362" i="62"/>
  <c r="AC362" i="62" s="1"/>
  <c r="W361" i="62"/>
  <c r="S361" i="62"/>
  <c r="AC361" i="62" s="1"/>
  <c r="S360" i="62"/>
  <c r="AC360" i="62" s="1"/>
  <c r="S359" i="62"/>
  <c r="S358" i="62"/>
  <c r="AC358" i="62" s="1"/>
  <c r="W357" i="62"/>
  <c r="S357" i="62"/>
  <c r="AC357" i="62" s="1"/>
  <c r="S356" i="62"/>
  <c r="AC356" i="62" s="1"/>
  <c r="S355" i="62"/>
  <c r="S354" i="62"/>
  <c r="AC354" i="62" s="1"/>
  <c r="W353" i="62"/>
  <c r="S353" i="62"/>
  <c r="AC353" i="62" s="1"/>
  <c r="R351" i="62"/>
  <c r="Q351" i="62"/>
  <c r="P351" i="62"/>
  <c r="O351" i="62"/>
  <c r="N351" i="62"/>
  <c r="M351" i="62"/>
  <c r="L351" i="62"/>
  <c r="K351" i="62"/>
  <c r="J351" i="62"/>
  <c r="I351" i="62"/>
  <c r="H351" i="62"/>
  <c r="G351" i="62"/>
  <c r="F351" i="62"/>
  <c r="S350" i="62"/>
  <c r="S349" i="62"/>
  <c r="AC349" i="62" s="1"/>
  <c r="W348" i="62"/>
  <c r="S348" i="62"/>
  <c r="AC348" i="62" s="1"/>
  <c r="S347" i="62"/>
  <c r="AC347" i="62" s="1"/>
  <c r="S346" i="62"/>
  <c r="S345" i="62"/>
  <c r="AC345" i="62" s="1"/>
  <c r="W344" i="62"/>
  <c r="S344" i="62"/>
  <c r="AC344" i="62" s="1"/>
  <c r="S343" i="62"/>
  <c r="AC343" i="62" s="1"/>
  <c r="S342" i="62"/>
  <c r="S341" i="62"/>
  <c r="AC341" i="62" s="1"/>
  <c r="R336" i="62"/>
  <c r="Q336" i="62"/>
  <c r="P336" i="62"/>
  <c r="O336" i="62"/>
  <c r="N336" i="62"/>
  <c r="M336" i="62"/>
  <c r="L336" i="62"/>
  <c r="K336" i="62"/>
  <c r="J336" i="62"/>
  <c r="I336" i="62"/>
  <c r="H336" i="62"/>
  <c r="G336" i="62"/>
  <c r="F336" i="62"/>
  <c r="W335" i="62"/>
  <c r="S335" i="62"/>
  <c r="S336" i="62" s="1"/>
  <c r="R333" i="62"/>
  <c r="Q333" i="62"/>
  <c r="P333" i="62"/>
  <c r="O333" i="62"/>
  <c r="N333" i="62"/>
  <c r="M333" i="62"/>
  <c r="L333" i="62"/>
  <c r="K333" i="62"/>
  <c r="J333" i="62"/>
  <c r="I333" i="62"/>
  <c r="H333" i="62"/>
  <c r="G333" i="62"/>
  <c r="F333" i="62"/>
  <c r="S332" i="62"/>
  <c r="W332" i="62" s="1"/>
  <c r="W331" i="62"/>
  <c r="S331" i="62"/>
  <c r="S330" i="62"/>
  <c r="W330" i="62" s="1"/>
  <c r="W329" i="62"/>
  <c r="S329" i="62"/>
  <c r="S328" i="62"/>
  <c r="W328" i="62" s="1"/>
  <c r="W327" i="62"/>
  <c r="S327" i="62"/>
  <c r="W326" i="62"/>
  <c r="S326" i="62"/>
  <c r="S325" i="62"/>
  <c r="S324" i="62"/>
  <c r="W324" i="62" s="1"/>
  <c r="R321" i="62"/>
  <c r="Q321" i="62"/>
  <c r="P321" i="62"/>
  <c r="O321" i="62"/>
  <c r="N321" i="62"/>
  <c r="M321" i="62"/>
  <c r="L321" i="62"/>
  <c r="K321" i="62"/>
  <c r="J321" i="62"/>
  <c r="I321" i="62"/>
  <c r="H321" i="62"/>
  <c r="G321" i="62"/>
  <c r="F321" i="62"/>
  <c r="S320" i="62"/>
  <c r="W320" i="62" s="1"/>
  <c r="W319" i="62"/>
  <c r="S319" i="62"/>
  <c r="W318" i="62"/>
  <c r="S318" i="62"/>
  <c r="S317" i="62"/>
  <c r="W317" i="62" s="1"/>
  <c r="S316" i="62"/>
  <c r="W316" i="62" s="1"/>
  <c r="W315" i="62"/>
  <c r="S315" i="62"/>
  <c r="S314" i="62"/>
  <c r="W314" i="62" s="1"/>
  <c r="W313" i="62"/>
  <c r="S313" i="62"/>
  <c r="S312" i="62"/>
  <c r="W312" i="62" s="1"/>
  <c r="W311" i="62"/>
  <c r="S311" i="62"/>
  <c r="W310" i="62"/>
  <c r="S310" i="62"/>
  <c r="S309" i="62"/>
  <c r="W309" i="62" s="1"/>
  <c r="R307" i="62"/>
  <c r="Q307" i="62"/>
  <c r="P307" i="62"/>
  <c r="O307" i="62"/>
  <c r="N307" i="62"/>
  <c r="M307" i="62"/>
  <c r="L307" i="62"/>
  <c r="K307" i="62"/>
  <c r="J307" i="62"/>
  <c r="I307" i="62"/>
  <c r="H307" i="62"/>
  <c r="G307" i="62"/>
  <c r="F307" i="62"/>
  <c r="S306" i="62"/>
  <c r="W306" i="62" s="1"/>
  <c r="W305" i="62"/>
  <c r="S305" i="62"/>
  <c r="S304" i="62"/>
  <c r="W304" i="62" s="1"/>
  <c r="S303" i="62"/>
  <c r="W303" i="62" s="1"/>
  <c r="S302" i="62"/>
  <c r="W302" i="62" s="1"/>
  <c r="W301" i="62"/>
  <c r="S301" i="62"/>
  <c r="W300" i="62"/>
  <c r="S300" i="62"/>
  <c r="S299" i="62"/>
  <c r="W299" i="62" s="1"/>
  <c r="S298" i="62"/>
  <c r="W298" i="62" s="1"/>
  <c r="W297" i="62"/>
  <c r="S297" i="62"/>
  <c r="S296" i="62"/>
  <c r="W296" i="62" s="1"/>
  <c r="S295" i="62"/>
  <c r="S294" i="62"/>
  <c r="R292" i="62"/>
  <c r="Q292" i="62"/>
  <c r="P292" i="62"/>
  <c r="O292" i="62"/>
  <c r="N292" i="62"/>
  <c r="M292" i="62"/>
  <c r="L292" i="62"/>
  <c r="K292" i="62"/>
  <c r="J292" i="62"/>
  <c r="I292" i="62"/>
  <c r="H292" i="62"/>
  <c r="G292" i="62"/>
  <c r="F292" i="62"/>
  <c r="W291" i="62"/>
  <c r="S291" i="62"/>
  <c r="S290" i="62"/>
  <c r="W290" i="62" s="1"/>
  <c r="S289" i="62"/>
  <c r="W289" i="62" s="1"/>
  <c r="R287" i="62"/>
  <c r="Q287" i="62"/>
  <c r="P287" i="62"/>
  <c r="O287" i="62"/>
  <c r="N287" i="62"/>
  <c r="M287" i="62"/>
  <c r="L287" i="62"/>
  <c r="K287" i="62"/>
  <c r="J287" i="62"/>
  <c r="I287" i="62"/>
  <c r="H287" i="62"/>
  <c r="G287" i="62"/>
  <c r="F287" i="62"/>
  <c r="W286" i="62"/>
  <c r="S286" i="62"/>
  <c r="S285" i="62"/>
  <c r="W285" i="62" s="1"/>
  <c r="S284" i="62"/>
  <c r="W284" i="62" s="1"/>
  <c r="S283" i="62"/>
  <c r="W283" i="62" s="1"/>
  <c r="W282" i="62"/>
  <c r="S282" i="62"/>
  <c r="S281" i="62"/>
  <c r="W281" i="62" s="1"/>
  <c r="S280" i="62"/>
  <c r="W280" i="62" s="1"/>
  <c r="S279" i="62"/>
  <c r="W279" i="62" s="1"/>
  <c r="W278" i="62"/>
  <c r="S278" i="62"/>
  <c r="S277" i="62"/>
  <c r="W277" i="62" s="1"/>
  <c r="S276" i="62"/>
  <c r="W276" i="62" s="1"/>
  <c r="S275" i="62"/>
  <c r="W275" i="62" s="1"/>
  <c r="W274" i="62"/>
  <c r="S274" i="62"/>
  <c r="W273" i="62"/>
  <c r="S273" i="62"/>
  <c r="S272" i="62"/>
  <c r="W271" i="62"/>
  <c r="S270" i="62"/>
  <c r="W270" i="62" s="1"/>
  <c r="W269" i="62"/>
  <c r="S269" i="62"/>
  <c r="S267" i="62"/>
  <c r="R267" i="62"/>
  <c r="Q267" i="62"/>
  <c r="P267" i="62"/>
  <c r="O267" i="62"/>
  <c r="N267" i="62"/>
  <c r="M267" i="62"/>
  <c r="L267" i="62"/>
  <c r="K267" i="62"/>
  <c r="J267" i="62"/>
  <c r="I267" i="62"/>
  <c r="H267" i="62"/>
  <c r="G267" i="62"/>
  <c r="F267" i="62"/>
  <c r="S266" i="62"/>
  <c r="W266" i="62" s="1"/>
  <c r="W265" i="62"/>
  <c r="S265" i="62"/>
  <c r="S264" i="62"/>
  <c r="W264" i="62" s="1"/>
  <c r="S263" i="62"/>
  <c r="W263" i="62" s="1"/>
  <c r="R261" i="62"/>
  <c r="Q261" i="62"/>
  <c r="P261" i="62"/>
  <c r="O261" i="62"/>
  <c r="N261" i="62"/>
  <c r="M261" i="62"/>
  <c r="L261" i="62"/>
  <c r="K261" i="62"/>
  <c r="J261" i="62"/>
  <c r="I261" i="62"/>
  <c r="H261" i="62"/>
  <c r="G261" i="62"/>
  <c r="F261" i="62"/>
  <c r="X260" i="62"/>
  <c r="S260" i="62"/>
  <c r="AB260" i="62" s="1"/>
  <c r="S259" i="62"/>
  <c r="S258" i="62"/>
  <c r="AB258" i="62" s="1"/>
  <c r="X257" i="62"/>
  <c r="S257" i="62"/>
  <c r="AB257" i="62" s="1"/>
  <c r="X256" i="62"/>
  <c r="S256" i="62"/>
  <c r="AB256" i="62" s="1"/>
  <c r="S255" i="62"/>
  <c r="S254" i="62"/>
  <c r="AB254" i="62" s="1"/>
  <c r="X253" i="62"/>
  <c r="S253" i="62"/>
  <c r="AB253" i="62" s="1"/>
  <c r="X252" i="62"/>
  <c r="S252" i="62"/>
  <c r="AB252" i="62" s="1"/>
  <c r="S251" i="62"/>
  <c r="S250" i="62"/>
  <c r="AB250" i="62" s="1"/>
  <c r="X249" i="62"/>
  <c r="S249" i="62"/>
  <c r="AB249" i="62" s="1"/>
  <c r="X248" i="62"/>
  <c r="S248" i="62"/>
  <c r="AB248" i="62" s="1"/>
  <c r="S247" i="62"/>
  <c r="U247" i="62" s="1"/>
  <c r="U246" i="62"/>
  <c r="S246" i="62"/>
  <c r="AB245" i="62"/>
  <c r="X245" i="62"/>
  <c r="S245" i="62"/>
  <c r="U244" i="62"/>
  <c r="AD244" i="62" s="1"/>
  <c r="S244" i="62"/>
  <c r="U243" i="62"/>
  <c r="AD243" i="62" s="1"/>
  <c r="S243" i="62"/>
  <c r="U242" i="62"/>
  <c r="AD242" i="62" s="1"/>
  <c r="S242" i="62"/>
  <c r="AD241" i="62"/>
  <c r="U241" i="62"/>
  <c r="S241" i="62"/>
  <c r="AB240" i="62"/>
  <c r="X240" i="62"/>
  <c r="S240" i="62"/>
  <c r="AB239" i="62"/>
  <c r="X239" i="62"/>
  <c r="S239" i="62"/>
  <c r="AB238" i="62"/>
  <c r="X238" i="62"/>
  <c r="S238" i="62"/>
  <c r="AD237" i="62"/>
  <c r="U237" i="62"/>
  <c r="S237" i="62"/>
  <c r="U236" i="62"/>
  <c r="AD236" i="62" s="1"/>
  <c r="S236" i="62"/>
  <c r="U235" i="62"/>
  <c r="AD235" i="62" s="1"/>
  <c r="S235" i="62"/>
  <c r="U234" i="62"/>
  <c r="AD234" i="62" s="1"/>
  <c r="S234" i="62"/>
  <c r="U233" i="62"/>
  <c r="AD233" i="62" s="1"/>
  <c r="S233" i="62"/>
  <c r="U232" i="62"/>
  <c r="AD232" i="62" s="1"/>
  <c r="S232" i="62"/>
  <c r="U231" i="62"/>
  <c r="AD231" i="62" s="1"/>
  <c r="S231" i="62"/>
  <c r="U230" i="62"/>
  <c r="AD230" i="62" s="1"/>
  <c r="S230" i="62"/>
  <c r="U229" i="62"/>
  <c r="AD229" i="62" s="1"/>
  <c r="S229" i="62"/>
  <c r="U228" i="62"/>
  <c r="AD228" i="62" s="1"/>
  <c r="S228" i="62"/>
  <c r="U227" i="62"/>
  <c r="AD227" i="62" s="1"/>
  <c r="S227" i="62"/>
  <c r="U226" i="62"/>
  <c r="AD226" i="62" s="1"/>
  <c r="S226" i="62"/>
  <c r="U225" i="62"/>
  <c r="AD225" i="62" s="1"/>
  <c r="S225" i="62"/>
  <c r="U224" i="62"/>
  <c r="AD224" i="62" s="1"/>
  <c r="S224" i="62"/>
  <c r="U223" i="62"/>
  <c r="AD223" i="62" s="1"/>
  <c r="S223" i="62"/>
  <c r="U222" i="62"/>
  <c r="AD222" i="62" s="1"/>
  <c r="S222" i="62"/>
  <c r="U221" i="62"/>
  <c r="AD221" i="62" s="1"/>
  <c r="S221" i="62"/>
  <c r="U220" i="62"/>
  <c r="AD220" i="62" s="1"/>
  <c r="S220" i="62"/>
  <c r="U219" i="62"/>
  <c r="AD219" i="62" s="1"/>
  <c r="S219" i="62"/>
  <c r="U218" i="62"/>
  <c r="AD218" i="62" s="1"/>
  <c r="S218" i="62"/>
  <c r="U217" i="62"/>
  <c r="AD217" i="62" s="1"/>
  <c r="S217" i="62"/>
  <c r="U216" i="62"/>
  <c r="AD216" i="62" s="1"/>
  <c r="S216" i="62"/>
  <c r="U215" i="62"/>
  <c r="AD215" i="62" s="1"/>
  <c r="S215" i="62"/>
  <c r="U214" i="62"/>
  <c r="AD214" i="62" s="1"/>
  <c r="S214" i="62"/>
  <c r="U213" i="62"/>
  <c r="AD213" i="62" s="1"/>
  <c r="S213" i="62"/>
  <c r="U212" i="62"/>
  <c r="AD212" i="62" s="1"/>
  <c r="S212" i="62"/>
  <c r="U211" i="62"/>
  <c r="AD211" i="62" s="1"/>
  <c r="S211" i="62"/>
  <c r="U210" i="62"/>
  <c r="AD210" i="62" s="1"/>
  <c r="S210" i="62"/>
  <c r="S209" i="62"/>
  <c r="U208" i="62"/>
  <c r="AD208" i="62" s="1"/>
  <c r="S208" i="62"/>
  <c r="S207" i="62"/>
  <c r="U207" i="62" s="1"/>
  <c r="AD207" i="62" s="1"/>
  <c r="S206" i="62"/>
  <c r="U206" i="62" s="1"/>
  <c r="AD206" i="62" s="1"/>
  <c r="S205" i="62"/>
  <c r="U205" i="62" s="1"/>
  <c r="AD205" i="62" s="1"/>
  <c r="U204" i="62"/>
  <c r="AD204" i="62" s="1"/>
  <c r="S204" i="62"/>
  <c r="S203" i="62"/>
  <c r="U203" i="62" s="1"/>
  <c r="AD203" i="62" s="1"/>
  <c r="S202" i="62"/>
  <c r="U202" i="62" s="1"/>
  <c r="AD202" i="62" s="1"/>
  <c r="S201" i="62"/>
  <c r="U201" i="62" s="1"/>
  <c r="AD201" i="62" s="1"/>
  <c r="R199" i="62"/>
  <c r="Q199" i="62"/>
  <c r="P199" i="62"/>
  <c r="O199" i="62"/>
  <c r="N199" i="62"/>
  <c r="M199" i="62"/>
  <c r="L199" i="62"/>
  <c r="K199" i="62"/>
  <c r="J199" i="62"/>
  <c r="I199" i="62"/>
  <c r="H199" i="62"/>
  <c r="G199" i="62"/>
  <c r="F199" i="62"/>
  <c r="S198" i="62"/>
  <c r="S197" i="62"/>
  <c r="AC197" i="62" s="1"/>
  <c r="S196" i="62"/>
  <c r="AC196" i="62" s="1"/>
  <c r="W195" i="62"/>
  <c r="S195" i="62"/>
  <c r="AC195" i="62" s="1"/>
  <c r="S194" i="62"/>
  <c r="R192" i="62"/>
  <c r="Q192" i="62"/>
  <c r="P192" i="62"/>
  <c r="O192" i="62"/>
  <c r="N192" i="62"/>
  <c r="M192" i="62"/>
  <c r="L192" i="62"/>
  <c r="K192" i="62"/>
  <c r="J192" i="62"/>
  <c r="I192" i="62"/>
  <c r="H192" i="62"/>
  <c r="G192" i="62"/>
  <c r="F192" i="62"/>
  <c r="S191" i="62"/>
  <c r="AC191" i="62" s="1"/>
  <c r="W190" i="62"/>
  <c r="S190" i="62"/>
  <c r="AC190" i="62" s="1"/>
  <c r="S189" i="62"/>
  <c r="S188" i="62"/>
  <c r="AC188" i="62" s="1"/>
  <c r="S187" i="62"/>
  <c r="AC187" i="62" s="1"/>
  <c r="W186" i="62"/>
  <c r="S186" i="62"/>
  <c r="AC186" i="62" s="1"/>
  <c r="S185" i="62"/>
  <c r="S184" i="62"/>
  <c r="AC184" i="62" s="1"/>
  <c r="S183" i="62"/>
  <c r="AC183" i="62" s="1"/>
  <c r="W182" i="62"/>
  <c r="S182" i="62"/>
  <c r="AC182" i="62" s="1"/>
  <c r="S181" i="62"/>
  <c r="S180" i="62"/>
  <c r="AC180" i="62" s="1"/>
  <c r="S179" i="62"/>
  <c r="AC179" i="62" s="1"/>
  <c r="AB177" i="62"/>
  <c r="S177" i="62"/>
  <c r="X177" i="62" s="1"/>
  <c r="AD175" i="62"/>
  <c r="U175" i="62"/>
  <c r="S175" i="62"/>
  <c r="AD174" i="62"/>
  <c r="U174" i="62"/>
  <c r="S174" i="62"/>
  <c r="AD173" i="62"/>
  <c r="U173" i="62"/>
  <c r="S173" i="62"/>
  <c r="AD172" i="62"/>
  <c r="U172" i="62"/>
  <c r="S172" i="62"/>
  <c r="S170" i="62"/>
  <c r="R170" i="62"/>
  <c r="Q170" i="62"/>
  <c r="P170" i="62"/>
  <c r="O170" i="62"/>
  <c r="N170" i="62"/>
  <c r="M170" i="62"/>
  <c r="L170" i="62"/>
  <c r="K170" i="62"/>
  <c r="J170" i="62"/>
  <c r="I170" i="62"/>
  <c r="H170" i="62"/>
  <c r="G170" i="62"/>
  <c r="F170" i="62"/>
  <c r="AD169" i="62"/>
  <c r="U169" i="62"/>
  <c r="S169" i="62"/>
  <c r="AD168" i="62"/>
  <c r="U168" i="62"/>
  <c r="S168" i="62"/>
  <c r="AD167" i="62"/>
  <c r="U167" i="62"/>
  <c r="S167" i="62"/>
  <c r="AD166" i="62"/>
  <c r="U166" i="62"/>
  <c r="S166" i="62"/>
  <c r="AD165" i="62"/>
  <c r="U165" i="62"/>
  <c r="S165" i="62"/>
  <c r="AD164" i="62"/>
  <c r="U164" i="62"/>
  <c r="S164" i="62"/>
  <c r="AD163" i="62"/>
  <c r="U163" i="62"/>
  <c r="S163" i="62"/>
  <c r="AD162" i="62"/>
  <c r="U162" i="62"/>
  <c r="S162" i="62"/>
  <c r="AD161" i="62"/>
  <c r="U161" i="62"/>
  <c r="S161" i="62"/>
  <c r="AD160" i="62"/>
  <c r="U160" i="62"/>
  <c r="S160" i="62"/>
  <c r="R158" i="62"/>
  <c r="Q158" i="62"/>
  <c r="P158" i="62"/>
  <c r="O158" i="62"/>
  <c r="N158" i="62"/>
  <c r="M158" i="62"/>
  <c r="L158" i="62"/>
  <c r="K158" i="62"/>
  <c r="J158" i="62"/>
  <c r="I158" i="62"/>
  <c r="H158" i="62"/>
  <c r="G158" i="62"/>
  <c r="F158" i="62"/>
  <c r="AD157" i="62"/>
  <c r="U157" i="62"/>
  <c r="S157" i="62"/>
  <c r="AD156" i="62"/>
  <c r="U156" i="62"/>
  <c r="S156" i="62"/>
  <c r="AD155" i="62"/>
  <c r="U155" i="62"/>
  <c r="S155" i="62"/>
  <c r="AD154" i="62"/>
  <c r="U154" i="62"/>
  <c r="S154" i="62"/>
  <c r="AD153" i="62"/>
  <c r="U153" i="62"/>
  <c r="S153" i="62"/>
  <c r="AD152" i="62"/>
  <c r="S152" i="62"/>
  <c r="U152" i="62" s="1"/>
  <c r="S151" i="62"/>
  <c r="U151" i="62" s="1"/>
  <c r="AD151" i="62" s="1"/>
  <c r="AD150" i="62"/>
  <c r="S150" i="62"/>
  <c r="U150" i="62" s="1"/>
  <c r="S149" i="62"/>
  <c r="U149" i="62" s="1"/>
  <c r="AD149" i="62" s="1"/>
  <c r="AD148" i="62"/>
  <c r="S148" i="62"/>
  <c r="U148" i="62" s="1"/>
  <c r="S147" i="62"/>
  <c r="U147" i="62" s="1"/>
  <c r="AD147" i="62" s="1"/>
  <c r="AD146" i="62"/>
  <c r="S146" i="62"/>
  <c r="U146" i="62" s="1"/>
  <c r="S145" i="62"/>
  <c r="S158" i="62" s="1"/>
  <c r="R143" i="62"/>
  <c r="Q143" i="62"/>
  <c r="P143" i="62"/>
  <c r="O143" i="62"/>
  <c r="N143" i="62"/>
  <c r="M143" i="62"/>
  <c r="L143" i="62"/>
  <c r="K143" i="62"/>
  <c r="J143" i="62"/>
  <c r="I143" i="62"/>
  <c r="H143" i="62"/>
  <c r="G143" i="62"/>
  <c r="F143" i="62"/>
  <c r="S142" i="62"/>
  <c r="U142" i="62" s="1"/>
  <c r="AD142" i="62" s="1"/>
  <c r="AD141" i="62"/>
  <c r="S141" i="62"/>
  <c r="U141" i="62" s="1"/>
  <c r="S140" i="62"/>
  <c r="U140" i="62" s="1"/>
  <c r="AD140" i="62" s="1"/>
  <c r="AD139" i="62"/>
  <c r="S139" i="62"/>
  <c r="U139" i="62" s="1"/>
  <c r="S138" i="62"/>
  <c r="U138" i="62" s="1"/>
  <c r="AD138" i="62" s="1"/>
  <c r="AD137" i="62"/>
  <c r="S137" i="62"/>
  <c r="U137" i="62" s="1"/>
  <c r="S136" i="62"/>
  <c r="U136" i="62" s="1"/>
  <c r="AD136" i="62" s="1"/>
  <c r="AD135" i="62"/>
  <c r="S135" i="62"/>
  <c r="U135" i="62" s="1"/>
  <c r="S134" i="62"/>
  <c r="U134" i="62" s="1"/>
  <c r="AD134" i="62" s="1"/>
  <c r="AD133" i="62"/>
  <c r="S133" i="62"/>
  <c r="U133" i="62" s="1"/>
  <c r="S132" i="62"/>
  <c r="U132" i="62" s="1"/>
  <c r="AD132" i="62" s="1"/>
  <c r="AD131" i="62"/>
  <c r="S131" i="62"/>
  <c r="U131" i="62" s="1"/>
  <c r="S130" i="62"/>
  <c r="U130" i="62" s="1"/>
  <c r="AD130" i="62" s="1"/>
  <c r="AD129" i="62"/>
  <c r="S129" i="62"/>
  <c r="U129" i="62" s="1"/>
  <c r="S128" i="62"/>
  <c r="U128" i="62" s="1"/>
  <c r="AD128" i="62" s="1"/>
  <c r="AD127" i="62"/>
  <c r="S127" i="62"/>
  <c r="U127" i="62" s="1"/>
  <c r="S126" i="62"/>
  <c r="U126" i="62" s="1"/>
  <c r="AD126" i="62" s="1"/>
  <c r="AD125" i="62"/>
  <c r="S125" i="62"/>
  <c r="U125" i="62" s="1"/>
  <c r="S124" i="62"/>
  <c r="U124" i="62" s="1"/>
  <c r="AD124" i="62" s="1"/>
  <c r="AD123" i="62"/>
  <c r="S123" i="62"/>
  <c r="U123" i="62" s="1"/>
  <c r="S122" i="62"/>
  <c r="U122" i="62" s="1"/>
  <c r="AD122" i="62" s="1"/>
  <c r="AD121" i="62"/>
  <c r="S121" i="62"/>
  <c r="U121" i="62" s="1"/>
  <c r="S120" i="62"/>
  <c r="U120" i="62" s="1"/>
  <c r="AD120" i="62" s="1"/>
  <c r="AD119" i="62"/>
  <c r="S119" i="62"/>
  <c r="U119" i="62" s="1"/>
  <c r="S118" i="62"/>
  <c r="U118" i="62" s="1"/>
  <c r="AD118" i="62" s="1"/>
  <c r="S117" i="62"/>
  <c r="S143" i="62" s="1"/>
  <c r="R113" i="62"/>
  <c r="Q113" i="62"/>
  <c r="P113" i="62"/>
  <c r="O113" i="62"/>
  <c r="N113" i="62"/>
  <c r="M113" i="62"/>
  <c r="L113" i="62"/>
  <c r="K113" i="62"/>
  <c r="J113" i="62"/>
  <c r="I113" i="62"/>
  <c r="H113" i="62"/>
  <c r="G113" i="62"/>
  <c r="F113" i="62"/>
  <c r="S112" i="62"/>
  <c r="U112" i="62" s="1"/>
  <c r="AD112" i="62" s="1"/>
  <c r="S111" i="62"/>
  <c r="U111" i="62" s="1"/>
  <c r="AD111" i="62" s="1"/>
  <c r="S110" i="62"/>
  <c r="U110" i="62" s="1"/>
  <c r="AD110" i="62" s="1"/>
  <c r="S109" i="62"/>
  <c r="U109" i="62" s="1"/>
  <c r="AD109" i="62" s="1"/>
  <c r="S108" i="62"/>
  <c r="U108" i="62" s="1"/>
  <c r="AD108" i="62" s="1"/>
  <c r="S107" i="62"/>
  <c r="U107" i="62" s="1"/>
  <c r="AD107" i="62" s="1"/>
  <c r="S106" i="62"/>
  <c r="U106" i="62" s="1"/>
  <c r="AD106" i="62" s="1"/>
  <c r="S105" i="62"/>
  <c r="U105" i="62" s="1"/>
  <c r="AD105" i="62" s="1"/>
  <c r="S104" i="62"/>
  <c r="U104" i="62" s="1"/>
  <c r="AD104" i="62" s="1"/>
  <c r="S103" i="62"/>
  <c r="U103" i="62" s="1"/>
  <c r="AD103" i="62" s="1"/>
  <c r="S102" i="62"/>
  <c r="U102" i="62" s="1"/>
  <c r="AD102" i="62" s="1"/>
  <c r="S101" i="62"/>
  <c r="U101" i="62" s="1"/>
  <c r="AD101" i="62" s="1"/>
  <c r="S100" i="62"/>
  <c r="U100" i="62" s="1"/>
  <c r="AD100" i="62" s="1"/>
  <c r="S99" i="62"/>
  <c r="U99" i="62" s="1"/>
  <c r="AD99" i="62" s="1"/>
  <c r="S98" i="62"/>
  <c r="U98" i="62" s="1"/>
  <c r="AD98" i="62" s="1"/>
  <c r="S97" i="62"/>
  <c r="U97" i="62" s="1"/>
  <c r="AD97" i="62" s="1"/>
  <c r="S96" i="62"/>
  <c r="U96" i="62" s="1"/>
  <c r="AD96" i="62" s="1"/>
  <c r="S95" i="62"/>
  <c r="U95" i="62" s="1"/>
  <c r="AD95" i="62" s="1"/>
  <c r="S94" i="62"/>
  <c r="S113" i="62" s="1"/>
  <c r="S93" i="62"/>
  <c r="Q92" i="62"/>
  <c r="Q115" i="62" s="1"/>
  <c r="S90" i="62"/>
  <c r="R88" i="62"/>
  <c r="Q88" i="62"/>
  <c r="P88" i="62"/>
  <c r="P92" i="62" s="1"/>
  <c r="P115" i="62" s="1"/>
  <c r="O88" i="62"/>
  <c r="N88" i="62"/>
  <c r="M88" i="62"/>
  <c r="L88" i="62"/>
  <c r="L92" i="62" s="1"/>
  <c r="L115" i="62" s="1"/>
  <c r="K88" i="62"/>
  <c r="J88" i="62"/>
  <c r="I88" i="62"/>
  <c r="H88" i="62"/>
  <c r="H92" i="62" s="1"/>
  <c r="H115" i="62" s="1"/>
  <c r="G88" i="62"/>
  <c r="F88" i="62"/>
  <c r="AB87" i="62"/>
  <c r="S87" i="62"/>
  <c r="X87" i="62" s="1"/>
  <c r="AB86" i="62"/>
  <c r="S86" i="62"/>
  <c r="X86" i="62" s="1"/>
  <c r="AB85" i="62"/>
  <c r="S85" i="62"/>
  <c r="X85" i="62" s="1"/>
  <c r="AB84" i="62"/>
  <c r="S84" i="62"/>
  <c r="X84" i="62" s="1"/>
  <c r="AB83" i="62"/>
  <c r="S83" i="62"/>
  <c r="X83" i="62" s="1"/>
  <c r="AB82" i="62"/>
  <c r="S82" i="62"/>
  <c r="X82" i="62" s="1"/>
  <c r="AB81" i="62"/>
  <c r="S81" i="62"/>
  <c r="X81" i="62" s="1"/>
  <c r="AB80" i="62"/>
  <c r="S80" i="62"/>
  <c r="X80" i="62" s="1"/>
  <c r="AB79" i="62"/>
  <c r="S79" i="62"/>
  <c r="X79" i="62" s="1"/>
  <c r="S78" i="62"/>
  <c r="S76" i="62"/>
  <c r="U76" i="62" s="1"/>
  <c r="S75" i="62"/>
  <c r="S88" i="62" s="1"/>
  <c r="R73" i="62"/>
  <c r="R92" i="62" s="1"/>
  <c r="R115" i="62" s="1"/>
  <c r="Q73" i="62"/>
  <c r="P73" i="62"/>
  <c r="O73" i="62"/>
  <c r="O92" i="62" s="1"/>
  <c r="O115" i="62" s="1"/>
  <c r="N73" i="62"/>
  <c r="N92" i="62" s="1"/>
  <c r="N115" i="62" s="1"/>
  <c r="M73" i="62"/>
  <c r="M92" i="62" s="1"/>
  <c r="M115" i="62" s="1"/>
  <c r="L73" i="62"/>
  <c r="K73" i="62"/>
  <c r="K92" i="62" s="1"/>
  <c r="K115" i="62" s="1"/>
  <c r="J73" i="62"/>
  <c r="J92" i="62" s="1"/>
  <c r="J115" i="62" s="1"/>
  <c r="I73" i="62"/>
  <c r="I92" i="62" s="1"/>
  <c r="I115" i="62" s="1"/>
  <c r="H73" i="62"/>
  <c r="G73" i="62"/>
  <c r="G92" i="62" s="1"/>
  <c r="G115" i="62" s="1"/>
  <c r="F73" i="62"/>
  <c r="F92" i="62" s="1"/>
  <c r="F115" i="62" s="1"/>
  <c r="S72" i="62"/>
  <c r="U72" i="62" s="1"/>
  <c r="AD71" i="62"/>
  <c r="S71" i="62"/>
  <c r="U71" i="62" s="1"/>
  <c r="S70" i="62"/>
  <c r="U70" i="62" s="1"/>
  <c r="AD70" i="62" s="1"/>
  <c r="AD69" i="62"/>
  <c r="S69" i="62"/>
  <c r="U69" i="62" s="1"/>
  <c r="S68" i="62"/>
  <c r="U68" i="62" s="1"/>
  <c r="AD68" i="62" s="1"/>
  <c r="AD67" i="62"/>
  <c r="S67" i="62"/>
  <c r="U67" i="62" s="1"/>
  <c r="S66" i="62"/>
  <c r="U66" i="62" s="1"/>
  <c r="AD66" i="62" s="1"/>
  <c r="AD65" i="62"/>
  <c r="S65" i="62"/>
  <c r="U65" i="62" s="1"/>
  <c r="S64" i="62"/>
  <c r="U64" i="62" s="1"/>
  <c r="AD64" i="62" s="1"/>
  <c r="AD63" i="62"/>
  <c r="S63" i="62"/>
  <c r="U63" i="62" s="1"/>
  <c r="S62" i="62"/>
  <c r="U62" i="62" s="1"/>
  <c r="AD62" i="62" s="1"/>
  <c r="AD61" i="62"/>
  <c r="S61" i="62"/>
  <c r="U61" i="62" s="1"/>
  <c r="R59" i="62"/>
  <c r="Q59" i="62"/>
  <c r="P59" i="62"/>
  <c r="O59" i="62"/>
  <c r="N59" i="62"/>
  <c r="M59" i="62"/>
  <c r="L59" i="62"/>
  <c r="K59" i="62"/>
  <c r="J59" i="62"/>
  <c r="I59" i="62"/>
  <c r="H59" i="62"/>
  <c r="G59" i="62"/>
  <c r="F59" i="62"/>
  <c r="U58" i="62"/>
  <c r="S58" i="62"/>
  <c r="S59" i="62" s="1"/>
  <c r="S56" i="62"/>
  <c r="R56" i="62"/>
  <c r="Q56" i="62"/>
  <c r="P56" i="62"/>
  <c r="O56" i="62"/>
  <c r="N56" i="62"/>
  <c r="M56" i="62"/>
  <c r="L56" i="62"/>
  <c r="K56" i="62"/>
  <c r="J56" i="62"/>
  <c r="I56" i="62"/>
  <c r="H56" i="62"/>
  <c r="G56" i="62"/>
  <c r="F56" i="62"/>
  <c r="U55" i="62"/>
  <c r="AD55" i="62" s="1"/>
  <c r="S55" i="62"/>
  <c r="U54" i="62"/>
  <c r="AD54" i="62" s="1"/>
  <c r="S54" i="62"/>
  <c r="U53" i="62"/>
  <c r="AD53" i="62" s="1"/>
  <c r="S53" i="62"/>
  <c r="U52" i="62"/>
  <c r="AD52" i="62" s="1"/>
  <c r="S52" i="62"/>
  <c r="U51" i="62"/>
  <c r="AD51" i="62" s="1"/>
  <c r="S51" i="62"/>
  <c r="U50" i="62"/>
  <c r="AD50" i="62" s="1"/>
  <c r="S50" i="62"/>
  <c r="U49" i="62"/>
  <c r="AD49" i="62" s="1"/>
  <c r="S49" i="62"/>
  <c r="U48" i="62"/>
  <c r="AD48" i="62" s="1"/>
  <c r="S48" i="62"/>
  <c r="AD47" i="62"/>
  <c r="S47" i="62"/>
  <c r="X47" i="62" s="1"/>
  <c r="AB47" i="62" s="1"/>
  <c r="S46" i="62"/>
  <c r="U46" i="62" s="1"/>
  <c r="AD46" i="62" s="1"/>
  <c r="S45" i="62"/>
  <c r="U45" i="62" s="1"/>
  <c r="AD45" i="62" s="1"/>
  <c r="S44" i="62"/>
  <c r="U44" i="62" s="1"/>
  <c r="AD44" i="62" s="1"/>
  <c r="R42" i="62"/>
  <c r="Q42" i="62"/>
  <c r="P42" i="62"/>
  <c r="O42" i="62"/>
  <c r="N42" i="62"/>
  <c r="M42" i="62"/>
  <c r="L42" i="62"/>
  <c r="K42" i="62"/>
  <c r="J42" i="62"/>
  <c r="I42" i="62"/>
  <c r="H42" i="62"/>
  <c r="G42" i="62"/>
  <c r="F42" i="62"/>
  <c r="AB41" i="62"/>
  <c r="S41" i="62"/>
  <c r="U41" i="62" s="1"/>
  <c r="AB40" i="62"/>
  <c r="S40" i="62"/>
  <c r="X40" i="62" s="1"/>
  <c r="AB39" i="62"/>
  <c r="S39" i="62"/>
  <c r="X39" i="62" s="1"/>
  <c r="AB38" i="62"/>
  <c r="S38" i="62"/>
  <c r="X38" i="62" s="1"/>
  <c r="AB37" i="62"/>
  <c r="S37" i="62"/>
  <c r="S42" i="62" s="1"/>
  <c r="F35" i="62"/>
  <c r="S35" i="62" s="1"/>
  <c r="U34" i="62"/>
  <c r="S34" i="62"/>
  <c r="P32" i="62"/>
  <c r="H32" i="62"/>
  <c r="M30" i="62"/>
  <c r="R28" i="62"/>
  <c r="R30" i="62" s="1"/>
  <c r="Q28" i="62"/>
  <c r="Q30" i="62" s="1"/>
  <c r="P28" i="62"/>
  <c r="P30" i="62" s="1"/>
  <c r="O28" i="62"/>
  <c r="O30" i="62" s="1"/>
  <c r="O32" i="62" s="1"/>
  <c r="N28" i="62"/>
  <c r="N30" i="62" s="1"/>
  <c r="M28" i="62"/>
  <c r="L28" i="62"/>
  <c r="L30" i="62" s="1"/>
  <c r="K28" i="62"/>
  <c r="K30" i="62" s="1"/>
  <c r="K32" i="62" s="1"/>
  <c r="J28" i="62"/>
  <c r="J30" i="62" s="1"/>
  <c r="I28" i="62"/>
  <c r="I30" i="62" s="1"/>
  <c r="H28" i="62"/>
  <c r="H30" i="62" s="1"/>
  <c r="G28" i="62"/>
  <c r="G30" i="62" s="1"/>
  <c r="G32" i="62" s="1"/>
  <c r="F28" i="62"/>
  <c r="F30" i="62" s="1"/>
  <c r="S27" i="62"/>
  <c r="S26" i="62"/>
  <c r="S28" i="62" s="1"/>
  <c r="R24" i="62"/>
  <c r="Q24" i="62"/>
  <c r="P24" i="62"/>
  <c r="O24" i="62"/>
  <c r="N24" i="62"/>
  <c r="M24" i="62"/>
  <c r="L24" i="62"/>
  <c r="K24" i="62"/>
  <c r="J24" i="62"/>
  <c r="I24" i="62"/>
  <c r="H24" i="62"/>
  <c r="G24" i="62"/>
  <c r="F24" i="62"/>
  <c r="S23" i="62"/>
  <c r="S22" i="62"/>
  <c r="S21" i="62"/>
  <c r="AA20" i="62"/>
  <c r="Z20" i="62"/>
  <c r="S20" i="62"/>
  <c r="X20" i="62" s="1"/>
  <c r="R18" i="62"/>
  <c r="Q18" i="62"/>
  <c r="P18" i="62"/>
  <c r="O18" i="62"/>
  <c r="N18" i="62"/>
  <c r="M18" i="62"/>
  <c r="L18" i="62"/>
  <c r="L32" i="62" s="1"/>
  <c r="K18" i="62"/>
  <c r="J18" i="62"/>
  <c r="I18" i="62"/>
  <c r="H18" i="62"/>
  <c r="G18" i="62"/>
  <c r="F18" i="62"/>
  <c r="AB17" i="62"/>
  <c r="S17" i="62"/>
  <c r="X17" i="62" s="1"/>
  <c r="A17" i="62"/>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226" i="62" s="1"/>
  <c r="A227" i="62" s="1"/>
  <c r="A228" i="62" s="1"/>
  <c r="A229" i="62" s="1"/>
  <c r="A230" i="62" s="1"/>
  <c r="A231" i="62" s="1"/>
  <c r="A232" i="62" s="1"/>
  <c r="A233" i="62" s="1"/>
  <c r="A234" i="62" s="1"/>
  <c r="A235" i="62" s="1"/>
  <c r="A236" i="62" s="1"/>
  <c r="A237" i="62" s="1"/>
  <c r="A238" i="62" s="1"/>
  <c r="A239" i="62" s="1"/>
  <c r="A240" i="62" s="1"/>
  <c r="A241" i="62" s="1"/>
  <c r="A242" i="62" s="1"/>
  <c r="A243" i="62" s="1"/>
  <c r="A244" i="62" s="1"/>
  <c r="A245" i="62" s="1"/>
  <c r="A246" i="62" s="1"/>
  <c r="A247" i="62" s="1"/>
  <c r="A248" i="62" s="1"/>
  <c r="A249" i="62" s="1"/>
  <c r="A250" i="62" s="1"/>
  <c r="A251" i="62" s="1"/>
  <c r="A252" i="62" s="1"/>
  <c r="A253" i="62" s="1"/>
  <c r="A254" i="62" s="1"/>
  <c r="A255" i="62" s="1"/>
  <c r="A256" i="62" s="1"/>
  <c r="A257" i="62" s="1"/>
  <c r="A258" i="62" s="1"/>
  <c r="A259" i="62" s="1"/>
  <c r="A260" i="62" s="1"/>
  <c r="A261" i="62" s="1"/>
  <c r="A262" i="62" s="1"/>
  <c r="A263" i="62" s="1"/>
  <c r="A264" i="62" s="1"/>
  <c r="A265" i="62" s="1"/>
  <c r="A266" i="62" s="1"/>
  <c r="A267" i="62" s="1"/>
  <c r="A268" i="62" s="1"/>
  <c r="A269" i="62" s="1"/>
  <c r="A270" i="62" s="1"/>
  <c r="A271" i="62" s="1"/>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308" i="62" s="1"/>
  <c r="A309" i="62" s="1"/>
  <c r="A310" i="62" s="1"/>
  <c r="A311" i="62" s="1"/>
  <c r="A312" i="62" s="1"/>
  <c r="A313" i="62" s="1"/>
  <c r="A314" i="62" s="1"/>
  <c r="A315" i="62" s="1"/>
  <c r="A316" i="62" s="1"/>
  <c r="A317" i="62" s="1"/>
  <c r="A318" i="62" s="1"/>
  <c r="A319" i="62" s="1"/>
  <c r="A320" i="62" s="1"/>
  <c r="A321" i="62" s="1"/>
  <c r="A322" i="62" s="1"/>
  <c r="A323" i="62" s="1"/>
  <c r="A324" i="62" s="1"/>
  <c r="A325" i="62" s="1"/>
  <c r="A326" i="62" s="1"/>
  <c r="A327" i="62" s="1"/>
  <c r="A328" i="62" s="1"/>
  <c r="A329" i="62" s="1"/>
  <c r="A330" i="62" s="1"/>
  <c r="A331" i="62" s="1"/>
  <c r="A332" i="62" s="1"/>
  <c r="A333" i="62" s="1"/>
  <c r="A334" i="62" s="1"/>
  <c r="A335" i="62" s="1"/>
  <c r="A336" i="62" s="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A414" i="62" s="1"/>
  <c r="A415" i="62" s="1"/>
  <c r="A416" i="62" s="1"/>
  <c r="A417" i="62" s="1"/>
  <c r="A418" i="62" s="1"/>
  <c r="A419" i="62" s="1"/>
  <c r="A420" i="62" s="1"/>
  <c r="A421" i="62" s="1"/>
  <c r="A422" i="62" s="1"/>
  <c r="A423" i="62" s="1"/>
  <c r="A424" i="62" s="1"/>
  <c r="A425" i="62" s="1"/>
  <c r="A426" i="62" s="1"/>
  <c r="A427" i="62" s="1"/>
  <c r="A428" i="62" s="1"/>
  <c r="A429" i="62" s="1"/>
  <c r="A430" i="62" s="1"/>
  <c r="A431" i="62" s="1"/>
  <c r="A432" i="62" s="1"/>
  <c r="A433" i="62" s="1"/>
  <c r="A434" i="62" s="1"/>
  <c r="A435" i="62" s="1"/>
  <c r="A436" i="62" s="1"/>
  <c r="A437" i="62" s="1"/>
  <c r="A438" i="62" s="1"/>
  <c r="A439" i="62" s="1"/>
  <c r="A440" i="62" s="1"/>
  <c r="A441" i="62" s="1"/>
  <c r="A442" i="62" s="1"/>
  <c r="A443" i="62" s="1"/>
  <c r="A444" i="62" s="1"/>
  <c r="A445" i="62" s="1"/>
  <c r="A446" i="62" s="1"/>
  <c r="A447" i="62" s="1"/>
  <c r="A448" i="62" s="1"/>
  <c r="A449" i="62" s="1"/>
  <c r="A450" i="62" s="1"/>
  <c r="A451" i="62" s="1"/>
  <c r="A452" i="62" s="1"/>
  <c r="A453" i="62" s="1"/>
  <c r="A454" i="62" s="1"/>
  <c r="A455" i="62" s="1"/>
  <c r="A456" i="62" s="1"/>
  <c r="A457" i="62" s="1"/>
  <c r="A458" i="62" s="1"/>
  <c r="A459" i="62" s="1"/>
  <c r="A460" i="62" s="1"/>
  <c r="A461" i="62" s="1"/>
  <c r="A462" i="62" s="1"/>
  <c r="A463" i="62" s="1"/>
  <c r="A464" i="62" s="1"/>
  <c r="A465" i="62" s="1"/>
  <c r="A466" i="62" s="1"/>
  <c r="A467" i="62" s="1"/>
  <c r="A468" i="62" s="1"/>
  <c r="A469" i="62" s="1"/>
  <c r="A470" i="62" s="1"/>
  <c r="A471" i="62" s="1"/>
  <c r="A472" i="62" s="1"/>
  <c r="A473" i="62" s="1"/>
  <c r="A474" i="62" s="1"/>
  <c r="A475" i="62" s="1"/>
  <c r="A476" i="62" s="1"/>
  <c r="A477" i="62" s="1"/>
  <c r="A478" i="62" s="1"/>
  <c r="A479" i="62" s="1"/>
  <c r="A480" i="62" s="1"/>
  <c r="A481" i="62" s="1"/>
  <c r="A482" i="62" s="1"/>
  <c r="A483" i="62" s="1"/>
  <c r="A484" i="62" s="1"/>
  <c r="A485" i="62" s="1"/>
  <c r="A486" i="62" s="1"/>
  <c r="A487" i="62" s="1"/>
  <c r="A488" i="62" s="1"/>
  <c r="A489" i="62" s="1"/>
  <c r="A490" i="62" s="1"/>
  <c r="A491" i="62" s="1"/>
  <c r="A492" i="62" s="1"/>
  <c r="A493" i="62" s="1"/>
  <c r="A494" i="62" s="1"/>
  <c r="A495" i="62" s="1"/>
  <c r="A496" i="62" s="1"/>
  <c r="A497" i="62" s="1"/>
  <c r="A498" i="62" s="1"/>
  <c r="A499" i="62" s="1"/>
  <c r="A500" i="62" s="1"/>
  <c r="A501" i="62" s="1"/>
  <c r="A502" i="62" s="1"/>
  <c r="A503" i="62" s="1"/>
  <c r="A504" i="62" s="1"/>
  <c r="A505" i="62" s="1"/>
  <c r="A506" i="62" s="1"/>
  <c r="A507" i="62" s="1"/>
  <c r="A508" i="62" s="1"/>
  <c r="A509" i="62" s="1"/>
  <c r="A510" i="62" s="1"/>
  <c r="A511" i="62" s="1"/>
  <c r="A512" i="62" s="1"/>
  <c r="A513" i="62" s="1"/>
  <c r="A514" i="62" s="1"/>
  <c r="A515" i="62" s="1"/>
  <c r="A516" i="62" s="1"/>
  <c r="A517" i="62" s="1"/>
  <c r="A518" i="62" s="1"/>
  <c r="A519" i="62" s="1"/>
  <c r="A520" i="62" s="1"/>
  <c r="A521" i="62" s="1"/>
  <c r="A522" i="62" s="1"/>
  <c r="A523" i="62" s="1"/>
  <c r="A524" i="62" s="1"/>
  <c r="A525" i="62" s="1"/>
  <c r="A526" i="62" s="1"/>
  <c r="A527" i="62" s="1"/>
  <c r="A528" i="62" s="1"/>
  <c r="A529" i="62" s="1"/>
  <c r="A530" i="62" s="1"/>
  <c r="A531" i="62" s="1"/>
  <c r="A532" i="62" s="1"/>
  <c r="A533" i="62" s="1"/>
  <c r="A534" i="62" s="1"/>
  <c r="A535" i="62" s="1"/>
  <c r="A536" i="62" s="1"/>
  <c r="A537" i="62" s="1"/>
  <c r="A538" i="62" s="1"/>
  <c r="A539" i="62" s="1"/>
  <c r="A540" i="62" s="1"/>
  <c r="A541" i="62" s="1"/>
  <c r="A542" i="62" s="1"/>
  <c r="A543" i="62" s="1"/>
  <c r="A544" i="62" s="1"/>
  <c r="A545" i="62" s="1"/>
  <c r="A546" i="62" s="1"/>
  <c r="A547" i="62" s="1"/>
  <c r="A548" i="62" s="1"/>
  <c r="A549" i="62" s="1"/>
  <c r="A550" i="62" s="1"/>
  <c r="A551" i="62" s="1"/>
  <c r="A552" i="62" s="1"/>
  <c r="A553" i="62" s="1"/>
  <c r="A554" i="62" s="1"/>
  <c r="A555" i="62" s="1"/>
  <c r="A556" i="62" s="1"/>
  <c r="A557" i="62" s="1"/>
  <c r="A558" i="62" s="1"/>
  <c r="A559" i="62" s="1"/>
  <c r="A560" i="62" s="1"/>
  <c r="A561" i="62" s="1"/>
  <c r="A562" i="62" s="1"/>
  <c r="A563" i="62" s="1"/>
  <c r="A564" i="62" s="1"/>
  <c r="A565" i="62" s="1"/>
  <c r="A566" i="62" s="1"/>
  <c r="A567" i="62" s="1"/>
  <c r="A568" i="62" s="1"/>
  <c r="A569" i="62" s="1"/>
  <c r="A570" i="62" s="1"/>
  <c r="A571" i="62" s="1"/>
  <c r="A572" i="62" s="1"/>
  <c r="A573" i="62" s="1"/>
  <c r="A574" i="62" s="1"/>
  <c r="A575" i="62" s="1"/>
  <c r="A576" i="62" s="1"/>
  <c r="A577" i="62" s="1"/>
  <c r="A578" i="62" s="1"/>
  <c r="A579" i="62" s="1"/>
  <c r="A580" i="62" s="1"/>
  <c r="A581" i="62" s="1"/>
  <c r="A582" i="62" s="1"/>
  <c r="A583" i="62" s="1"/>
  <c r="A584" i="62" s="1"/>
  <c r="A585" i="62" s="1"/>
  <c r="A586" i="62" s="1"/>
  <c r="A587" i="62" s="1"/>
  <c r="A588" i="62" s="1"/>
  <c r="A589" i="62" s="1"/>
  <c r="A590" i="62" s="1"/>
  <c r="A591" i="62" s="1"/>
  <c r="A592" i="62" s="1"/>
  <c r="A593" i="62" s="1"/>
  <c r="A594" i="62" s="1"/>
  <c r="A595" i="62" s="1"/>
  <c r="A596" i="62" s="1"/>
  <c r="A597" i="62" s="1"/>
  <c r="A598" i="62" s="1"/>
  <c r="A599" i="62" s="1"/>
  <c r="A600" i="62" s="1"/>
  <c r="A601" i="62" s="1"/>
  <c r="A602" i="62" s="1"/>
  <c r="A603" i="62" s="1"/>
  <c r="A604" i="62" s="1"/>
  <c r="A605" i="62" s="1"/>
  <c r="A606" i="62" s="1"/>
  <c r="A607" i="62" s="1"/>
  <c r="A608" i="62" s="1"/>
  <c r="A609" i="62" s="1"/>
  <c r="A610" i="62" s="1"/>
  <c r="A611" i="62" s="1"/>
  <c r="A612" i="62" s="1"/>
  <c r="A613" i="62" s="1"/>
  <c r="A614" i="62" s="1"/>
  <c r="A615" i="62" s="1"/>
  <c r="A616" i="62" s="1"/>
  <c r="S16" i="62"/>
  <c r="X16" i="62" s="1"/>
  <c r="Y16" i="62" s="1"/>
  <c r="Y15" i="62" s="1"/>
  <c r="A16" i="62"/>
  <c r="X15" i="62"/>
  <c r="S15" i="62"/>
  <c r="Z8" i="62"/>
  <c r="K34" i="4" l="1"/>
  <c r="K35" i="4" s="1"/>
  <c r="K45" i="4" s="1"/>
  <c r="O83" i="31"/>
  <c r="O71" i="31"/>
  <c r="O122" i="31"/>
  <c r="AB150" i="31"/>
  <c r="M149" i="31"/>
  <c r="M150" i="31" s="1"/>
  <c r="J32" i="62"/>
  <c r="J338" i="62" s="1"/>
  <c r="R32" i="62"/>
  <c r="K338" i="62"/>
  <c r="F338" i="62"/>
  <c r="AC363" i="62"/>
  <c r="W363" i="62"/>
  <c r="AC194" i="62"/>
  <c r="W194" i="62"/>
  <c r="S199" i="62"/>
  <c r="P338" i="62"/>
  <c r="Q338" i="62"/>
  <c r="AC355" i="62"/>
  <c r="W355" i="62"/>
  <c r="S372" i="62"/>
  <c r="AC371" i="62"/>
  <c r="W371" i="62"/>
  <c r="Y516" i="62"/>
  <c r="Z516" i="62"/>
  <c r="Z15" i="62"/>
  <c r="F32" i="62"/>
  <c r="N32" i="62"/>
  <c r="S92" i="62"/>
  <c r="S115" i="62" s="1"/>
  <c r="AD247" i="62"/>
  <c r="O338" i="62"/>
  <c r="AC346" i="62"/>
  <c r="W346" i="62"/>
  <c r="AC185" i="62"/>
  <c r="W185" i="62"/>
  <c r="AC350" i="62"/>
  <c r="W350" i="62"/>
  <c r="AC367" i="62"/>
  <c r="W367" i="62"/>
  <c r="S18" i="62"/>
  <c r="Z16" i="62"/>
  <c r="I32" i="62"/>
  <c r="I338" i="62" s="1"/>
  <c r="M32" i="62"/>
  <c r="M338" i="62" s="1"/>
  <c r="Q32" i="62"/>
  <c r="AC181" i="62"/>
  <c r="AC611" i="62" s="1"/>
  <c r="W181" i="62"/>
  <c r="AC189" i="62"/>
  <c r="W189" i="62"/>
  <c r="AC198" i="62"/>
  <c r="W198" i="62"/>
  <c r="W342" i="62"/>
  <c r="AC342" i="62" s="1"/>
  <c r="S351" i="62"/>
  <c r="AC359" i="62"/>
  <c r="W359" i="62"/>
  <c r="S606" i="62"/>
  <c r="W594" i="62"/>
  <c r="N338" i="62"/>
  <c r="U75" i="62"/>
  <c r="U611" i="62" s="1"/>
  <c r="W180" i="62"/>
  <c r="W184" i="62"/>
  <c r="W188" i="62"/>
  <c r="S192" i="62"/>
  <c r="W197" i="62"/>
  <c r="AB251" i="62"/>
  <c r="X251" i="62"/>
  <c r="AB255" i="62"/>
  <c r="X255" i="62"/>
  <c r="AB259" i="62"/>
  <c r="X259" i="62"/>
  <c r="S261" i="62"/>
  <c r="S307" i="62"/>
  <c r="W343" i="62"/>
  <c r="W347" i="62"/>
  <c r="W356" i="62"/>
  <c r="W360" i="62"/>
  <c r="W364" i="62"/>
  <c r="W368" i="62"/>
  <c r="X497" i="62"/>
  <c r="AA497" i="62"/>
  <c r="R338" i="62"/>
  <c r="S24" i="62"/>
  <c r="S30" i="62" s="1"/>
  <c r="S73" i="62"/>
  <c r="X37" i="62"/>
  <c r="U94" i="62"/>
  <c r="AD94" i="62" s="1"/>
  <c r="U117" i="62"/>
  <c r="AD117" i="62" s="1"/>
  <c r="U145" i="62"/>
  <c r="AD145" i="62" s="1"/>
  <c r="W179" i="62"/>
  <c r="W183" i="62"/>
  <c r="W187" i="62"/>
  <c r="W191" i="62"/>
  <c r="W196" i="62"/>
  <c r="U209" i="62"/>
  <c r="AD209" i="62" s="1"/>
  <c r="W295" i="62"/>
  <c r="S321" i="62"/>
  <c r="S333" i="62"/>
  <c r="W325" i="62"/>
  <c r="G338" i="62"/>
  <c r="H338" i="62"/>
  <c r="L338" i="62"/>
  <c r="S287" i="62"/>
  <c r="AB393" i="62"/>
  <c r="X393" i="62"/>
  <c r="AB397" i="62"/>
  <c r="X397" i="62"/>
  <c r="AB401" i="62"/>
  <c r="X401" i="62"/>
  <c r="S403" i="62"/>
  <c r="Z520" i="62"/>
  <c r="X250" i="62"/>
  <c r="X254" i="62"/>
  <c r="X258" i="62"/>
  <c r="W272" i="62"/>
  <c r="S292" i="62"/>
  <c r="W341" i="62"/>
  <c r="W345" i="62"/>
  <c r="W349" i="62"/>
  <c r="W354" i="62"/>
  <c r="W358" i="62"/>
  <c r="W362" i="62"/>
  <c r="W366" i="62"/>
  <c r="W370" i="62"/>
  <c r="W375" i="62"/>
  <c r="AD377" i="62"/>
  <c r="V492" i="62"/>
  <c r="AD492" i="62" s="1"/>
  <c r="S517" i="62"/>
  <c r="Z521" i="62"/>
  <c r="Y521" i="62"/>
  <c r="F608" i="62"/>
  <c r="J608" i="62"/>
  <c r="N608" i="62"/>
  <c r="S410" i="62"/>
  <c r="V438" i="62"/>
  <c r="AD438" i="62" s="1"/>
  <c r="S490" i="62"/>
  <c r="Y523" i="62"/>
  <c r="Z523" i="62"/>
  <c r="G608" i="62"/>
  <c r="O608" i="62"/>
  <c r="AC435" i="62"/>
  <c r="Z519" i="62"/>
  <c r="Y519" i="62"/>
  <c r="H608" i="62"/>
  <c r="L608" i="62"/>
  <c r="P608" i="62"/>
  <c r="S532" i="62"/>
  <c r="S592" i="62"/>
  <c r="I608" i="62"/>
  <c r="M608" i="62"/>
  <c r="Q608" i="62"/>
  <c r="O84" i="31" l="1"/>
  <c r="AD611" i="62"/>
  <c r="X30" i="62"/>
  <c r="Z30" i="62"/>
  <c r="Z611" i="62" s="1"/>
  <c r="W611" i="62"/>
  <c r="Y497" i="62"/>
  <c r="Y611" i="62" s="1"/>
  <c r="Z497" i="62"/>
  <c r="AB611" i="62"/>
  <c r="V611" i="62"/>
  <c r="V612" i="62" s="1"/>
  <c r="S32" i="62"/>
  <c r="S338" i="62" s="1"/>
  <c r="AA611" i="62"/>
  <c r="S412" i="62"/>
  <c r="S608" i="62" s="1"/>
  <c r="AC612" i="62" l="1"/>
  <c r="AB614" i="62" s="1"/>
  <c r="AE611" i="62"/>
  <c r="X611" i="62"/>
  <c r="X612" i="62" s="1"/>
  <c r="Y614" i="62" l="1"/>
  <c r="Z614" i="62"/>
  <c r="Z616" i="62" s="1"/>
  <c r="AB616" i="62"/>
  <c r="X613" i="62"/>
  <c r="Y616" i="62"/>
  <c r="AE612" i="62"/>
  <c r="H228" i="61" l="1"/>
  <c r="H227" i="61"/>
  <c r="J221" i="61"/>
  <c r="E204" i="61"/>
  <c r="F203" i="61"/>
  <c r="G203" i="61" s="1"/>
  <c r="F201" i="61"/>
  <c r="G201" i="61" s="1"/>
  <c r="H226" i="61" s="1"/>
  <c r="J226" i="61" s="1"/>
  <c r="G200" i="61"/>
  <c r="F199" i="61"/>
  <c r="G199" i="61" s="1"/>
  <c r="F198" i="61"/>
  <c r="G198" i="61" s="1"/>
  <c r="G195" i="61"/>
  <c r="G194" i="61"/>
  <c r="G193" i="61"/>
  <c r="G192" i="61"/>
  <c r="G191" i="61"/>
  <c r="G190" i="61"/>
  <c r="G189" i="61"/>
  <c r="G188" i="61"/>
  <c r="H225" i="61" s="1"/>
  <c r="J225" i="61" s="1"/>
  <c r="G187" i="61"/>
  <c r="G186" i="61"/>
  <c r="G185" i="61"/>
  <c r="F184" i="61"/>
  <c r="G184" i="61" s="1"/>
  <c r="G183" i="61"/>
  <c r="F180" i="61"/>
  <c r="G180" i="61" s="1"/>
  <c r="F179" i="61"/>
  <c r="G179" i="61" s="1"/>
  <c r="F178" i="61"/>
  <c r="G178" i="61" s="1"/>
  <c r="G177" i="61"/>
  <c r="G176" i="61"/>
  <c r="G175" i="61"/>
  <c r="F172" i="61"/>
  <c r="G172" i="61" s="1"/>
  <c r="F171" i="61"/>
  <c r="G171" i="61" s="1"/>
  <c r="E167" i="61"/>
  <c r="G166" i="61"/>
  <c r="G165" i="61"/>
  <c r="G163" i="61"/>
  <c r="G162" i="61"/>
  <c r="G161" i="61"/>
  <c r="G160" i="61"/>
  <c r="H160" i="61" s="1"/>
  <c r="G159" i="61"/>
  <c r="G158" i="61"/>
  <c r="G157" i="61"/>
  <c r="G156" i="61"/>
  <c r="G154" i="61"/>
  <c r="G153" i="61"/>
  <c r="G152" i="61"/>
  <c r="G151" i="61"/>
  <c r="G150" i="61"/>
  <c r="G149" i="61"/>
  <c r="G148" i="61"/>
  <c r="G147" i="61"/>
  <c r="G146" i="61"/>
  <c r="G145" i="61"/>
  <c r="G144" i="61"/>
  <c r="G143" i="61"/>
  <c r="G142" i="61"/>
  <c r="G141" i="61"/>
  <c r="H141" i="61" s="1"/>
  <c r="G140" i="61"/>
  <c r="G138" i="61"/>
  <c r="G136" i="61"/>
  <c r="G135" i="61"/>
  <c r="G134" i="61"/>
  <c r="G133" i="61"/>
  <c r="G130" i="61"/>
  <c r="G128" i="61"/>
  <c r="G127" i="61"/>
  <c r="H127" i="61" s="1"/>
  <c r="G126" i="61"/>
  <c r="G125" i="61"/>
  <c r="G122" i="61"/>
  <c r="G120" i="61"/>
  <c r="G119" i="61"/>
  <c r="G118" i="61"/>
  <c r="G117" i="61"/>
  <c r="G116" i="61"/>
  <c r="G115" i="61"/>
  <c r="G114" i="61"/>
  <c r="G113" i="61"/>
  <c r="G111" i="61"/>
  <c r="F110" i="61"/>
  <c r="G110" i="61" s="1"/>
  <c r="H110" i="61" s="1"/>
  <c r="G108" i="61"/>
  <c r="G100" i="61"/>
  <c r="G99" i="61"/>
  <c r="G98" i="61"/>
  <c r="G95" i="61"/>
  <c r="G94" i="61"/>
  <c r="G93" i="61"/>
  <c r="G92" i="61"/>
  <c r="G91" i="61"/>
  <c r="G90" i="61"/>
  <c r="G89" i="61"/>
  <c r="G88" i="61"/>
  <c r="G87" i="61"/>
  <c r="G86" i="61"/>
  <c r="G84" i="61"/>
  <c r="G83" i="61"/>
  <c r="G82" i="61"/>
  <c r="G80" i="61"/>
  <c r="G79" i="61"/>
  <c r="G76" i="61"/>
  <c r="G75" i="61"/>
  <c r="G73" i="61"/>
  <c r="G71" i="61"/>
  <c r="G70" i="61"/>
  <c r="G69" i="61"/>
  <c r="G67" i="61"/>
  <c r="H67" i="61" s="1"/>
  <c r="G64" i="61"/>
  <c r="H64" i="61" s="1"/>
  <c r="G62" i="61"/>
  <c r="G61" i="61"/>
  <c r="G60" i="61"/>
  <c r="G59" i="61"/>
  <c r="G56" i="61"/>
  <c r="G55" i="61"/>
  <c r="G53" i="61"/>
  <c r="G52" i="61"/>
  <c r="G51" i="61"/>
  <c r="G50" i="61"/>
  <c r="H50" i="61" s="1"/>
  <c r="H219" i="61" s="1"/>
  <c r="J219" i="61" s="1"/>
  <c r="F49" i="61"/>
  <c r="G49" i="61" s="1"/>
  <c r="F48" i="61"/>
  <c r="G48" i="61" s="1"/>
  <c r="G47" i="61"/>
  <c r="G46" i="61"/>
  <c r="H45" i="61"/>
  <c r="G45" i="61"/>
  <c r="G44" i="61"/>
  <c r="G43" i="61"/>
  <c r="G42" i="61"/>
  <c r="G41" i="61"/>
  <c r="G40" i="61"/>
  <c r="H40" i="61" s="1"/>
  <c r="G39" i="61"/>
  <c r="G38" i="61"/>
  <c r="E23" i="61"/>
  <c r="F21" i="61"/>
  <c r="G21" i="61" s="1"/>
  <c r="F20" i="61"/>
  <c r="G20" i="61" s="1"/>
  <c r="F19" i="61"/>
  <c r="G19" i="61" s="1"/>
  <c r="F18" i="61"/>
  <c r="G18" i="61" s="1"/>
  <c r="F17" i="61"/>
  <c r="G17" i="61" s="1"/>
  <c r="F16" i="61"/>
  <c r="G16" i="61" s="1"/>
  <c r="F15" i="61"/>
  <c r="G15" i="61" s="1"/>
  <c r="F14" i="61"/>
  <c r="G14" i="61" s="1"/>
  <c r="F13" i="61"/>
  <c r="G13" i="61" s="1"/>
  <c r="F12" i="61"/>
  <c r="G12" i="61" s="1"/>
  <c r="F11" i="61"/>
  <c r="G11" i="61" s="1"/>
  <c r="F10" i="61"/>
  <c r="G10" i="61" s="1"/>
  <c r="F9" i="61"/>
  <c r="G9" i="61" s="1"/>
  <c r="F8" i="61"/>
  <c r="G8" i="61" s="1"/>
  <c r="H8" i="61" s="1"/>
  <c r="H217" i="61" l="1"/>
  <c r="J217" i="61" s="1"/>
  <c r="G204" i="61"/>
  <c r="E208" i="61"/>
  <c r="H23" i="61"/>
  <c r="H215" i="61"/>
  <c r="H220" i="61"/>
  <c r="J220" i="61" s="1"/>
  <c r="H167" i="61"/>
  <c r="H216" i="61"/>
  <c r="J216" i="61" s="1"/>
  <c r="G167" i="61"/>
  <c r="G23" i="61"/>
  <c r="G208" i="61" s="1"/>
  <c r="H222" i="61"/>
  <c r="J222" i="61" s="1"/>
  <c r="H223" i="61"/>
  <c r="J223" i="61" s="1"/>
  <c r="H204" i="61"/>
  <c r="H218" i="61"/>
  <c r="J218" i="61" s="1"/>
  <c r="H224" i="61"/>
  <c r="J224" i="61" s="1"/>
  <c r="H230" i="61" l="1"/>
  <c r="J215" i="61"/>
  <c r="J230" i="61" s="1"/>
  <c r="H208" i="61"/>
  <c r="H232" i="61" l="1"/>
  <c r="K230" i="61"/>
  <c r="K208" i="61"/>
  <c r="P43" i="4" l="1"/>
  <c r="P19" i="4"/>
  <c r="P33" i="4" s="1"/>
  <c r="R142" i="31" s="1"/>
  <c r="R148" i="31" s="1"/>
  <c r="R149" i="31" s="1"/>
  <c r="R150" i="31" s="1"/>
  <c r="G144" i="31"/>
  <c r="G142" i="31"/>
  <c r="O43" i="4" l="1"/>
  <c r="N43" i="4"/>
  <c r="O19" i="4"/>
  <c r="N19" i="4"/>
  <c r="J204" i="49" l="1"/>
  <c r="J208" i="49" s="1"/>
  <c r="J167" i="49"/>
  <c r="J23" i="49"/>
  <c r="H23" i="49"/>
  <c r="J160" i="49"/>
  <c r="J142" i="49"/>
  <c r="J141" i="49"/>
  <c r="J127" i="49"/>
  <c r="J118" i="49"/>
  <c r="J110" i="49"/>
  <c r="J67" i="49"/>
  <c r="J64" i="49"/>
  <c r="J50" i="49"/>
  <c r="J45" i="49"/>
  <c r="J40" i="49"/>
  <c r="J8" i="49"/>
  <c r="M43" i="4"/>
  <c r="L43" i="4"/>
  <c r="M19" i="4"/>
  <c r="L19" i="4"/>
  <c r="AA43" i="4"/>
  <c r="AA19" i="4"/>
  <c r="G42" i="49"/>
  <c r="A19" i="57" l="1"/>
  <c r="K14" i="46" l="1"/>
  <c r="K13" i="46"/>
  <c r="K12" i="46"/>
  <c r="E30" i="13" l="1"/>
  <c r="C11" i="13" s="1"/>
  <c r="E33" i="13" l="1"/>
  <c r="E14" i="13" s="1"/>
  <c r="C21" i="60"/>
  <c r="F9" i="31" s="1"/>
  <c r="H10" i="31"/>
  <c r="H9" i="31"/>
  <c r="G10" i="31"/>
  <c r="G9" i="31"/>
  <c r="F10" i="31"/>
  <c r="F203" i="49"/>
  <c r="F201" i="49"/>
  <c r="F199" i="49"/>
  <c r="F198" i="49"/>
  <c r="F184" i="49"/>
  <c r="F180" i="49"/>
  <c r="F179" i="49"/>
  <c r="F178" i="49"/>
  <c r="F172" i="49"/>
  <c r="F171" i="49"/>
  <c r="F110" i="49"/>
  <c r="F49" i="49"/>
  <c r="F48" i="49"/>
  <c r="F21" i="49"/>
  <c r="F20" i="49"/>
  <c r="F19" i="49"/>
  <c r="F18" i="49"/>
  <c r="F17" i="49"/>
  <c r="F16" i="49"/>
  <c r="F15" i="49"/>
  <c r="F14" i="49"/>
  <c r="F13" i="49"/>
  <c r="F12" i="49"/>
  <c r="F11" i="49"/>
  <c r="F10" i="49"/>
  <c r="F9" i="49"/>
  <c r="F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A14" i="57"/>
  <c r="A15" i="57" s="1"/>
  <c r="A16" i="57" s="1"/>
  <c r="A17" i="57" s="1"/>
  <c r="A18" i="57" s="1"/>
  <c r="A22" i="57" s="1"/>
  <c r="A23" i="57" s="1"/>
  <c r="A24" i="57" s="1"/>
  <c r="A25" i="57" s="1"/>
  <c r="A26" i="57" s="1"/>
  <c r="A27" i="57" s="1"/>
  <c r="A28" i="57" s="1"/>
  <c r="A29" i="57" s="1"/>
  <c r="A30" i="57" s="1"/>
  <c r="A31" i="57" s="1"/>
  <c r="A32" i="57" s="1"/>
  <c r="A13" i="57"/>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O11" i="41"/>
  <c r="O12" i="41"/>
  <c r="O13" i="41"/>
  <c r="O14" i="41"/>
  <c r="O15" i="41"/>
  <c r="O10" i="41"/>
  <c r="AF137" i="58" l="1"/>
  <c r="G22" i="5" l="1"/>
  <c r="G21" i="5"/>
  <c r="L29" i="36"/>
  <c r="M29" i="36" s="1"/>
  <c r="I17" i="4" s="1"/>
  <c r="H228" i="49" l="1"/>
  <c r="H227" i="49"/>
  <c r="J221" i="49"/>
  <c r="E204" i="49"/>
  <c r="G203" i="49"/>
  <c r="H203" i="49" s="1"/>
  <c r="G201" i="49"/>
  <c r="H201" i="49" s="1"/>
  <c r="G200" i="49"/>
  <c r="G199" i="49"/>
  <c r="H199" i="49" s="1"/>
  <c r="G198" i="49"/>
  <c r="H198" i="49" s="1"/>
  <c r="G195" i="49"/>
  <c r="G194" i="49"/>
  <c r="G193" i="49"/>
  <c r="G192" i="49"/>
  <c r="G191" i="49"/>
  <c r="G190" i="49"/>
  <c r="G189" i="49"/>
  <c r="H189" i="49" s="1"/>
  <c r="G188" i="49"/>
  <c r="H188" i="49" s="1"/>
  <c r="H225" i="49" s="1"/>
  <c r="J225" i="49" s="1"/>
  <c r="G187" i="49"/>
  <c r="G186" i="49"/>
  <c r="H186" i="49" s="1"/>
  <c r="G185" i="49"/>
  <c r="H185" i="49" s="1"/>
  <c r="H223" i="49" s="1"/>
  <c r="J223" i="49" s="1"/>
  <c r="G184" i="49"/>
  <c r="G183" i="49"/>
  <c r="G180" i="49"/>
  <c r="G179" i="49"/>
  <c r="G178" i="49"/>
  <c r="G177" i="49"/>
  <c r="G176" i="49"/>
  <c r="G175" i="49"/>
  <c r="G172" i="49"/>
  <c r="G171" i="49"/>
  <c r="E167" i="49"/>
  <c r="G166" i="49"/>
  <c r="G165" i="49"/>
  <c r="G163" i="49"/>
  <c r="G162" i="49"/>
  <c r="G161" i="49"/>
  <c r="G160" i="49"/>
  <c r="H160" i="49" s="1"/>
  <c r="G159" i="49"/>
  <c r="G158" i="49"/>
  <c r="G157" i="49"/>
  <c r="G156" i="49"/>
  <c r="G154" i="49"/>
  <c r="G153" i="49"/>
  <c r="G152" i="49"/>
  <c r="G151" i="49"/>
  <c r="G150" i="49"/>
  <c r="G149" i="49"/>
  <c r="H149" i="49" s="1"/>
  <c r="G148" i="49"/>
  <c r="G147" i="49"/>
  <c r="G146" i="49"/>
  <c r="G145" i="49"/>
  <c r="H145" i="49" s="1"/>
  <c r="G144" i="49"/>
  <c r="H144" i="49" s="1"/>
  <c r="G143" i="49"/>
  <c r="H143" i="49" s="1"/>
  <c r="G142" i="49"/>
  <c r="H142" i="49" s="1"/>
  <c r="G141" i="49"/>
  <c r="H141" i="49" s="1"/>
  <c r="H216" i="49" s="1"/>
  <c r="J216" i="49" s="1"/>
  <c r="G140" i="49"/>
  <c r="G138" i="49"/>
  <c r="H138" i="49" s="1"/>
  <c r="H137" i="49"/>
  <c r="G136" i="49"/>
  <c r="G135" i="49"/>
  <c r="G134" i="49"/>
  <c r="G133" i="49"/>
  <c r="G130" i="49"/>
  <c r="G128" i="49"/>
  <c r="G127" i="49"/>
  <c r="H127" i="49" s="1"/>
  <c r="G126" i="49"/>
  <c r="G125" i="49"/>
  <c r="H125" i="49" s="1"/>
  <c r="G122" i="49"/>
  <c r="H122" i="49" s="1"/>
  <c r="G120" i="49"/>
  <c r="H120" i="49" s="1"/>
  <c r="G119" i="49"/>
  <c r="G118" i="49"/>
  <c r="H118" i="49" s="1"/>
  <c r="G117" i="49"/>
  <c r="G116" i="49"/>
  <c r="G115" i="49"/>
  <c r="H115" i="49" s="1"/>
  <c r="G114" i="49"/>
  <c r="H114" i="49" s="1"/>
  <c r="G113" i="49"/>
  <c r="H113" i="49" s="1"/>
  <c r="H112" i="49"/>
  <c r="G111" i="49"/>
  <c r="G110" i="49"/>
  <c r="H110" i="49" s="1"/>
  <c r="H220" i="49" s="1"/>
  <c r="G108" i="49"/>
  <c r="H108" i="49" s="1"/>
  <c r="G100" i="49"/>
  <c r="H100" i="49" s="1"/>
  <c r="G99" i="49"/>
  <c r="H99" i="49" s="1"/>
  <c r="G98" i="49"/>
  <c r="H98" i="49" s="1"/>
  <c r="G95" i="49"/>
  <c r="H95" i="49" s="1"/>
  <c r="G94" i="49"/>
  <c r="H94" i="49" s="1"/>
  <c r="G93" i="49"/>
  <c r="H93" i="49" s="1"/>
  <c r="G92" i="49"/>
  <c r="G91" i="49"/>
  <c r="G90" i="49"/>
  <c r="H90" i="49" s="1"/>
  <c r="G89" i="49"/>
  <c r="G88" i="49"/>
  <c r="G87" i="49"/>
  <c r="H87" i="49" s="1"/>
  <c r="G86" i="49"/>
  <c r="H86" i="49" s="1"/>
  <c r="G84" i="49"/>
  <c r="H84" i="49" s="1"/>
  <c r="G83" i="49"/>
  <c r="G82" i="49"/>
  <c r="G80" i="49"/>
  <c r="G79" i="49"/>
  <c r="G76" i="49"/>
  <c r="G75" i="49"/>
  <c r="G73" i="49"/>
  <c r="G71" i="49"/>
  <c r="H71" i="49" s="1"/>
  <c r="G70" i="49"/>
  <c r="G69" i="49"/>
  <c r="H69" i="49" s="1"/>
  <c r="G67" i="49"/>
  <c r="H67" i="49" s="1"/>
  <c r="G64" i="49"/>
  <c r="H64" i="49" s="1"/>
  <c r="G62" i="49"/>
  <c r="H62" i="49" s="1"/>
  <c r="G61" i="49"/>
  <c r="G60" i="49"/>
  <c r="G59" i="49"/>
  <c r="G56" i="49"/>
  <c r="G55" i="49"/>
  <c r="G53" i="49"/>
  <c r="G52" i="49"/>
  <c r="H52" i="49" s="1"/>
  <c r="G51" i="49"/>
  <c r="G50" i="49"/>
  <c r="H50" i="49" s="1"/>
  <c r="H219" i="49" s="1"/>
  <c r="J219" i="49" s="1"/>
  <c r="G49" i="49"/>
  <c r="G48" i="49"/>
  <c r="G47" i="49"/>
  <c r="H47" i="49" s="1"/>
  <c r="G46" i="49"/>
  <c r="G45" i="49"/>
  <c r="H45" i="49" s="1"/>
  <c r="G44" i="49"/>
  <c r="G43" i="49"/>
  <c r="H42" i="49"/>
  <c r="G41" i="49"/>
  <c r="G40" i="49"/>
  <c r="H40" i="49" s="1"/>
  <c r="G39" i="49"/>
  <c r="H39" i="49" s="1"/>
  <c r="G38" i="49"/>
  <c r="E23" i="49"/>
  <c r="G21" i="49"/>
  <c r="H21" i="49" s="1"/>
  <c r="G20" i="49"/>
  <c r="H20" i="49" s="1"/>
  <c r="G19" i="49"/>
  <c r="H19" i="49" s="1"/>
  <c r="G18" i="49"/>
  <c r="G17" i="49"/>
  <c r="H17" i="49" s="1"/>
  <c r="G16" i="49"/>
  <c r="H16" i="49" s="1"/>
  <c r="G15" i="49"/>
  <c r="H15" i="49" s="1"/>
  <c r="G14" i="49"/>
  <c r="G13" i="49"/>
  <c r="H13" i="49" s="1"/>
  <c r="G12" i="49"/>
  <c r="G11" i="49"/>
  <c r="G10" i="49"/>
  <c r="H10" i="49" s="1"/>
  <c r="G9" i="49"/>
  <c r="G8" i="49"/>
  <c r="H8" i="49" s="1"/>
  <c r="H217" i="49" l="1"/>
  <c r="J217" i="49" s="1"/>
  <c r="E208" i="49"/>
  <c r="H215" i="49"/>
  <c r="G23" i="49"/>
  <c r="G167" i="49"/>
  <c r="H222" i="49"/>
  <c r="J222" i="49" s="1"/>
  <c r="H167" i="49"/>
  <c r="J220" i="49"/>
  <c r="H218" i="49"/>
  <c r="J218" i="49" s="1"/>
  <c r="H226" i="49"/>
  <c r="J226" i="49" s="1"/>
  <c r="H224" i="49"/>
  <c r="J224" i="49" s="1"/>
  <c r="H204" i="49"/>
  <c r="G204" i="49"/>
  <c r="AA21" i="31"/>
  <c r="AA16" i="31"/>
  <c r="AA15" i="31"/>
  <c r="G208" i="49" l="1"/>
  <c r="H208" i="49"/>
  <c r="K208" i="49" s="1"/>
  <c r="H230" i="49"/>
  <c r="J215" i="49"/>
  <c r="J230" i="49" s="1"/>
  <c r="AA17" i="31"/>
  <c r="E18" i="13" l="1"/>
  <c r="K230" i="49"/>
  <c r="H232" i="49"/>
  <c r="E9" i="13"/>
  <c r="U21" i="31"/>
  <c r="W52" i="31"/>
  <c r="W50" i="31"/>
  <c r="W36" i="31"/>
  <c r="W26" i="31"/>
  <c r="W17" i="31"/>
  <c r="W106" i="31"/>
  <c r="W99" i="31"/>
  <c r="W92" i="31"/>
  <c r="W83" i="31"/>
  <c r="Z120" i="31"/>
  <c r="Z122" i="31" s="1"/>
  <c r="Z106" i="31"/>
  <c r="Z99" i="31"/>
  <c r="Z92" i="31"/>
  <c r="Z83" i="31"/>
  <c r="Z71" i="31"/>
  <c r="Z52" i="31"/>
  <c r="Z50" i="31"/>
  <c r="Z36" i="31"/>
  <c r="Z26" i="31"/>
  <c r="Z17" i="31"/>
  <c r="Y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Z84" i="31" l="1"/>
  <c r="W27" i="31"/>
  <c r="W53" i="31" s="1"/>
  <c r="Z27" i="31"/>
  <c r="Z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E15" i="15"/>
  <c r="D15"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Q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AE16" i="31" s="1"/>
  <c r="D19" i="21"/>
  <c r="F19" i="21" s="1"/>
  <c r="D18" i="21"/>
  <c r="F18" i="21" s="1"/>
  <c r="D12" i="21"/>
  <c r="F12" i="21" s="1"/>
  <c r="F14" i="3"/>
  <c r="J13" i="3"/>
  <c r="J12" i="3"/>
  <c r="J11" i="3"/>
  <c r="D15" i="32"/>
  <c r="D150" i="31"/>
  <c r="D186" i="31" s="1"/>
  <c r="AD148" i="31"/>
  <c r="AC148" i="31"/>
  <c r="AE147" i="31"/>
  <c r="AE146" i="31"/>
  <c r="AE145" i="31"/>
  <c r="AE144" i="31"/>
  <c r="AE143" i="31"/>
  <c r="AE137" i="31"/>
  <c r="AF137" i="31" s="1"/>
  <c r="AD134" i="31"/>
  <c r="AC134" i="31"/>
  <c r="AA134" i="31"/>
  <c r="Y134" i="31"/>
  <c r="X134" i="31"/>
  <c r="V134" i="31"/>
  <c r="T134" i="31"/>
  <c r="S134" i="31"/>
  <c r="L134" i="31"/>
  <c r="K134" i="31"/>
  <c r="J134" i="31"/>
  <c r="I134" i="31"/>
  <c r="AE133" i="31"/>
  <c r="AE132" i="31"/>
  <c r="AE131" i="31"/>
  <c r="AE130" i="31"/>
  <c r="AE129" i="31"/>
  <c r="AE128" i="31"/>
  <c r="D124" i="31"/>
  <c r="AE121" i="31"/>
  <c r="AD120" i="31"/>
  <c r="AD122" i="31" s="1"/>
  <c r="AC120" i="31"/>
  <c r="AC122" i="31" s="1"/>
  <c r="AA120" i="31"/>
  <c r="AA122" i="31" s="1"/>
  <c r="Y120" i="31"/>
  <c r="Y122" i="31" s="1"/>
  <c r="U120" i="31"/>
  <c r="U122" i="31" s="1"/>
  <c r="S120" i="31"/>
  <c r="S122" i="31" s="1"/>
  <c r="L120" i="31"/>
  <c r="L122" i="31" s="1"/>
  <c r="K120" i="31"/>
  <c r="K122" i="31" s="1"/>
  <c r="I120" i="31"/>
  <c r="I122" i="31" s="1"/>
  <c r="AE118" i="31"/>
  <c r="AE117" i="31"/>
  <c r="AE115" i="31"/>
  <c r="AE113" i="31"/>
  <c r="AE112" i="31"/>
  <c r="AD106" i="31"/>
  <c r="AC106" i="31"/>
  <c r="AA106" i="31"/>
  <c r="Y106" i="31"/>
  <c r="X106" i="31"/>
  <c r="V106" i="31"/>
  <c r="U106" i="31"/>
  <c r="T106" i="31"/>
  <c r="S106" i="31"/>
  <c r="L106" i="31"/>
  <c r="K106" i="31"/>
  <c r="I106" i="31"/>
  <c r="AE105" i="31"/>
  <c r="AE103" i="31"/>
  <c r="AE102" i="31"/>
  <c r="AD99" i="31"/>
  <c r="AC99" i="31"/>
  <c r="AA99" i="31"/>
  <c r="Y99" i="31"/>
  <c r="X99" i="31"/>
  <c r="V99" i="31"/>
  <c r="U99" i="31"/>
  <c r="T99" i="31"/>
  <c r="S99" i="31"/>
  <c r="K99" i="31"/>
  <c r="J99" i="31"/>
  <c r="I99" i="31"/>
  <c r="AE95" i="31"/>
  <c r="AD92" i="31"/>
  <c r="AC92" i="31"/>
  <c r="X92" i="31"/>
  <c r="V92" i="31"/>
  <c r="S92" i="31"/>
  <c r="J92" i="31"/>
  <c r="AE91" i="31"/>
  <c r="AE87" i="31"/>
  <c r="AD83" i="31"/>
  <c r="AC83" i="31"/>
  <c r="AA83" i="31"/>
  <c r="Y83" i="31"/>
  <c r="X83" i="31"/>
  <c r="V83" i="31"/>
  <c r="U83" i="31"/>
  <c r="S83" i="31"/>
  <c r="L83" i="31"/>
  <c r="K83" i="31"/>
  <c r="J83" i="31"/>
  <c r="I83" i="31"/>
  <c r="AD71" i="31"/>
  <c r="AC71" i="31"/>
  <c r="AA71" i="31"/>
  <c r="Y71" i="31"/>
  <c r="V71" i="31"/>
  <c r="U71" i="31"/>
  <c r="S71" i="31"/>
  <c r="L71" i="31"/>
  <c r="K71" i="31"/>
  <c r="J71" i="31"/>
  <c r="I71" i="31"/>
  <c r="AE70" i="31"/>
  <c r="AE69" i="31"/>
  <c r="X52" i="31"/>
  <c r="T52" i="31"/>
  <c r="S52" i="31"/>
  <c r="L52" i="31"/>
  <c r="AD50" i="31"/>
  <c r="AC50" i="31"/>
  <c r="AA50" i="31"/>
  <c r="Y50" i="31"/>
  <c r="X50" i="31"/>
  <c r="V50" i="31"/>
  <c r="U50" i="31"/>
  <c r="T50" i="31"/>
  <c r="S50" i="31"/>
  <c r="L50" i="31"/>
  <c r="K50" i="31"/>
  <c r="J50" i="31"/>
  <c r="I50" i="31"/>
  <c r="G50" i="31"/>
  <c r="F50" i="31"/>
  <c r="E50" i="31"/>
  <c r="AE49" i="31"/>
  <c r="AF49" i="31" s="1"/>
  <c r="AE48" i="31"/>
  <c r="AF48" i="31" s="1"/>
  <c r="AE47" i="31"/>
  <c r="AF47" i="31" s="1"/>
  <c r="AE46" i="31"/>
  <c r="AF46" i="31" s="1"/>
  <c r="AE45" i="31"/>
  <c r="AF45" i="31" s="1"/>
  <c r="AE44" i="31"/>
  <c r="AF44" i="31" s="1"/>
  <c r="AE43" i="31"/>
  <c r="AF43" i="31" s="1"/>
  <c r="AE42" i="31"/>
  <c r="AF42" i="31" s="1"/>
  <c r="AE41" i="31"/>
  <c r="AF41" i="31" s="1"/>
  <c r="AE40" i="31"/>
  <c r="AF40" i="31" s="1"/>
  <c r="AE39" i="31"/>
  <c r="AD36" i="31"/>
  <c r="AC36" i="31"/>
  <c r="AA36" i="31"/>
  <c r="Y36" i="31"/>
  <c r="X36" i="31"/>
  <c r="V36" i="31"/>
  <c r="U36" i="31"/>
  <c r="T36" i="31"/>
  <c r="S36" i="31"/>
  <c r="L36" i="31"/>
  <c r="J36" i="31"/>
  <c r="AE35" i="31"/>
  <c r="AE34" i="31"/>
  <c r="AE33" i="31"/>
  <c r="AE32" i="31"/>
  <c r="AE31" i="31"/>
  <c r="AD26" i="31"/>
  <c r="AC26" i="31"/>
  <c r="AA26" i="31"/>
  <c r="AA27" i="31" s="1"/>
  <c r="X26" i="31"/>
  <c r="V26" i="31"/>
  <c r="U26" i="31"/>
  <c r="T26" i="31"/>
  <c r="S26" i="31"/>
  <c r="L26" i="31"/>
  <c r="K26" i="31"/>
  <c r="J26" i="31"/>
  <c r="I26" i="31"/>
  <c r="AE25" i="31"/>
  <c r="AE23" i="31"/>
  <c r="AE22" i="31"/>
  <c r="AE21" i="31"/>
  <c r="AE20" i="31"/>
  <c r="AD17" i="31"/>
  <c r="AC17" i="31"/>
  <c r="Y17" i="31"/>
  <c r="X17" i="31"/>
  <c r="V17" i="31"/>
  <c r="U17" i="31"/>
  <c r="T17" i="31"/>
  <c r="S17" i="31"/>
  <c r="L17" i="31"/>
  <c r="K17" i="31"/>
  <c r="J17" i="31"/>
  <c r="Z43" i="4"/>
  <c r="X43" i="4"/>
  <c r="U43" i="4"/>
  <c r="S43" i="4"/>
  <c r="R43" i="4"/>
  <c r="J43" i="4"/>
  <c r="I43" i="4"/>
  <c r="H43" i="4"/>
  <c r="G43" i="4"/>
  <c r="AC42" i="4"/>
  <c r="G39" i="1" s="1"/>
  <c r="AC40" i="4"/>
  <c r="G37" i="1" s="1"/>
  <c r="AC31" i="4"/>
  <c r="G28" i="1" s="1"/>
  <c r="J28" i="1" s="1"/>
  <c r="P28" i="1" s="1"/>
  <c r="U19" i="4"/>
  <c r="S19" i="4"/>
  <c r="R19" i="4"/>
  <c r="H19" i="4"/>
  <c r="Z17" i="4"/>
  <c r="T17" i="4"/>
  <c r="T19" i="4" s="1"/>
  <c r="C33" i="2"/>
  <c r="M40" i="1"/>
  <c r="D38" i="1"/>
  <c r="D37" i="1"/>
  <c r="D36" i="1"/>
  <c r="D35" i="1"/>
  <c r="O33" i="4" l="1"/>
  <c r="N33" i="4"/>
  <c r="M33" i="4"/>
  <c r="L33" i="4"/>
  <c r="AA34" i="4"/>
  <c r="AA35" i="4" s="1"/>
  <c r="F21" i="21"/>
  <c r="G24" i="31"/>
  <c r="G158" i="31"/>
  <c r="F17" i="31"/>
  <c r="Y84" i="31"/>
  <c r="G115" i="31"/>
  <c r="G33" i="31"/>
  <c r="AF33" i="31" s="1"/>
  <c r="G89" i="31"/>
  <c r="G96" i="31"/>
  <c r="G98" i="31"/>
  <c r="G143" i="31"/>
  <c r="AF143" i="31" s="1"/>
  <c r="G145" i="31"/>
  <c r="G153" i="31"/>
  <c r="H18" i="21"/>
  <c r="C18" i="47"/>
  <c r="C16" i="47"/>
  <c r="Y38" i="4"/>
  <c r="S84" i="31"/>
  <c r="I84" i="31"/>
  <c r="G166" i="31"/>
  <c r="G16" i="31"/>
  <c r="AF16" i="31" s="1"/>
  <c r="J27" i="31"/>
  <c r="J53" i="31" s="1"/>
  <c r="T27" i="31"/>
  <c r="T53" i="31" s="1"/>
  <c r="G35" i="31"/>
  <c r="AF35" i="31" s="1"/>
  <c r="G52" i="31"/>
  <c r="D20" i="1" s="1"/>
  <c r="G68" i="31"/>
  <c r="G69" i="31"/>
  <c r="AF69" i="31" s="1"/>
  <c r="G175" i="31"/>
  <c r="G31" i="31"/>
  <c r="AF31" i="31" s="1"/>
  <c r="U84" i="31"/>
  <c r="F29" i="18"/>
  <c r="J104" i="31" s="1"/>
  <c r="J106" i="31" s="1"/>
  <c r="G129" i="31"/>
  <c r="G164" i="31"/>
  <c r="J27" i="4"/>
  <c r="AC27" i="4" s="1"/>
  <c r="G24" i="1" s="1"/>
  <c r="L96" i="31"/>
  <c r="I13" i="6"/>
  <c r="K13" i="6" s="1"/>
  <c r="J84" i="31"/>
  <c r="G156" i="31"/>
  <c r="I30" i="6"/>
  <c r="K30" i="6" s="1"/>
  <c r="G75" i="31"/>
  <c r="G80" i="31"/>
  <c r="G87" i="31"/>
  <c r="AF87" i="31" s="1"/>
  <c r="G114" i="31"/>
  <c r="G116" i="31"/>
  <c r="G121" i="31"/>
  <c r="AF121" i="31" s="1"/>
  <c r="G130" i="31"/>
  <c r="AF130" i="31" s="1"/>
  <c r="G154" i="31"/>
  <c r="W33" i="4"/>
  <c r="X60" i="31"/>
  <c r="X71" i="31" s="1"/>
  <c r="X84" i="31" s="1"/>
  <c r="AC84" i="31"/>
  <c r="AC149" i="31" s="1"/>
  <c r="G132" i="31"/>
  <c r="AF132" i="31" s="1"/>
  <c r="G133" i="31"/>
  <c r="I32" i="6"/>
  <c r="K32" i="6" s="1"/>
  <c r="L32" i="6" s="1"/>
  <c r="N32" i="6" s="1"/>
  <c r="Q32" i="6" s="1"/>
  <c r="M12" i="41"/>
  <c r="M14" i="41"/>
  <c r="G21" i="31"/>
  <c r="D14" i="1" s="1"/>
  <c r="F36" i="31"/>
  <c r="G63" i="31"/>
  <c r="G103" i="31"/>
  <c r="AF103" i="31" s="1"/>
  <c r="G112" i="31"/>
  <c r="AF112" i="31" s="1"/>
  <c r="G131" i="31"/>
  <c r="AF131" i="31" s="1"/>
  <c r="F172" i="31"/>
  <c r="G165" i="31"/>
  <c r="G167" i="31"/>
  <c r="G176" i="31"/>
  <c r="G177" i="31"/>
  <c r="G179" i="31"/>
  <c r="G183" i="31"/>
  <c r="G15" i="31"/>
  <c r="L27" i="31"/>
  <c r="L53" i="31" s="1"/>
  <c r="V27" i="31"/>
  <c r="V53" i="31" s="1"/>
  <c r="AD27" i="31"/>
  <c r="AD53" i="31" s="1"/>
  <c r="G34" i="31"/>
  <c r="AF34" i="31" s="1"/>
  <c r="G67" i="31"/>
  <c r="AA84" i="31"/>
  <c r="G104" i="31"/>
  <c r="G168" i="31"/>
  <c r="G180" i="31"/>
  <c r="G181" i="31"/>
  <c r="L46" i="36"/>
  <c r="T23" i="4"/>
  <c r="U52" i="31" s="1"/>
  <c r="L92" i="31"/>
  <c r="J37" i="1"/>
  <c r="P37" i="1" s="1"/>
  <c r="K52" i="6"/>
  <c r="L52" i="6"/>
  <c r="N52" i="6" s="1"/>
  <c r="H15" i="46"/>
  <c r="J12" i="46"/>
  <c r="K27" i="31"/>
  <c r="U27" i="31"/>
  <c r="AC27" i="31"/>
  <c r="AC53" i="31" s="1"/>
  <c r="F26" i="31"/>
  <c r="G30" i="31"/>
  <c r="V84" i="31"/>
  <c r="E148" i="31"/>
  <c r="I15" i="31"/>
  <c r="I17" i="31" s="1"/>
  <c r="I27" i="31" s="1"/>
  <c r="K26" i="6"/>
  <c r="L26" i="6" s="1"/>
  <c r="N26" i="6" s="1"/>
  <c r="Q26" i="6" s="1"/>
  <c r="T74" i="31" s="1"/>
  <c r="E17" i="31"/>
  <c r="G32" i="31"/>
  <c r="G66" i="31"/>
  <c r="L84" i="31"/>
  <c r="G88" i="31"/>
  <c r="G113" i="31"/>
  <c r="G184" i="31"/>
  <c r="O22" i="6"/>
  <c r="K40" i="6"/>
  <c r="L40" i="6" s="1"/>
  <c r="N40" i="6" s="1"/>
  <c r="T62" i="31" s="1"/>
  <c r="AE62" i="31" s="1"/>
  <c r="K44" i="6"/>
  <c r="L44" i="6" s="1"/>
  <c r="E37" i="21"/>
  <c r="F26" i="21"/>
  <c r="F37" i="21" s="1"/>
  <c r="K23" i="6"/>
  <c r="L23" i="6" s="1"/>
  <c r="N23" i="6" s="1"/>
  <c r="Q23" i="6" s="1"/>
  <c r="K42" i="6"/>
  <c r="L42" i="6" s="1"/>
  <c r="N42" i="6" s="1"/>
  <c r="T64" i="31" s="1"/>
  <c r="AE64" i="31" s="1"/>
  <c r="K56" i="6"/>
  <c r="L56" i="6" s="1"/>
  <c r="G23" i="31"/>
  <c r="AF23" i="31" s="1"/>
  <c r="G25" i="31"/>
  <c r="AF25" i="31" s="1"/>
  <c r="G77" i="31"/>
  <c r="G78" i="31"/>
  <c r="G117" i="31"/>
  <c r="AF117" i="31" s="1"/>
  <c r="H19" i="21"/>
  <c r="K27" i="6"/>
  <c r="L27" i="6" s="1"/>
  <c r="N27" i="6" s="1"/>
  <c r="J14" i="3"/>
  <c r="D12" i="26" s="1"/>
  <c r="H36" i="6"/>
  <c r="AC17" i="4"/>
  <c r="G14" i="1" s="1"/>
  <c r="AE50" i="31"/>
  <c r="G60" i="31"/>
  <c r="G70" i="31"/>
  <c r="G90" i="31"/>
  <c r="E106" i="31"/>
  <c r="AF144" i="31"/>
  <c r="H15" i="21"/>
  <c r="C16" i="24"/>
  <c r="I21" i="6"/>
  <c r="L50" i="6"/>
  <c r="N50" i="6" s="1"/>
  <c r="AE78" i="31" s="1"/>
  <c r="K57" i="6"/>
  <c r="L57" i="6" s="1"/>
  <c r="N57" i="6" s="1"/>
  <c r="G111" i="31"/>
  <c r="G170" i="31"/>
  <c r="G178" i="31"/>
  <c r="G128" i="31"/>
  <c r="AF128" i="31" s="1"/>
  <c r="D36" i="6"/>
  <c r="D11" i="6" s="1"/>
  <c r="I11" i="6" s="1"/>
  <c r="G56" i="31"/>
  <c r="E83" i="31"/>
  <c r="G76" i="31"/>
  <c r="AF98" i="31"/>
  <c r="E159" i="31"/>
  <c r="G157" i="31"/>
  <c r="E26" i="31"/>
  <c r="G20" i="31"/>
  <c r="F134" i="31"/>
  <c r="G127" i="31"/>
  <c r="G16" i="24"/>
  <c r="G79" i="31"/>
  <c r="F92" i="31"/>
  <c r="E36" i="31"/>
  <c r="AF32" i="31"/>
  <c r="AF39" i="31"/>
  <c r="AF50" i="31" s="1"/>
  <c r="F71" i="31"/>
  <c r="G62" i="31"/>
  <c r="G65" i="31"/>
  <c r="G97" i="31"/>
  <c r="F120" i="31"/>
  <c r="F122" i="31" s="1"/>
  <c r="E71" i="31"/>
  <c r="G91" i="31"/>
  <c r="G95" i="31"/>
  <c r="F99" i="31"/>
  <c r="G136" i="31"/>
  <c r="K60" i="6"/>
  <c r="L60" i="6" s="1"/>
  <c r="S27" i="31"/>
  <c r="S53" i="31" s="1"/>
  <c r="X27" i="31"/>
  <c r="X53" i="31" s="1"/>
  <c r="K84" i="31"/>
  <c r="E92" i="31"/>
  <c r="G118" i="31"/>
  <c r="G22" i="31"/>
  <c r="G61" i="31"/>
  <c r="G64" i="31"/>
  <c r="AD84" i="31"/>
  <c r="AD149" i="31" s="1"/>
  <c r="F83" i="31"/>
  <c r="G74" i="31"/>
  <c r="G81" i="31"/>
  <c r="G82" i="31"/>
  <c r="F106" i="31"/>
  <c r="G102" i="31"/>
  <c r="G105" i="31"/>
  <c r="G110" i="31"/>
  <c r="G146" i="31"/>
  <c r="K21" i="6"/>
  <c r="N41" i="6"/>
  <c r="N49" i="6"/>
  <c r="AE77" i="31" s="1"/>
  <c r="E99" i="31"/>
  <c r="E120" i="31"/>
  <c r="E122" i="31" s="1"/>
  <c r="G119" i="31"/>
  <c r="E134" i="31"/>
  <c r="G139" i="31"/>
  <c r="G163" i="31"/>
  <c r="G171" i="31"/>
  <c r="K24" i="6"/>
  <c r="L24" i="6" s="1"/>
  <c r="N24" i="6" s="1"/>
  <c r="Q24" i="6" s="1"/>
  <c r="K46" i="6"/>
  <c r="L46" i="6" s="1"/>
  <c r="I61" i="6"/>
  <c r="G109" i="31"/>
  <c r="E185" i="31"/>
  <c r="F148" i="31"/>
  <c r="G147" i="31"/>
  <c r="F159" i="31"/>
  <c r="K25" i="6"/>
  <c r="L25" i="6" s="1"/>
  <c r="N25" i="6" s="1"/>
  <c r="Q25" i="6" s="1"/>
  <c r="L28" i="6"/>
  <c r="N28" i="6" s="1"/>
  <c r="Q28" i="6" s="1"/>
  <c r="T80" i="31" s="1"/>
  <c r="K45" i="6"/>
  <c r="L45" i="6" s="1"/>
  <c r="K58" i="6"/>
  <c r="L58" i="6" s="1"/>
  <c r="AF115" i="31"/>
  <c r="E172" i="31"/>
  <c r="G162" i="31"/>
  <c r="F185" i="31"/>
  <c r="G182" i="31"/>
  <c r="L20" i="6"/>
  <c r="K43" i="6"/>
  <c r="L43" i="6" s="1"/>
  <c r="K59" i="6"/>
  <c r="L59" i="6" s="1"/>
  <c r="K29" i="6"/>
  <c r="L29" i="6" s="1"/>
  <c r="N29" i="6" s="1"/>
  <c r="Q29" i="6" s="1"/>
  <c r="T81" i="31" s="1"/>
  <c r="K33" i="6"/>
  <c r="L33" i="6" s="1"/>
  <c r="N33" i="6" s="1"/>
  <c r="Q33" i="6" s="1"/>
  <c r="K48" i="6"/>
  <c r="L48" i="6" s="1"/>
  <c r="K54" i="6"/>
  <c r="L54" i="6" s="1"/>
  <c r="N70" i="6"/>
  <c r="G155" i="31"/>
  <c r="G169" i="31"/>
  <c r="H61" i="6"/>
  <c r="K53" i="6"/>
  <c r="L53" i="6" s="1"/>
  <c r="F75" i="18"/>
  <c r="K31" i="6"/>
  <c r="L31" i="6" s="1"/>
  <c r="N31" i="6" s="1"/>
  <c r="Q31" i="6" s="1"/>
  <c r="L34" i="6"/>
  <c r="N34" i="6" s="1"/>
  <c r="Q34" i="6" s="1"/>
  <c r="K51" i="6"/>
  <c r="L51" i="6" s="1"/>
  <c r="H23" i="36"/>
  <c r="H15" i="6"/>
  <c r="L39" i="6"/>
  <c r="L47" i="6"/>
  <c r="L55" i="6"/>
  <c r="M10" i="41"/>
  <c r="M15" i="41"/>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O70" i="6" l="1"/>
  <c r="Q70" i="6"/>
  <c r="O27" i="6"/>
  <c r="Q27" i="6"/>
  <c r="T76" i="31" s="1"/>
  <c r="T83" i="31" s="1"/>
  <c r="L34" i="4"/>
  <c r="L35" i="4" s="1"/>
  <c r="N142" i="31"/>
  <c r="N148" i="31" s="1"/>
  <c r="N149" i="31" s="1"/>
  <c r="N150" i="31" s="1"/>
  <c r="O34" i="4"/>
  <c r="O35" i="4" s="1"/>
  <c r="Q142" i="31"/>
  <c r="Q148" i="31" s="1"/>
  <c r="Q149" i="31" s="1"/>
  <c r="Q150" i="31" s="1"/>
  <c r="N34" i="4"/>
  <c r="N35" i="4" s="1"/>
  <c r="P142" i="31"/>
  <c r="P148" i="31" s="1"/>
  <c r="P149" i="31" s="1"/>
  <c r="P150" i="31" s="1"/>
  <c r="M34" i="4"/>
  <c r="M35" i="4" s="1"/>
  <c r="O142" i="31"/>
  <c r="O148" i="31" s="1"/>
  <c r="O149" i="31" s="1"/>
  <c r="O150" i="31" s="1"/>
  <c r="H12" i="21"/>
  <c r="H21" i="21" s="1"/>
  <c r="J27" i="36" s="1"/>
  <c r="L28" i="36" s="1"/>
  <c r="AD150" i="31"/>
  <c r="F27" i="31"/>
  <c r="F53" i="31" s="1"/>
  <c r="G17" i="31"/>
  <c r="D13" i="1" s="1"/>
  <c r="AF21" i="31"/>
  <c r="J14" i="1"/>
  <c r="P14" i="1" s="1"/>
  <c r="AF145" i="31"/>
  <c r="AF113" i="31"/>
  <c r="G185" i="31"/>
  <c r="C19" i="47"/>
  <c r="C20" i="47" s="1"/>
  <c r="Y41" i="4" s="1"/>
  <c r="E16" i="47"/>
  <c r="Z127" i="31" s="1"/>
  <c r="Z134" i="31" s="1"/>
  <c r="C17" i="47"/>
  <c r="Y39" i="4" s="1"/>
  <c r="AE104" i="31"/>
  <c r="AE106" i="31" s="1"/>
  <c r="L30" i="6"/>
  <c r="N30" i="6" s="1"/>
  <c r="Q30" i="6" s="1"/>
  <c r="I15" i="6"/>
  <c r="AF78" i="31"/>
  <c r="AC150" i="31"/>
  <c r="AF147" i="31"/>
  <c r="AF133" i="31"/>
  <c r="L13" i="6"/>
  <c r="N13" i="6" s="1"/>
  <c r="W34" i="4"/>
  <c r="W35" i="4" s="1"/>
  <c r="X142" i="31"/>
  <c r="X148" i="31" s="1"/>
  <c r="X149" i="31" s="1"/>
  <c r="X150" i="31" s="1"/>
  <c r="AF129" i="31"/>
  <c r="AF70" i="31"/>
  <c r="E27" i="31"/>
  <c r="E53" i="31" s="1"/>
  <c r="J33" i="4"/>
  <c r="J34" i="4" s="1"/>
  <c r="J35" i="4" s="1"/>
  <c r="H28" i="4"/>
  <c r="AE96" i="31"/>
  <c r="L99" i="31"/>
  <c r="G148" i="31"/>
  <c r="D30" i="1" s="1"/>
  <c r="AF64" i="31"/>
  <c r="AE74" i="31"/>
  <c r="AF74" i="31" s="1"/>
  <c r="O26" i="6"/>
  <c r="L21" i="6"/>
  <c r="N21" i="6" s="1"/>
  <c r="U53" i="31"/>
  <c r="T63" i="31"/>
  <c r="AE63" i="31" s="1"/>
  <c r="AF63" i="31" s="1"/>
  <c r="O23" i="6"/>
  <c r="N44" i="6"/>
  <c r="N56" i="6"/>
  <c r="AF105" i="31"/>
  <c r="I36" i="6"/>
  <c r="E84" i="31"/>
  <c r="E149" i="31" s="1"/>
  <c r="I30" i="31"/>
  <c r="I36" i="31" s="1"/>
  <c r="G22" i="4"/>
  <c r="K36" i="6"/>
  <c r="J15" i="46"/>
  <c r="L12" i="46"/>
  <c r="L15" i="46" s="1"/>
  <c r="AF77" i="31"/>
  <c r="G36" i="31"/>
  <c r="D19" i="1" s="1"/>
  <c r="N43" i="6"/>
  <c r="T65" i="31" s="1"/>
  <c r="AE65" i="31" s="1"/>
  <c r="AF65" i="31" s="1"/>
  <c r="O33" i="6"/>
  <c r="N53" i="6"/>
  <c r="N59" i="6"/>
  <c r="N45" i="6"/>
  <c r="T67" i="31" s="1"/>
  <c r="AE67" i="31" s="1"/>
  <c r="AF67" i="31" s="1"/>
  <c r="O24" i="6"/>
  <c r="T66" i="31"/>
  <c r="AE66" i="31" s="1"/>
  <c r="AF66" i="31" s="1"/>
  <c r="N51" i="6"/>
  <c r="AE79" i="31" s="1"/>
  <c r="AF79" i="31" s="1"/>
  <c r="O31" i="6"/>
  <c r="O29" i="6"/>
  <c r="N60" i="6"/>
  <c r="T119" i="31" s="1"/>
  <c r="AE119" i="31" s="1"/>
  <c r="AF119" i="31" s="1"/>
  <c r="AF91" i="31"/>
  <c r="G92" i="31"/>
  <c r="D23" i="1" s="1"/>
  <c r="G106" i="31"/>
  <c r="D25" i="1" s="1"/>
  <c r="N55" i="6"/>
  <c r="T88" i="31" s="1"/>
  <c r="O57" i="6"/>
  <c r="O30" i="6"/>
  <c r="N20" i="6"/>
  <c r="Q20" i="6" s="1"/>
  <c r="N46" i="6"/>
  <c r="G12" i="5"/>
  <c r="G18" i="5" s="1"/>
  <c r="G16" i="4"/>
  <c r="D29" i="1"/>
  <c r="AF146" i="31"/>
  <c r="F84" i="31"/>
  <c r="V111" i="31"/>
  <c r="U29" i="4"/>
  <c r="U33" i="4" s="1"/>
  <c r="U34" i="4" s="1"/>
  <c r="L61" i="6"/>
  <c r="N39" i="6"/>
  <c r="O25" i="6"/>
  <c r="G120" i="31"/>
  <c r="G122" i="31" s="1"/>
  <c r="D26" i="1" s="1"/>
  <c r="AF118" i="31"/>
  <c r="G99" i="31"/>
  <c r="D24" i="1" s="1"/>
  <c r="J24" i="1" s="1"/>
  <c r="P24" i="1" s="1"/>
  <c r="AF95" i="31"/>
  <c r="O32" i="6"/>
  <c r="E16" i="13"/>
  <c r="E12" i="13"/>
  <c r="N54" i="6"/>
  <c r="AE82" i="31" s="1"/>
  <c r="AF82" i="31" s="1"/>
  <c r="N48" i="6"/>
  <c r="K61" i="6"/>
  <c r="G172" i="31"/>
  <c r="N58" i="6"/>
  <c r="T110" i="31" s="1"/>
  <c r="AE110" i="31" s="1"/>
  <c r="AF110" i="31" s="1"/>
  <c r="O49" i="6"/>
  <c r="G159" i="31"/>
  <c r="E16" i="24" s="1"/>
  <c r="G71" i="31"/>
  <c r="D18" i="32"/>
  <c r="AF97" i="31"/>
  <c r="G134" i="31"/>
  <c r="D27" i="1" s="1"/>
  <c r="G26" i="31"/>
  <c r="AF20" i="31"/>
  <c r="M16" i="41"/>
  <c r="N47" i="6"/>
  <c r="AE75" i="31" s="1"/>
  <c r="AF75" i="31" s="1"/>
  <c r="O34" i="6"/>
  <c r="J116" i="31"/>
  <c r="H29" i="4"/>
  <c r="O52" i="6"/>
  <c r="O40" i="6"/>
  <c r="O50" i="6"/>
  <c r="O28" i="6"/>
  <c r="AE80" i="31"/>
  <c r="AF80" i="31" s="1"/>
  <c r="O42" i="6"/>
  <c r="AF102" i="31"/>
  <c r="O41" i="6"/>
  <c r="G83" i="31"/>
  <c r="AF22" i="31"/>
  <c r="AF62" i="31"/>
  <c r="D21" i="1"/>
  <c r="K85" i="6"/>
  <c r="N76" i="6"/>
  <c r="N79" i="6"/>
  <c r="N84" i="6"/>
  <c r="N81" i="6"/>
  <c r="N80" i="6"/>
  <c r="N73" i="6"/>
  <c r="N72" i="6"/>
  <c r="N83" i="6"/>
  <c r="N75" i="6"/>
  <c r="N82" i="6"/>
  <c r="N74" i="6"/>
  <c r="N77" i="6"/>
  <c r="N78" i="6"/>
  <c r="L71" i="6"/>
  <c r="O77" i="6" l="1"/>
  <c r="Q77" i="6"/>
  <c r="O83" i="6"/>
  <c r="Q83" i="6"/>
  <c r="O81" i="6"/>
  <c r="Q81" i="6"/>
  <c r="O74" i="6"/>
  <c r="Q74" i="6"/>
  <c r="O72" i="6"/>
  <c r="Q72" i="6"/>
  <c r="O84" i="6"/>
  <c r="Q84" i="6"/>
  <c r="O82" i="6"/>
  <c r="Q82" i="6"/>
  <c r="O73" i="6"/>
  <c r="Q73" i="6"/>
  <c r="O79" i="6"/>
  <c r="Q79" i="6"/>
  <c r="O78" i="6"/>
  <c r="Q78" i="6"/>
  <c r="O75" i="6"/>
  <c r="Q75" i="6"/>
  <c r="O80" i="6"/>
  <c r="Q80" i="6"/>
  <c r="O76" i="6"/>
  <c r="Q76" i="6"/>
  <c r="Q21" i="6"/>
  <c r="T60" i="31" s="1"/>
  <c r="AC28" i="4"/>
  <c r="G25" i="1" s="1"/>
  <c r="J25" i="1" s="1"/>
  <c r="P25" i="1" s="1"/>
  <c r="H33" i="4"/>
  <c r="H34" i="4" s="1"/>
  <c r="O58" i="6"/>
  <c r="O44" i="6"/>
  <c r="C23" i="47"/>
  <c r="Y30" i="4"/>
  <c r="Y33" i="4" s="1"/>
  <c r="Z142" i="31" s="1"/>
  <c r="Z148" i="31" s="1"/>
  <c r="Z149" i="31" s="1"/>
  <c r="Z150" i="31" s="1"/>
  <c r="Y43" i="4"/>
  <c r="E124" i="31"/>
  <c r="G20" i="4"/>
  <c r="L142" i="31"/>
  <c r="L148" i="31" s="1"/>
  <c r="L149" i="31" s="1"/>
  <c r="L150" i="31" s="1"/>
  <c r="AF104" i="31"/>
  <c r="AF106" i="31" s="1"/>
  <c r="AE76" i="31"/>
  <c r="AF76" i="31" s="1"/>
  <c r="J11" i="6"/>
  <c r="K11" i="6" s="1"/>
  <c r="O59" i="6"/>
  <c r="M28" i="36"/>
  <c r="I16" i="4" s="1"/>
  <c r="I19" i="4" s="1"/>
  <c r="I23" i="4" s="1"/>
  <c r="K52" i="31" s="1"/>
  <c r="T68" i="31"/>
  <c r="AE68" i="31" s="1"/>
  <c r="AF68" i="31" s="1"/>
  <c r="O21" i="6"/>
  <c r="AE99" i="31"/>
  <c r="AF96" i="31"/>
  <c r="AF99" i="31" s="1"/>
  <c r="O56" i="6"/>
  <c r="O46" i="6"/>
  <c r="O43" i="6"/>
  <c r="L36" i="6"/>
  <c r="L48" i="36"/>
  <c r="E150" i="31"/>
  <c r="E186" i="31" s="1"/>
  <c r="O13" i="6"/>
  <c r="O60" i="6"/>
  <c r="O51" i="6"/>
  <c r="W60" i="31"/>
  <c r="W71" i="31" s="1"/>
  <c r="W84" i="31" s="1"/>
  <c r="V25" i="4"/>
  <c r="L17" i="46"/>
  <c r="L16" i="46"/>
  <c r="D19" i="32"/>
  <c r="U139" i="31"/>
  <c r="T32" i="4"/>
  <c r="N61" i="6"/>
  <c r="O20" i="6"/>
  <c r="N36" i="6"/>
  <c r="AE116" i="31"/>
  <c r="AF116" i="31" s="1"/>
  <c r="J120" i="31"/>
  <c r="J122" i="31" s="1"/>
  <c r="O54" i="6"/>
  <c r="O39" i="6"/>
  <c r="Z16" i="4"/>
  <c r="G25" i="5"/>
  <c r="O47" i="6"/>
  <c r="D15" i="1"/>
  <c r="G27" i="31"/>
  <c r="G84" i="31"/>
  <c r="O48" i="6"/>
  <c r="T89" i="31"/>
  <c r="AE89" i="31" s="1"/>
  <c r="AF89" i="31" s="1"/>
  <c r="O53" i="6"/>
  <c r="V120" i="31"/>
  <c r="V122" i="31" s="1"/>
  <c r="AE111" i="31"/>
  <c r="AF111" i="31" s="1"/>
  <c r="G23" i="4"/>
  <c r="I52" i="31" s="1"/>
  <c r="I53" i="31" s="1"/>
  <c r="G19" i="4"/>
  <c r="AE88" i="31"/>
  <c r="AF88" i="31" s="1"/>
  <c r="E20" i="13"/>
  <c r="E21" i="13" s="1"/>
  <c r="T38" i="4"/>
  <c r="F149" i="31"/>
  <c r="F150" i="31" s="1"/>
  <c r="F186" i="31" s="1"/>
  <c r="F124" i="31"/>
  <c r="O55" i="6"/>
  <c r="O45" i="6"/>
  <c r="X18" i="4"/>
  <c r="Y24" i="31"/>
  <c r="V142" i="31"/>
  <c r="V148" i="31" s="1"/>
  <c r="AE81" i="31"/>
  <c r="AF81" i="31" s="1"/>
  <c r="T114" i="31"/>
  <c r="N71" i="6"/>
  <c r="L85" i="6"/>
  <c r="N85" i="6" l="1"/>
  <c r="Q71" i="6"/>
  <c r="Y34" i="4"/>
  <c r="Y35" i="4" s="1"/>
  <c r="J142" i="31"/>
  <c r="J148" i="31" s="1"/>
  <c r="J149" i="31" s="1"/>
  <c r="J150" i="31" s="1"/>
  <c r="T92" i="31"/>
  <c r="S26" i="4" s="1"/>
  <c r="M11" i="6"/>
  <c r="AF83" i="31"/>
  <c r="O36" i="6"/>
  <c r="L11" i="6"/>
  <c r="L15" i="6" s="1"/>
  <c r="K15" i="6"/>
  <c r="V29" i="4"/>
  <c r="W114" i="31"/>
  <c r="W120" i="31" s="1"/>
  <c r="W122" i="31" s="1"/>
  <c r="L19" i="46"/>
  <c r="V32" i="4"/>
  <c r="W139" i="31"/>
  <c r="E22" i="13"/>
  <c r="T41" i="4" s="1"/>
  <c r="AC41" i="4" s="1"/>
  <c r="G38" i="1" s="1"/>
  <c r="J38" i="1" s="1"/>
  <c r="P38" i="1" s="1"/>
  <c r="AE60" i="31"/>
  <c r="AF60" i="31" s="1"/>
  <c r="O61" i="6"/>
  <c r="D16" i="1"/>
  <c r="H35" i="4"/>
  <c r="U35" i="4"/>
  <c r="Y26" i="31"/>
  <c r="Y27" i="31" s="1"/>
  <c r="AE24" i="31"/>
  <c r="AE83" i="31"/>
  <c r="G124" i="31"/>
  <c r="D22" i="1"/>
  <c r="D31" i="1" s="1"/>
  <c r="G149" i="31"/>
  <c r="AE15" i="31"/>
  <c r="Q36" i="6"/>
  <c r="T56" i="31"/>
  <c r="G53" i="31"/>
  <c r="C8" i="2"/>
  <c r="G26" i="4" s="1"/>
  <c r="G33" i="4" s="1"/>
  <c r="G34" i="4" s="1"/>
  <c r="Q61" i="6"/>
  <c r="T61" i="31"/>
  <c r="F18" i="13"/>
  <c r="F23" i="13" s="1"/>
  <c r="E19" i="13"/>
  <c r="T39" i="4" s="1"/>
  <c r="AC39" i="4" s="1"/>
  <c r="G36" i="1" s="1"/>
  <c r="J36" i="1" s="1"/>
  <c r="P36" i="1" s="1"/>
  <c r="U127" i="31"/>
  <c r="V149" i="31"/>
  <c r="V150" i="31" s="1"/>
  <c r="X19" i="4"/>
  <c r="AC18" i="4"/>
  <c r="AC38" i="4"/>
  <c r="Z19" i="4"/>
  <c r="AC16" i="4"/>
  <c r="G13" i="1" s="1"/>
  <c r="J13" i="1" s="1"/>
  <c r="J39" i="1"/>
  <c r="P39" i="1" s="1"/>
  <c r="D40" i="1"/>
  <c r="O71" i="6"/>
  <c r="V33" i="4" l="1"/>
  <c r="V34" i="4" s="1"/>
  <c r="N11" i="6"/>
  <c r="D32" i="1"/>
  <c r="D41" i="1" s="1"/>
  <c r="G150" i="31"/>
  <c r="G186" i="31" s="1"/>
  <c r="AE114" i="31"/>
  <c r="AF114" i="31" s="1"/>
  <c r="I90" i="31"/>
  <c r="I92" i="31" s="1"/>
  <c r="G15" i="1"/>
  <c r="AC19" i="4"/>
  <c r="S24" i="4"/>
  <c r="AE56" i="31"/>
  <c r="AF56" i="31" s="1"/>
  <c r="Z26" i="4"/>
  <c r="AA90" i="31" s="1"/>
  <c r="AA92" i="31" s="1"/>
  <c r="Z23" i="4"/>
  <c r="T43" i="4"/>
  <c r="AE127" i="31"/>
  <c r="U134" i="31"/>
  <c r="AE61" i="31"/>
  <c r="T71" i="31"/>
  <c r="I142" i="31"/>
  <c r="I148" i="31" s="1"/>
  <c r="T30" i="4"/>
  <c r="AC30" i="4" s="1"/>
  <c r="G27" i="1" s="1"/>
  <c r="J27" i="1" s="1"/>
  <c r="P27" i="1" s="1"/>
  <c r="T26" i="4"/>
  <c r="C12" i="2"/>
  <c r="C16" i="2" s="1"/>
  <c r="D10" i="2"/>
  <c r="I26" i="4"/>
  <c r="AF24" i="31"/>
  <c r="AF26" i="31" s="1"/>
  <c r="AE26" i="31"/>
  <c r="X23" i="4"/>
  <c r="X26" i="4"/>
  <c r="Y90" i="31" s="1"/>
  <c r="Y92" i="31" s="1"/>
  <c r="G35" i="1"/>
  <c r="AC43" i="4"/>
  <c r="AF15" i="31"/>
  <c r="AF17" i="31" s="1"/>
  <c r="AE17" i="31"/>
  <c r="E25" i="13"/>
  <c r="O85" i="6"/>
  <c r="Q85" i="6"/>
  <c r="T109" i="31" s="1"/>
  <c r="O11" i="6" l="1"/>
  <c r="Q11" i="6"/>
  <c r="Q15" i="6" s="1"/>
  <c r="Q17" i="6" s="1"/>
  <c r="T84" i="31"/>
  <c r="S25" i="4" s="1"/>
  <c r="AC25" i="4" s="1"/>
  <c r="G22" i="1" s="1"/>
  <c r="J22" i="1" s="1"/>
  <c r="P22" i="1" s="1"/>
  <c r="C18" i="2"/>
  <c r="C20" i="2" s="1"/>
  <c r="C22" i="2" s="1"/>
  <c r="C25" i="2" s="1"/>
  <c r="Z33" i="4"/>
  <c r="Z34" i="4" s="1"/>
  <c r="X33" i="4"/>
  <c r="X34" i="4" s="1"/>
  <c r="AF27" i="31"/>
  <c r="N15" i="6"/>
  <c r="T33" i="4"/>
  <c r="T34" i="4" s="1"/>
  <c r="AC24" i="4"/>
  <c r="G21" i="1" s="1"/>
  <c r="J21" i="1" s="1"/>
  <c r="P21" i="1" s="1"/>
  <c r="G35" i="4"/>
  <c r="AE27" i="31"/>
  <c r="W142" i="31"/>
  <c r="W148" i="31" s="1"/>
  <c r="W149" i="31" s="1"/>
  <c r="W150" i="31" s="1"/>
  <c r="AE134" i="31"/>
  <c r="AF127" i="31"/>
  <c r="AF134" i="31" s="1"/>
  <c r="U90" i="31"/>
  <c r="U92" i="31" s="1"/>
  <c r="I149" i="31"/>
  <c r="I150" i="31" s="1"/>
  <c r="AC26" i="4"/>
  <c r="G23" i="1" s="1"/>
  <c r="G40" i="1"/>
  <c r="J35" i="1"/>
  <c r="Y52" i="31"/>
  <c r="AC23" i="4"/>
  <c r="G20" i="1" s="1"/>
  <c r="J20" i="1" s="1"/>
  <c r="K90" i="31"/>
  <c r="AF61" i="31"/>
  <c r="AF71" i="31" s="1"/>
  <c r="AF84" i="31" s="1"/>
  <c r="AE71" i="31"/>
  <c r="AE84" i="31" s="1"/>
  <c r="AA52" i="31"/>
  <c r="AA53" i="31" s="1"/>
  <c r="J15" i="1"/>
  <c r="G16" i="1"/>
  <c r="T120" i="31"/>
  <c r="T122" i="31" s="1"/>
  <c r="AE109" i="31"/>
  <c r="M45" i="4" l="1"/>
  <c r="L45" i="4"/>
  <c r="Y45" i="4"/>
  <c r="AA45" i="4"/>
  <c r="J45" i="4"/>
  <c r="N45" i="4"/>
  <c r="W45" i="4"/>
  <c r="H45" i="4"/>
  <c r="D19" i="26"/>
  <c r="U45" i="4"/>
  <c r="O45" i="4"/>
  <c r="G45" i="4"/>
  <c r="AA142" i="31"/>
  <c r="AA148" i="31" s="1"/>
  <c r="AA149" i="31" s="1"/>
  <c r="AA150" i="31" s="1"/>
  <c r="S32" i="4"/>
  <c r="AC32" i="4" s="1"/>
  <c r="G29" i="1" s="1"/>
  <c r="J29" i="1" s="1"/>
  <c r="P29" i="1" s="1"/>
  <c r="T139" i="31"/>
  <c r="AE139" i="31" s="1"/>
  <c r="AF139" i="31" s="1"/>
  <c r="U142" i="31"/>
  <c r="U148" i="31" s="1"/>
  <c r="U149" i="31" s="1"/>
  <c r="U150" i="31" s="1"/>
  <c r="J23" i="1"/>
  <c r="V35" i="4"/>
  <c r="V45" i="4" s="1"/>
  <c r="X35" i="4"/>
  <c r="X45" i="4" s="1"/>
  <c r="Y142" i="31"/>
  <c r="Y148" i="31" s="1"/>
  <c r="Y149" i="31" s="1"/>
  <c r="K92" i="31"/>
  <c r="AE90" i="31"/>
  <c r="J40" i="1"/>
  <c r="D11" i="26" s="1"/>
  <c r="D14" i="26" s="1"/>
  <c r="P35" i="1"/>
  <c r="P40" i="1" s="1"/>
  <c r="B16" i="24" s="1"/>
  <c r="D16" i="24" s="1"/>
  <c r="F16" i="24" s="1"/>
  <c r="P15" i="1"/>
  <c r="J16" i="1"/>
  <c r="AE52" i="31"/>
  <c r="Y53" i="31"/>
  <c r="AF109" i="31"/>
  <c r="AF120" i="31" s="1"/>
  <c r="AF122" i="31" s="1"/>
  <c r="AE120" i="31"/>
  <c r="AE122" i="31" s="1"/>
  <c r="S29" i="4"/>
  <c r="H16" i="24" l="1"/>
  <c r="R33" i="4" s="1"/>
  <c r="R34" i="4" s="1"/>
  <c r="P34" i="4"/>
  <c r="P35" i="4" s="1"/>
  <c r="P45" i="4" s="1"/>
  <c r="S33" i="4"/>
  <c r="S34" i="4" s="1"/>
  <c r="T35" i="4"/>
  <c r="T45" i="4" s="1"/>
  <c r="Z35" i="4"/>
  <c r="Z45" i="4" s="1"/>
  <c r="Y150" i="31"/>
  <c r="AF52" i="31"/>
  <c r="AF90" i="31"/>
  <c r="AF92" i="31" s="1"/>
  <c r="AE92" i="31"/>
  <c r="D23" i="26"/>
  <c r="AC29" i="4"/>
  <c r="S142" i="31" l="1"/>
  <c r="S148" i="31" s="1"/>
  <c r="S149" i="31" s="1"/>
  <c r="S150" i="31" s="1"/>
  <c r="S35" i="4"/>
  <c r="S45" i="4" s="1"/>
  <c r="R35" i="4"/>
  <c r="R45" i="4" s="1"/>
  <c r="T142" i="31"/>
  <c r="G26" i="1"/>
  <c r="J26" i="1" l="1"/>
  <c r="T148" i="31"/>
  <c r="T149" i="31" s="1"/>
  <c r="T150" i="31" s="1"/>
  <c r="P26" i="1" l="1"/>
  <c r="M48" i="36" l="1"/>
  <c r="I22" i="4" s="1"/>
  <c r="AC22" i="4" l="1"/>
  <c r="G19" i="1" s="1"/>
  <c r="J19" i="1" s="1"/>
  <c r="I33" i="4"/>
  <c r="K30" i="31"/>
  <c r="I34" i="4" l="1"/>
  <c r="AC33" i="4"/>
  <c r="K142" i="31"/>
  <c r="K36" i="31"/>
  <c r="K53" i="31" s="1"/>
  <c r="AE30" i="31"/>
  <c r="P19" i="1"/>
  <c r="I35" i="4" l="1"/>
  <c r="I45" i="4" s="1"/>
  <c r="AC34" i="4"/>
  <c r="AC35" i="4" s="1"/>
  <c r="AC45" i="4" s="1"/>
  <c r="K148" i="31"/>
  <c r="K149" i="31" s="1"/>
  <c r="K150" i="31" s="1"/>
  <c r="AE142" i="31"/>
  <c r="G30" i="1"/>
  <c r="AE36" i="31"/>
  <c r="AF30" i="31"/>
  <c r="AF36" i="31" s="1"/>
  <c r="AF53" i="31" s="1"/>
  <c r="AE53" i="31" l="1"/>
  <c r="AE148" i="31"/>
  <c r="AF142" i="31"/>
  <c r="AF148" i="31" s="1"/>
  <c r="AF149" i="31" s="1"/>
  <c r="AF150" i="31" s="1"/>
  <c r="J30" i="1"/>
  <c r="J31" i="1" s="1"/>
  <c r="J32" i="1" s="1"/>
  <c r="G31" i="1"/>
  <c r="G32" i="1" s="1"/>
  <c r="AE149" i="31" l="1"/>
  <c r="AE150" i="31" s="1"/>
  <c r="D15" i="26"/>
  <c r="D17" i="26" s="1"/>
  <c r="D21" i="26" s="1"/>
  <c r="M13" i="1" s="1"/>
  <c r="J41" i="1"/>
  <c r="D25" i="26" l="1"/>
  <c r="M16" i="1" l="1"/>
  <c r="P13" i="1"/>
  <c r="P16" i="1" s="1"/>
  <c r="M23" i="1" l="1"/>
  <c r="P23" i="1" s="1"/>
  <c r="M20" i="1"/>
  <c r="M30" i="1" l="1"/>
  <c r="P30" i="1" s="1"/>
  <c r="P20" i="1"/>
  <c r="P31" i="1" l="1"/>
  <c r="P32" i="1" s="1"/>
  <c r="P41" i="1" s="1"/>
  <c r="M31" i="1"/>
  <c r="M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X10" authorId="0" shapeId="0" xr:uid="{00000000-0006-0000-0700-00000100000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D31" authorId="0" shapeId="0" xr:uid="{00000000-0006-0000-1900-00000300000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xr:uid="{00000000-0006-0000-1900-00000400000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xr:uid="{00000000-0006-0000-1900-000005000000}">
      <text>
        <r>
          <rPr>
            <b/>
            <sz val="9"/>
            <color indexed="81"/>
            <rFont val="Tahoma"/>
            <family val="2"/>
          </rPr>
          <t>Cascade Natural Gas:</t>
        </r>
        <r>
          <rPr>
            <sz val="9"/>
            <color indexed="81"/>
            <rFont val="Tahoma"/>
            <family val="2"/>
          </rPr>
          <t xml:space="preserve">
Codes to 29320</t>
        </r>
      </text>
    </comment>
  </commentList>
</comments>
</file>

<file path=xl/sharedStrings.xml><?xml version="1.0" encoding="utf-8"?>
<sst xmlns="http://schemas.openxmlformats.org/spreadsheetml/2006/main" count="5837" uniqueCount="2330">
  <si>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</si>
  <si>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</si>
  <si>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</si>
  <si>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</si>
  <si>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</si>
  <si>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</si>
  <si>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</si>
  <si>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</si>
  <si>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</si>
  <si>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</si>
  <si>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</si>
  <si>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</si>
  <si>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</si>
  <si>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</si>
  <si>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</si>
  <si>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</si>
  <si>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</si>
  <si>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</si>
  <si>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</si>
  <si>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</si>
  <si>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</si>
  <si>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</si>
  <si>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</si>
  <si>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</si>
  <si>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</si>
  <si>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</si>
  <si>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</si>
  <si>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</si>
  <si>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</si>
  <si>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</si>
  <si>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</si>
  <si>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</si>
  <si>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</si>
  <si>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</si>
  <si>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</si>
  <si>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</si>
  <si>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</si>
  <si>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</si>
  <si>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</si>
  <si>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</si>
  <si>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</si>
  <si>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</si>
  <si>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</si>
  <si>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</si>
  <si>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</si>
  <si>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</si>
  <si>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</si>
  <si>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</si>
  <si>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</si>
  <si>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</si>
  <si>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</si>
  <si>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</si>
  <si>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</si>
  <si>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</si>
  <si>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</si>
  <si>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</si>
  <si>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</si>
  <si>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</si>
  <si>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</si>
  <si>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</si>
  <si>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</si>
  <si>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</si>
  <si>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</si>
  <si>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</si>
  <si>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</si>
  <si>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</si>
  <si>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</si>
  <si>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</si>
  <si>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</si>
  <si>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</si>
  <si>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</si>
  <si>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</si>
  <si>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</si>
  <si>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</si>
  <si>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</si>
  <si>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</si>
  <si>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</si>
  <si>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</si>
  <si>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</si>
  <si>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</si>
  <si>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</si>
  <si>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</si>
  <si>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</si>
  <si>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</si>
  <si>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</si>
  <si>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</si>
  <si>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</si>
  <si>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</si>
  <si>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</si>
  <si>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</si>
  <si>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</si>
  <si>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</si>
  <si>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</si>
  <si>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</si>
  <si>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</si>
  <si>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</si>
  <si>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</si>
  <si>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</si>
  <si>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</si>
  <si>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</si>
  <si>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</si>
  <si>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</si>
  <si>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</si>
  <si>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</si>
  <si>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</si>
  <si>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</si>
  <si>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</si>
  <si>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</si>
  <si>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</si>
  <si>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</si>
  <si>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</si>
  <si>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</si>
  <si>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</si>
  <si>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</si>
  <si>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</si>
  <si>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</si>
  <si>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</si>
  <si>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</si>
  <si>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</si>
  <si>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</si>
  <si>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</si>
  <si>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</si>
  <si>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</si>
  <si>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</si>
  <si>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</si>
  <si>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</si>
  <si>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</si>
  <si>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</si>
  <si>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</si>
  <si>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</si>
  <si>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</si>
  <si>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</si>
  <si>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</si>
  <si>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</si>
  <si>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</si>
  <si>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</si>
  <si>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</si>
  <si>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</si>
  <si>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</si>
  <si>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</si>
  <si>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</si>
  <si>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</si>
  <si>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</si>
  <si>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</si>
  <si>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</si>
  <si>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</si>
  <si>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</si>
  <si>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</si>
  <si>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</si>
  <si>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</si>
  <si>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</si>
  <si>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</si>
  <si>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</si>
  <si>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</si>
  <si>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</si>
  <si>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</si>
  <si>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</si>
  <si>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</si>
  <si>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</si>
  <si>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</si>
  <si>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</si>
  <si>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</si>
  <si>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</si>
  <si>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</si>
  <si>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</si>
  <si>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</si>
  <si>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</si>
  <si>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</si>
  <si>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</si>
  <si>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</si>
  <si>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</si>
  <si>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</si>
  <si>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</si>
  <si>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</si>
  <si>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</si>
  <si>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</si>
  <si>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</si>
  <si>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</si>
  <si>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</si>
  <si>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</si>
  <si>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</si>
  <si>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</si>
  <si>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</si>
  <si>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</si>
  <si>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</si>
  <si>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</si>
  <si>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</si>
  <si>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</si>
  <si>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</si>
  <si>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</si>
  <si>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</si>
  <si>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</si>
  <si>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</si>
  <si>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</si>
  <si>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</si>
  <si>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</si>
  <si>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</si>
  <si>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</si>
  <si>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</si>
  <si>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</si>
  <si>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</si>
  <si>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</si>
  <si>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</si>
  <si>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</si>
  <si>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</si>
  <si>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</si>
  <si>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</si>
  <si>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</si>
  <si>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</si>
  <si>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</si>
  <si>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</si>
  <si>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</si>
  <si>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</si>
  <si>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</si>
  <si>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</si>
  <si>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</si>
  <si>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</si>
  <si>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</si>
  <si>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</si>
  <si>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</si>
  <si>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</si>
  <si>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</si>
  <si>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</si>
  <si>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</si>
  <si>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</si>
  <si>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</si>
  <si>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</si>
  <si>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</si>
  <si>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</si>
  <si>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</si>
  <si>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</si>
  <si>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</si>
  <si>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</si>
  <si>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</si>
  <si>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</si>
  <si>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</si>
  <si>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</si>
  <si>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</si>
  <si>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</si>
  <si>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</si>
  <si>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</si>
  <si>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</si>
  <si>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</si>
  <si>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</si>
  <si>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</si>
  <si>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</si>
  <si>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</si>
  <si>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</si>
  <si>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</si>
  <si>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</si>
  <si>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</si>
  <si>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</si>
  <si>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</si>
  <si>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</si>
  <si>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</si>
  <si>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</si>
  <si>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</si>
  <si>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</si>
  <si>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</si>
  <si>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</si>
  <si>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</si>
  <si>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</si>
  <si>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</si>
  <si>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</si>
  <si>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</si>
  <si>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</si>
  <si>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</si>
  <si>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</si>
  <si>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</si>
  <si>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</si>
  <si>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</si>
  <si>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</si>
  <si>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</si>
  <si>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</si>
  <si>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</si>
  <si>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</si>
  <si>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</si>
  <si>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</si>
  <si>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</si>
  <si>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</si>
  <si>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</si>
  <si>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</si>
  <si>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</si>
  <si>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</si>
  <si>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</si>
  <si>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</si>
  <si>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</si>
  <si>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</si>
  <si>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</si>
  <si>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</si>
  <si>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</si>
  <si>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</si>
  <si>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</si>
  <si>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</si>
  <si>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</si>
  <si>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</si>
  <si>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</si>
  <si>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</si>
  <si>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</si>
  <si>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</si>
  <si>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</si>
  <si>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</si>
  <si>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</si>
  <si>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</si>
  <si>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</si>
  <si>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</si>
  <si>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</si>
  <si>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</si>
  <si>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</si>
  <si>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</si>
  <si>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</si>
  <si>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</si>
  <si>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</si>
  <si>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</si>
  <si>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</si>
  <si>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</si>
  <si>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</si>
  <si>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</si>
  <si>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</si>
  <si>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</si>
  <si>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</si>
  <si>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</si>
  <si>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</si>
  <si>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</si>
  <si>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</si>
  <si>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</si>
  <si>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</si>
  <si>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</si>
  <si>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</si>
  <si>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</si>
  <si>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</si>
  <si>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</si>
  <si>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</si>
  <si>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</si>
  <si>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</si>
  <si>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</si>
  <si>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</si>
  <si>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</si>
  <si>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</si>
  <si>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</si>
  <si>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</si>
  <si>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</si>
  <si>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</si>
  <si>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</si>
  <si>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</si>
  <si>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</si>
  <si>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</si>
  <si>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</si>
  <si>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</si>
  <si>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</si>
  <si>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</si>
  <si>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</si>
  <si>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</si>
  <si>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</si>
  <si>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</si>
  <si>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</si>
  <si>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</si>
  <si>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</si>
  <si>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</si>
  <si>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</si>
  <si>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</si>
  <si>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</si>
  <si>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</si>
  <si>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</si>
  <si>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</si>
  <si>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</si>
  <si>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</si>
  <si>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</si>
  <si>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</si>
  <si>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</si>
  <si>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</si>
  <si>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</si>
  <si>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</si>
  <si>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</si>
  <si>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</si>
  <si>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AMA</t>
  </si>
  <si>
    <t>Twelve Months</t>
  </si>
  <si>
    <t>Description</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</si>
  <si>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</si>
  <si>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</si>
  <si>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</si>
  <si>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</si>
  <si>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</si>
  <si>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</si>
  <si>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</si>
  <si>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</si>
  <si>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</si>
  <si>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</si>
  <si>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</si>
  <si>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</si>
  <si>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</si>
  <si>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</si>
  <si>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</si>
  <si>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@2:107</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</si>
  <si>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</si>
  <si>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</si>
  <si>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</si>
  <si>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</si>
  <si>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</si>
  <si>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</si>
  <si>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</si>
  <si>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</si>
  <si>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</si>
  <si>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</si>
  <si>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</si>
  <si>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</si>
  <si>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</si>
  <si>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</si>
  <si>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</si>
  <si>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</si>
  <si>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</si>
  <si>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</si>
  <si>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</si>
  <si>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</si>
  <si>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</si>
  <si>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</si>
  <si>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</si>
  <si>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</si>
  <si>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</si>
  <si>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</si>
  <si>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</si>
  <si>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</si>
  <si>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</si>
  <si>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</si>
  <si>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</si>
  <si>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</si>
  <si>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</si>
  <si>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</si>
  <si>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</si>
  <si>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</si>
  <si>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</si>
  <si>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</si>
  <si>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</si>
  <si>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</si>
  <si>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</si>
  <si>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</si>
  <si>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</si>
  <si>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</si>
  <si>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</si>
  <si>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</si>
  <si>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</si>
  <si>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</si>
  <si>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</si>
  <si>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</si>
  <si>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</si>
  <si>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</si>
  <si>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</si>
  <si>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</si>
  <si>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</si>
  <si>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</si>
  <si>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</si>
  <si>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</si>
  <si>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</si>
  <si>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</si>
  <si>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</si>
  <si>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</si>
  <si>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</si>
  <si>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</si>
  <si>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</si>
  <si>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</si>
  <si>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</si>
  <si>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</si>
  <si>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</si>
  <si>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</si>
  <si>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</si>
  <si>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</si>
  <si>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</si>
  <si>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</si>
  <si>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</si>
  <si>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</si>
  <si>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</si>
  <si>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</si>
  <si>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</si>
  <si>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</si>
  <si>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</si>
  <si>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</si>
  <si>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</si>
  <si>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Gas in Underground Storage - Current</t>
  </si>
  <si>
    <t>02</t>
  </si>
  <si>
    <t>Pipeline Imbalances</t>
  </si>
  <si>
    <t>1642</t>
  </si>
  <si>
    <t>Liquified Natural Gas Stored</t>
  </si>
  <si>
    <t xml:space="preserve">    NET INVENTORIES</t>
  </si>
  <si>
    <t>1655</t>
  </si>
  <si>
    <t xml:space="preserve">Prepayments - Insurance </t>
  </si>
  <si>
    <t>1659</t>
  </si>
  <si>
    <t>Prepayments - Income Tax</t>
  </si>
  <si>
    <t>22</t>
  </si>
  <si>
    <t>Prepayments - Gas Storage</t>
  </si>
  <si>
    <t>Prepayments - Miscellaneous</t>
  </si>
  <si>
    <t>1860</t>
  </si>
  <si>
    <t>Misc Def Dr - Regulatory assets current</t>
  </si>
  <si>
    <t>1747</t>
  </si>
  <si>
    <t>Misc Current and Accrued Assets</t>
  </si>
  <si>
    <t>1750</t>
  </si>
  <si>
    <t>01</t>
  </si>
  <si>
    <t>Derivative Instruments - Current</t>
  </si>
  <si>
    <t xml:space="preserve">   TOTAL CURRENT &amp; ACCR ASSETS</t>
  </si>
  <si>
    <t>1732</t>
  </si>
  <si>
    <t>Accrued Gas Revenues</t>
  </si>
  <si>
    <t>1734</t>
  </si>
  <si>
    <t>Accrued Transportation Revenues</t>
  </si>
  <si>
    <t xml:space="preserve">   TOTAL ACCRUED REVENUES</t>
  </si>
  <si>
    <t>1900</t>
  </si>
  <si>
    <t>Accumulated Deferred Income Tax - current</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</si>
  <si>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</si>
  <si>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</si>
  <si>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</si>
  <si>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</si>
  <si>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</si>
  <si>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</si>
  <si>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</si>
  <si>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</si>
  <si>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</si>
  <si>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</si>
  <si>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</si>
  <si>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</si>
  <si>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</si>
  <si>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</si>
  <si>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</si>
  <si>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</si>
  <si>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</si>
  <si>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</si>
  <si>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</si>
  <si>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</si>
  <si>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</si>
  <si>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</si>
  <si>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</si>
  <si>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</si>
  <si>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</si>
  <si>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</si>
  <si>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</si>
  <si>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</si>
  <si>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</si>
  <si>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</si>
  <si>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</si>
  <si>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</si>
  <si>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</si>
  <si>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</si>
  <si>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</si>
  <si>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1823</t>
  </si>
  <si>
    <t>Other Regulatory Asset -</t>
  </si>
  <si>
    <t>1840</t>
  </si>
  <si>
    <t>Payroll clearing</t>
  </si>
  <si>
    <t>@2:184</t>
  </si>
  <si>
    <t>Other clearing</t>
  </si>
  <si>
    <t>Prepaid - NC Retiree Medical</t>
  </si>
  <si>
    <t>Misc Def Dr -  Deferred Gas Cost</t>
  </si>
  <si>
    <t>Misc Def Dr - Miscellaneous deferrals</t>
  </si>
  <si>
    <t>20206</t>
  </si>
  <si>
    <t>Misc Def Dr - Intangible non compete</t>
  </si>
  <si>
    <t>Misc Def Dr - Regulatory Deferred Charges</t>
  </si>
  <si>
    <t>Misc Def Dr - Regulatory assets</t>
  </si>
  <si>
    <t>1862</t>
  </si>
  <si>
    <t>Misc Def Dr - Conservation Program</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</si>
  <si>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</si>
  <si>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</si>
  <si>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</si>
  <si>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</si>
  <si>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</si>
  <si>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</si>
  <si>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</si>
  <si>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</si>
  <si>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</si>
  <si>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</si>
  <si>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</si>
  <si>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</si>
  <si>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</si>
  <si>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</si>
  <si>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</si>
  <si>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</si>
  <si>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</si>
  <si>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</si>
  <si>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</si>
  <si>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</si>
  <si>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</si>
  <si>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</si>
  <si>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</si>
  <si>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</si>
  <si>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</si>
  <si>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</si>
  <si>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</si>
  <si>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</si>
  <si>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</si>
  <si>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</si>
  <si>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</si>
  <si>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</si>
  <si>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</si>
  <si>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</si>
  <si>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</si>
  <si>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</si>
  <si>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</si>
  <si>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</si>
  <si>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</si>
  <si>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</si>
  <si>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</si>
  <si>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</si>
  <si>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</si>
  <si>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</si>
  <si>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</si>
  <si>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</si>
  <si>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</si>
  <si>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</si>
  <si>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</si>
  <si>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</si>
  <si>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</si>
  <si>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</si>
  <si>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Investment Tax Credit</t>
  </si>
  <si>
    <t xml:space="preserve">     Subtotal Income Taxes</t>
  </si>
  <si>
    <t>4211</t>
  </si>
  <si>
    <t>Gain on Disposition of Property</t>
  </si>
  <si>
    <t>4212</t>
  </si>
  <si>
    <t>4261</t>
  </si>
  <si>
    <t>4263</t>
  </si>
  <si>
    <t>4264</t>
  </si>
  <si>
    <t>Expend for Civic,  Political</t>
  </si>
  <si>
    <t>4265</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</si>
  <si>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</si>
  <si>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</si>
  <si>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</si>
  <si>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</si>
  <si>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</si>
  <si>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</si>
  <si>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</si>
  <si>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</si>
  <si>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</si>
  <si>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</si>
  <si>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</si>
  <si>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</si>
  <si>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</si>
  <si>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</si>
  <si>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</si>
  <si>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</si>
  <si>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</si>
  <si>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</si>
  <si>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</si>
  <si>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</si>
  <si>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</si>
  <si>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</si>
  <si>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</si>
  <si>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</si>
  <si>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</si>
  <si>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</si>
  <si>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</si>
  <si>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</si>
  <si>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</si>
  <si>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</si>
  <si>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</si>
  <si>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</si>
  <si>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</si>
  <si>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</si>
  <si>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</si>
  <si>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</si>
  <si>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</si>
  <si>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</si>
  <si>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</si>
  <si>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</si>
  <si>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</si>
  <si>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</si>
  <si>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</si>
  <si>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</si>
  <si>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</si>
  <si>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</si>
  <si>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</si>
  <si>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</si>
  <si>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</si>
  <si>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</si>
  <si>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</si>
  <si>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</si>
  <si>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</si>
  <si>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</si>
  <si>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</si>
  <si>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</si>
  <si>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</si>
  <si>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</si>
  <si>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</si>
  <si>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</si>
  <si>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</si>
  <si>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</si>
  <si>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</si>
  <si>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</si>
  <si>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 xml:space="preserve">Accts Pay </t>
  </si>
  <si>
    <t>Accts Pay - Pipeline Imbalances</t>
  </si>
  <si>
    <t>Accts Pay - Miscellaneous Accruals</t>
  </si>
  <si>
    <t>Accts Pay - Payroll Withholding</t>
  </si>
  <si>
    <t>2323</t>
  </si>
  <si>
    <t>Received Not Vouchered</t>
  </si>
  <si>
    <t>2340</t>
  </si>
  <si>
    <t>Accts Pay - MDU/MDUR</t>
  </si>
  <si>
    <t>Accts Pay - CHCC</t>
  </si>
  <si>
    <t>Accts Pay - Future Source</t>
  </si>
  <si>
    <t>0620</t>
  </si>
  <si>
    <t>Accts Pay - Knife River</t>
  </si>
  <si>
    <t>Accts Pay - CSG</t>
  </si>
  <si>
    <t>Accts Pay - Cascade Land Leasing</t>
  </si>
  <si>
    <t>Accts Pay - CGC Properties, Inc.</t>
  </si>
  <si>
    <t>Accts Pay - MDU Energy Capital</t>
  </si>
  <si>
    <t>Accts Pay - PCEH</t>
  </si>
  <si>
    <t>047</t>
  </si>
  <si>
    <t>Accts Pay - CNGC</t>
  </si>
  <si>
    <t>Accts Pay - Intermountain</t>
  </si>
  <si>
    <t xml:space="preserve">     Subtotal Accounts Payable Intercompany</t>
  </si>
  <si>
    <t>2412</t>
  </si>
  <si>
    <t>Tax Collection Pay - Emp State W/H</t>
  </si>
  <si>
    <t>2411</t>
  </si>
  <si>
    <t>Tax Collection Pay - Emp Fed W/H</t>
  </si>
  <si>
    <t>Tax Collection Pay - StCitySalesFranExc</t>
  </si>
  <si>
    <t xml:space="preserve">     Subtotal Tax Collections Payable</t>
  </si>
  <si>
    <t xml:space="preserve">     TOTAL ACCOUNTS PAYABLE</t>
  </si>
  <si>
    <t>2360</t>
  </si>
  <si>
    <t>Income Taxes Accrued</t>
  </si>
  <si>
    <t>2361</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</si>
  <si>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</si>
  <si>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</si>
  <si>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</si>
  <si>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</si>
  <si>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</si>
  <si>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</si>
  <si>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</si>
  <si>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</si>
  <si>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</si>
  <si>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</si>
  <si>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</si>
  <si>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</si>
  <si>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</si>
  <si>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</si>
  <si>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</si>
  <si>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</si>
  <si>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</si>
  <si>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</si>
  <si>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</si>
  <si>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</si>
  <si>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</si>
  <si>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</si>
  <si>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</si>
  <si>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</si>
  <si>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Misc Current Liab - Other</t>
  </si>
  <si>
    <t>Misc Current Liab - Payroll related</t>
  </si>
  <si>
    <t>Workers Comp Withholding - WA</t>
  </si>
  <si>
    <t>Workers Comp Withholding - OR</t>
  </si>
  <si>
    <t>2282</t>
  </si>
  <si>
    <t>Accrued Provision - Injuries &amp; Damages</t>
  </si>
  <si>
    <t>2284</t>
  </si>
  <si>
    <t>Misc Current Liabilities</t>
  </si>
  <si>
    <t>03*</t>
  </si>
  <si>
    <t>Curr Yr Due SGL Automotive</t>
  </si>
  <si>
    <t>2292</t>
  </si>
  <si>
    <t>Accrued Provision - Gas Rate Refund</t>
  </si>
  <si>
    <t>2530</t>
  </si>
  <si>
    <t>Other Deferred Credits - Gas costs</t>
  </si>
  <si>
    <t>Core Gas Supply Hedging - Reg Liability</t>
  </si>
  <si>
    <t>2440</t>
  </si>
  <si>
    <t xml:space="preserve">     TOTAL MISC CURRENT LIABILITIES</t>
  </si>
  <si>
    <t>Accrued Provision - Injuries &amp; Damages NC</t>
  </si>
  <si>
    <t>2283</t>
  </si>
  <si>
    <t>Pension and Benefits</t>
  </si>
  <si>
    <t>2300</t>
  </si>
  <si>
    <t>ARO Liability</t>
  </si>
  <si>
    <t>2520</t>
  </si>
  <si>
    <t>Other Deferred Credits - Regulatory Liability</t>
  </si>
  <si>
    <t>Misc Def Cr - Regulatory Liability</t>
  </si>
  <si>
    <t>Other Deferred Credits - Def Revenue Adjustments</t>
  </si>
  <si>
    <t>2539</t>
  </si>
  <si>
    <t>Other Deferred Credits</t>
  </si>
  <si>
    <t>Pension contribution</t>
  </si>
  <si>
    <t>2540</t>
  </si>
  <si>
    <t>20222</t>
  </si>
  <si>
    <t>Reg Liab Post Retirement FAS 158</t>
  </si>
  <si>
    <t>Other Regulatory Liabilities - SFAS 109 Regulatory</t>
  </si>
  <si>
    <t>Other Regulatory Liabilities</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</si>
  <si>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</si>
  <si>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</si>
  <si>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</si>
  <si>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</si>
  <si>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</si>
  <si>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</si>
  <si>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</si>
  <si>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</si>
  <si>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</si>
  <si>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</si>
  <si>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</si>
  <si>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</si>
  <si>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</si>
  <si>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</si>
  <si>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</si>
  <si>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</si>
  <si>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</si>
  <si>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</si>
  <si>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</si>
  <si>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</si>
  <si>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</si>
  <si>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</si>
  <si>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</si>
  <si>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</si>
  <si>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</si>
  <si>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</si>
  <si>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</si>
  <si>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</si>
  <si>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</si>
  <si>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</si>
  <si>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</si>
  <si>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</si>
  <si>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</si>
  <si>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</si>
  <si>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</si>
  <si>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</si>
  <si>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</si>
  <si>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</si>
  <si>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</si>
  <si>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</si>
  <si>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</si>
  <si>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</si>
  <si>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</si>
  <si>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</si>
  <si>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</si>
  <si>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</si>
  <si>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</si>
  <si>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</si>
  <si>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</si>
  <si>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</si>
  <si>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</si>
  <si>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</si>
  <si>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</si>
  <si>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</si>
  <si>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</si>
  <si>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</si>
  <si>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</si>
  <si>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</si>
  <si>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</si>
  <si>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</si>
  <si>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</si>
  <si>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</si>
  <si>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</si>
  <si>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</si>
  <si>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</si>
  <si>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</si>
  <si>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</si>
  <si>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</si>
  <si>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</si>
  <si>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</si>
  <si>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</si>
  <si>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</si>
  <si>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</si>
  <si>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</si>
  <si>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</si>
  <si>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</si>
  <si>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</si>
  <si>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</si>
  <si>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</si>
  <si>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</si>
  <si>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</si>
  <si>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</si>
  <si>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</si>
  <si>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</si>
  <si>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</si>
  <si>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</si>
  <si>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</si>
  <si>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</si>
  <si>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</si>
  <si>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</si>
  <si>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</si>
  <si>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</si>
  <si>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</si>
  <si>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</si>
  <si>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</si>
  <si>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</si>
  <si>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</si>
  <si>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</si>
  <si>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</si>
  <si>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</si>
  <si>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</si>
  <si>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</si>
  <si>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</si>
  <si>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</si>
  <si>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</si>
  <si>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</si>
  <si>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</si>
  <si>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</si>
  <si>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</si>
  <si>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</si>
  <si>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</si>
  <si>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</si>
  <si>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</si>
  <si>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</si>
  <si>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</si>
  <si>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</si>
  <si>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</si>
  <si>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</si>
  <si>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</si>
  <si>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</si>
  <si>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</si>
  <si>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</si>
  <si>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</si>
  <si>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</si>
  <si>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</si>
  <si>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</si>
  <si>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</si>
  <si>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</si>
  <si>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</si>
  <si>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</si>
  <si>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</si>
  <si>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</si>
  <si>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</si>
  <si>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</si>
  <si>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</si>
  <si>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</si>
  <si>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</si>
  <si>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</si>
  <si>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</si>
  <si>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</si>
  <si>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</si>
  <si>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</si>
  <si>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</si>
  <si>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</si>
  <si>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</si>
  <si>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</si>
  <si>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</si>
  <si>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</si>
  <si>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</si>
  <si>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</si>
  <si>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</si>
  <si>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</si>
  <si>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</si>
  <si>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</si>
  <si>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</si>
  <si>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</si>
  <si>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</si>
  <si>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</si>
  <si>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</si>
  <si>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</si>
  <si>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</si>
  <si>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</si>
  <si>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</si>
  <si>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</si>
  <si>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</si>
  <si>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</si>
  <si>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Regulatory Asset - ARO</t>
  </si>
  <si>
    <t>Oregon</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</si>
  <si>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</si>
  <si>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</si>
  <si>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</si>
  <si>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</si>
  <si>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</si>
  <si>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</si>
  <si>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</si>
  <si>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</si>
  <si>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</si>
  <si>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</si>
  <si>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</si>
  <si>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</si>
  <si>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</si>
  <si>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</si>
  <si>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</si>
  <si>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</si>
  <si>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</si>
  <si>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</si>
  <si>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</si>
  <si>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</si>
  <si>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</si>
  <si>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</si>
  <si>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</si>
  <si>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</si>
  <si>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</si>
  <si>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</si>
  <si>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</si>
  <si>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</si>
  <si>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</si>
  <si>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</si>
  <si>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</si>
  <si>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</si>
  <si>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</si>
  <si>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</si>
  <si>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</si>
  <si>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</si>
  <si>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</si>
  <si>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</si>
  <si>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</si>
  <si>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</si>
  <si>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</si>
  <si>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</si>
  <si>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</si>
  <si>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</si>
  <si>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</si>
  <si>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</si>
  <si>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</si>
  <si>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</si>
  <si>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</si>
  <si>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</si>
  <si>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</si>
  <si>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</si>
  <si>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</si>
  <si>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</si>
  <si>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</si>
  <si>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</si>
  <si>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</si>
  <si>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</si>
  <si>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</si>
  <si>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</si>
  <si>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</si>
  <si>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</si>
  <si>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</si>
  <si>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</si>
  <si>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</si>
  <si>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</si>
  <si>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</si>
  <si>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</si>
  <si>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</si>
  <si>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</si>
  <si>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</si>
  <si>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</si>
  <si>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</si>
  <si>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</si>
  <si>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</si>
  <si>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</si>
  <si>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</si>
  <si>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</si>
  <si>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</si>
  <si>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</si>
  <si>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</si>
  <si>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</si>
  <si>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</si>
  <si>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</si>
  <si>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</si>
  <si>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</si>
  <si>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</si>
  <si>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</si>
  <si>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</si>
  <si>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</si>
  <si>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</si>
  <si>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</si>
  <si>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</si>
  <si>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</si>
  <si>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</si>
  <si>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</si>
  <si>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</si>
  <si>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</si>
  <si>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</si>
  <si>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</si>
  <si>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</si>
  <si>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</si>
  <si>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</si>
  <si>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</si>
  <si>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</si>
  <si>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</si>
  <si>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</si>
  <si>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</si>
  <si>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</si>
  <si>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</si>
  <si>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</si>
  <si>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</si>
  <si>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</si>
  <si>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</si>
  <si>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</si>
  <si>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</si>
  <si>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</si>
  <si>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</si>
  <si>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</si>
  <si>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</si>
  <si>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</si>
  <si>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</si>
  <si>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</si>
  <si>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</si>
  <si>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</si>
  <si>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</si>
  <si>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</si>
  <si>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</si>
  <si>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</si>
  <si>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</si>
  <si>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</si>
  <si>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</si>
  <si>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</si>
  <si>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</si>
  <si>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</si>
  <si>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</si>
  <si>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</si>
  <si>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</si>
  <si>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</si>
  <si>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</si>
  <si>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</si>
  <si>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</si>
  <si>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</si>
  <si>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</si>
  <si>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</si>
  <si>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</si>
  <si>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</si>
  <si>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</si>
  <si>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</si>
  <si>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</si>
  <si>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</si>
  <si>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</si>
  <si>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</si>
  <si>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</si>
  <si>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</si>
  <si>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</si>
  <si>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</si>
  <si>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</si>
  <si>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</si>
  <si>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</si>
  <si>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</si>
  <si>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</si>
  <si>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</si>
  <si>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</si>
  <si>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</si>
  <si>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</si>
  <si>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</si>
  <si>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</si>
  <si>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</si>
  <si>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</si>
  <si>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</si>
  <si>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</si>
  <si>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</si>
  <si>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</si>
  <si>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</si>
  <si>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</si>
  <si>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</si>
  <si>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</si>
  <si>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</si>
  <si>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</si>
  <si>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</si>
  <si>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</si>
  <si>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</si>
  <si>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</si>
  <si>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</si>
  <si>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</si>
  <si>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</si>
  <si>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</si>
  <si>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</si>
  <si>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</si>
  <si>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</si>
  <si>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</si>
  <si>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</si>
  <si>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</si>
  <si>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</si>
  <si>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</si>
  <si>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</si>
  <si>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</si>
  <si>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</si>
  <si>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</si>
  <si>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</si>
  <si>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</si>
  <si>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</si>
  <si>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</si>
  <si>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</si>
  <si>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</si>
  <si>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</si>
  <si>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</si>
  <si>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</si>
  <si>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</si>
  <si>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</si>
  <si>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</si>
  <si>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</si>
  <si>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</si>
  <si>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</si>
  <si>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</si>
  <si>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</si>
  <si>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</si>
  <si>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</si>
  <si>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</si>
  <si>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</si>
  <si>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</si>
  <si>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</si>
  <si>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</si>
  <si>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</si>
  <si>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</si>
  <si>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</si>
  <si>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</si>
  <si>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</si>
  <si>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</si>
  <si>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</si>
  <si>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</si>
  <si>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</si>
  <si>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</si>
  <si>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</si>
  <si>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</si>
  <si>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</si>
  <si>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</si>
  <si>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</si>
  <si>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</si>
  <si>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</si>
  <si>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</si>
  <si>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</si>
  <si>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</si>
  <si>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</si>
  <si>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</si>
  <si>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</si>
  <si>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</si>
  <si>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</si>
  <si>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</si>
  <si>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</si>
  <si>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</si>
  <si>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</si>
  <si>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</si>
  <si>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</si>
  <si>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</si>
  <si>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</si>
  <si>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</si>
  <si>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</si>
  <si>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</si>
  <si>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</si>
  <si>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</si>
  <si>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</si>
  <si>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</si>
  <si>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</si>
  <si>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</si>
  <si>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</si>
  <si>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</si>
  <si>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</si>
  <si>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</si>
  <si>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</si>
  <si>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</si>
  <si>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</si>
  <si>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</si>
  <si>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</si>
  <si>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</si>
  <si>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</si>
  <si>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</si>
  <si>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</si>
  <si>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</si>
  <si>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</si>
  <si>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</si>
  <si>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</si>
  <si>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</si>
  <si>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</si>
  <si>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</si>
  <si>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</si>
  <si>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</si>
  <si>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</si>
  <si>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</si>
  <si>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</si>
  <si>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</si>
  <si>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</si>
  <si>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</si>
  <si>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</si>
  <si>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</si>
  <si>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</si>
  <si>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</si>
  <si>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</si>
  <si>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</si>
  <si>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</si>
  <si>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</si>
  <si>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</si>
  <si>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</si>
  <si>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</si>
  <si>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</si>
  <si>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</si>
  <si>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</si>
  <si>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</si>
  <si>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</si>
  <si>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</si>
  <si>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</si>
  <si>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</si>
  <si>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</si>
  <si>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</si>
  <si>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</si>
  <si>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</si>
  <si>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</si>
  <si>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</si>
  <si>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</si>
  <si>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</si>
  <si>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</si>
  <si>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</si>
  <si>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</si>
  <si>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</si>
  <si>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</si>
  <si>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</si>
  <si>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</si>
  <si>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</si>
  <si>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</si>
  <si>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</si>
  <si>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</si>
  <si>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</si>
  <si>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</si>
  <si>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</si>
  <si>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</si>
  <si>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</si>
  <si>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</si>
  <si>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</si>
  <si>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</si>
  <si>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</si>
  <si>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</si>
  <si>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</si>
  <si>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</si>
  <si>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</si>
  <si>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</si>
  <si>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</si>
  <si>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</si>
  <si>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</si>
  <si>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</si>
  <si>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</si>
  <si>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</si>
  <si>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</si>
  <si>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</si>
  <si>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</si>
  <si>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July</t>
  </si>
  <si>
    <t>August</t>
  </si>
  <si>
    <t>Account No.</t>
  </si>
  <si>
    <t>WA Alloc</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</si>
  <si>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</si>
  <si>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</si>
  <si>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</si>
  <si>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</si>
  <si>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</si>
  <si>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</si>
  <si>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</si>
  <si>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</si>
  <si>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</si>
  <si>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</si>
  <si>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</si>
  <si>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</si>
  <si>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</si>
  <si>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</si>
  <si>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</si>
  <si>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</si>
  <si>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</si>
  <si>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</si>
  <si>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</si>
  <si>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</si>
  <si>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</si>
  <si>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</si>
  <si>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</si>
  <si>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</si>
  <si>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</si>
  <si>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</si>
  <si>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</si>
  <si>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</si>
  <si>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</si>
  <si>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</si>
  <si>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</si>
  <si>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</si>
  <si>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</si>
  <si>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</si>
  <si>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</si>
  <si>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</si>
  <si>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</si>
  <si>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</si>
  <si>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</si>
  <si>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</si>
  <si>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</si>
  <si>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</si>
  <si>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</si>
  <si>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</si>
  <si>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</si>
  <si>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</si>
  <si>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</si>
  <si>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</si>
  <si>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</si>
  <si>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</si>
  <si>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</si>
  <si>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</si>
  <si>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</si>
  <si>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</si>
  <si>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</si>
  <si>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</si>
  <si>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</si>
  <si>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</si>
  <si>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</si>
  <si>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</si>
  <si>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</si>
  <si>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</si>
  <si>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</si>
  <si>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</si>
  <si>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</si>
  <si>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</si>
  <si>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</si>
  <si>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</si>
  <si>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</si>
  <si>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</si>
  <si>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</si>
  <si>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</si>
  <si>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</si>
  <si>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</si>
  <si>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</si>
  <si>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</si>
  <si>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</si>
  <si>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</si>
  <si>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</si>
  <si>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</si>
  <si>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</si>
  <si>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</si>
  <si>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</si>
  <si>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</si>
  <si>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</si>
  <si>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</si>
  <si>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</si>
  <si>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</si>
  <si>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</si>
  <si>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</si>
  <si>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</si>
  <si>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</si>
  <si>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</si>
  <si>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</si>
  <si>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</si>
  <si>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</si>
  <si>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</si>
  <si>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</si>
  <si>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</si>
  <si>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</si>
  <si>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</si>
  <si>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</si>
  <si>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</si>
  <si>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</si>
  <si>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</si>
  <si>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</si>
  <si>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</si>
  <si>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</si>
  <si>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</si>
  <si>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</si>
  <si>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</si>
  <si>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</si>
  <si>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</si>
  <si>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</si>
  <si>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</si>
  <si>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</si>
  <si>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</si>
  <si>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</si>
  <si>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</si>
  <si>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</si>
  <si>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</si>
  <si>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</si>
  <si>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</si>
  <si>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</si>
  <si>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</si>
  <si>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</si>
  <si>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</si>
  <si>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</si>
  <si>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</si>
  <si>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</si>
  <si>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</si>
  <si>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</si>
  <si>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</si>
  <si>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</si>
  <si>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</si>
  <si>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</si>
  <si>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</si>
  <si>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</si>
  <si>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</si>
  <si>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</si>
  <si>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</si>
  <si>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</si>
  <si>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</si>
  <si>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</si>
  <si>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</si>
  <si>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</si>
  <si>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</si>
  <si>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</si>
  <si>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</si>
  <si>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</si>
  <si>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</si>
  <si>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</si>
  <si>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</si>
  <si>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</si>
  <si>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</si>
  <si>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</si>
  <si>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</si>
  <si>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</si>
  <si>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</si>
  <si>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</si>
  <si>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</si>
  <si>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</si>
  <si>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</si>
  <si>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</si>
  <si>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</si>
  <si>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</si>
  <si>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</si>
  <si>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</si>
  <si>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</si>
  <si>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</si>
  <si>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</si>
  <si>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</si>
  <si>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</si>
  <si>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</si>
  <si>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</si>
  <si>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</si>
  <si>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</si>
  <si>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</si>
  <si>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</si>
  <si>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</si>
  <si>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</si>
  <si>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</si>
  <si>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</si>
  <si>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</si>
  <si>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</si>
  <si>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</si>
  <si>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</si>
  <si>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</si>
  <si>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</si>
  <si>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</si>
  <si>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</si>
  <si>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</si>
  <si>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</si>
  <si>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</si>
  <si>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</si>
  <si>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</si>
  <si>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</si>
  <si>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</si>
  <si>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</si>
  <si>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</si>
  <si>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</si>
  <si>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</si>
  <si>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</si>
  <si>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</si>
  <si>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</si>
  <si>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</si>
  <si>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</si>
  <si>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</si>
  <si>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</si>
  <si>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</si>
  <si>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</si>
  <si>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</si>
  <si>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</si>
  <si>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</si>
  <si>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</si>
  <si>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</si>
  <si>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</si>
  <si>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</si>
  <si>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</si>
  <si>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</si>
  <si>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</si>
  <si>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</si>
  <si>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</si>
  <si>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</si>
  <si>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</si>
  <si>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</si>
  <si>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</si>
  <si>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</si>
  <si>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</si>
  <si>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</si>
  <si>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</si>
  <si>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</si>
  <si>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</si>
  <si>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</si>
  <si>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</si>
  <si>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</si>
  <si>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</si>
  <si>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</si>
  <si>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</si>
  <si>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</si>
  <si>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</si>
  <si>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</si>
  <si>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</si>
  <si>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</si>
  <si>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</si>
  <si>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</si>
  <si>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</si>
  <si>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</si>
  <si>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</si>
  <si>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Witness: Michael P. Parvinen</t>
  </si>
  <si>
    <t>EXHIBIT OF MICHAEL P. PARVINEN</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</si>
  <si>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</si>
  <si>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</si>
  <si>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</si>
  <si>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</si>
  <si>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</si>
  <si>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</si>
  <si>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</si>
  <si>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</si>
  <si>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</si>
  <si>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</si>
  <si>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</si>
  <si>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</si>
  <si>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</si>
  <si>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</si>
  <si>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</si>
  <si>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</si>
  <si>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</si>
  <si>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</si>
  <si>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</si>
  <si>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</si>
  <si>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</si>
  <si>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</si>
  <si>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</si>
  <si>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</si>
  <si>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</si>
  <si>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</si>
  <si>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</si>
  <si>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</si>
  <si>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</si>
  <si>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</si>
  <si>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</si>
  <si>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</si>
  <si>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REVENUE REQUIREMENT CALCULATION</t>
  </si>
  <si>
    <t>CONVERSION FACTOR CALCULATION</t>
  </si>
  <si>
    <t>SUMMARY OF PROPOSED ADJUSTMENTS TO TEST YEAR RESULTS</t>
  </si>
  <si>
    <t>2017 PLANT ADDITIONS</t>
  </si>
  <si>
    <t>Summary of Proposed Adjustments to Test Year Results</t>
  </si>
  <si>
    <t>Conversion Factor Calculation</t>
  </si>
  <si>
    <t>Summary of Proposed Plant Additions</t>
  </si>
  <si>
    <t>Replace two regulator stations to increase reliability during peak periods.</t>
  </si>
  <si>
    <t>UG 17_____</t>
  </si>
  <si>
    <t>MPP WP-1.0</t>
  </si>
  <si>
    <t>Index</t>
  </si>
  <si>
    <t>Michael P. Parvinen</t>
  </si>
  <si>
    <t>Page(s)</t>
  </si>
  <si>
    <t>WP #</t>
  </si>
  <si>
    <t>MPP WP-1.1</t>
  </si>
  <si>
    <t>MPP WP-1.2</t>
  </si>
  <si>
    <t>MPP WP-1.3</t>
  </si>
  <si>
    <t>MPP WP-1.4</t>
  </si>
  <si>
    <t>MPP WP-1.5</t>
  </si>
  <si>
    <t>MPP WP-1.6</t>
  </si>
  <si>
    <t>MPP WP-1.7</t>
  </si>
  <si>
    <t>MPP WP-1.8</t>
  </si>
  <si>
    <t>MPP WP-1.9</t>
  </si>
  <si>
    <t>MPP WP-1.10</t>
  </si>
  <si>
    <t>MPP WP-1.11</t>
  </si>
  <si>
    <t>MPP WP-1.12</t>
  </si>
  <si>
    <t>MPP WP-1.13</t>
  </si>
  <si>
    <t>MPP WP-1.14</t>
  </si>
  <si>
    <t>MPP WP-1.15</t>
  </si>
  <si>
    <t>MPP WP-1.16</t>
  </si>
  <si>
    <t>ADJUSTMENT WORKPAPERS</t>
  </si>
  <si>
    <t>WORKPAPER - SUPPORT DOCUMENTS</t>
  </si>
  <si>
    <t>Adjustment Workpapers</t>
  </si>
  <si>
    <t>Weather Normalization</t>
  </si>
  <si>
    <t>Restate Revenues</t>
  </si>
  <si>
    <t>Pro Forma Compliance Department</t>
  </si>
  <si>
    <t>CRM Adjustment (a)</t>
  </si>
  <si>
    <t>CRM Adjustment (b)</t>
  </si>
  <si>
    <t>Promotional Advertising Expense Adjustment</t>
  </si>
  <si>
    <t>MPP WP-1.17</t>
  </si>
  <si>
    <t>MPP WP-1.18</t>
  </si>
  <si>
    <t>MPP WP-1.19</t>
  </si>
  <si>
    <t>Electronic Tab Name: Index</t>
  </si>
  <si>
    <t>Month</t>
  </si>
  <si>
    <t>Margin</t>
  </si>
  <si>
    <t>Line No:</t>
  </si>
  <si>
    <t xml:space="preserve">A </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</si>
  <si>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</si>
  <si>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</si>
  <si>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</si>
  <si>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</si>
  <si>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</si>
  <si>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</si>
  <si>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</si>
  <si>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</si>
  <si>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</si>
  <si>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</si>
  <si>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</si>
  <si>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</si>
  <si>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</si>
  <si>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</si>
  <si>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</si>
  <si>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</si>
  <si>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</si>
  <si>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</si>
  <si>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</si>
  <si>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</si>
  <si>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</si>
  <si>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</si>
  <si>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</si>
  <si>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</si>
  <si>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</si>
  <si>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</si>
  <si>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</si>
  <si>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</si>
  <si>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</si>
  <si>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</si>
  <si>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</si>
  <si>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</si>
  <si>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</si>
  <si>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</si>
  <si>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</si>
  <si>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</si>
  <si>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</si>
  <si>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</si>
  <si>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</si>
  <si>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</si>
  <si>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</si>
  <si>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</si>
  <si>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</si>
  <si>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</si>
  <si>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</si>
  <si>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</si>
  <si>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</si>
  <si>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</si>
  <si>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</si>
  <si>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</si>
  <si>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</si>
  <si>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</si>
  <si>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</si>
  <si>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</si>
  <si>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</si>
  <si>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</si>
  <si>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</si>
  <si>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</si>
  <si>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</si>
  <si>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</si>
  <si>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</si>
  <si>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</si>
  <si>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</si>
  <si>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</si>
  <si>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</si>
  <si>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</si>
  <si>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</si>
  <si>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</si>
  <si>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</si>
  <si>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</si>
  <si>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</si>
  <si>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</si>
  <si>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</si>
  <si>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</si>
  <si>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</si>
  <si>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</si>
  <si>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</si>
  <si>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</si>
  <si>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</si>
  <si>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</si>
  <si>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</si>
  <si>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</si>
  <si>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</si>
  <si>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</si>
  <si>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</si>
  <si>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</si>
  <si>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</si>
  <si>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</si>
  <si>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</si>
  <si>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</si>
  <si>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</si>
  <si>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</si>
  <si>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</si>
  <si>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</si>
  <si>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</si>
  <si>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</si>
  <si>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</si>
  <si>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</si>
  <si>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</si>
  <si>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</si>
  <si>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</si>
  <si>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</si>
  <si>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</si>
  <si>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</si>
  <si>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</si>
  <si>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</si>
  <si>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</si>
  <si>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</si>
  <si>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</si>
  <si>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</si>
  <si>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</si>
  <si>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</si>
  <si>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</si>
  <si>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</si>
  <si>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</si>
  <si>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</si>
  <si>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</si>
  <si>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</si>
  <si>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</si>
  <si>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</si>
  <si>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</si>
  <si>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</si>
  <si>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</si>
  <si>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</si>
  <si>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</si>
  <si>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</si>
  <si>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</si>
  <si>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</si>
  <si>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</si>
  <si>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</si>
  <si>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</si>
  <si>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</si>
  <si>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</si>
  <si>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</si>
  <si>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</si>
  <si>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</si>
  <si>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</si>
  <si>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</si>
  <si>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</si>
  <si>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</si>
  <si>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</si>
  <si>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</si>
  <si>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</si>
  <si>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</si>
  <si>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</si>
  <si>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</si>
  <si>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</si>
  <si>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</si>
  <si>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</si>
  <si>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</si>
  <si>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</si>
  <si>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</si>
  <si>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</si>
  <si>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</si>
  <si>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</si>
  <si>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</si>
  <si>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</si>
  <si>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</si>
  <si>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</si>
  <si>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</si>
  <si>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</si>
  <si>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</si>
  <si>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</si>
  <si>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</si>
  <si>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</si>
  <si>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</si>
  <si>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</si>
  <si>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</si>
  <si>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</si>
  <si>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</si>
  <si>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</si>
  <si>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</si>
  <si>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</si>
  <si>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</si>
  <si>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</si>
  <si>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</si>
  <si>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</si>
  <si>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</si>
  <si>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</si>
  <si>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</si>
  <si>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</si>
  <si>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</si>
  <si>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</si>
  <si>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</si>
  <si>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</si>
  <si>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</si>
  <si>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</si>
  <si>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</si>
  <si>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</si>
  <si>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</si>
  <si>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</si>
  <si>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</si>
  <si>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</si>
  <si>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</si>
  <si>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</si>
  <si>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</si>
  <si>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</si>
  <si>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</si>
  <si>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</si>
  <si>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</si>
  <si>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</si>
  <si>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</si>
  <si>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</si>
  <si>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</si>
  <si>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</si>
  <si>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</si>
  <si>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</si>
  <si>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</si>
  <si>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</si>
  <si>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</si>
  <si>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</si>
  <si>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</si>
  <si>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</si>
  <si>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</si>
  <si>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</si>
  <si>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</si>
  <si>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</si>
  <si>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</si>
  <si>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</si>
  <si>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</si>
  <si>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</si>
  <si>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</si>
  <si>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</si>
  <si>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</si>
  <si>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</si>
  <si>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</si>
  <si>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</si>
  <si>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</si>
  <si>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</si>
  <si>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</si>
  <si>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</si>
  <si>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</si>
  <si>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</si>
  <si>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</si>
  <si>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</si>
  <si>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</si>
  <si>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</si>
  <si>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</si>
  <si>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</si>
  <si>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</si>
  <si>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</si>
  <si>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</si>
  <si>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</si>
  <si>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</si>
  <si>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</si>
  <si>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</si>
  <si>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</si>
  <si>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</si>
  <si>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</si>
  <si>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</si>
  <si>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</si>
  <si>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</si>
  <si>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</si>
  <si>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</si>
  <si>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</si>
  <si>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</si>
  <si>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</si>
  <si>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</si>
  <si>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</si>
  <si>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</si>
  <si>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</si>
  <si>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</si>
  <si>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</si>
  <si>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</si>
  <si>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</si>
  <si>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</si>
  <si>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</si>
  <si>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</si>
  <si>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</si>
  <si>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</si>
  <si>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</si>
  <si>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</si>
  <si>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</si>
  <si>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</si>
  <si>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</si>
  <si>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</si>
  <si>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</si>
  <si>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</si>
  <si>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</si>
  <si>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</si>
  <si>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</si>
  <si>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</si>
  <si>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</si>
  <si>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</si>
  <si>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</si>
  <si>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</si>
  <si>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</si>
  <si>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</si>
  <si>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</si>
  <si>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</si>
  <si>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</si>
  <si>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</si>
  <si>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</si>
  <si>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</si>
  <si>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</si>
  <si>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</si>
  <si>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</si>
  <si>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</si>
  <si>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</si>
  <si>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</si>
  <si>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</si>
  <si>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</si>
  <si>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</si>
  <si>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</si>
  <si>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</si>
  <si>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</si>
  <si>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</si>
  <si>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</si>
  <si>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</si>
  <si>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</si>
  <si>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</si>
  <si>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</si>
  <si>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</si>
  <si>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</si>
  <si>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</si>
  <si>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</si>
  <si>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</si>
  <si>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</si>
  <si>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</si>
  <si>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</si>
  <si>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</si>
  <si>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</si>
  <si>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</si>
  <si>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</si>
  <si>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</si>
  <si>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</si>
  <si>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</si>
  <si>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</si>
  <si>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</si>
  <si>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</si>
  <si>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</si>
  <si>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</si>
  <si>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</si>
  <si>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</si>
  <si>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</si>
  <si>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2 - 17</t>
  </si>
  <si>
    <t>19 - 33</t>
  </si>
  <si>
    <t>34 - 43</t>
  </si>
  <si>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</si>
  <si>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</si>
  <si>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</si>
  <si>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</si>
  <si>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</si>
  <si>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</si>
  <si>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</si>
  <si>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</si>
  <si>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</si>
  <si>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</si>
  <si>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</si>
  <si>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</si>
  <si>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</si>
  <si>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</si>
  <si>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</si>
  <si>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</si>
  <si>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</si>
  <si>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</si>
  <si>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</si>
  <si>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</si>
  <si>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</si>
  <si>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</si>
  <si>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</si>
  <si>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</si>
  <si>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</si>
  <si>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</si>
  <si>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</si>
  <si>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</si>
  <si>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</si>
  <si>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</si>
  <si>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</si>
  <si>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</si>
  <si>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</si>
  <si>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</si>
  <si>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</si>
  <si>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</si>
  <si>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</si>
  <si>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</si>
  <si>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</si>
  <si>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</si>
  <si>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</si>
  <si>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</si>
  <si>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</si>
  <si>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</si>
  <si>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</si>
  <si>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</si>
  <si>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</si>
  <si>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</si>
  <si>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</si>
  <si>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</si>
  <si>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</si>
  <si>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</si>
  <si>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</si>
  <si>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</si>
  <si>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</si>
  <si>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</si>
  <si>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</si>
  <si>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</si>
  <si>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</si>
  <si>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</si>
  <si>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</si>
  <si>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</si>
  <si>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</si>
  <si>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</si>
  <si>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</si>
  <si>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</si>
  <si>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</si>
  <si>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All figures above are exported from ""Power Plant" the company's plant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</si>
  <si>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</si>
  <si>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</si>
  <si>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</si>
  <si>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</si>
  <si>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</si>
  <si>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</si>
  <si>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</si>
  <si>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</si>
  <si>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</si>
  <si>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</si>
  <si>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</si>
  <si>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</si>
  <si>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</si>
  <si>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</si>
  <si>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</si>
  <si>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</si>
  <si>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</si>
  <si>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</si>
  <si>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</si>
  <si>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Workpaper - Support Documents</t>
  </si>
  <si>
    <t>State Allocation Formula</t>
  </si>
  <si>
    <t>MPP WP-1.22</t>
  </si>
  <si>
    <t>71 - 86</t>
  </si>
  <si>
    <t>64 - 69</t>
  </si>
  <si>
    <t>55 - 57</t>
  </si>
  <si>
    <t>51 - 52</t>
  </si>
  <si>
    <t>49 - 50</t>
  </si>
  <si>
    <t>Restate Wages</t>
  </si>
  <si>
    <t>Federal Income Tax @ 21%</t>
  </si>
  <si>
    <t>2017 Actual</t>
  </si>
  <si>
    <t>EDIT Turn</t>
  </si>
  <si>
    <t>Around &amp; Amort</t>
  </si>
  <si>
    <t>P-10</t>
  </si>
  <si>
    <t>Remove</t>
  </si>
  <si>
    <t>SISP/SERP</t>
  </si>
  <si>
    <t>Employee</t>
  </si>
  <si>
    <t>Arbitration</t>
  </si>
  <si>
    <t>Market Data</t>
  </si>
  <si>
    <t>Subscription</t>
  </si>
  <si>
    <t>Fees</t>
  </si>
  <si>
    <t>Foros True</t>
  </si>
  <si>
    <t>Boutique</t>
  </si>
  <si>
    <t>Executive</t>
  </si>
  <si>
    <t>Incentives</t>
  </si>
  <si>
    <t>Proposed Adjustment Staff Method</t>
  </si>
  <si>
    <t>Investor Supplied Working Capital Calculation</t>
  </si>
  <si>
    <t>for the Twelve Months Ended December 31, 2016</t>
  </si>
  <si>
    <t>Calculated using Company response to UTC DR #54</t>
  </si>
  <si>
    <t>MAOP Allowed in Current Assets Acct 182 2046</t>
  </si>
  <si>
    <t>Allocator (3-Factor Formula)</t>
  </si>
  <si>
    <t>YTD</t>
  </si>
  <si>
    <t>MAOP Allowed in Current Asset Acct 1860 20479</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</si>
  <si>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</si>
  <si>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</si>
  <si>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</si>
  <si>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</si>
  <si>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</si>
  <si>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</si>
  <si>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</si>
  <si>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</si>
  <si>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</si>
  <si>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</si>
  <si>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</si>
  <si>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</si>
  <si>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</si>
  <si>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</si>
  <si>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</si>
  <si>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</si>
  <si>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</si>
  <si>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</si>
  <si>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See tab "Plant in Serv &amp; Accum Depr", cell AF147, for WA amount in CNG Exh MPP 2-6 and WP-1 8-31-17</t>
  </si>
  <si>
    <t>See tab "Plant in Serv &amp; Accum Depr", cell AF153, for WA amount in CNG Exh MPP 2-6 and WP-1 8-31-17</t>
  </si>
  <si>
    <t>1244</t>
  </si>
  <si>
    <t>2104</t>
  </si>
  <si>
    <t>2105</t>
  </si>
  <si>
    <t>2106</t>
  </si>
  <si>
    <t>2107</t>
  </si>
  <si>
    <t>x</t>
  </si>
  <si>
    <t>47031</t>
  </si>
  <si>
    <t>47088</t>
  </si>
  <si>
    <t>47090</t>
  </si>
  <si>
    <t>47107</t>
  </si>
  <si>
    <t>47531</t>
  </si>
  <si>
    <t>47586</t>
  </si>
  <si>
    <t>47698</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</si>
  <si>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</si>
  <si>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</si>
  <si>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</si>
  <si>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</si>
  <si>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</si>
  <si>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</si>
  <si>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</si>
  <si>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</si>
  <si>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</si>
  <si>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</si>
  <si>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</si>
  <si>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</si>
  <si>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</si>
  <si>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</si>
  <si>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</si>
  <si>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</si>
  <si>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</si>
  <si>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</si>
  <si>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</si>
  <si>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</si>
  <si>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</si>
  <si>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</si>
  <si>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</si>
  <si>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</si>
  <si>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</si>
  <si>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</si>
  <si>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</si>
  <si>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2039</t>
  </si>
  <si>
    <t>2040</t>
  </si>
  <si>
    <t>2042</t>
  </si>
  <si>
    <t>Other Regulatory Asset - FAS 158</t>
  </si>
  <si>
    <t>2044</t>
  </si>
  <si>
    <t>2045</t>
  </si>
  <si>
    <t>2046</t>
  </si>
  <si>
    <t>1000</t>
  </si>
  <si>
    <t>1010</t>
  </si>
  <si>
    <t>1020</t>
  </si>
  <si>
    <t>1100</t>
  </si>
  <si>
    <t>1110</t>
  </si>
  <si>
    <t>1120</t>
  </si>
  <si>
    <t>1200</t>
  </si>
  <si>
    <t>2020</t>
  </si>
  <si>
    <t>2200</t>
  </si>
  <si>
    <t>2220</t>
  </si>
  <si>
    <t>4020</t>
  </si>
  <si>
    <t>4100</t>
  </si>
  <si>
    <t>4120</t>
  </si>
  <si>
    <t>4220</t>
  </si>
  <si>
    <t>OR1</t>
  </si>
  <si>
    <t>205</t>
  </si>
  <si>
    <t>201</t>
  </si>
  <si>
    <t>20208</t>
  </si>
  <si>
    <t>20426</t>
  </si>
  <si>
    <t>20427</t>
  </si>
  <si>
    <t>20443</t>
  </si>
  <si>
    <t>20444</t>
  </si>
  <si>
    <t>20448</t>
  </si>
  <si>
    <t>20458N</t>
  </si>
  <si>
    <t>20449</t>
  </si>
  <si>
    <t>20460</t>
  </si>
  <si>
    <t>Misc Def Dr - Reg assets - Bremerton MGP Damages</t>
  </si>
  <si>
    <t>20470</t>
  </si>
  <si>
    <t>20472</t>
  </si>
  <si>
    <t>20478</t>
  </si>
  <si>
    <t>Misc Def Dr - Regulatory assets - Decoupling per DR 58</t>
  </si>
  <si>
    <t>20479</t>
  </si>
  <si>
    <t>20430</t>
  </si>
  <si>
    <t>20431</t>
  </si>
  <si>
    <t>20462</t>
  </si>
  <si>
    <t>20463</t>
  </si>
  <si>
    <t>20466</t>
  </si>
  <si>
    <t>20474</t>
  </si>
  <si>
    <t>20475</t>
  </si>
  <si>
    <t>20476</t>
  </si>
  <si>
    <t>20477</t>
  </si>
  <si>
    <t>I/C Asset-Net Benefit Funding - SISP</t>
  </si>
  <si>
    <t>1441</t>
  </si>
  <si>
    <t>1445</t>
  </si>
  <si>
    <t>2442</t>
  </si>
  <si>
    <t>2443</t>
  </si>
  <si>
    <t>3441</t>
  </si>
  <si>
    <t>3442</t>
  </si>
  <si>
    <t>2111</t>
  </si>
  <si>
    <t>3111</t>
  </si>
  <si>
    <t>3112</t>
  </si>
  <si>
    <t>1221</t>
  </si>
  <si>
    <t>1222</t>
  </si>
  <si>
    <t>4114</t>
  </si>
  <si>
    <t>0</t>
  </si>
  <si>
    <t>101</t>
  </si>
  <si>
    <t>010</t>
  </si>
  <si>
    <t>009</t>
  </si>
  <si>
    <t>401</t>
  </si>
  <si>
    <t>320</t>
  </si>
  <si>
    <t>321</t>
  </si>
  <si>
    <t>322</t>
  </si>
  <si>
    <t>325</t>
  </si>
  <si>
    <t>335</t>
  </si>
  <si>
    <t>339</t>
  </si>
  <si>
    <t>005*</t>
  </si>
  <si>
    <t>008*</t>
  </si>
  <si>
    <t>043*</t>
  </si>
  <si>
    <t>045*</t>
  </si>
  <si>
    <t>2413</t>
  </si>
  <si>
    <t>2414</t>
  </si>
  <si>
    <t>42</t>
  </si>
  <si>
    <t>30</t>
  </si>
  <si>
    <t>31</t>
  </si>
  <si>
    <t>202</t>
  </si>
  <si>
    <t>208</t>
  </si>
  <si>
    <t>223</t>
  </si>
  <si>
    <t>224</t>
  </si>
  <si>
    <t>217</t>
  </si>
  <si>
    <t>408</t>
  </si>
  <si>
    <t>304</t>
  </si>
  <si>
    <t>329</t>
  </si>
  <si>
    <t>01272</t>
  </si>
  <si>
    <t>01273</t>
  </si>
  <si>
    <t>01285</t>
  </si>
  <si>
    <t>01287</t>
  </si>
  <si>
    <t>01999</t>
  </si>
  <si>
    <t>01253</t>
  </si>
  <si>
    <t>Other Deferred Credits - Gas costs DG 01253</t>
  </si>
  <si>
    <t>01254</t>
  </si>
  <si>
    <t>Other Deferred Credits - Gas costs  DG 01254</t>
  </si>
  <si>
    <t>01284</t>
  </si>
  <si>
    <t>Other Deferred Credits - Gas costs DG 01284</t>
  </si>
  <si>
    <t>01286</t>
  </si>
  <si>
    <t>02009</t>
  </si>
  <si>
    <t>02008</t>
  </si>
  <si>
    <t>0200</t>
  </si>
  <si>
    <t>See tab "Adv for Const. &amp; Def Tax", line 18, rows AX &amp; AY in CNG Exh MPP 2-6 and WP-1 8-31-17.xlsx</t>
  </si>
  <si>
    <t>200</t>
  </si>
  <si>
    <t>See tab "Adv for Const. &amp; Def Tax", line 19, row AX in CNG Exh MPP 2-6 and WP-1 8-31-17.xlsx</t>
  </si>
  <si>
    <t>See tab "Adv for Const. &amp; Def Tax", line 21, rows AX &amp; AY in CNG Exh MPP 2-6 and WP-1 8-31-17.xlsx</t>
  </si>
  <si>
    <t>02013</t>
  </si>
  <si>
    <t>02010</t>
  </si>
  <si>
    <t>0101</t>
  </si>
  <si>
    <t>0106</t>
  </si>
  <si>
    <t>0104</t>
  </si>
  <si>
    <t>0108</t>
  </si>
  <si>
    <t>20201</t>
  </si>
  <si>
    <t>20217</t>
  </si>
  <si>
    <t>20211</t>
  </si>
  <si>
    <t>See tab "Adv for Const. &amp; Def Tax", line 26, rows AX &amp; AY in CNG Exh MPP 2-6 and WP-1 8-31-17.xlsx</t>
  </si>
  <si>
    <t>See tab "Adv for Const. &amp; Def Tax", line 28, row AY in CNG Exh MPP 2-6 and WP-1 8-31-17.xlsx</t>
  </si>
  <si>
    <t>See tab "Adv for Const. &amp; Def Tax", line 27, rows AX &amp; AY in CNG Exh MPP 2-6 and WP-1 8-31-17.xlsx</t>
  </si>
  <si>
    <t>4800</t>
  </si>
  <si>
    <t>4800CP</t>
  </si>
  <si>
    <t>4809</t>
  </si>
  <si>
    <t>4809DE</t>
  </si>
  <si>
    <t>4810</t>
  </si>
  <si>
    <t>4810CP</t>
  </si>
  <si>
    <t>4810DE</t>
  </si>
  <si>
    <t>4813</t>
  </si>
  <si>
    <t>4809CP</t>
  </si>
  <si>
    <t>4811</t>
  </si>
  <si>
    <t>4811CP</t>
  </si>
  <si>
    <t>4811DE</t>
  </si>
  <si>
    <t>4813CP</t>
  </si>
  <si>
    <t>MSRV</t>
  </si>
  <si>
    <t>SLMD</t>
  </si>
  <si>
    <t>MMAT</t>
  </si>
  <si>
    <t>SPLS</t>
  </si>
  <si>
    <t>4861</t>
  </si>
  <si>
    <t>4863</t>
  </si>
  <si>
    <t>4861DE</t>
  </si>
  <si>
    <t>MISC</t>
  </si>
  <si>
    <t>DAMG</t>
  </si>
  <si>
    <t>1331</t>
  </si>
  <si>
    <t>1333</t>
  </si>
  <si>
    <t>1511</t>
  </si>
  <si>
    <t>TOTALS</t>
  </si>
  <si>
    <t>Cash Working Capital</t>
  </si>
  <si>
    <t>CWC</t>
  </si>
  <si>
    <t>ISWC</t>
  </si>
  <si>
    <t>Allocation Percentages based to Total Investment</t>
  </si>
  <si>
    <t>Allocated Investor Supplied Working Capital</t>
  </si>
  <si>
    <t>Misc Def Dr - Regulatory assets MAOP</t>
  </si>
  <si>
    <t>Other Regulatory Asset - MAOP</t>
  </si>
  <si>
    <t>2017 Actual Deferral</t>
  </si>
  <si>
    <t>R-5</t>
  </si>
  <si>
    <t>R-6</t>
  </si>
  <si>
    <t>R-7</t>
  </si>
  <si>
    <t>R-8</t>
  </si>
  <si>
    <t>R-9</t>
  </si>
  <si>
    <t>R-10</t>
  </si>
  <si>
    <t>Pro Forma Wage</t>
  </si>
  <si>
    <t>Restate Wage</t>
  </si>
  <si>
    <t>Perkins Coie</t>
  </si>
  <si>
    <t>Note:  Information per Public Counsel DR 67, provided as Exhibit (DMR-25)</t>
  </si>
  <si>
    <t>Cost Incurred</t>
  </si>
  <si>
    <t>Through 12/6/2017</t>
  </si>
  <si>
    <t>Remaining</t>
  </si>
  <si>
    <t>Expected Costs</t>
  </si>
  <si>
    <t>Total 2017</t>
  </si>
  <si>
    <t>Two Year Normalization</t>
  </si>
  <si>
    <t>From Bench Request 1</t>
  </si>
  <si>
    <t>DOCKET UG-170929</t>
  </si>
  <si>
    <t>Exhibit No. __ (MPP-8)</t>
  </si>
  <si>
    <t>Exhibit No. __ (MPP-9)</t>
  </si>
  <si>
    <t>Exhibit No. __ (MPP-10)</t>
  </si>
  <si>
    <t>Exhibit No. __ (MPP-11)</t>
  </si>
  <si>
    <t>Exhibit No. __ (MPP-12)</t>
  </si>
  <si>
    <t>Exhibit No. __ (MPP-13)</t>
  </si>
  <si>
    <t>Updated Staff Proposed 2017 Plant Additions</t>
  </si>
  <si>
    <t>UPDATED STAFF PROPOSED 2017 PLANT ADDITIONS</t>
  </si>
  <si>
    <t>Exhibit No. __ (MPP-14)</t>
  </si>
  <si>
    <t>2017 Plant Additions</t>
  </si>
  <si>
    <t>3/23/2018</t>
  </si>
  <si>
    <t>WORKING CAPITAL CALCULATION</t>
  </si>
  <si>
    <t>Working Capital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</si>
</sst>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F800]dddd\,\ mmmm\ dd\,\ yyyy"/>
    <numFmt numFmtId="198" formatCode="&quot;$&quot;#,##0.00000_);[Red]\(&quot;$&quot;#,##0.00000\)"/>
    <numFmt numFmtId="199" formatCode="#,##0.0000_);\(#,##0.0000\)"/>
    <numFmt numFmtId="200" formatCode="mmm\-yy_)"/>
    <numFmt numFmtId="201" formatCode="0_)"/>
    <numFmt numFmtId="202" formatCode="#,##0.000000_);\(#,##0.000000\)"/>
    <numFmt numFmtId="203" formatCode="#,##0.0000000"/>
    <numFmt numFmtId="204" formatCode="[$-409]m/d/yy\ h:mm\ AM/PM;@"/>
  </numFmts>
  <fonts count="1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sz val="12"/>
      <color theme="1"/>
      <name val="Arial"/>
      <family val="2"/>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8"/>
      <color theme="1"/>
      <name val="Times New Roman"/>
      <family val="1"/>
    </font>
    <font>
      <b/>
      <sz val="10"/>
      <color indexed="12"/>
      <name val="Arial"/>
      <family val="2"/>
    </font>
    <font>
      <b/>
      <sz val="10"/>
      <color theme="1"/>
      <name val="Arial"/>
      <family val="2"/>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1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s>
  <cellStyleXfs count="29265">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6"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10" applyNumberFormat="0" applyAlignment="0" applyProtection="0">
      <alignment horizontal="left" vertical="center"/>
    </xf>
    <xf numFmtId="172" fontId="18" fillId="0" borderId="0"/>
    <xf numFmtId="174" fontId="18" fillId="0" borderId="0"/>
    <xf numFmtId="0" fontId="18" fillId="0" borderId="0"/>
    <xf numFmtId="0" fontId="24" fillId="59" borderId="126"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11" applyNumberFormat="0" applyProtection="0">
      <alignment vertical="center"/>
    </xf>
    <xf numFmtId="4" fontId="46" fillId="38" borderId="111" applyNumberFormat="0" applyProtection="0">
      <alignment vertical="center"/>
    </xf>
    <xf numFmtId="4" fontId="27" fillId="38" borderId="111" applyNumberFormat="0" applyProtection="0">
      <alignment horizontal="left" vertical="center" indent="1"/>
    </xf>
    <xf numFmtId="4" fontId="27" fillId="38" borderId="111" applyNumberFormat="0" applyProtection="0">
      <alignment horizontal="left" vertical="center" indent="1"/>
    </xf>
    <xf numFmtId="0" fontId="27" fillId="38" borderId="111" applyNumberFormat="0" applyProtection="0">
      <alignment horizontal="left" vertical="top" indent="1"/>
    </xf>
    <xf numFmtId="4" fontId="27" fillId="34" borderId="111" applyNumberFormat="0" applyProtection="0"/>
    <xf numFmtId="4" fontId="47" fillId="39" borderId="111" applyNumberFormat="0" applyProtection="0">
      <alignment horizontal="right" vertical="center"/>
    </xf>
    <xf numFmtId="4" fontId="47" fillId="40" borderId="111" applyNumberFormat="0" applyProtection="0">
      <alignment horizontal="right" vertical="center"/>
    </xf>
    <xf numFmtId="4" fontId="47" fillId="41" borderId="111" applyNumberFormat="0" applyProtection="0">
      <alignment horizontal="right" vertical="center"/>
    </xf>
    <xf numFmtId="4" fontId="47" fillId="42" borderId="111" applyNumberFormat="0" applyProtection="0">
      <alignment horizontal="right" vertical="center"/>
    </xf>
    <xf numFmtId="4" fontId="47" fillId="43" borderId="111" applyNumberFormat="0" applyProtection="0">
      <alignment horizontal="right" vertical="center"/>
    </xf>
    <xf numFmtId="4" fontId="47" fillId="44" borderId="111" applyNumberFormat="0" applyProtection="0">
      <alignment horizontal="right" vertical="center"/>
    </xf>
    <xf numFmtId="4" fontId="47" fillId="45" borderId="111" applyNumberFormat="0" applyProtection="0">
      <alignment horizontal="right" vertical="center"/>
    </xf>
    <xf numFmtId="4" fontId="47" fillId="46" borderId="111" applyNumberFormat="0" applyProtection="0">
      <alignment horizontal="right" vertical="center"/>
    </xf>
    <xf numFmtId="4" fontId="47" fillId="47" borderId="111" applyNumberFormat="0" applyProtection="0">
      <alignment horizontal="right" vertical="center"/>
    </xf>
    <xf numFmtId="4" fontId="27" fillId="48" borderId="112" applyNumberFormat="0" applyProtection="0">
      <alignment horizontal="left" vertical="center" indent="1"/>
    </xf>
    <xf numFmtId="4" fontId="47" fillId="51" borderId="111" applyNumberFormat="0" applyProtection="0">
      <alignment horizontal="right" vertical="center"/>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4" fontId="47" fillId="35" borderId="111" applyNumberFormat="0" applyProtection="0">
      <alignment vertical="center"/>
    </xf>
    <xf numFmtId="4" fontId="51" fillId="35" borderId="111" applyNumberFormat="0" applyProtection="0">
      <alignment vertical="center"/>
    </xf>
    <xf numFmtId="4" fontId="47" fillId="35" borderId="111" applyNumberFormat="0" applyProtection="0">
      <alignment horizontal="left" vertical="center" indent="1"/>
    </xf>
    <xf numFmtId="0" fontId="47" fillId="3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51" fillId="49"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4" fontId="25" fillId="49" borderId="111" applyNumberFormat="0" applyProtection="0">
      <alignment horizontal="right" vertical="center"/>
    </xf>
    <xf numFmtId="176" fontId="18" fillId="0" borderId="103">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vertical="center"/>
    </xf>
    <xf numFmtId="4" fontId="27" fillId="34" borderId="111" applyNumberFormat="0" applyProtection="0"/>
    <xf numFmtId="4" fontId="27" fillId="34" borderId="111" applyNumberFormat="0" applyProtection="0"/>
    <xf numFmtId="4" fontId="27" fillId="34" borderId="111" applyNumberFormat="0" applyProtection="0"/>
    <xf numFmtId="4" fontId="27" fillId="34" borderId="111" applyNumberFormat="0" applyProtection="0"/>
    <xf numFmtId="4" fontId="27" fillId="34" borderId="80" applyNumberFormat="0" applyProtection="0">
      <alignment vertical="center"/>
    </xf>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59"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11"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11" applyNumberFormat="0" applyProtection="0">
      <alignment horizontal="left" vertical="center" indent="1"/>
    </xf>
    <xf numFmtId="4" fontId="47" fillId="0" borderId="111" applyNumberFormat="0" applyProtection="0">
      <alignment horizontal="right" vertical="center"/>
    </xf>
    <xf numFmtId="4" fontId="47" fillId="0" borderId="111" applyNumberFormat="0" applyProtection="0">
      <alignment horizontal="left" vertical="center" indent="1"/>
    </xf>
    <xf numFmtId="0" fontId="47" fillId="34" borderId="111"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80"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5" applyNumberFormat="0" applyAlignment="0" applyProtection="0"/>
    <xf numFmtId="4" fontId="27" fillId="34" borderId="80" applyNumberFormat="0" applyProtection="0">
      <alignment vertical="center"/>
    </xf>
    <xf numFmtId="0" fontId="63" fillId="59" borderId="126" applyNumberFormat="0" applyFont="0" applyFill="0" applyAlignment="0" applyProtection="0">
      <protection locked="0"/>
    </xf>
    <xf numFmtId="0" fontId="18" fillId="51" borderId="128" applyNumberFormat="0" applyProtection="0">
      <alignment horizontal="left" vertical="center" indent="1"/>
    </xf>
    <xf numFmtId="0" fontId="110" fillId="77" borderId="125"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8"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8" applyNumberFormat="0" applyProtection="0">
      <alignment horizontal="right" vertical="center"/>
    </xf>
    <xf numFmtId="4" fontId="47" fillId="0" borderId="128" applyNumberFormat="0" applyProtection="0">
      <alignment horizontal="left" vertical="center" indent="1"/>
    </xf>
    <xf numFmtId="0" fontId="18" fillId="54" borderId="128" applyNumberFormat="0" applyProtection="0">
      <alignment horizontal="left" vertical="top" indent="1"/>
    </xf>
    <xf numFmtId="4" fontId="27" fillId="38" borderId="128" applyNumberFormat="0" applyProtection="0">
      <alignment horizontal="left" vertical="center" indent="1"/>
    </xf>
    <xf numFmtId="0" fontId="18" fillId="0" borderId="0"/>
    <xf numFmtId="0" fontId="18" fillId="0" borderId="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47" fillId="34" borderId="128" applyNumberFormat="0" applyProtection="0">
      <alignment horizontal="left" vertical="top"/>
    </xf>
    <xf numFmtId="4" fontId="47" fillId="35" borderId="128" applyNumberFormat="0" applyProtection="0">
      <alignment horizontal="left" vertical="center" indent="1"/>
    </xf>
    <xf numFmtId="0" fontId="18" fillId="50" borderId="128" applyNumberFormat="0" applyProtection="0">
      <alignment horizontal="left" vertical="center" indent="1"/>
    </xf>
    <xf numFmtId="4" fontId="27" fillId="38" borderId="128" applyNumberFormat="0" applyProtection="0">
      <alignment horizontal="left" vertical="center" indent="1"/>
    </xf>
    <xf numFmtId="0" fontId="18" fillId="51" borderId="128"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8" applyNumberFormat="0" applyProtection="0">
      <alignment horizontal="right" vertical="center"/>
    </xf>
    <xf numFmtId="0" fontId="18" fillId="34" borderId="128" applyNumberFormat="0" applyProtection="0">
      <alignment horizontal="left" vertical="top" indent="1"/>
    </xf>
    <xf numFmtId="0" fontId="18" fillId="85" borderId="128" applyNumberFormat="0" applyProtection="0">
      <alignment horizontal="left" vertical="center" indent="1"/>
    </xf>
    <xf numFmtId="0" fontId="18" fillId="85" borderId="128" applyNumberFormat="0" applyProtection="0">
      <alignment horizontal="left" vertical="center" indent="1"/>
    </xf>
    <xf numFmtId="0" fontId="18" fillId="50" borderId="128" applyNumberFormat="0" applyProtection="0">
      <alignment horizontal="left" vertical="top" indent="1"/>
    </xf>
    <xf numFmtId="4" fontId="47" fillId="43" borderId="128" applyNumberFormat="0" applyProtection="0">
      <alignment horizontal="right" vertical="center"/>
    </xf>
    <xf numFmtId="0" fontId="18" fillId="54" borderId="128" applyNumberFormat="0" applyProtection="0">
      <alignment horizontal="left" vertical="center" indent="1"/>
    </xf>
    <xf numFmtId="0" fontId="105" fillId="0" borderId="132" applyNumberFormat="0" applyFill="0" applyAlignment="0" applyProtection="0"/>
    <xf numFmtId="0" fontId="105" fillId="0" borderId="132" applyNumberFormat="0" applyFill="0" applyAlignment="0" applyProtection="0"/>
    <xf numFmtId="4" fontId="47" fillId="45" borderId="128" applyNumberFormat="0" applyProtection="0">
      <alignment horizontal="right" vertical="center"/>
    </xf>
    <xf numFmtId="0" fontId="102" fillId="79" borderId="129" applyNumberFormat="0" applyAlignment="0" applyProtection="0"/>
    <xf numFmtId="4" fontId="47" fillId="0" borderId="128" applyNumberFormat="0" applyProtection="0">
      <alignment horizontal="right" vertical="center"/>
    </xf>
    <xf numFmtId="0" fontId="18" fillId="34" borderId="128" applyNumberFormat="0" applyProtection="0">
      <alignment horizontal="left" vertical="top" indent="1"/>
    </xf>
    <xf numFmtId="0" fontId="18" fillId="84" borderId="128" applyNumberFormat="0" applyProtection="0">
      <alignment horizontal="left" vertical="center" indent="1"/>
    </xf>
    <xf numFmtId="0" fontId="18" fillId="34" borderId="128" applyNumberFormat="0" applyProtection="0">
      <alignment horizontal="left" vertical="center" indent="1"/>
    </xf>
    <xf numFmtId="0" fontId="18" fillId="50" borderId="128" applyNumberFormat="0" applyProtection="0">
      <alignment horizontal="left" vertical="center" indent="1"/>
    </xf>
    <xf numFmtId="0" fontId="18" fillId="50" borderId="128" applyNumberFormat="0" applyProtection="0">
      <alignment horizontal="left" vertical="top" indent="1"/>
    </xf>
    <xf numFmtId="0" fontId="110" fillId="77" borderId="129" applyNumberFormat="0" applyAlignment="0" applyProtection="0"/>
    <xf numFmtId="4" fontId="47" fillId="41" borderId="128" applyNumberFormat="0" applyProtection="0">
      <alignment horizontal="right" vertical="center"/>
    </xf>
    <xf numFmtId="0" fontId="105" fillId="0" borderId="132" applyNumberFormat="0" applyFill="0" applyAlignment="0" applyProtection="0"/>
    <xf numFmtId="0" fontId="18" fillId="50" borderId="128" applyNumberFormat="0" applyProtection="0">
      <alignment horizontal="left" vertical="center" indent="1"/>
    </xf>
    <xf numFmtId="4" fontId="27" fillId="37" borderId="128" applyNumberFormat="0" applyProtection="0">
      <alignment vertical="center"/>
    </xf>
    <xf numFmtId="0" fontId="18" fillId="85" borderId="128" applyNumberFormat="0" applyProtection="0">
      <alignment horizontal="left" vertical="center" indent="1"/>
    </xf>
    <xf numFmtId="4" fontId="47" fillId="51" borderId="128" applyNumberFormat="0" applyProtection="0">
      <alignment horizontal="right" vertical="center"/>
    </xf>
    <xf numFmtId="4" fontId="47" fillId="35" borderId="128" applyNumberFormat="0" applyProtection="0">
      <alignment horizontal="left" vertical="center" indent="1"/>
    </xf>
    <xf numFmtId="0" fontId="18" fillId="84" borderId="128" applyNumberFormat="0" applyProtection="0">
      <alignment horizontal="left" vertical="top" indent="1"/>
    </xf>
    <xf numFmtId="0" fontId="114" fillId="79" borderId="131" applyNumberFormat="0" applyAlignment="0" applyProtection="0"/>
    <xf numFmtId="0" fontId="24" fillId="59" borderId="133" applyNumberFormat="0" applyFont="0" applyAlignment="0" applyProtection="0">
      <protection locked="0"/>
    </xf>
    <xf numFmtId="4" fontId="47" fillId="40" borderId="128" applyNumberFormat="0" applyProtection="0">
      <alignment horizontal="right" vertical="center"/>
    </xf>
    <xf numFmtId="0" fontId="18" fillId="54" borderId="128" applyNumberFormat="0" applyProtection="0">
      <alignment horizontal="left" vertical="center" indent="1"/>
    </xf>
    <xf numFmtId="0" fontId="105" fillId="0" borderId="132" applyNumberFormat="0" applyFill="0" applyAlignment="0" applyProtection="0"/>
    <xf numFmtId="0" fontId="18" fillId="51" borderId="128" applyNumberFormat="0" applyProtection="0">
      <alignment horizontal="left" vertical="top" indent="1"/>
    </xf>
    <xf numFmtId="0" fontId="110" fillId="77" borderId="129" applyNumberFormat="0" applyAlignment="0" applyProtection="0"/>
    <xf numFmtId="4" fontId="47" fillId="0" borderId="128" applyNumberFormat="0" applyProtection="0">
      <alignment horizontal="right" vertical="center"/>
    </xf>
    <xf numFmtId="0" fontId="47" fillId="34" borderId="128" applyNumberFormat="0" applyProtection="0">
      <alignment horizontal="left" vertical="top"/>
    </xf>
    <xf numFmtId="0" fontId="18" fillId="54" borderId="128" applyNumberFormat="0" applyProtection="0">
      <alignment horizontal="left" vertical="center" indent="1"/>
    </xf>
    <xf numFmtId="4" fontId="47" fillId="44" borderId="128" applyNumberFormat="0" applyProtection="0">
      <alignment horizontal="right" vertical="center"/>
    </xf>
    <xf numFmtId="0" fontId="114" fillId="79" borderId="131" applyNumberFormat="0" applyAlignment="0" applyProtection="0"/>
    <xf numFmtId="0" fontId="18" fillId="49" borderId="128" applyNumberFormat="0" applyProtection="0">
      <alignment horizontal="left" vertical="top" indent="1"/>
    </xf>
    <xf numFmtId="4" fontId="47" fillId="40" borderId="128" applyNumberFormat="0" applyProtection="0">
      <alignment horizontal="right" vertical="center"/>
    </xf>
    <xf numFmtId="0" fontId="114" fillId="79" borderId="131" applyNumberFormat="0" applyAlignment="0" applyProtection="0"/>
    <xf numFmtId="4" fontId="51" fillId="49" borderId="128" applyNumberFormat="0" applyProtection="0">
      <alignment horizontal="right" vertical="center"/>
    </xf>
    <xf numFmtId="4" fontId="47" fillId="35" borderId="128" applyNumberFormat="0" applyProtection="0">
      <alignment vertical="center"/>
    </xf>
    <xf numFmtId="0" fontId="18" fillId="84" borderId="128" applyNumberFormat="0" applyProtection="0">
      <alignment horizontal="left" vertical="top" indent="1"/>
    </xf>
    <xf numFmtId="4" fontId="25" fillId="49" borderId="128" applyNumberFormat="0" applyProtection="0">
      <alignment horizontal="right" vertical="center"/>
    </xf>
    <xf numFmtId="4" fontId="47" fillId="35" borderId="128" applyNumberFormat="0" applyProtection="0">
      <alignment vertical="center"/>
    </xf>
    <xf numFmtId="0" fontId="18" fillId="50" borderId="128" applyNumberFormat="0" applyProtection="0">
      <alignment horizontal="left" vertical="top" indent="1"/>
    </xf>
    <xf numFmtId="0" fontId="114" fillId="79" borderId="131" applyNumberFormat="0" applyAlignment="0" applyProtection="0"/>
    <xf numFmtId="0" fontId="114" fillId="79" borderId="131" applyNumberFormat="0" applyAlignment="0" applyProtection="0"/>
    <xf numFmtId="4" fontId="47" fillId="46" borderId="128" applyNumberFormat="0" applyProtection="0">
      <alignment horizontal="right" vertical="center"/>
    </xf>
    <xf numFmtId="0" fontId="18" fillId="54" borderId="128" applyNumberFormat="0" applyProtection="0">
      <alignment horizontal="left" vertical="top" indent="1"/>
    </xf>
    <xf numFmtId="0" fontId="105" fillId="0" borderId="132" applyNumberFormat="0" applyFill="0" applyAlignment="0" applyProtection="0"/>
    <xf numFmtId="0" fontId="18" fillId="85" borderId="128" applyNumberFormat="0" applyProtection="0">
      <alignment horizontal="left" vertical="top" indent="1"/>
    </xf>
    <xf numFmtId="4" fontId="47" fillId="0" borderId="128" applyNumberFormat="0" applyProtection="0">
      <alignment horizontal="left" vertical="center" indent="1"/>
    </xf>
    <xf numFmtId="4" fontId="27" fillId="38" borderId="128" applyNumberFormat="0" applyProtection="0">
      <alignment horizontal="left" vertical="center" indent="1"/>
    </xf>
    <xf numFmtId="0" fontId="18" fillId="55" borderId="128" applyNumberFormat="0" applyProtection="0">
      <alignment horizontal="left" vertical="top" indent="1"/>
    </xf>
    <xf numFmtId="0" fontId="18" fillId="50" borderId="128" applyNumberFormat="0" applyProtection="0">
      <alignment horizontal="left" vertical="top" indent="1"/>
    </xf>
    <xf numFmtId="4" fontId="47" fillId="47" borderId="128" applyNumberFormat="0" applyProtection="0">
      <alignment horizontal="right" vertical="center"/>
    </xf>
    <xf numFmtId="0" fontId="102" fillId="79" borderId="129" applyNumberFormat="0" applyAlignment="0" applyProtection="0"/>
    <xf numFmtId="0" fontId="18" fillId="49" borderId="128" applyNumberFormat="0" applyProtection="0">
      <alignment horizontal="left" vertical="center" indent="1"/>
    </xf>
    <xf numFmtId="0" fontId="105" fillId="0" borderId="132" applyNumberFormat="0" applyFill="0" applyAlignment="0" applyProtection="0"/>
    <xf numFmtId="0" fontId="18" fillId="54" borderId="128" applyNumberFormat="0" applyProtection="0">
      <alignment horizontal="left" vertical="center" indent="1"/>
    </xf>
    <xf numFmtId="0" fontId="18" fillId="55" borderId="128" applyNumberFormat="0" applyProtection="0">
      <alignment horizontal="left" vertical="top" indent="1"/>
    </xf>
    <xf numFmtId="0" fontId="114" fillId="79" borderId="131" applyNumberFormat="0" applyAlignment="0" applyProtection="0"/>
    <xf numFmtId="4" fontId="47" fillId="0" borderId="128" applyNumberFormat="0" applyProtection="0">
      <alignment horizontal="left" vertical="center" indent="1"/>
    </xf>
    <xf numFmtId="0" fontId="18" fillId="49" borderId="128" applyNumberFormat="0" applyProtection="0">
      <alignment horizontal="left" vertical="center" indent="1"/>
    </xf>
    <xf numFmtId="0" fontId="18" fillId="76" borderId="130" applyNumberFormat="0" applyFont="0" applyAlignment="0" applyProtection="0"/>
    <xf numFmtId="0" fontId="18" fillId="34" borderId="128" applyNumberFormat="0" applyProtection="0">
      <alignment horizontal="left" vertical="center" indent="1"/>
    </xf>
    <xf numFmtId="0" fontId="27" fillId="38" borderId="128" applyNumberFormat="0" applyProtection="0">
      <alignment horizontal="left" vertical="top" indent="1"/>
    </xf>
    <xf numFmtId="0" fontId="18" fillId="76" borderId="130" applyNumberFormat="0" applyFont="0" applyAlignment="0" applyProtection="0"/>
    <xf numFmtId="0" fontId="18" fillId="51" borderId="128" applyNumberFormat="0" applyProtection="0">
      <alignment horizontal="left" vertical="center" indent="1"/>
    </xf>
    <xf numFmtId="4" fontId="47" fillId="0" borderId="128" applyNumberFormat="0" applyProtection="0">
      <alignment horizontal="left" vertical="center" indent="1"/>
    </xf>
    <xf numFmtId="0" fontId="18" fillId="49" borderId="128" applyNumberFormat="0" applyProtection="0">
      <alignment horizontal="left" vertical="top" indent="1"/>
    </xf>
    <xf numFmtId="0" fontId="18" fillId="54" borderId="128" applyNumberFormat="0" applyProtection="0">
      <alignment horizontal="left" vertical="top" indent="1"/>
    </xf>
    <xf numFmtId="0" fontId="114" fillId="79" borderId="131" applyNumberFormat="0" applyAlignment="0" applyProtection="0"/>
    <xf numFmtId="0" fontId="105" fillId="0" borderId="132" applyNumberFormat="0" applyFill="0" applyAlignment="0" applyProtection="0"/>
    <xf numFmtId="0" fontId="18" fillId="85" borderId="128" applyNumberFormat="0" applyProtection="0">
      <alignment horizontal="left" vertical="top" indent="1"/>
    </xf>
    <xf numFmtId="4" fontId="47" fillId="45" borderId="128" applyNumberFormat="0" applyProtection="0">
      <alignment horizontal="right" vertical="center"/>
    </xf>
    <xf numFmtId="0" fontId="110" fillId="77" borderId="129" applyNumberFormat="0" applyAlignment="0" applyProtection="0"/>
    <xf numFmtId="0" fontId="18" fillId="84" borderId="128" applyNumberFormat="0" applyProtection="0">
      <alignment horizontal="left" vertical="center" indent="1"/>
    </xf>
    <xf numFmtId="0" fontId="18" fillId="49" borderId="128" applyNumberFormat="0" applyProtection="0">
      <alignment horizontal="left" vertical="top" indent="1"/>
    </xf>
    <xf numFmtId="44" fontId="18" fillId="0" borderId="0" applyFont="0" applyFill="0" applyBorder="0" applyAlignment="0" applyProtection="0"/>
    <xf numFmtId="0" fontId="18" fillId="55" borderId="128" applyNumberFormat="0" applyProtection="0">
      <alignment horizontal="left" vertical="center" indent="1"/>
    </xf>
    <xf numFmtId="0" fontId="47" fillId="34" borderId="128" applyNumberFormat="0" applyProtection="0">
      <alignment horizontal="left" vertical="top"/>
    </xf>
    <xf numFmtId="0" fontId="18" fillId="54" borderId="128" applyNumberFormat="0" applyProtection="0">
      <alignment horizontal="left" vertical="top" indent="1"/>
    </xf>
    <xf numFmtId="4" fontId="47" fillId="44" borderId="128" applyNumberFormat="0" applyProtection="0">
      <alignment horizontal="right" vertical="center"/>
    </xf>
    <xf numFmtId="4" fontId="47" fillId="0" borderId="128" applyNumberFormat="0" applyProtection="0">
      <alignment horizontal="right" vertical="center"/>
    </xf>
    <xf numFmtId="0" fontId="18" fillId="51" borderId="128" applyNumberFormat="0" applyProtection="0">
      <alignment horizontal="left" vertical="center" indent="1"/>
    </xf>
    <xf numFmtId="4" fontId="27" fillId="37" borderId="128" applyNumberFormat="0" applyProtection="0">
      <alignment vertical="center"/>
    </xf>
    <xf numFmtId="0" fontId="105" fillId="0" borderId="132" applyNumberFormat="0" applyFill="0" applyAlignment="0" applyProtection="0"/>
    <xf numFmtId="0" fontId="27" fillId="38" borderId="128" applyNumberFormat="0" applyProtection="0">
      <alignment horizontal="left" vertical="top" indent="1"/>
    </xf>
    <xf numFmtId="0" fontId="18" fillId="51" borderId="128" applyNumberFormat="0" applyProtection="0">
      <alignment horizontal="left" vertical="top" indent="1"/>
    </xf>
    <xf numFmtId="0" fontId="47" fillId="34" borderId="128" applyNumberFormat="0" applyProtection="0">
      <alignment horizontal="left" vertical="top"/>
    </xf>
    <xf numFmtId="0" fontId="18" fillId="85" borderId="128" applyNumberFormat="0" applyProtection="0">
      <alignment horizontal="left" vertical="center" indent="1"/>
    </xf>
    <xf numFmtId="0" fontId="110" fillId="77" borderId="129" applyNumberFormat="0" applyAlignment="0" applyProtection="0"/>
    <xf numFmtId="4" fontId="47" fillId="0" borderId="128" applyNumberFormat="0" applyProtection="0">
      <alignment horizontal="left" vertical="center" indent="1"/>
    </xf>
    <xf numFmtId="4" fontId="25" fillId="49" borderId="128" applyNumberFormat="0" applyProtection="0">
      <alignment horizontal="right" vertical="center"/>
    </xf>
    <xf numFmtId="0" fontId="18" fillId="54" borderId="128" applyNumberFormat="0" applyProtection="0">
      <alignment horizontal="left" vertical="center" indent="1"/>
    </xf>
    <xf numFmtId="4" fontId="47" fillId="46" borderId="128" applyNumberFormat="0" applyProtection="0">
      <alignment horizontal="right" vertical="center"/>
    </xf>
    <xf numFmtId="0" fontId="18" fillId="85" borderId="128" applyNumberFormat="0" applyProtection="0">
      <alignment horizontal="left" vertical="center" indent="1"/>
    </xf>
    <xf numFmtId="0" fontId="114" fillId="79" borderId="131" applyNumberFormat="0" applyAlignment="0" applyProtection="0"/>
    <xf numFmtId="4" fontId="27" fillId="38" borderId="128" applyNumberFormat="0" applyProtection="0">
      <alignment horizontal="left" vertical="center" indent="1"/>
    </xf>
    <xf numFmtId="0" fontId="18" fillId="55" borderId="128" applyNumberFormat="0" applyProtection="0">
      <alignment horizontal="left" vertical="center" indent="1"/>
    </xf>
    <xf numFmtId="4" fontId="46" fillId="38" borderId="128" applyNumberFormat="0" applyProtection="0">
      <alignment vertical="center"/>
    </xf>
    <xf numFmtId="0" fontId="114" fillId="79" borderId="131" applyNumberFormat="0" applyAlignment="0" applyProtection="0"/>
    <xf numFmtId="0" fontId="105" fillId="0" borderId="132" applyNumberFormat="0" applyFill="0" applyAlignment="0" applyProtection="0"/>
    <xf numFmtId="4" fontId="47" fillId="39" borderId="128" applyNumberFormat="0" applyProtection="0">
      <alignment horizontal="right" vertical="center"/>
    </xf>
    <xf numFmtId="4" fontId="27" fillId="34" borderId="135" applyNumberFormat="0" applyProtection="0">
      <alignment vertical="center"/>
    </xf>
    <xf numFmtId="4" fontId="47" fillId="35" borderId="128" applyNumberFormat="0" applyProtection="0">
      <alignment horizontal="left" vertical="center" indent="1"/>
    </xf>
    <xf numFmtId="0" fontId="18" fillId="84" borderId="128" applyNumberFormat="0" applyProtection="0">
      <alignment horizontal="left" vertical="top" indent="1"/>
    </xf>
    <xf numFmtId="0" fontId="18" fillId="85" borderId="128" applyNumberFormat="0" applyProtection="0">
      <alignment horizontal="left" vertical="center" indent="1"/>
    </xf>
    <xf numFmtId="0" fontId="18" fillId="49" borderId="128" applyNumberFormat="0" applyProtection="0">
      <alignment horizontal="left" vertical="center" indent="1"/>
    </xf>
    <xf numFmtId="0" fontId="114" fillId="79" borderId="131" applyNumberFormat="0" applyAlignment="0" applyProtection="0"/>
    <xf numFmtId="0" fontId="102" fillId="79" borderId="129" applyNumberFormat="0" applyAlignment="0" applyProtection="0"/>
    <xf numFmtId="0" fontId="18" fillId="76" borderId="130" applyNumberFormat="0" applyFont="0" applyAlignment="0" applyProtection="0"/>
    <xf numFmtId="0" fontId="102" fillId="79" borderId="129" applyNumberFormat="0" applyAlignment="0" applyProtection="0"/>
    <xf numFmtId="0" fontId="18" fillId="0" borderId="0"/>
    <xf numFmtId="4" fontId="27" fillId="37" borderId="128" applyNumberFormat="0" applyProtection="0">
      <alignment vertical="center"/>
    </xf>
    <xf numFmtId="4" fontId="27" fillId="38" borderId="128" applyNumberFormat="0" applyProtection="0">
      <alignment horizontal="left" vertical="center" indent="1"/>
    </xf>
    <xf numFmtId="0" fontId="18" fillId="34" borderId="128" applyNumberFormat="0" applyProtection="0">
      <alignment horizontal="left" vertical="top" indent="1"/>
    </xf>
    <xf numFmtId="4" fontId="47" fillId="51" borderId="128" applyNumberFormat="0" applyProtection="0">
      <alignment horizontal="left" vertical="center" indent="1"/>
    </xf>
    <xf numFmtId="4" fontId="27" fillId="38" borderId="128" applyNumberFormat="0" applyProtection="0">
      <alignment vertical="center"/>
    </xf>
    <xf numFmtId="0" fontId="24" fillId="59" borderId="133" applyNumberFormat="0" applyFont="0" applyAlignment="0" applyProtection="0">
      <protection locked="0"/>
    </xf>
    <xf numFmtId="0" fontId="18" fillId="34" borderId="128" applyNumberFormat="0" applyProtection="0">
      <alignment horizontal="left" vertical="top" indent="1"/>
    </xf>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18" fillId="50" borderId="128" applyNumberFormat="0" applyProtection="0">
      <alignment horizontal="left" vertical="top" indent="1"/>
    </xf>
    <xf numFmtId="4" fontId="27" fillId="34" borderId="128" applyNumberForma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8" fillId="50" borderId="128" applyNumberFormat="0" applyProtection="0">
      <alignment horizontal="left" vertical="center" indent="1"/>
    </xf>
    <xf numFmtId="0" fontId="18" fillId="76" borderId="120" applyNumberFormat="0" applyFont="0" applyAlignment="0" applyProtection="0"/>
    <xf numFmtId="4" fontId="51" fillId="35" borderId="128" applyNumberFormat="0" applyProtection="0">
      <alignment vertical="center"/>
    </xf>
    <xf numFmtId="0" fontId="18" fillId="50" borderId="128" applyNumberFormat="0" applyProtection="0">
      <alignment horizontal="left" vertical="center" indent="1"/>
    </xf>
    <xf numFmtId="4" fontId="27" fillId="38" borderId="128" applyNumberFormat="0" applyProtection="0">
      <alignment horizontal="left" vertical="center" indent="1"/>
    </xf>
    <xf numFmtId="0" fontId="18" fillId="54" borderId="128" applyNumberFormat="0" applyProtection="0">
      <alignment horizontal="left" vertical="top" indent="1"/>
    </xf>
    <xf numFmtId="0" fontId="21" fillId="35" borderId="12" applyNumberFormat="0" applyFont="0" applyAlignment="0" applyProtection="0">
      <alignment horizontal="center"/>
      <protection locked="0"/>
    </xf>
    <xf numFmtId="0" fontId="18" fillId="76" borderId="130" applyNumberFormat="0" applyFont="0" applyAlignment="0" applyProtection="0"/>
    <xf numFmtId="0" fontId="18" fillId="76" borderId="130" applyNumberFormat="0" applyFont="0" applyAlignment="0" applyProtection="0"/>
    <xf numFmtId="0" fontId="105" fillId="0" borderId="132" applyNumberFormat="0" applyFill="0" applyAlignment="0" applyProtection="0"/>
    <xf numFmtId="0" fontId="114" fillId="79" borderId="131" applyNumberFormat="0" applyAlignment="0" applyProtection="0"/>
    <xf numFmtId="0" fontId="114" fillId="79" borderId="131" applyNumberFormat="0" applyAlignment="0" applyProtection="0"/>
    <xf numFmtId="4" fontId="47" fillId="45" borderId="128" applyNumberFormat="0" applyProtection="0">
      <alignment horizontal="right" vertical="center"/>
    </xf>
    <xf numFmtId="0" fontId="18" fillId="54" borderId="128" applyNumberFormat="0" applyProtection="0">
      <alignment horizontal="left" vertical="top" indent="1"/>
    </xf>
    <xf numFmtId="0" fontId="110" fillId="77" borderId="129" applyNumberFormat="0" applyAlignment="0" applyProtection="0"/>
    <xf numFmtId="0" fontId="18" fillId="51" borderId="128" applyNumberFormat="0" applyProtection="0">
      <alignment horizontal="left" vertical="center" indent="1"/>
    </xf>
    <xf numFmtId="0" fontId="18" fillId="76" borderId="130" applyNumberFormat="0" applyFont="0" applyAlignment="0" applyProtection="0"/>
    <xf numFmtId="4" fontId="47" fillId="40" borderId="128" applyNumberFormat="0" applyProtection="0">
      <alignment horizontal="right" vertical="center"/>
    </xf>
    <xf numFmtId="0" fontId="27" fillId="38" borderId="128" applyNumberFormat="0" applyProtection="0">
      <alignment horizontal="left" vertical="top" indent="1"/>
    </xf>
    <xf numFmtId="0" fontId="18" fillId="49" borderId="128" applyNumberFormat="0" applyProtection="0">
      <alignment horizontal="left" vertical="top" indent="1"/>
    </xf>
    <xf numFmtId="4" fontId="46" fillId="38" borderId="128" applyNumberFormat="0" applyProtection="0">
      <alignment vertical="center"/>
    </xf>
    <xf numFmtId="0" fontId="18" fillId="51" borderId="128" applyNumberFormat="0" applyProtection="0">
      <alignment horizontal="left" vertical="top" indent="1"/>
    </xf>
    <xf numFmtId="4" fontId="47" fillId="59" borderId="128" applyNumberFormat="0" applyProtection="0">
      <alignment horizontal="left" vertical="center" indent="1"/>
    </xf>
    <xf numFmtId="4" fontId="47" fillId="44" borderId="128" applyNumberFormat="0" applyProtection="0">
      <alignment horizontal="right" vertical="center"/>
    </xf>
    <xf numFmtId="0" fontId="105" fillId="0" borderId="132" applyNumberFormat="0" applyFill="0" applyAlignment="0" applyProtection="0"/>
    <xf numFmtId="0" fontId="18" fillId="84" borderId="128" applyNumberFormat="0" applyProtection="0">
      <alignment horizontal="left" vertical="center" indent="1"/>
    </xf>
    <xf numFmtId="0" fontId="18" fillId="55" borderId="128" applyNumberFormat="0" applyProtection="0">
      <alignment horizontal="left" vertical="top" indent="1"/>
    </xf>
    <xf numFmtId="4" fontId="47" fillId="45" borderId="128" applyNumberFormat="0" applyProtection="0">
      <alignment horizontal="right" vertical="center"/>
    </xf>
    <xf numFmtId="4" fontId="47" fillId="0" borderId="128" applyNumberFormat="0" applyProtection="0">
      <alignment horizontal="right" vertical="center"/>
    </xf>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8" fillId="84" borderId="128" applyNumberFormat="0" applyProtection="0">
      <alignment horizontal="left" vertical="top" indent="1"/>
    </xf>
    <xf numFmtId="0" fontId="18" fillId="76" borderId="13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34" borderId="128" applyNumberFormat="0" applyProtection="0">
      <alignment horizontal="left" vertical="center" indent="1"/>
    </xf>
    <xf numFmtId="4" fontId="47" fillId="40" borderId="128" applyNumberFormat="0" applyProtection="0">
      <alignment horizontal="right" vertical="center"/>
    </xf>
    <xf numFmtId="4" fontId="47" fillId="35" borderId="128" applyNumberFormat="0" applyProtection="0">
      <alignment horizontal="left" vertical="center" indent="1"/>
    </xf>
    <xf numFmtId="0" fontId="105" fillId="0" borderId="132" applyNumberFormat="0" applyFill="0" applyAlignment="0" applyProtection="0"/>
    <xf numFmtId="0" fontId="18" fillId="84" borderId="128" applyNumberFormat="0" applyProtection="0">
      <alignment horizontal="left" vertical="top" indent="1"/>
    </xf>
    <xf numFmtId="4" fontId="47" fillId="0" borderId="128" applyNumberFormat="0" applyProtection="0">
      <alignment horizontal="left" vertical="center" indent="1"/>
    </xf>
    <xf numFmtId="0" fontId="18" fillId="85" borderId="128" applyNumberFormat="0" applyProtection="0">
      <alignment horizontal="left" vertical="center" indent="1"/>
    </xf>
    <xf numFmtId="0" fontId="18" fillId="51" borderId="128" applyNumberFormat="0" applyProtection="0">
      <alignment horizontal="left" vertical="top" indent="1"/>
    </xf>
    <xf numFmtId="4" fontId="51" fillId="35" borderId="128" applyNumberFormat="0" applyProtection="0">
      <alignment vertical="center"/>
    </xf>
    <xf numFmtId="4" fontId="47" fillId="45" borderId="128" applyNumberFormat="0" applyProtection="0">
      <alignment horizontal="right" vertical="center"/>
    </xf>
    <xf numFmtId="0" fontId="18" fillId="55" borderId="128" applyNumberFormat="0" applyProtection="0">
      <alignment horizontal="left" vertical="top" indent="1"/>
    </xf>
    <xf numFmtId="0" fontId="102" fillId="79" borderId="129" applyNumberFormat="0" applyAlignment="0" applyProtection="0"/>
    <xf numFmtId="0" fontId="63" fillId="59" borderId="133" applyNumberFormat="0" applyFont="0" applyFill="0" applyAlignment="0" applyProtection="0">
      <protection locked="0"/>
    </xf>
    <xf numFmtId="0" fontId="18" fillId="49" borderId="128" applyNumberFormat="0" applyProtection="0">
      <alignment horizontal="left" vertical="center" indent="1"/>
    </xf>
    <xf numFmtId="0" fontId="105" fillId="0" borderId="132" applyNumberFormat="0" applyFill="0" applyAlignment="0" applyProtection="0"/>
    <xf numFmtId="0" fontId="47" fillId="34" borderId="128" applyNumberFormat="0" applyProtection="0">
      <alignment horizontal="left" vertical="top"/>
    </xf>
    <xf numFmtId="4" fontId="27" fillId="34" borderId="128" applyNumberFormat="0" applyProtection="0"/>
    <xf numFmtId="4" fontId="27" fillId="34" borderId="128" applyNumberFormat="0" applyProtection="0"/>
    <xf numFmtId="0" fontId="114" fillId="79" borderId="131" applyNumberFormat="0" applyAlignment="0" applyProtection="0"/>
    <xf numFmtId="0" fontId="18" fillId="54" borderId="128" applyNumberFormat="0" applyProtection="0">
      <alignment horizontal="left" vertical="center" indent="1"/>
    </xf>
    <xf numFmtId="0" fontId="18" fillId="34" borderId="128" applyNumberFormat="0" applyProtection="0">
      <alignment horizontal="left" vertical="center" indent="1"/>
    </xf>
    <xf numFmtId="0" fontId="110" fillId="77" borderId="129" applyNumberFormat="0" applyAlignment="0" applyProtection="0"/>
    <xf numFmtId="4" fontId="47" fillId="0" borderId="128" applyNumberFormat="0" applyProtection="0">
      <alignment horizontal="right" vertical="center"/>
    </xf>
    <xf numFmtId="0" fontId="47" fillId="34" borderId="128" applyNumberFormat="0" applyProtection="0">
      <alignment horizontal="center" vertical="top"/>
    </xf>
    <xf numFmtId="4" fontId="47" fillId="41" borderId="128" applyNumberFormat="0" applyProtection="0">
      <alignment horizontal="right" vertical="center"/>
    </xf>
    <xf numFmtId="4" fontId="47" fillId="35" borderId="128" applyNumberFormat="0" applyProtection="0">
      <alignment horizontal="left" vertical="center" indent="1"/>
    </xf>
    <xf numFmtId="0" fontId="18" fillId="76" borderId="130" applyNumberFormat="0" applyFont="0" applyAlignment="0" applyProtection="0"/>
    <xf numFmtId="0" fontId="18" fillId="50" borderId="128" applyNumberFormat="0" applyProtection="0">
      <alignment horizontal="left" vertical="top" indent="1"/>
    </xf>
    <xf numFmtId="0" fontId="114" fillId="79" borderId="131" applyNumberFormat="0" applyAlignment="0" applyProtection="0"/>
    <xf numFmtId="4" fontId="27" fillId="38" borderId="128" applyNumberFormat="0" applyProtection="0">
      <alignment horizontal="left" vertical="center" indent="1"/>
    </xf>
    <xf numFmtId="0" fontId="105" fillId="0" borderId="132" applyNumberFormat="0" applyFill="0" applyAlignment="0" applyProtection="0"/>
    <xf numFmtId="4" fontId="27" fillId="38" borderId="128" applyNumberFormat="0" applyProtection="0">
      <alignment horizontal="left" vertical="center" indent="1"/>
    </xf>
    <xf numFmtId="0" fontId="18" fillId="34" borderId="128" applyNumberFormat="0" applyProtection="0">
      <alignment horizontal="left" vertical="center" indent="1"/>
    </xf>
    <xf numFmtId="4" fontId="27" fillId="34" borderId="128" applyNumberFormat="0" applyProtection="0"/>
    <xf numFmtId="0" fontId="102" fillId="79" borderId="125" applyNumberFormat="0" applyAlignment="0" applyProtection="0"/>
    <xf numFmtId="0" fontId="110" fillId="77" borderId="125" applyNumberFormat="0" applyAlignment="0" applyProtection="0"/>
    <xf numFmtId="0" fontId="114" fillId="79" borderId="121" applyNumberFormat="0" applyAlignment="0" applyProtection="0"/>
    <xf numFmtId="0" fontId="114" fillId="79" borderId="121" applyNumberFormat="0" applyAlignment="0" applyProtection="0"/>
    <xf numFmtId="0" fontId="102" fillId="79" borderId="129" applyNumberFormat="0" applyAlignment="0" applyProtection="0"/>
    <xf numFmtId="0" fontId="18" fillId="76" borderId="120" applyNumberFormat="0" applyFont="0" applyAlignment="0" applyProtection="0"/>
    <xf numFmtId="0" fontId="18" fillId="55" borderId="128" applyNumberFormat="0" applyProtection="0">
      <alignment horizontal="left" vertical="center" indent="1"/>
    </xf>
    <xf numFmtId="0" fontId="63" fillId="59" borderId="133" applyNumberFormat="0" applyFont="0" applyFill="0" applyAlignment="0" applyProtection="0">
      <protection locked="0"/>
    </xf>
    <xf numFmtId="0" fontId="18" fillId="50" borderId="128" applyNumberFormat="0" applyProtection="0">
      <alignment horizontal="left" vertical="top" indent="1"/>
    </xf>
    <xf numFmtId="0" fontId="18" fillId="76" borderId="130" applyNumberFormat="0" applyFont="0" applyAlignment="0" applyProtection="0"/>
    <xf numFmtId="0" fontId="102" fillId="79" borderId="129" applyNumberFormat="0" applyAlignment="0" applyProtection="0"/>
    <xf numFmtId="0" fontId="18" fillId="49" borderId="128" applyNumberFormat="0" applyProtection="0">
      <alignment horizontal="left" vertical="center" indent="1"/>
    </xf>
    <xf numFmtId="0" fontId="110" fillId="77" borderId="129" applyNumberFormat="0" applyAlignment="0" applyProtection="0"/>
    <xf numFmtId="0" fontId="18" fillId="84" borderId="128" applyNumberFormat="0" applyProtection="0">
      <alignment horizontal="left" vertical="top" indent="1"/>
    </xf>
    <xf numFmtId="4" fontId="47" fillId="35" borderId="128" applyNumberFormat="0" applyProtection="0">
      <alignment horizontal="left" vertical="center" indent="1"/>
    </xf>
    <xf numFmtId="4" fontId="27" fillId="34" borderId="128" applyNumberFormat="0" applyProtection="0"/>
    <xf numFmtId="0" fontId="18" fillId="34" borderId="128" applyNumberFormat="0" applyProtection="0">
      <alignment horizontal="left" vertical="top" indent="1"/>
    </xf>
    <xf numFmtId="0" fontId="18" fillId="49" borderId="128" applyNumberFormat="0" applyProtection="0">
      <alignment horizontal="left" vertical="center" indent="1"/>
    </xf>
    <xf numFmtId="0" fontId="18" fillId="85" borderId="128" applyNumberFormat="0" applyProtection="0">
      <alignment horizontal="left" vertical="center" indent="1"/>
    </xf>
    <xf numFmtId="4" fontId="47" fillId="0" borderId="128" applyNumberFormat="0" applyProtection="0">
      <alignment horizontal="right" vertical="center"/>
    </xf>
    <xf numFmtId="0" fontId="18" fillId="51" borderId="128" applyNumberFormat="0" applyProtection="0">
      <alignment horizontal="left" vertical="top" indent="1"/>
    </xf>
    <xf numFmtId="0" fontId="110" fillId="77" borderId="129" applyNumberFormat="0" applyAlignment="0" applyProtection="0"/>
    <xf numFmtId="0" fontId="18" fillId="76" borderId="130" applyNumberFormat="0" applyFont="0" applyAlignment="0" applyProtection="0"/>
    <xf numFmtId="0" fontId="105" fillId="0" borderId="132" applyNumberFormat="0" applyFill="0" applyAlignment="0" applyProtection="0"/>
    <xf numFmtId="0" fontId="18" fillId="50" borderId="128" applyNumberFormat="0" applyProtection="0">
      <alignment horizontal="left" vertical="center" indent="1"/>
    </xf>
    <xf numFmtId="0" fontId="114" fillId="79" borderId="131" applyNumberFormat="0" applyAlignment="0" applyProtection="0"/>
    <xf numFmtId="0" fontId="114" fillId="79" borderId="131" applyNumberFormat="0" applyAlignment="0" applyProtection="0"/>
    <xf numFmtId="0" fontId="105" fillId="0" borderId="132" applyNumberFormat="0" applyFill="0" applyAlignment="0" applyProtection="0"/>
    <xf numFmtId="0" fontId="105" fillId="0" borderId="132" applyNumberFormat="0" applyFill="0" applyAlignment="0" applyProtection="0"/>
    <xf numFmtId="0" fontId="18" fillId="34" borderId="128" applyNumberFormat="0" applyProtection="0">
      <alignment horizontal="left" vertical="center" indent="1"/>
    </xf>
    <xf numFmtId="4" fontId="27" fillId="38" borderId="128" applyNumberFormat="0" applyProtection="0">
      <alignment horizontal="left" vertical="center" indent="1"/>
    </xf>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4" fontId="27" fillId="38" borderId="128" applyNumberFormat="0" applyProtection="0">
      <alignment horizontal="left" vertical="center" indent="1"/>
    </xf>
    <xf numFmtId="0" fontId="110" fillId="77" borderId="129" applyNumberFormat="0" applyAlignment="0" applyProtection="0"/>
    <xf numFmtId="0" fontId="18" fillId="51" borderId="128" applyNumberFormat="0" applyProtection="0">
      <alignment horizontal="left" vertical="top" indent="1"/>
    </xf>
    <xf numFmtId="4" fontId="51" fillId="49" borderId="128" applyNumberFormat="0" applyProtection="0">
      <alignment horizontal="right" vertical="center"/>
    </xf>
    <xf numFmtId="0" fontId="18" fillId="76" borderId="120" applyNumberFormat="0" applyFont="0" applyAlignment="0" applyProtection="0"/>
    <xf numFmtId="0" fontId="18" fillId="34" borderId="128" applyNumberFormat="0" applyProtection="0">
      <alignment horizontal="left" vertical="center" indent="1"/>
    </xf>
    <xf numFmtId="0" fontId="18" fillId="54" borderId="128" applyNumberFormat="0" applyProtection="0">
      <alignment horizontal="left" vertical="top" indent="1"/>
    </xf>
    <xf numFmtId="4" fontId="27" fillId="34" borderId="128" applyNumberFormat="0" applyProtection="0"/>
    <xf numFmtId="0" fontId="26" fillId="0" borderId="134">
      <alignment horizontal="left" vertical="center"/>
    </xf>
    <xf numFmtId="0" fontId="26" fillId="0" borderId="118">
      <alignment horizontal="left" vertical="center"/>
    </xf>
    <xf numFmtId="0" fontId="114" fillId="79" borderId="131" applyNumberFormat="0" applyAlignment="0" applyProtection="0"/>
    <xf numFmtId="4" fontId="27" fillId="38" borderId="128" applyNumberFormat="0" applyProtection="0">
      <alignment horizontal="left" vertical="center" indent="1"/>
    </xf>
    <xf numFmtId="0" fontId="18" fillId="51" borderId="128" applyNumberFormat="0" applyProtection="0">
      <alignment horizontal="left" vertical="top" indent="1"/>
    </xf>
    <xf numFmtId="0" fontId="18" fillId="85" borderId="128" applyNumberFormat="0" applyProtection="0">
      <alignment horizontal="left" vertical="top" indent="1"/>
    </xf>
    <xf numFmtId="0" fontId="18" fillId="49" borderId="128" applyNumberFormat="0" applyProtection="0">
      <alignment horizontal="left" vertical="center" indent="1"/>
    </xf>
    <xf numFmtId="4" fontId="47" fillId="47" borderId="128" applyNumberFormat="0" applyProtection="0">
      <alignment horizontal="right" vertical="center"/>
    </xf>
    <xf numFmtId="0" fontId="110" fillId="77" borderId="129" applyNumberFormat="0" applyAlignment="0" applyProtection="0"/>
    <xf numFmtId="4" fontId="47" fillId="44" borderId="128" applyNumberFormat="0" applyProtection="0">
      <alignment horizontal="right" vertical="center"/>
    </xf>
    <xf numFmtId="0" fontId="18" fillId="51" borderId="128" applyNumberFormat="0" applyProtection="0">
      <alignment horizontal="left" vertical="top" indent="1"/>
    </xf>
    <xf numFmtId="0" fontId="18" fillId="76" borderId="130" applyNumberFormat="0" applyFont="0" applyAlignment="0" applyProtection="0"/>
    <xf numFmtId="4" fontId="47" fillId="39" borderId="128" applyNumberFormat="0" applyProtection="0">
      <alignment horizontal="right" vertical="center"/>
    </xf>
    <xf numFmtId="4" fontId="47" fillId="0" borderId="128" applyNumberFormat="0" applyProtection="0">
      <alignment horizontal="right" vertical="center"/>
    </xf>
    <xf numFmtId="0" fontId="18" fillId="76" borderId="130" applyNumberFormat="0" applyFont="0" applyAlignment="0" applyProtection="0"/>
    <xf numFmtId="4" fontId="47" fillId="0" borderId="128" applyNumberFormat="0" applyProtection="0">
      <alignment horizontal="right" vertical="center"/>
    </xf>
    <xf numFmtId="4" fontId="47" fillId="35" borderId="128" applyNumberFormat="0" applyProtection="0">
      <alignment vertical="center"/>
    </xf>
    <xf numFmtId="4" fontId="47" fillId="39" borderId="128" applyNumberFormat="0" applyProtection="0">
      <alignment horizontal="right" vertical="center"/>
    </xf>
    <xf numFmtId="0" fontId="18" fillId="84" borderId="128" applyNumberFormat="0" applyProtection="0">
      <alignment horizontal="left" vertical="top" indent="1"/>
    </xf>
    <xf numFmtId="0" fontId="105" fillId="0" borderId="132" applyNumberFormat="0" applyFill="0" applyAlignment="0" applyProtection="0"/>
    <xf numFmtId="0" fontId="105" fillId="0" borderId="132" applyNumberFormat="0" applyFill="0" applyAlignment="0" applyProtection="0"/>
    <xf numFmtId="4" fontId="46" fillId="38" borderId="128" applyNumberFormat="0" applyProtection="0">
      <alignment vertical="center"/>
    </xf>
    <xf numFmtId="0" fontId="18" fillId="54" borderId="128" applyNumberFormat="0" applyProtection="0">
      <alignment horizontal="left" vertical="center" indent="1"/>
    </xf>
    <xf numFmtId="0" fontId="18" fillId="85" borderId="128" applyNumberFormat="0" applyProtection="0">
      <alignment horizontal="left" vertical="center" indent="1"/>
    </xf>
    <xf numFmtId="0" fontId="63" fillId="59" borderId="133" applyNumberFormat="0" applyFont="0" applyFill="0" applyAlignment="0" applyProtection="0">
      <protection locked="0"/>
    </xf>
    <xf numFmtId="0" fontId="105" fillId="0" borderId="132" applyNumberFormat="0" applyFill="0" applyAlignment="0" applyProtection="0"/>
    <xf numFmtId="4" fontId="27" fillId="37" borderId="128" applyNumberFormat="0" applyProtection="0">
      <alignment vertical="center"/>
    </xf>
    <xf numFmtId="0" fontId="114" fillId="79" borderId="121" applyNumberFormat="0" applyAlignment="0" applyProtection="0"/>
    <xf numFmtId="0" fontId="114" fillId="79" borderId="121" applyNumberFormat="0" applyAlignment="0" applyProtection="0"/>
    <xf numFmtId="0" fontId="47" fillId="34" borderId="128" applyNumberFormat="0" applyProtection="0">
      <alignment horizontal="left" vertical="top"/>
    </xf>
    <xf numFmtId="0" fontId="47" fillId="34" borderId="128" applyNumberFormat="0" applyProtection="0">
      <alignment horizontal="left" vertical="top"/>
    </xf>
    <xf numFmtId="0" fontId="18" fillId="76" borderId="120" applyNumberFormat="0" applyFont="0" applyAlignment="0" applyProtection="0"/>
    <xf numFmtId="0" fontId="18" fillId="55" borderId="128" applyNumberFormat="0" applyProtection="0">
      <alignment horizontal="left" vertical="top" indent="1"/>
    </xf>
    <xf numFmtId="4" fontId="47" fillId="39" borderId="128" applyNumberFormat="0" applyProtection="0">
      <alignment horizontal="right" vertical="center"/>
    </xf>
    <xf numFmtId="0" fontId="114" fillId="79" borderId="131" applyNumberFormat="0" applyAlignment="0" applyProtection="0"/>
    <xf numFmtId="0" fontId="18" fillId="85" borderId="128" applyNumberFormat="0" applyProtection="0">
      <alignment horizontal="left" vertical="center" indent="1"/>
    </xf>
    <xf numFmtId="0" fontId="18" fillId="34" borderId="128" applyNumberFormat="0" applyProtection="0">
      <alignment horizontal="left" vertical="top" indent="1"/>
    </xf>
    <xf numFmtId="0" fontId="102" fillId="79" borderId="129" applyNumberFormat="0" applyAlignment="0" applyProtection="0"/>
    <xf numFmtId="0" fontId="18" fillId="54" borderId="128" applyNumberFormat="0" applyProtection="0">
      <alignment horizontal="left" vertical="top" indent="1"/>
    </xf>
    <xf numFmtId="0" fontId="18" fillId="51" borderId="128" applyNumberFormat="0" applyProtection="0">
      <alignment horizontal="left" vertical="center" indent="1"/>
    </xf>
    <xf numFmtId="0" fontId="18" fillId="76" borderId="130" applyNumberFormat="0" applyFont="0" applyAlignment="0" applyProtection="0"/>
    <xf numFmtId="0" fontId="102" fillId="79" borderId="129" applyNumberFormat="0" applyAlignment="0" applyProtection="0"/>
    <xf numFmtId="0" fontId="18" fillId="55" borderId="128" applyNumberFormat="0" applyProtection="0">
      <alignment horizontal="left" vertical="top" indent="1"/>
    </xf>
    <xf numFmtId="0" fontId="102" fillId="79" borderId="129" applyNumberFormat="0" applyAlignment="0" applyProtection="0"/>
    <xf numFmtId="4" fontId="27" fillId="37" borderId="128" applyNumberFormat="0" applyProtection="0">
      <alignment vertical="center"/>
    </xf>
    <xf numFmtId="0" fontId="102" fillId="79" borderId="129" applyNumberFormat="0" applyAlignment="0" applyProtection="0"/>
    <xf numFmtId="0" fontId="18" fillId="51" borderId="128" applyNumberFormat="0" applyProtection="0">
      <alignment horizontal="left" vertical="top" indent="1"/>
    </xf>
    <xf numFmtId="0" fontId="105" fillId="0" borderId="132" applyNumberFormat="0" applyFill="0" applyAlignment="0" applyProtection="0"/>
    <xf numFmtId="4" fontId="47" fillId="43" borderId="128" applyNumberFormat="0" applyProtection="0">
      <alignment horizontal="right" vertical="center"/>
    </xf>
    <xf numFmtId="0" fontId="18" fillId="85" borderId="128" applyNumberFormat="0" applyProtection="0">
      <alignment horizontal="left" vertical="top" indent="1"/>
    </xf>
    <xf numFmtId="0" fontId="18" fillId="34" borderId="128" applyNumberFormat="0" applyProtection="0">
      <alignment horizontal="left" vertical="top" indent="1"/>
    </xf>
    <xf numFmtId="0" fontId="18" fillId="50" borderId="128" applyNumberFormat="0" applyProtection="0">
      <alignment horizontal="left" vertical="center" indent="1"/>
    </xf>
    <xf numFmtId="4" fontId="47" fillId="47" borderId="128" applyNumberFormat="0" applyProtection="0">
      <alignment horizontal="right" vertical="center"/>
    </xf>
    <xf numFmtId="0" fontId="18" fillId="55" borderId="128" applyNumberFormat="0" applyProtection="0">
      <alignment horizontal="left" vertical="center" indent="1"/>
    </xf>
    <xf numFmtId="0" fontId="18" fillId="49" borderId="128" applyNumberFormat="0" applyProtection="0">
      <alignment horizontal="left" vertical="center" indent="1"/>
    </xf>
    <xf numFmtId="4" fontId="47" fillId="0" borderId="128" applyNumberFormat="0" applyProtection="0">
      <alignment horizontal="left" vertical="center" indent="1"/>
    </xf>
    <xf numFmtId="0" fontId="18" fillId="54" borderId="128" applyNumberFormat="0" applyProtection="0">
      <alignment horizontal="left" vertical="top" indent="1"/>
    </xf>
    <xf numFmtId="0" fontId="18" fillId="50" borderId="128" applyNumberFormat="0" applyProtection="0">
      <alignment horizontal="left" vertical="center" indent="1"/>
    </xf>
    <xf numFmtId="0" fontId="114" fillId="79" borderId="121" applyNumberFormat="0" applyAlignment="0" applyProtection="0"/>
    <xf numFmtId="0" fontId="114" fillId="79" borderId="121" applyNumberFormat="0" applyAlignment="0" applyProtection="0"/>
    <xf numFmtId="0" fontId="18" fillId="54" borderId="128" applyNumberFormat="0" applyProtection="0">
      <alignment horizontal="left" vertical="center" indent="1"/>
    </xf>
    <xf numFmtId="4" fontId="27" fillId="34" borderId="128" applyNumberFormat="0" applyProtection="0"/>
    <xf numFmtId="0" fontId="114" fillId="79" borderId="121" applyNumberFormat="0" applyAlignment="0" applyProtection="0"/>
    <xf numFmtId="4" fontId="47" fillId="39" borderId="128" applyNumberFormat="0" applyProtection="0">
      <alignment horizontal="right" vertical="center"/>
    </xf>
    <xf numFmtId="0" fontId="18" fillId="34" borderId="128" applyNumberFormat="0" applyProtection="0">
      <alignment horizontal="left" vertical="top" indent="1"/>
    </xf>
    <xf numFmtId="0" fontId="18" fillId="76" borderId="120" applyNumberFormat="0" applyFont="0" applyAlignment="0" applyProtection="0"/>
    <xf numFmtId="0" fontId="18" fillId="76" borderId="120" applyNumberFormat="0" applyFont="0" applyAlignment="0" applyProtection="0"/>
    <xf numFmtId="0" fontId="18" fillId="34" borderId="128" applyNumberFormat="0" applyProtection="0">
      <alignment horizontal="left" vertical="top" indent="1"/>
    </xf>
    <xf numFmtId="0" fontId="47" fillId="34" borderId="128" applyNumberFormat="0" applyProtection="0">
      <alignment horizontal="left" vertical="top"/>
    </xf>
    <xf numFmtId="4" fontId="27" fillId="38" borderId="128" applyNumberFormat="0" applyProtection="0">
      <alignment horizontal="left" vertical="center" indent="1"/>
    </xf>
    <xf numFmtId="4" fontId="47" fillId="0" borderId="128" applyNumberFormat="0" applyProtection="0">
      <alignment horizontal="left" vertical="center" indent="1"/>
    </xf>
    <xf numFmtId="0" fontId="18" fillId="55" borderId="128" applyNumberFormat="0" applyProtection="0">
      <alignment horizontal="left" vertical="center" indent="1"/>
    </xf>
    <xf numFmtId="0" fontId="18" fillId="76" borderId="130" applyNumberFormat="0" applyFont="0" applyAlignment="0" applyProtection="0"/>
    <xf numFmtId="0" fontId="18" fillId="55" borderId="128" applyNumberFormat="0" applyProtection="0">
      <alignment horizontal="left" vertical="top" indent="1"/>
    </xf>
    <xf numFmtId="0" fontId="105" fillId="0" borderId="132" applyNumberFormat="0" applyFill="0" applyAlignment="0" applyProtection="0"/>
    <xf numFmtId="0" fontId="18" fillId="55" borderId="128" applyNumberFormat="0" applyProtection="0">
      <alignment horizontal="left" vertical="top" indent="1"/>
    </xf>
    <xf numFmtId="4" fontId="47" fillId="35" borderId="128" applyNumberFormat="0" applyProtection="0">
      <alignment horizontal="left" vertical="center" indent="1"/>
    </xf>
    <xf numFmtId="4" fontId="27" fillId="38" borderId="128" applyNumberFormat="0" applyProtection="0">
      <alignment horizontal="left" vertical="center" indent="1"/>
    </xf>
    <xf numFmtId="0" fontId="114" fillId="79" borderId="131" applyNumberFormat="0" applyAlignment="0" applyProtection="0"/>
    <xf numFmtId="0" fontId="18" fillId="55" borderId="128" applyNumberFormat="0" applyProtection="0">
      <alignment horizontal="left" vertical="center" indent="1"/>
    </xf>
    <xf numFmtId="0" fontId="18" fillId="54" borderId="128" applyNumberFormat="0" applyProtection="0">
      <alignment horizontal="left" vertical="top" indent="1"/>
    </xf>
    <xf numFmtId="4" fontId="51" fillId="35" borderId="128" applyNumberFormat="0" applyProtection="0">
      <alignment vertical="center"/>
    </xf>
    <xf numFmtId="4" fontId="25" fillId="49" borderId="128" applyNumberFormat="0" applyProtection="0">
      <alignment horizontal="right" vertical="center"/>
    </xf>
    <xf numFmtId="0" fontId="27" fillId="38" borderId="128" applyNumberFormat="0" applyProtection="0">
      <alignment horizontal="left" vertical="top" indent="1"/>
    </xf>
    <xf numFmtId="0" fontId="18" fillId="50" borderId="128" applyNumberFormat="0" applyProtection="0">
      <alignment horizontal="left" vertical="center" indent="1"/>
    </xf>
    <xf numFmtId="0" fontId="114" fillId="79" borderId="131" applyNumberFormat="0" applyAlignment="0" applyProtection="0"/>
    <xf numFmtId="4" fontId="47" fillId="0" borderId="128" applyNumberFormat="0" applyProtection="0">
      <alignment horizontal="right" vertical="center"/>
    </xf>
    <xf numFmtId="0" fontId="18" fillId="34" borderId="128" applyNumberFormat="0" applyProtection="0">
      <alignment horizontal="left" vertical="top" indent="1"/>
    </xf>
    <xf numFmtId="0" fontId="18" fillId="84" borderId="128" applyNumberFormat="0" applyProtection="0">
      <alignment horizontal="left" vertical="center" indent="1"/>
    </xf>
    <xf numFmtId="0" fontId="105" fillId="0" borderId="132" applyNumberFormat="0" applyFill="0" applyAlignment="0" applyProtection="0"/>
    <xf numFmtId="0" fontId="18" fillId="50" borderId="128" applyNumberFormat="0" applyProtection="0">
      <alignment horizontal="left" vertical="top" indent="1"/>
    </xf>
    <xf numFmtId="0" fontId="110" fillId="77" borderId="129" applyNumberFormat="0" applyAlignment="0" applyProtection="0"/>
    <xf numFmtId="4" fontId="27" fillId="38" borderId="128" applyNumberFormat="0" applyProtection="0">
      <alignment horizontal="left" vertical="center" indent="1"/>
    </xf>
    <xf numFmtId="4" fontId="47" fillId="0" borderId="128" applyNumberFormat="0" applyProtection="0">
      <alignment horizontal="left" vertical="center" indent="1"/>
    </xf>
    <xf numFmtId="0" fontId="114" fillId="79" borderId="121" applyNumberFormat="0" applyAlignment="0" applyProtection="0"/>
    <xf numFmtId="0" fontId="114" fillId="79" borderId="121" applyNumberFormat="0" applyAlignment="0" applyProtection="0"/>
    <xf numFmtId="0" fontId="18" fillId="55" borderId="128" applyNumberFormat="0" applyProtection="0">
      <alignment horizontal="left" vertical="top" indent="1"/>
    </xf>
    <xf numFmtId="0" fontId="18" fillId="76" borderId="120" applyNumberFormat="0" applyFont="0" applyAlignment="0" applyProtection="0"/>
    <xf numFmtId="0" fontId="18" fillId="76" borderId="120" applyNumberFormat="0" applyFont="0" applyAlignment="0" applyProtection="0"/>
    <xf numFmtId="0" fontId="18" fillId="55" borderId="128" applyNumberFormat="0" applyProtection="0">
      <alignment horizontal="left" vertical="top" indent="1"/>
    </xf>
    <xf numFmtId="4" fontId="25" fillId="49" borderId="128" applyNumberFormat="0" applyProtection="0">
      <alignment horizontal="right" vertical="center"/>
    </xf>
    <xf numFmtId="0" fontId="110" fillId="77" borderId="129" applyNumberFormat="0" applyAlignment="0" applyProtection="0"/>
    <xf numFmtId="0" fontId="18" fillId="49" borderId="128" applyNumberFormat="0" applyProtection="0">
      <alignment horizontal="left" vertical="top" indent="1"/>
    </xf>
    <xf numFmtId="0" fontId="18" fillId="84" borderId="128" applyNumberFormat="0" applyProtection="0">
      <alignment horizontal="left" vertical="top" indent="1"/>
    </xf>
    <xf numFmtId="4" fontId="47" fillId="41" borderId="128" applyNumberFormat="0" applyProtection="0">
      <alignment horizontal="right" vertical="center"/>
    </xf>
    <xf numFmtId="4" fontId="47" fillId="0" borderId="128" applyNumberFormat="0" applyProtection="0">
      <alignment horizontal="right" vertical="center"/>
    </xf>
    <xf numFmtId="0" fontId="114" fillId="79" borderId="131" applyNumberFormat="0" applyAlignment="0" applyProtection="0"/>
    <xf numFmtId="0" fontId="105" fillId="0" borderId="132" applyNumberFormat="0" applyFill="0" applyAlignment="0" applyProtection="0"/>
    <xf numFmtId="4" fontId="47" fillId="46" borderId="128" applyNumberFormat="0" applyProtection="0">
      <alignment horizontal="right" vertical="center"/>
    </xf>
    <xf numFmtId="0" fontId="18" fillId="76" borderId="130" applyNumberFormat="0" applyFont="0" applyAlignment="0" applyProtection="0"/>
    <xf numFmtId="0" fontId="47" fillId="34" borderId="128" applyNumberFormat="0" applyProtection="0">
      <alignment horizontal="left" vertical="top"/>
    </xf>
    <xf numFmtId="4" fontId="47" fillId="46" borderId="128" applyNumberFormat="0" applyProtection="0">
      <alignment horizontal="right" vertical="center"/>
    </xf>
    <xf numFmtId="0" fontId="18" fillId="55" borderId="128" applyNumberFormat="0" applyProtection="0">
      <alignment horizontal="left" vertical="top" indent="1"/>
    </xf>
    <xf numFmtId="0" fontId="18" fillId="51" borderId="128" applyNumberFormat="0" applyProtection="0">
      <alignment horizontal="left" vertical="center" indent="1"/>
    </xf>
    <xf numFmtId="4" fontId="27" fillId="34" borderId="128" applyNumberFormat="0" applyProtection="0"/>
    <xf numFmtId="4" fontId="47" fillId="47" borderId="128" applyNumberFormat="0" applyProtection="0">
      <alignment horizontal="right" vertical="center"/>
    </xf>
    <xf numFmtId="0" fontId="27" fillId="38" borderId="128" applyNumberFormat="0" applyProtection="0">
      <alignment horizontal="left" vertical="top" indent="1"/>
    </xf>
    <xf numFmtId="0" fontId="114" fillId="79" borderId="131" applyNumberFormat="0" applyAlignment="0" applyProtection="0"/>
    <xf numFmtId="0" fontId="114" fillId="79" borderId="131" applyNumberFormat="0" applyAlignment="0" applyProtection="0"/>
    <xf numFmtId="0" fontId="47" fillId="34" borderId="128" applyNumberFormat="0" applyProtection="0">
      <alignment horizontal="left" vertical="top"/>
    </xf>
    <xf numFmtId="0" fontId="27" fillId="38" borderId="128" applyNumberFormat="0" applyProtection="0">
      <alignment horizontal="left" vertical="top" indent="1"/>
    </xf>
    <xf numFmtId="0" fontId="114" fillId="79" borderId="131" applyNumberFormat="0" applyAlignment="0" applyProtection="0"/>
    <xf numFmtId="0" fontId="18" fillId="55" borderId="128" applyNumberFormat="0" applyProtection="0">
      <alignment horizontal="left" vertical="center" indent="1"/>
    </xf>
    <xf numFmtId="4" fontId="27" fillId="34" borderId="135" applyNumberFormat="0" applyProtection="0">
      <alignment vertical="center"/>
    </xf>
    <xf numFmtId="4" fontId="47" fillId="0" borderId="128" applyNumberFormat="0" applyProtection="0">
      <alignment horizontal="right" vertical="center"/>
    </xf>
    <xf numFmtId="0" fontId="18" fillId="76" borderId="130" applyNumberFormat="0" applyFont="0" applyAlignment="0" applyProtection="0"/>
    <xf numFmtId="4" fontId="47" fillId="42" borderId="128" applyNumberFormat="0" applyProtection="0">
      <alignment horizontal="right" vertical="center"/>
    </xf>
    <xf numFmtId="0" fontId="18" fillId="84" borderId="128" applyNumberFormat="0" applyProtection="0">
      <alignment horizontal="left" vertical="center" indent="1"/>
    </xf>
    <xf numFmtId="0" fontId="114" fillId="79" borderId="121" applyNumberFormat="0" applyAlignment="0" applyProtection="0"/>
    <xf numFmtId="4" fontId="27" fillId="34" borderId="128" applyNumberForma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34" borderId="128" applyNumberFormat="0" applyProtection="0">
      <alignment horizontal="left" vertical="top" indent="1"/>
    </xf>
    <xf numFmtId="0" fontId="18" fillId="49" borderId="128" applyNumberFormat="0" applyProtection="0">
      <alignment horizontal="left" vertical="center" indent="1"/>
    </xf>
    <xf numFmtId="4" fontId="47" fillId="0" borderId="128" applyNumberFormat="0" applyProtection="0">
      <alignment horizontal="left" vertical="center" indent="1"/>
    </xf>
    <xf numFmtId="4" fontId="47" fillId="40" borderId="128" applyNumberFormat="0" applyProtection="0">
      <alignment horizontal="right" vertical="center"/>
    </xf>
    <xf numFmtId="4" fontId="46" fillId="38" borderId="128" applyNumberFormat="0" applyProtection="0">
      <alignment vertical="center"/>
    </xf>
    <xf numFmtId="4" fontId="47" fillId="0" borderId="128" applyNumberFormat="0" applyProtection="0">
      <alignment horizontal="left" vertical="center" indent="1"/>
    </xf>
    <xf numFmtId="4" fontId="47" fillId="0" borderId="128" applyNumberFormat="0" applyProtection="0">
      <alignment horizontal="right" vertical="center"/>
    </xf>
    <xf numFmtId="4" fontId="47" fillId="44" borderId="128" applyNumberFormat="0" applyProtection="0">
      <alignment horizontal="right" vertical="center"/>
    </xf>
    <xf numFmtId="0" fontId="18" fillId="49" borderId="128" applyNumberFormat="0" applyProtection="0">
      <alignment horizontal="left" vertical="top" indent="1"/>
    </xf>
    <xf numFmtId="0" fontId="18" fillId="76" borderId="130" applyNumberFormat="0" applyFont="0" applyAlignment="0" applyProtection="0"/>
    <xf numFmtId="0" fontId="18" fillId="34" borderId="128" applyNumberFormat="0" applyProtection="0">
      <alignment horizontal="left" vertical="center" indent="1"/>
    </xf>
    <xf numFmtId="4" fontId="27" fillId="38" borderId="128" applyNumberFormat="0" applyProtection="0">
      <alignment horizontal="left" vertical="center" indent="1"/>
    </xf>
    <xf numFmtId="4" fontId="51" fillId="49" borderId="128" applyNumberFormat="0" applyProtection="0">
      <alignment horizontal="right" vertical="center"/>
    </xf>
    <xf numFmtId="0" fontId="18" fillId="76" borderId="130" applyNumberFormat="0" applyFont="0" applyAlignment="0" applyProtection="0"/>
    <xf numFmtId="0" fontId="18" fillId="34" borderId="128" applyNumberFormat="0" applyProtection="0">
      <alignment horizontal="left" vertical="center" indent="1"/>
    </xf>
    <xf numFmtId="0" fontId="18" fillId="54" borderId="128" applyNumberFormat="0" applyProtection="0">
      <alignment horizontal="left" vertical="center" indent="1"/>
    </xf>
    <xf numFmtId="0" fontId="114" fillId="79" borderId="131" applyNumberFormat="0" applyAlignment="0" applyProtection="0"/>
    <xf numFmtId="0" fontId="18" fillId="49" borderId="128" applyNumberFormat="0" applyProtection="0">
      <alignment horizontal="left" vertical="top" indent="1"/>
    </xf>
    <xf numFmtId="4" fontId="47" fillId="59" borderId="128" applyNumberFormat="0" applyProtection="0">
      <alignment horizontal="left" vertical="center" indent="1"/>
    </xf>
    <xf numFmtId="4" fontId="46" fillId="38" borderId="128" applyNumberFormat="0" applyProtection="0">
      <alignment vertical="center"/>
    </xf>
    <xf numFmtId="0" fontId="102" fillId="79" borderId="129" applyNumberFormat="0" applyAlignment="0" applyProtection="0"/>
    <xf numFmtId="0" fontId="114" fillId="79" borderId="131" applyNumberFormat="0" applyAlignment="0" applyProtection="0"/>
    <xf numFmtId="0" fontId="18" fillId="34" borderId="128" applyNumberFormat="0" applyProtection="0">
      <alignment horizontal="left" vertical="top" indent="1"/>
    </xf>
    <xf numFmtId="4" fontId="47" fillId="42" borderId="128" applyNumberFormat="0" applyProtection="0">
      <alignment horizontal="right" vertical="center"/>
    </xf>
    <xf numFmtId="0" fontId="18" fillId="50" borderId="128" applyNumberFormat="0" applyProtection="0">
      <alignment horizontal="left" vertical="top" indent="1"/>
    </xf>
    <xf numFmtId="4" fontId="47" fillId="0" borderId="128" applyNumberFormat="0" applyProtection="0">
      <alignment horizontal="right" vertical="center"/>
    </xf>
    <xf numFmtId="0" fontId="110" fillId="77" borderId="129" applyNumberFormat="0" applyAlignment="0" applyProtection="0"/>
    <xf numFmtId="0" fontId="24" fillId="59" borderId="133" applyNumberFormat="0" applyFont="0" applyAlignment="0" applyProtection="0">
      <protection locked="0"/>
    </xf>
    <xf numFmtId="0" fontId="18" fillId="34" borderId="128" applyNumberFormat="0" applyProtection="0">
      <alignment horizontal="left" vertical="top" indent="1"/>
    </xf>
    <xf numFmtId="0" fontId="18" fillId="34" borderId="128" applyNumberFormat="0" applyProtection="0">
      <alignment horizontal="left" vertical="center" indent="1"/>
    </xf>
    <xf numFmtId="0" fontId="18" fillId="76" borderId="130" applyNumberFormat="0" applyFont="0" applyAlignment="0" applyProtection="0"/>
    <xf numFmtId="4" fontId="27" fillId="37" borderId="128" applyNumberFormat="0" applyProtection="0">
      <alignment vertical="center"/>
    </xf>
    <xf numFmtId="4" fontId="47" fillId="0" borderId="128" applyNumberFormat="0" applyProtection="0">
      <alignment horizontal="right" vertical="center"/>
    </xf>
    <xf numFmtId="0" fontId="18" fillId="76" borderId="130" applyNumberFormat="0" applyFont="0" applyAlignment="0" applyProtection="0"/>
    <xf numFmtId="0" fontId="114" fillId="79" borderId="121" applyNumberFormat="0" applyAlignment="0" applyProtection="0"/>
    <xf numFmtId="0" fontId="114" fillId="79" borderId="121" applyNumberFormat="0" applyAlignment="0" applyProtection="0"/>
    <xf numFmtId="0" fontId="105" fillId="0" borderId="132" applyNumberFormat="0" applyFill="0" applyAlignment="0" applyProtection="0"/>
    <xf numFmtId="0" fontId="18" fillId="76" borderId="120" applyNumberFormat="0" applyFont="0" applyAlignment="0" applyProtection="0"/>
    <xf numFmtId="0" fontId="18" fillId="76" borderId="120" applyNumberFormat="0" applyFont="0" applyAlignment="0" applyProtection="0"/>
    <xf numFmtId="4" fontId="47" fillId="35" borderId="128" applyNumberFormat="0" applyProtection="0">
      <alignment vertical="center"/>
    </xf>
    <xf numFmtId="0" fontId="18" fillId="50" borderId="128" applyNumberFormat="0" applyProtection="0">
      <alignment horizontal="left" vertical="center" indent="1"/>
    </xf>
    <xf numFmtId="4" fontId="46" fillId="38" borderId="128" applyNumberFormat="0" applyProtection="0">
      <alignment vertical="center"/>
    </xf>
    <xf numFmtId="0" fontId="114" fillId="79" borderId="131" applyNumberFormat="0" applyAlignment="0" applyProtection="0"/>
    <xf numFmtId="0" fontId="114" fillId="79" borderId="131" applyNumberFormat="0" applyAlignment="0" applyProtection="0"/>
    <xf numFmtId="4" fontId="47" fillId="0" borderId="128" applyNumberFormat="0" applyProtection="0">
      <alignment horizontal="left" vertical="center" indent="1"/>
    </xf>
    <xf numFmtId="0" fontId="18" fillId="51" borderId="128" applyNumberFormat="0" applyProtection="0">
      <alignment horizontal="left" vertical="center" indent="1"/>
    </xf>
    <xf numFmtId="0" fontId="18" fillId="49" borderId="128" applyNumberFormat="0" applyProtection="0">
      <alignment horizontal="left" vertical="top" indent="1"/>
    </xf>
    <xf numFmtId="4" fontId="47" fillId="47" borderId="128" applyNumberFormat="0" applyProtection="0">
      <alignment horizontal="right" vertical="center"/>
    </xf>
    <xf numFmtId="4" fontId="47" fillId="45" borderId="128" applyNumberFormat="0" applyProtection="0">
      <alignment horizontal="right" vertical="center"/>
    </xf>
    <xf numFmtId="4" fontId="47" fillId="35" borderId="128" applyNumberFormat="0" applyProtection="0">
      <alignment vertical="center"/>
    </xf>
    <xf numFmtId="0" fontId="105" fillId="0" borderId="132" applyNumberFormat="0" applyFill="0" applyAlignment="0" applyProtection="0"/>
    <xf numFmtId="0" fontId="18" fillId="76" borderId="130" applyNumberFormat="0" applyFont="0" applyAlignment="0" applyProtection="0"/>
    <xf numFmtId="4" fontId="51" fillId="35" borderId="128" applyNumberFormat="0" applyProtection="0">
      <alignment vertical="center"/>
    </xf>
    <xf numFmtId="0" fontId="47" fillId="34" borderId="128" applyNumberFormat="0" applyProtection="0">
      <alignment horizontal="left" vertical="top"/>
    </xf>
    <xf numFmtId="4" fontId="27" fillId="37" borderId="128" applyNumberFormat="0" applyProtection="0">
      <alignment vertical="center"/>
    </xf>
    <xf numFmtId="0" fontId="114" fillId="79" borderId="131" applyNumberFormat="0" applyAlignment="0" applyProtection="0"/>
    <xf numFmtId="0" fontId="105" fillId="0" borderId="132" applyNumberFormat="0" applyFill="0" applyAlignment="0" applyProtection="0"/>
    <xf numFmtId="0" fontId="18" fillId="85" borderId="128" applyNumberFormat="0" applyProtection="0">
      <alignment horizontal="left" vertical="top" indent="1"/>
    </xf>
    <xf numFmtId="0" fontId="18" fillId="49" borderId="128" applyNumberFormat="0" applyProtection="0">
      <alignment horizontal="left" vertical="top" indent="1"/>
    </xf>
    <xf numFmtId="0" fontId="114" fillId="79" borderId="131" applyNumberFormat="0" applyAlignment="0" applyProtection="0"/>
    <xf numFmtId="0" fontId="114" fillId="79" borderId="131" applyNumberFormat="0" applyAlignment="0" applyProtection="0"/>
    <xf numFmtId="0" fontId="18" fillId="51" borderId="128" applyNumberFormat="0" applyProtection="0">
      <alignment horizontal="left" vertical="center" indent="1"/>
    </xf>
    <xf numFmtId="0" fontId="114" fillId="79" borderId="131" applyNumberFormat="0" applyAlignment="0" applyProtection="0"/>
    <xf numFmtId="0" fontId="18" fillId="85" borderId="128" applyNumberFormat="0" applyProtection="0">
      <alignment horizontal="left" vertical="top" indent="1"/>
    </xf>
    <xf numFmtId="4" fontId="47" fillId="0" borderId="128" applyNumberFormat="0" applyProtection="0">
      <alignment horizontal="left" vertical="center" indent="1"/>
    </xf>
    <xf numFmtId="0" fontId="18" fillId="50" borderId="128" applyNumberFormat="0" applyProtection="0">
      <alignment horizontal="left" vertical="top" indent="1"/>
    </xf>
    <xf numFmtId="0" fontId="18" fillId="85" borderId="128" applyNumberFormat="0" applyProtection="0">
      <alignment horizontal="left" vertical="top" indent="1"/>
    </xf>
    <xf numFmtId="0" fontId="105" fillId="0" borderId="132" applyNumberFormat="0" applyFill="0" applyAlignment="0" applyProtection="0"/>
    <xf numFmtId="0" fontId="27" fillId="38" borderId="128" applyNumberFormat="0" applyProtection="0">
      <alignment horizontal="left" vertical="top" indent="1"/>
    </xf>
    <xf numFmtId="0" fontId="18" fillId="0" borderId="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8" fillId="76" borderId="130" applyNumberFormat="0" applyFont="0" applyAlignment="0" applyProtection="0"/>
    <xf numFmtId="0" fontId="18" fillId="50" borderId="128" applyNumberFormat="0" applyProtection="0">
      <alignment horizontal="left" vertical="top" indent="1"/>
    </xf>
    <xf numFmtId="0" fontId="27" fillId="38" borderId="128" applyNumberFormat="0" applyProtection="0">
      <alignment horizontal="left" vertical="top" indent="1"/>
    </xf>
    <xf numFmtId="0" fontId="18" fillId="55" borderId="128" applyNumberFormat="0" applyProtection="0">
      <alignment horizontal="left" vertical="top" indent="1"/>
    </xf>
    <xf numFmtId="0" fontId="18" fillId="85" borderId="128" applyNumberFormat="0" applyProtection="0">
      <alignment horizontal="left" vertical="top" indent="1"/>
    </xf>
    <xf numFmtId="0" fontId="18" fillId="84" borderId="128" applyNumberFormat="0" applyProtection="0">
      <alignment horizontal="left" vertical="center" indent="1"/>
    </xf>
    <xf numFmtId="4" fontId="47" fillId="41" borderId="128" applyNumberFormat="0" applyProtection="0">
      <alignment horizontal="right" vertical="center"/>
    </xf>
    <xf numFmtId="0" fontId="18" fillId="55" borderId="128" applyNumberFormat="0" applyProtection="0">
      <alignment horizontal="left" vertical="center" indent="1"/>
    </xf>
    <xf numFmtId="0" fontId="18" fillId="84" borderId="128" applyNumberFormat="0" applyProtection="0">
      <alignment horizontal="left" vertical="center" indent="1"/>
    </xf>
    <xf numFmtId="0" fontId="47" fillId="34" borderId="128" applyNumberFormat="0" applyProtection="0">
      <alignment horizontal="left" vertical="top"/>
    </xf>
    <xf numFmtId="0" fontId="102" fillId="79" borderId="129" applyNumberFormat="0" applyAlignment="0" applyProtection="0"/>
    <xf numFmtId="0" fontId="18" fillId="54" borderId="128" applyNumberFormat="0" applyProtection="0">
      <alignment horizontal="left" vertical="top" indent="1"/>
    </xf>
    <xf numFmtId="0" fontId="110" fillId="77" borderId="129" applyNumberFormat="0" applyAlignment="0" applyProtection="0"/>
    <xf numFmtId="0" fontId="18" fillId="55" borderId="128" applyNumberFormat="0" applyProtection="0">
      <alignment horizontal="left" vertical="top" indent="1"/>
    </xf>
    <xf numFmtId="4" fontId="47" fillId="46" borderId="128" applyNumberFormat="0" applyProtection="0">
      <alignment horizontal="right" vertical="center"/>
    </xf>
    <xf numFmtId="4" fontId="51" fillId="35" borderId="128" applyNumberFormat="0" applyProtection="0">
      <alignment vertical="center"/>
    </xf>
    <xf numFmtId="0" fontId="18" fillId="55" borderId="128" applyNumberFormat="0" applyProtection="0">
      <alignment horizontal="left" vertical="center" indent="1"/>
    </xf>
    <xf numFmtId="4" fontId="47" fillId="35" borderId="128" applyNumberFormat="0" applyProtection="0">
      <alignment vertical="center"/>
    </xf>
    <xf numFmtId="0" fontId="18" fillId="55" borderId="128" applyNumberFormat="0" applyProtection="0">
      <alignment horizontal="left" vertical="center" indent="1"/>
    </xf>
    <xf numFmtId="0" fontId="18" fillId="50" borderId="128" applyNumberFormat="0" applyProtection="0">
      <alignment horizontal="left" vertical="top" indent="1"/>
    </xf>
    <xf numFmtId="0" fontId="110" fillId="77" borderId="129" applyNumberFormat="0" applyAlignment="0" applyProtection="0"/>
    <xf numFmtId="4" fontId="47" fillId="42" borderId="128" applyNumberFormat="0" applyProtection="0">
      <alignment horizontal="right" vertical="center"/>
    </xf>
    <xf numFmtId="0" fontId="105" fillId="0" borderId="132" applyNumberFormat="0" applyFill="0" applyAlignment="0" applyProtection="0"/>
    <xf numFmtId="0" fontId="18" fillId="50" borderId="128" applyNumberFormat="0" applyProtection="0">
      <alignment horizontal="left" vertical="center" indent="1"/>
    </xf>
    <xf numFmtId="0" fontId="24" fillId="59" borderId="133" applyNumberFormat="0" applyFont="0" applyAlignment="0" applyProtection="0">
      <protection locked="0"/>
    </xf>
    <xf numFmtId="0" fontId="18" fillId="50" borderId="128" applyNumberFormat="0" applyProtection="0">
      <alignment horizontal="left" vertical="center" indent="1"/>
    </xf>
    <xf numFmtId="0" fontId="18" fillId="34" borderId="128" applyNumberFormat="0" applyProtection="0">
      <alignment horizontal="left" vertical="center" indent="1"/>
    </xf>
    <xf numFmtId="0" fontId="110" fillId="77" borderId="125" applyNumberFormat="0" applyAlignment="0" applyProtection="0"/>
    <xf numFmtId="4" fontId="27" fillId="38" borderId="128"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8"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11" applyNumberFormat="0" applyProtection="0">
      <alignment vertical="center"/>
    </xf>
    <xf numFmtId="4" fontId="46" fillId="38" borderId="111" applyNumberFormat="0" applyProtection="0">
      <alignment vertical="center"/>
    </xf>
    <xf numFmtId="4" fontId="27" fillId="38" borderId="111" applyNumberFormat="0" applyProtection="0">
      <alignment horizontal="left" vertical="center" indent="1"/>
    </xf>
    <xf numFmtId="4" fontId="27" fillId="38" borderId="111" applyNumberFormat="0" applyProtection="0">
      <alignment horizontal="left" vertical="center" indent="1"/>
    </xf>
    <xf numFmtId="0" fontId="27" fillId="38" borderId="111" applyNumberFormat="0" applyProtection="0">
      <alignment horizontal="left" vertical="top" indent="1"/>
    </xf>
    <xf numFmtId="4" fontId="27" fillId="34" borderId="111" applyNumberFormat="0" applyProtection="0"/>
    <xf numFmtId="4" fontId="47" fillId="39" borderId="111" applyNumberFormat="0" applyProtection="0">
      <alignment horizontal="right" vertical="center"/>
    </xf>
    <xf numFmtId="4" fontId="47" fillId="40" borderId="111" applyNumberFormat="0" applyProtection="0">
      <alignment horizontal="right" vertical="center"/>
    </xf>
    <xf numFmtId="4" fontId="47" fillId="41" borderId="111" applyNumberFormat="0" applyProtection="0">
      <alignment horizontal="right" vertical="center"/>
    </xf>
    <xf numFmtId="4" fontId="47" fillId="42" borderId="111" applyNumberFormat="0" applyProtection="0">
      <alignment horizontal="right" vertical="center"/>
    </xf>
    <xf numFmtId="4" fontId="47" fillId="43" borderId="111" applyNumberFormat="0" applyProtection="0">
      <alignment horizontal="right" vertical="center"/>
    </xf>
    <xf numFmtId="4" fontId="47" fillId="44" borderId="111" applyNumberFormat="0" applyProtection="0">
      <alignment horizontal="right" vertical="center"/>
    </xf>
    <xf numFmtId="4" fontId="47" fillId="45" borderId="111" applyNumberFormat="0" applyProtection="0">
      <alignment horizontal="right" vertical="center"/>
    </xf>
    <xf numFmtId="4" fontId="47" fillId="46" borderId="111" applyNumberFormat="0" applyProtection="0">
      <alignment horizontal="right" vertical="center"/>
    </xf>
    <xf numFmtId="4" fontId="47" fillId="47" borderId="111" applyNumberFormat="0" applyProtection="0">
      <alignment horizontal="right" vertical="center"/>
    </xf>
    <xf numFmtId="4" fontId="47" fillId="51" borderId="111" applyNumberFormat="0" applyProtection="0">
      <alignment horizontal="right" vertical="center"/>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4" fontId="47" fillId="35" borderId="111" applyNumberFormat="0" applyProtection="0">
      <alignment vertical="center"/>
    </xf>
    <xf numFmtId="4" fontId="51" fillId="35" borderId="111" applyNumberFormat="0" applyProtection="0">
      <alignment vertical="center"/>
    </xf>
    <xf numFmtId="4" fontId="47" fillId="35" borderId="111" applyNumberFormat="0" applyProtection="0">
      <alignment horizontal="left" vertical="center" indent="1"/>
    </xf>
    <xf numFmtId="0" fontId="47" fillId="3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51" fillId="49"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4" fontId="25" fillId="49" borderId="111" applyNumberFormat="0" applyProtection="0">
      <alignment horizontal="right" vertical="center"/>
    </xf>
    <xf numFmtId="0" fontId="18" fillId="0" borderId="0"/>
    <xf numFmtId="0" fontId="102" fillId="79" borderId="125" applyNumberFormat="0" applyAlignment="0" applyProtection="0"/>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vertical="center"/>
    </xf>
    <xf numFmtId="4" fontId="27" fillId="34" borderId="111" applyNumberFormat="0" applyProtection="0"/>
    <xf numFmtId="4" fontId="27" fillId="34" borderId="111" applyNumberFormat="0" applyProtection="0"/>
    <xf numFmtId="4" fontId="27" fillId="34" borderId="111" applyNumberFormat="0" applyProtection="0"/>
    <xf numFmtId="4" fontId="27" fillId="34" borderId="111" applyNumberFormat="0" applyProtection="0"/>
    <xf numFmtId="4" fontId="27" fillId="34" borderId="80" applyNumberFormat="0" applyProtection="0">
      <alignment vertical="center"/>
    </xf>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59"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5" applyNumberFormat="0" applyAlignment="0" applyProtection="0"/>
    <xf numFmtId="4" fontId="47" fillId="51" borderId="111" applyNumberFormat="0" applyProtection="0">
      <alignment horizontal="left" vertical="center" indent="1"/>
    </xf>
    <xf numFmtId="0" fontId="18" fillId="0" borderId="0"/>
    <xf numFmtId="4" fontId="27" fillId="38" borderId="111" applyNumberFormat="0" applyProtection="0">
      <alignment horizontal="left" vertical="center" indent="1"/>
    </xf>
    <xf numFmtId="4" fontId="47" fillId="0" borderId="111" applyNumberFormat="0" applyProtection="0">
      <alignment horizontal="right" vertical="center"/>
    </xf>
    <xf numFmtId="4" fontId="47" fillId="0" borderId="111" applyNumberFormat="0" applyProtection="0">
      <alignment horizontal="left" vertical="center" indent="1"/>
    </xf>
    <xf numFmtId="0" fontId="47" fillId="34" borderId="111" applyNumberFormat="0" applyProtection="0">
      <alignment horizontal="left" vertical="top"/>
    </xf>
    <xf numFmtId="0" fontId="105" fillId="0" borderId="132" applyNumberFormat="0" applyFill="0" applyAlignment="0" applyProtection="0"/>
    <xf numFmtId="0" fontId="110" fillId="77" borderId="125" applyNumberFormat="0" applyAlignment="0" applyProtection="0"/>
    <xf numFmtId="4" fontId="27" fillId="38" borderId="128" applyNumberFormat="0" applyProtection="0">
      <alignment vertical="center"/>
    </xf>
    <xf numFmtId="0" fontId="18" fillId="0" borderId="0"/>
    <xf numFmtId="4" fontId="27" fillId="34" borderId="80" applyNumberFormat="0" applyProtection="0">
      <alignment vertical="center"/>
    </xf>
    <xf numFmtId="0" fontId="18" fillId="0" borderId="0"/>
    <xf numFmtId="0" fontId="18" fillId="0" borderId="0"/>
    <xf numFmtId="0" fontId="18" fillId="0" borderId="0"/>
    <xf numFmtId="0" fontId="18" fillId="0" borderId="0"/>
    <xf numFmtId="0" fontId="102" fillId="79" borderId="125" applyNumberFormat="0" applyAlignment="0" applyProtection="0"/>
    <xf numFmtId="4" fontId="27" fillId="34" borderId="80" applyNumberFormat="0" applyProtection="0">
      <alignment vertical="center"/>
    </xf>
    <xf numFmtId="0" fontId="110" fillId="77" borderId="125" applyNumberFormat="0" applyAlignment="0" applyProtection="0"/>
    <xf numFmtId="0" fontId="18" fillId="0" borderId="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8" fillId="49" borderId="128" applyNumberFormat="0" applyProtection="0">
      <alignment horizontal="left" vertical="center" indent="1"/>
    </xf>
    <xf numFmtId="0" fontId="102" fillId="79" borderId="129" applyNumberFormat="0" applyAlignment="0" applyProtection="0"/>
    <xf numFmtId="0" fontId="18" fillId="76" borderId="120" applyNumberFormat="0" applyFont="0" applyAlignment="0" applyProtection="0"/>
    <xf numFmtId="0" fontId="18" fillId="50" borderId="128" applyNumberFormat="0" applyProtection="0">
      <alignment horizontal="left" vertical="top" indent="1"/>
    </xf>
    <xf numFmtId="0" fontId="18" fillId="76" borderId="130" applyNumberFormat="0" applyFont="0" applyAlignment="0" applyProtection="0"/>
    <xf numFmtId="4" fontId="27" fillId="38" borderId="128" applyNumberFormat="0" applyProtection="0">
      <alignment horizontal="left" vertical="center" indent="1"/>
    </xf>
    <xf numFmtId="0" fontId="110" fillId="77" borderId="129" applyNumberFormat="0" applyAlignment="0" applyProtection="0"/>
    <xf numFmtId="4" fontId="27" fillId="34" borderId="135" applyNumberFormat="0" applyProtection="0">
      <alignment vertical="center"/>
    </xf>
    <xf numFmtId="4" fontId="47" fillId="0" borderId="128" applyNumberFormat="0" applyProtection="0">
      <alignment horizontal="left" vertical="center" indent="1"/>
    </xf>
    <xf numFmtId="0" fontId="114" fillId="79" borderId="131" applyNumberFormat="0" applyAlignment="0" applyProtection="0"/>
    <xf numFmtId="0" fontId="105" fillId="0" borderId="132" applyNumberFormat="0" applyFill="0" applyAlignment="0" applyProtection="0"/>
    <xf numFmtId="4" fontId="47" fillId="51" borderId="128" applyNumberFormat="0" applyProtection="0">
      <alignment horizontal="right" vertical="center"/>
    </xf>
    <xf numFmtId="4" fontId="25" fillId="49" borderId="128" applyNumberFormat="0" applyProtection="0">
      <alignment horizontal="right" vertical="center"/>
    </xf>
    <xf numFmtId="4" fontId="47" fillId="46" borderId="128" applyNumberFormat="0" applyProtection="0">
      <alignment horizontal="right" vertical="center"/>
    </xf>
    <xf numFmtId="0" fontId="102" fillId="79" borderId="129" applyNumberFormat="0" applyAlignment="0" applyProtection="0"/>
    <xf numFmtId="0" fontId="114" fillId="79" borderId="131" applyNumberFormat="0" applyAlignment="0" applyProtection="0"/>
    <xf numFmtId="4" fontId="47" fillId="41" borderId="128" applyNumberFormat="0" applyProtection="0">
      <alignment horizontal="right" vertical="center"/>
    </xf>
    <xf numFmtId="0" fontId="18" fillId="50" borderId="128" applyNumberFormat="0" applyProtection="0">
      <alignment horizontal="left" vertical="center" indent="1"/>
    </xf>
    <xf numFmtId="4" fontId="27" fillId="34" borderId="128" applyNumberFormat="0" applyProtection="0"/>
    <xf numFmtId="0" fontId="18" fillId="76" borderId="130" applyNumberFormat="0" applyFont="0" applyAlignment="0" applyProtection="0"/>
    <xf numFmtId="4" fontId="47" fillId="44" borderId="128" applyNumberFormat="0" applyProtection="0">
      <alignment horizontal="right" vertical="center"/>
    </xf>
    <xf numFmtId="0" fontId="18" fillId="55" borderId="128" applyNumberFormat="0" applyProtection="0">
      <alignment horizontal="left" vertical="center" indent="1"/>
    </xf>
    <xf numFmtId="0" fontId="110" fillId="77" borderId="129" applyNumberFormat="0" applyAlignment="0" applyProtection="0"/>
    <xf numFmtId="0" fontId="18" fillId="85" borderId="128" applyNumberFormat="0" applyProtection="0">
      <alignment horizontal="left" vertical="top" indent="1"/>
    </xf>
    <xf numFmtId="0" fontId="18" fillId="55" borderId="128" applyNumberFormat="0" applyProtection="0">
      <alignment horizontal="left" vertical="center" indent="1"/>
    </xf>
    <xf numFmtId="0" fontId="110" fillId="77" borderId="129" applyNumberFormat="0" applyAlignment="0" applyProtection="0"/>
    <xf numFmtId="4" fontId="47" fillId="0" borderId="128" applyNumberFormat="0" applyProtection="0">
      <alignment horizontal="left" vertical="center" indent="1"/>
    </xf>
    <xf numFmtId="4" fontId="47" fillId="35" borderId="128" applyNumberFormat="0" applyProtection="0">
      <alignment vertical="center"/>
    </xf>
    <xf numFmtId="0" fontId="102" fillId="79" borderId="125" applyNumberFormat="0" applyAlignment="0" applyProtection="0"/>
    <xf numFmtId="0" fontId="110" fillId="77" borderId="125" applyNumberFormat="0" applyAlignment="0" applyProtection="0"/>
    <xf numFmtId="4" fontId="27" fillId="34" borderId="128" applyNumberFormat="0" applyProtection="0"/>
    <xf numFmtId="0" fontId="18" fillId="0" borderId="0" applyFill="0" applyBorder="0" applyProtection="0">
      <alignment horizontal="right"/>
    </xf>
    <xf numFmtId="0" fontId="114" fillId="79" borderId="121" applyNumberFormat="0" applyAlignment="0" applyProtection="0"/>
    <xf numFmtId="4" fontId="47" fillId="42" borderId="128" applyNumberFormat="0" applyProtection="0">
      <alignment horizontal="right" vertical="center"/>
    </xf>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55" borderId="128" applyNumberFormat="0" applyProtection="0">
      <alignment horizontal="left" vertical="center" indent="1"/>
    </xf>
    <xf numFmtId="0" fontId="47" fillId="35" borderId="128" applyNumberFormat="0" applyProtection="0">
      <alignment horizontal="left" vertical="top" indent="1"/>
    </xf>
    <xf numFmtId="0" fontId="18" fillId="50" borderId="128" applyNumberFormat="0" applyProtection="0">
      <alignment horizontal="left" vertical="top" indent="1"/>
    </xf>
    <xf numFmtId="0" fontId="110" fillId="77" borderId="129" applyNumberFormat="0" applyAlignment="0" applyProtection="0"/>
    <xf numFmtId="0" fontId="18" fillId="54" borderId="128" applyNumberFormat="0" applyProtection="0">
      <alignment horizontal="left" vertical="center" indent="1"/>
    </xf>
    <xf numFmtId="0" fontId="114" fillId="79" borderId="131" applyNumberFormat="0" applyAlignment="0" applyProtection="0"/>
    <xf numFmtId="0" fontId="18" fillId="85" borderId="128" applyNumberFormat="0" applyProtection="0">
      <alignment horizontal="left" vertical="top" indent="1"/>
    </xf>
    <xf numFmtId="0" fontId="18" fillId="84" borderId="128" applyNumberFormat="0" applyProtection="0">
      <alignment horizontal="left" vertical="center" indent="1"/>
    </xf>
    <xf numFmtId="0" fontId="47" fillId="35" borderId="128" applyNumberFormat="0" applyProtection="0">
      <alignment horizontal="left" vertical="top" indent="1"/>
    </xf>
    <xf numFmtId="0" fontId="26" fillId="0" borderId="134">
      <alignment horizontal="left" vertical="center"/>
    </xf>
    <xf numFmtId="4" fontId="47" fillId="0" borderId="128" applyNumberFormat="0" applyProtection="0">
      <alignment horizontal="left" vertical="center" indent="1"/>
    </xf>
    <xf numFmtId="0" fontId="105" fillId="0" borderId="132" applyNumberFormat="0" applyFill="0" applyAlignment="0" applyProtection="0"/>
    <xf numFmtId="0" fontId="18" fillId="85" borderId="128" applyNumberFormat="0" applyProtection="0">
      <alignment horizontal="left" vertical="center" indent="1"/>
    </xf>
    <xf numFmtId="0" fontId="47" fillId="35" borderId="128" applyNumberFormat="0" applyProtection="0">
      <alignment horizontal="left" vertical="top" indent="1"/>
    </xf>
    <xf numFmtId="4" fontId="47" fillId="43" borderId="128" applyNumberFormat="0" applyProtection="0">
      <alignment horizontal="right" vertical="center"/>
    </xf>
    <xf numFmtId="4" fontId="47" fillId="0" borderId="128" applyNumberFormat="0" applyProtection="0">
      <alignment horizontal="right" vertical="center"/>
    </xf>
    <xf numFmtId="0" fontId="18" fillId="76" borderId="130" applyNumberFormat="0" applyFont="0" applyAlignment="0" applyProtection="0"/>
    <xf numFmtId="0" fontId="18" fillId="51" borderId="128" applyNumberFormat="0" applyProtection="0">
      <alignment horizontal="left" vertical="center" indent="1"/>
    </xf>
    <xf numFmtId="0" fontId="18" fillId="85" borderId="128" applyNumberFormat="0" applyProtection="0">
      <alignment horizontal="left" vertical="center" indent="1"/>
    </xf>
    <xf numFmtId="0" fontId="102" fillId="79" borderId="129" applyNumberFormat="0" applyAlignment="0" applyProtection="0"/>
    <xf numFmtId="4" fontId="47" fillId="43" borderId="128" applyNumberFormat="0" applyProtection="0">
      <alignment horizontal="right" vertical="center"/>
    </xf>
    <xf numFmtId="0" fontId="18" fillId="54" borderId="128" applyNumberFormat="0" applyProtection="0">
      <alignment horizontal="left" vertical="center" indent="1"/>
    </xf>
    <xf numFmtId="0" fontId="18" fillId="49" borderId="128" applyNumberFormat="0" applyProtection="0">
      <alignment horizontal="left" vertical="center" indent="1"/>
    </xf>
    <xf numFmtId="4" fontId="27" fillId="38" borderId="128" applyNumberFormat="0" applyProtection="0">
      <alignment horizontal="left" vertical="center" indent="1"/>
    </xf>
    <xf numFmtId="4" fontId="47" fillId="43" borderId="128" applyNumberFormat="0" applyProtection="0">
      <alignment horizontal="right" vertical="center"/>
    </xf>
    <xf numFmtId="4" fontId="47" fillId="35" borderId="128" applyNumberFormat="0" applyProtection="0">
      <alignment vertical="center"/>
    </xf>
    <xf numFmtId="0" fontId="18" fillId="76" borderId="130" applyNumberFormat="0" applyFont="0" applyAlignment="0" applyProtection="0"/>
    <xf numFmtId="0" fontId="18" fillId="76" borderId="130" applyNumberFormat="0" applyFont="0" applyAlignment="0" applyProtection="0"/>
    <xf numFmtId="4" fontId="46" fillId="38" borderId="128" applyNumberFormat="0" applyProtection="0">
      <alignment vertical="center"/>
    </xf>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4" fontId="47" fillId="35" borderId="128" applyNumberFormat="0" applyProtection="0">
      <alignment horizontal="left" vertical="center" indent="1"/>
    </xf>
    <xf numFmtId="0" fontId="18" fillId="76" borderId="120" applyNumberFormat="0" applyFont="0" applyAlignment="0" applyProtection="0"/>
    <xf numFmtId="4" fontId="25" fillId="49" borderId="128" applyNumberFormat="0" applyProtection="0">
      <alignment horizontal="right" vertical="center"/>
    </xf>
    <xf numFmtId="0" fontId="18" fillId="50" borderId="128" applyNumberFormat="0" applyProtection="0">
      <alignment horizontal="left" vertical="top" indent="1"/>
    </xf>
    <xf numFmtId="4" fontId="47" fillId="39" borderId="128" applyNumberFormat="0" applyProtection="0">
      <alignment horizontal="right" vertical="center"/>
    </xf>
    <xf numFmtId="0" fontId="18" fillId="85" borderId="128" applyNumberFormat="0" applyProtection="0">
      <alignment horizontal="left" vertical="top" indent="1"/>
    </xf>
    <xf numFmtId="0" fontId="63" fillId="59" borderId="133" applyNumberFormat="0" applyFont="0" applyFill="0" applyAlignment="0" applyProtection="0">
      <protection locked="0"/>
    </xf>
    <xf numFmtId="0" fontId="18" fillId="34" borderId="128" applyNumberFormat="0" applyProtection="0">
      <alignment horizontal="left" vertical="center" indent="1"/>
    </xf>
    <xf numFmtId="0" fontId="18" fillId="49" borderId="128" applyNumberFormat="0" applyProtection="0">
      <alignment horizontal="left" vertical="center" indent="1"/>
    </xf>
    <xf numFmtId="0" fontId="114" fillId="79" borderId="131" applyNumberFormat="0" applyAlignment="0" applyProtection="0"/>
    <xf numFmtId="4" fontId="27" fillId="38" borderId="128" applyNumberFormat="0" applyProtection="0">
      <alignment horizontal="left" vertical="center" indent="1"/>
    </xf>
    <xf numFmtId="4" fontId="47" fillId="39" borderId="128" applyNumberFormat="0" applyProtection="0">
      <alignment horizontal="right" vertical="center"/>
    </xf>
    <xf numFmtId="0" fontId="110" fillId="77" borderId="129" applyNumberFormat="0" applyAlignment="0" applyProtection="0"/>
    <xf numFmtId="0" fontId="18" fillId="84" borderId="128" applyNumberFormat="0" applyProtection="0">
      <alignment horizontal="left" vertical="top" indent="1"/>
    </xf>
    <xf numFmtId="0" fontId="18" fillId="85" borderId="128" applyNumberFormat="0" applyProtection="0">
      <alignment horizontal="left" vertical="center" indent="1"/>
    </xf>
    <xf numFmtId="0" fontId="114" fillId="79" borderId="131" applyNumberFormat="0" applyAlignment="0" applyProtection="0"/>
    <xf numFmtId="4" fontId="47" fillId="46" borderId="128" applyNumberFormat="0" applyProtection="0">
      <alignment horizontal="right" vertical="center"/>
    </xf>
    <xf numFmtId="0" fontId="18" fillId="34" borderId="128" applyNumberFormat="0" applyProtection="0">
      <alignment horizontal="left" vertical="center" indent="1"/>
    </xf>
    <xf numFmtId="0" fontId="102" fillId="79" borderId="129" applyNumberFormat="0" applyAlignment="0" applyProtection="0"/>
    <xf numFmtId="0" fontId="18" fillId="84" borderId="128" applyNumberFormat="0" applyProtection="0">
      <alignment horizontal="left" vertical="top" indent="1"/>
    </xf>
    <xf numFmtId="4" fontId="47" fillId="51" borderId="128" applyNumberFormat="0" applyProtection="0">
      <alignment horizontal="right" vertical="center"/>
    </xf>
    <xf numFmtId="0" fontId="18" fillId="49" borderId="128" applyNumberFormat="0" applyProtection="0">
      <alignment horizontal="left" vertical="center" indent="1"/>
    </xf>
    <xf numFmtId="0" fontId="18" fillId="50" borderId="128" applyNumberFormat="0" applyProtection="0">
      <alignment horizontal="left" vertical="center" indent="1"/>
    </xf>
    <xf numFmtId="4" fontId="27" fillId="34" borderId="128" applyNumberFormat="0" applyProtection="0"/>
    <xf numFmtId="0" fontId="18" fillId="55" borderId="128" applyNumberFormat="0" applyProtection="0">
      <alignment horizontal="left" vertical="center" indent="1"/>
    </xf>
    <xf numFmtId="4" fontId="47" fillId="0" borderId="128" applyNumberFormat="0" applyProtection="0">
      <alignment horizontal="left" vertical="center" indent="1"/>
    </xf>
    <xf numFmtId="0" fontId="47" fillId="34" borderId="128" applyNumberFormat="0" applyProtection="0">
      <alignment horizontal="left" vertical="top"/>
    </xf>
    <xf numFmtId="4" fontId="47" fillId="40" borderId="128" applyNumberFormat="0" applyProtection="0">
      <alignment horizontal="right" vertical="center"/>
    </xf>
    <xf numFmtId="0" fontId="47" fillId="35" borderId="128" applyNumberFormat="0" applyProtection="0">
      <alignment horizontal="left" vertical="top" indent="1"/>
    </xf>
    <xf numFmtId="0" fontId="18" fillId="76" borderId="130" applyNumberFormat="0" applyFont="0" applyAlignment="0" applyProtection="0"/>
    <xf numFmtId="4" fontId="47" fillId="40" borderId="128" applyNumberFormat="0" applyProtection="0">
      <alignment horizontal="right" vertical="center"/>
    </xf>
    <xf numFmtId="0" fontId="18" fillId="50" borderId="128" applyNumberFormat="0" applyProtection="0">
      <alignment horizontal="left" vertical="center" indent="1"/>
    </xf>
    <xf numFmtId="0" fontId="18" fillId="76" borderId="130" applyNumberFormat="0" applyFont="0" applyAlignment="0" applyProtection="0"/>
    <xf numFmtId="0" fontId="114" fillId="79" borderId="131" applyNumberFormat="0" applyAlignment="0" applyProtection="0"/>
    <xf numFmtId="4" fontId="47" fillId="51" borderId="128" applyNumberFormat="0" applyProtection="0">
      <alignment horizontal="right" vertical="center"/>
    </xf>
    <xf numFmtId="4" fontId="27" fillId="34" borderId="135" applyNumberFormat="0" applyProtection="0">
      <alignment vertical="center"/>
    </xf>
    <xf numFmtId="0" fontId="18" fillId="55" borderId="128" applyNumberFormat="0" applyProtection="0">
      <alignment horizontal="left" vertical="center" indent="1"/>
    </xf>
    <xf numFmtId="0" fontId="102" fillId="79" borderId="125" applyNumberFormat="0" applyAlignment="0" applyProtection="0"/>
    <xf numFmtId="0" fontId="110" fillId="77" borderId="125" applyNumberFormat="0" applyAlignment="0" applyProtection="0"/>
    <xf numFmtId="0" fontId="114" fillId="79" borderId="121" applyNumberFormat="0" applyAlignment="0" applyProtection="0"/>
    <xf numFmtId="4" fontId="47" fillId="0" borderId="128" applyNumberFormat="0" applyProtection="0">
      <alignment horizontal="right" vertical="center"/>
    </xf>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55" borderId="128" applyNumberFormat="0" applyProtection="0">
      <alignment horizontal="left" vertical="center" indent="1"/>
    </xf>
    <xf numFmtId="0" fontId="18" fillId="34" borderId="128" applyNumberFormat="0" applyProtection="0">
      <alignment horizontal="left" vertical="center" indent="1"/>
    </xf>
    <xf numFmtId="0" fontId="18" fillId="55" borderId="128" applyNumberFormat="0" applyProtection="0">
      <alignment horizontal="left" vertical="top" indent="1"/>
    </xf>
    <xf numFmtId="0" fontId="18" fillId="76" borderId="130" applyNumberFormat="0" applyFont="0" applyAlignment="0" applyProtection="0"/>
    <xf numFmtId="0" fontId="105" fillId="0" borderId="132" applyNumberFormat="0" applyFill="0" applyAlignment="0" applyProtection="0"/>
    <xf numFmtId="0" fontId="105" fillId="0" borderId="132" applyNumberFormat="0" applyFill="0" applyAlignment="0" applyProtection="0"/>
    <xf numFmtId="0" fontId="63" fillId="59" borderId="133" applyNumberFormat="0" applyFont="0" applyFill="0" applyAlignment="0" applyProtection="0">
      <protection locked="0"/>
    </xf>
    <xf numFmtId="0" fontId="18" fillId="51" borderId="128" applyNumberFormat="0" applyProtection="0">
      <alignment horizontal="left" vertical="top" indent="1"/>
    </xf>
    <xf numFmtId="0" fontId="105" fillId="0" borderId="132" applyNumberFormat="0" applyFill="0" applyAlignment="0" applyProtection="0"/>
    <xf numFmtId="4" fontId="47" fillId="0" borderId="128" applyNumberFormat="0" applyProtection="0">
      <alignment horizontal="left" vertical="center" indent="1"/>
    </xf>
    <xf numFmtId="0" fontId="102" fillId="79" borderId="129" applyNumberFormat="0" applyAlignment="0" applyProtection="0"/>
    <xf numFmtId="0" fontId="102" fillId="79" borderId="129" applyNumberFormat="0" applyAlignment="0" applyProtection="0"/>
    <xf numFmtId="0" fontId="18" fillId="85" borderId="128" applyNumberFormat="0" applyProtection="0">
      <alignment horizontal="left" vertical="top" indent="1"/>
    </xf>
    <xf numFmtId="4" fontId="51" fillId="49" borderId="128" applyNumberFormat="0" applyProtection="0">
      <alignment horizontal="right" vertical="center"/>
    </xf>
    <xf numFmtId="0" fontId="47" fillId="34" borderId="128" applyNumberFormat="0" applyProtection="0">
      <alignment horizontal="left" vertical="top"/>
    </xf>
    <xf numFmtId="4" fontId="47" fillId="0" borderId="128" applyNumberFormat="0" applyProtection="0">
      <alignment horizontal="left" vertical="center" indent="1"/>
    </xf>
    <xf numFmtId="4" fontId="25" fillId="49" borderId="128" applyNumberFormat="0" applyProtection="0">
      <alignment horizontal="right" vertical="center"/>
    </xf>
    <xf numFmtId="0" fontId="18" fillId="84" borderId="128" applyNumberFormat="0" applyProtection="0">
      <alignment horizontal="left" vertical="top" indent="1"/>
    </xf>
    <xf numFmtId="0" fontId="114" fillId="79" borderId="131" applyNumberFormat="0" applyAlignment="0" applyProtection="0"/>
    <xf numFmtId="0" fontId="18" fillId="54" borderId="128" applyNumberFormat="0" applyProtection="0">
      <alignment horizontal="left" vertical="top" indent="1"/>
    </xf>
    <xf numFmtId="4" fontId="51" fillId="49" borderId="128" applyNumberFormat="0" applyProtection="0">
      <alignment horizontal="right" vertical="center"/>
    </xf>
    <xf numFmtId="0" fontId="105" fillId="0" borderId="132" applyNumberFormat="0" applyFill="0" applyAlignment="0" applyProtection="0"/>
    <xf numFmtId="0" fontId="114" fillId="79" borderId="131" applyNumberFormat="0" applyAlignment="0" applyProtection="0"/>
    <xf numFmtId="0" fontId="18" fillId="54" borderId="128" applyNumberFormat="0" applyProtection="0">
      <alignment horizontal="left" vertical="top" indent="1"/>
    </xf>
    <xf numFmtId="0" fontId="18" fillId="50" borderId="128" applyNumberFormat="0" applyProtection="0">
      <alignment horizontal="left" vertical="top" indent="1"/>
    </xf>
    <xf numFmtId="4" fontId="47" fillId="39" borderId="128" applyNumberFormat="0" applyProtection="0">
      <alignment horizontal="right" vertical="center"/>
    </xf>
    <xf numFmtId="0" fontId="102" fillId="79" borderId="129" applyNumberFormat="0" applyAlignmen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4" fontId="47" fillId="46" borderId="128" applyNumberFormat="0" applyProtection="0">
      <alignment horizontal="right" vertical="center"/>
    </xf>
    <xf numFmtId="0" fontId="114" fillId="79" borderId="131" applyNumberFormat="0" applyAlignment="0" applyProtection="0"/>
    <xf numFmtId="0" fontId="27" fillId="38" borderId="128" applyNumberFormat="0" applyProtection="0">
      <alignment horizontal="left" vertical="top" indent="1"/>
    </xf>
    <xf numFmtId="0" fontId="18" fillId="76" borderId="120" applyNumberFormat="0" applyFont="0" applyAlignment="0" applyProtection="0"/>
    <xf numFmtId="0" fontId="18" fillId="34" borderId="128" applyNumberFormat="0" applyProtection="0">
      <alignment horizontal="left" vertical="center" indent="1"/>
    </xf>
    <xf numFmtId="4" fontId="47" fillId="41" borderId="128" applyNumberFormat="0" applyProtection="0">
      <alignment horizontal="right" vertical="center"/>
    </xf>
    <xf numFmtId="0" fontId="18" fillId="50" borderId="128" applyNumberFormat="0" applyProtection="0">
      <alignment horizontal="left" vertical="center" indent="1"/>
    </xf>
    <xf numFmtId="0" fontId="102" fillId="79" borderId="129" applyNumberFormat="0" applyAlignment="0" applyProtection="0"/>
    <xf numFmtId="0" fontId="110" fillId="77" borderId="129" applyNumberFormat="0" applyAlignment="0" applyProtection="0"/>
    <xf numFmtId="4" fontId="47" fillId="45" borderId="128" applyNumberFormat="0" applyProtection="0">
      <alignment horizontal="right" vertical="center"/>
    </xf>
    <xf numFmtId="4" fontId="51" fillId="35" borderId="128" applyNumberFormat="0" applyProtection="0">
      <alignment vertical="center"/>
    </xf>
    <xf numFmtId="0" fontId="18" fillId="84" borderId="128" applyNumberFormat="0" applyProtection="0">
      <alignment horizontal="left" vertical="center" indent="1"/>
    </xf>
    <xf numFmtId="4" fontId="25" fillId="49" borderId="128" applyNumberFormat="0" applyProtection="0">
      <alignment horizontal="right" vertical="center"/>
    </xf>
    <xf numFmtId="0" fontId="114" fillId="79" borderId="131" applyNumberFormat="0" applyAlignment="0" applyProtection="0"/>
    <xf numFmtId="0" fontId="47" fillId="35" borderId="128" applyNumberFormat="0" applyProtection="0">
      <alignment horizontal="left" vertical="top" indent="1"/>
    </xf>
    <xf numFmtId="0" fontId="105" fillId="0" borderId="132" applyNumberFormat="0" applyFill="0" applyAlignment="0" applyProtection="0"/>
    <xf numFmtId="0" fontId="18" fillId="85" borderId="128" applyNumberFormat="0" applyProtection="0">
      <alignment horizontal="left" vertical="top" indent="1"/>
    </xf>
    <xf numFmtId="0" fontId="114" fillId="79" borderId="131" applyNumberFormat="0" applyAlignment="0" applyProtection="0"/>
    <xf numFmtId="4" fontId="47" fillId="47" borderId="128" applyNumberFormat="0" applyProtection="0">
      <alignment horizontal="right" vertical="center"/>
    </xf>
    <xf numFmtId="0" fontId="47" fillId="34" borderId="128" applyNumberFormat="0" applyProtection="0">
      <alignment horizontal="left" vertical="top"/>
    </xf>
    <xf numFmtId="0" fontId="18" fillId="76" borderId="130" applyNumberFormat="0" applyFont="0" applyAlignment="0" applyProtection="0"/>
    <xf numFmtId="0" fontId="18" fillId="34" borderId="128" applyNumberFormat="0" applyProtection="0">
      <alignment horizontal="left" vertical="top" indent="1"/>
    </xf>
    <xf numFmtId="0" fontId="18" fillId="49" borderId="128" applyNumberFormat="0" applyProtection="0">
      <alignment horizontal="left" vertical="top" indent="1"/>
    </xf>
    <xf numFmtId="4" fontId="27" fillId="38" borderId="128" applyNumberFormat="0" applyProtection="0">
      <alignment horizontal="left" vertical="center" indent="1"/>
    </xf>
    <xf numFmtId="4" fontId="51" fillId="35" borderId="128" applyNumberFormat="0" applyProtection="0">
      <alignment vertical="center"/>
    </xf>
    <xf numFmtId="0" fontId="114" fillId="79" borderId="131" applyNumberFormat="0" applyAlignment="0" applyProtection="0"/>
    <xf numFmtId="0" fontId="18" fillId="85" borderId="128" applyNumberFormat="0" applyProtection="0">
      <alignment horizontal="left" vertical="center" indent="1"/>
    </xf>
    <xf numFmtId="0" fontId="18" fillId="84" borderId="128" applyNumberFormat="0" applyProtection="0">
      <alignment horizontal="left" vertical="top" indent="1"/>
    </xf>
    <xf numFmtId="4" fontId="47" fillId="35" borderId="128" applyNumberFormat="0" applyProtection="0">
      <alignment vertical="center"/>
    </xf>
    <xf numFmtId="4" fontId="47" fillId="0" borderId="128" applyNumberFormat="0" applyProtection="0">
      <alignment horizontal="right" vertical="center"/>
    </xf>
    <xf numFmtId="4" fontId="47" fillId="42" borderId="128" applyNumberFormat="0" applyProtection="0">
      <alignment horizontal="right" vertical="center"/>
    </xf>
    <xf numFmtId="0" fontId="105" fillId="0" borderId="132" applyNumberFormat="0" applyFill="0" applyAlignment="0" applyProtection="0"/>
    <xf numFmtId="0" fontId="47" fillId="34" borderId="128" applyNumberFormat="0" applyProtection="0">
      <alignment horizontal="left" vertical="top"/>
    </xf>
    <xf numFmtId="0" fontId="102" fillId="79" borderId="125" applyNumberFormat="0" applyAlignment="0" applyProtection="0"/>
    <xf numFmtId="0" fontId="114" fillId="79" borderId="121" applyNumberFormat="0" applyAlignment="0" applyProtection="0"/>
    <xf numFmtId="0" fontId="114" fillId="79" borderId="121" applyNumberFormat="0" applyAlignment="0" applyProtection="0"/>
    <xf numFmtId="0" fontId="105" fillId="0" borderId="132" applyNumberFormat="0" applyFill="0" applyAlignment="0" applyProtection="0"/>
    <xf numFmtId="0" fontId="18" fillId="76" borderId="120" applyNumberFormat="0" applyFont="0" applyAlignment="0" applyProtection="0"/>
    <xf numFmtId="0" fontId="18" fillId="55" borderId="128" applyNumberFormat="0" applyProtection="0">
      <alignment horizontal="left" vertical="center" indent="1"/>
    </xf>
    <xf numFmtId="0" fontId="102" fillId="79" borderId="129" applyNumberFormat="0" applyAlignment="0" applyProtection="0"/>
    <xf numFmtId="4" fontId="47" fillId="51" borderId="128" applyNumberFormat="0" applyProtection="0">
      <alignment horizontal="left" vertical="center" indent="1"/>
    </xf>
    <xf numFmtId="4" fontId="47" fillId="42" borderId="128" applyNumberFormat="0" applyProtection="0">
      <alignment horizontal="right" vertical="center"/>
    </xf>
    <xf numFmtId="4" fontId="47" fillId="43" borderId="128" applyNumberFormat="0" applyProtection="0">
      <alignment horizontal="right" vertical="center"/>
    </xf>
    <xf numFmtId="0" fontId="65" fillId="0" borderId="20" applyNumberFormat="0" applyFont="0" applyFill="0" applyAlignment="0" applyProtection="0"/>
    <xf numFmtId="4" fontId="47" fillId="51" borderId="128" applyNumberFormat="0" applyProtection="0">
      <alignment horizontal="right" vertical="center"/>
    </xf>
    <xf numFmtId="4" fontId="47" fillId="43" borderId="128" applyNumberFormat="0" applyProtection="0">
      <alignment horizontal="right" vertical="center"/>
    </xf>
    <xf numFmtId="0" fontId="18" fillId="50" borderId="128" applyNumberFormat="0" applyProtection="0">
      <alignment horizontal="left" vertical="top" indent="1"/>
    </xf>
    <xf numFmtId="0" fontId="18" fillId="34" borderId="128" applyNumberFormat="0" applyProtection="0">
      <alignment horizontal="left" vertical="center" indent="1"/>
    </xf>
    <xf numFmtId="4" fontId="27" fillId="38" borderId="128" applyNumberFormat="0" applyProtection="0">
      <alignment horizontal="left" vertical="center" indent="1"/>
    </xf>
    <xf numFmtId="0" fontId="18" fillId="34" borderId="128" applyNumberFormat="0" applyProtection="0">
      <alignment horizontal="left" vertical="center" indent="1"/>
    </xf>
    <xf numFmtId="0" fontId="18" fillId="50" borderId="128" applyNumberFormat="0" applyProtection="0">
      <alignment horizontal="left" vertical="top" indent="1"/>
    </xf>
    <xf numFmtId="0" fontId="18" fillId="51" borderId="128" applyNumberFormat="0" applyProtection="0">
      <alignment horizontal="left" vertical="center" indent="1"/>
    </xf>
    <xf numFmtId="4" fontId="47" fillId="41" borderId="128" applyNumberFormat="0" applyProtection="0">
      <alignment horizontal="right" vertical="center"/>
    </xf>
    <xf numFmtId="4" fontId="47" fillId="51" borderId="128" applyNumberFormat="0" applyProtection="0">
      <alignment horizontal="right" vertical="center"/>
    </xf>
    <xf numFmtId="0" fontId="18" fillId="54" borderId="128" applyNumberFormat="0" applyProtection="0">
      <alignment horizontal="left" vertical="top" indent="1"/>
    </xf>
    <xf numFmtId="0" fontId="18" fillId="55" borderId="128" applyNumberFormat="0" applyProtection="0">
      <alignment horizontal="left" vertical="top" indent="1"/>
    </xf>
    <xf numFmtId="0" fontId="18" fillId="34" borderId="128" applyNumberFormat="0" applyProtection="0">
      <alignment horizontal="left" vertical="center" indent="1"/>
    </xf>
    <xf numFmtId="4" fontId="47" fillId="42" borderId="128" applyNumberFormat="0" applyProtection="0">
      <alignment horizontal="right" vertical="center"/>
    </xf>
    <xf numFmtId="0" fontId="18" fillId="55" borderId="128" applyNumberFormat="0" applyProtection="0">
      <alignment horizontal="left" vertical="top" indent="1"/>
    </xf>
    <xf numFmtId="0" fontId="18" fillId="84" borderId="128" applyNumberFormat="0" applyProtection="0">
      <alignment horizontal="left" vertical="top" indent="1"/>
    </xf>
    <xf numFmtId="4" fontId="51" fillId="35" borderId="128" applyNumberFormat="0" applyProtection="0">
      <alignment vertical="center"/>
    </xf>
    <xf numFmtId="0" fontId="18" fillId="34" borderId="128" applyNumberFormat="0" applyProtection="0">
      <alignment horizontal="left" vertical="top" indent="1"/>
    </xf>
    <xf numFmtId="4" fontId="47" fillId="45" borderId="128" applyNumberFormat="0" applyProtection="0">
      <alignment horizontal="right" vertical="center"/>
    </xf>
    <xf numFmtId="0" fontId="114" fillId="79" borderId="121" applyNumberFormat="0" applyAlignment="0" applyProtection="0"/>
    <xf numFmtId="0" fontId="114" fillId="79" borderId="121" applyNumberFormat="0" applyAlignment="0" applyProtection="0"/>
    <xf numFmtId="0" fontId="114" fillId="79" borderId="121" applyNumberFormat="0" applyAlignment="0" applyProtection="0"/>
    <xf numFmtId="4" fontId="47" fillId="40" borderId="128" applyNumberFormat="0" applyProtection="0">
      <alignment horizontal="right" vertical="center"/>
    </xf>
    <xf numFmtId="0" fontId="47" fillId="34" borderId="128" applyNumberFormat="0" applyProtection="0">
      <alignment horizontal="left" vertical="top"/>
    </xf>
    <xf numFmtId="0" fontId="114" fillId="79" borderId="121" applyNumberFormat="0" applyAlignment="0" applyProtection="0"/>
    <xf numFmtId="0" fontId="18" fillId="51" borderId="128" applyNumberFormat="0" applyProtection="0">
      <alignment horizontal="left" vertical="center" indent="1"/>
    </xf>
    <xf numFmtId="4" fontId="27" fillId="38" borderId="128" applyNumberFormat="0" applyProtection="0">
      <alignment horizontal="left" vertical="center" indent="1"/>
    </xf>
    <xf numFmtId="0" fontId="18" fillId="34" borderId="128" applyNumberFormat="0" applyProtection="0">
      <alignment horizontal="left" vertical="center" indent="1"/>
    </xf>
    <xf numFmtId="4" fontId="27" fillId="38" borderId="128" applyNumberFormat="0" applyProtection="0">
      <alignment horizontal="left" vertical="center" indent="1"/>
    </xf>
    <xf numFmtId="0" fontId="47" fillId="34" borderId="128" applyNumberFormat="0" applyProtection="0">
      <alignment horizontal="left" vertical="top"/>
    </xf>
    <xf numFmtId="0" fontId="110" fillId="77" borderId="129" applyNumberFormat="0" applyAlignment="0" applyProtection="0"/>
    <xf numFmtId="4" fontId="46" fillId="38" borderId="128" applyNumberFormat="0" applyProtection="0">
      <alignment vertical="center"/>
    </xf>
    <xf numFmtId="0" fontId="18" fillId="34" borderId="128" applyNumberFormat="0" applyProtection="0">
      <alignment horizontal="left" vertical="center" indent="1"/>
    </xf>
    <xf numFmtId="4" fontId="47" fillId="39" borderId="128" applyNumberFormat="0" applyProtection="0">
      <alignment horizontal="right" vertical="center"/>
    </xf>
    <xf numFmtId="0" fontId="18" fillId="50" borderId="128" applyNumberFormat="0" applyProtection="0">
      <alignment horizontal="left" vertical="top" indent="1"/>
    </xf>
    <xf numFmtId="0" fontId="18" fillId="76" borderId="130" applyNumberFormat="0" applyFont="0" applyAlignment="0" applyProtection="0"/>
    <xf numFmtId="4" fontId="47" fillId="51" borderId="128" applyNumberFormat="0" applyProtection="0">
      <alignment horizontal="left" vertical="center" indent="1"/>
    </xf>
    <xf numFmtId="0" fontId="18" fillId="54" borderId="128" applyNumberFormat="0" applyProtection="0">
      <alignment horizontal="left" vertical="center" indent="1"/>
    </xf>
    <xf numFmtId="0" fontId="110" fillId="77" borderId="129" applyNumberFormat="0" applyAlignment="0" applyProtection="0"/>
    <xf numFmtId="0" fontId="105" fillId="0" borderId="132" applyNumberFormat="0" applyFill="0" applyAlignment="0" applyProtection="0"/>
    <xf numFmtId="4" fontId="47" fillId="47" borderId="128" applyNumberFormat="0" applyProtection="0">
      <alignment horizontal="right" vertical="center"/>
    </xf>
    <xf numFmtId="0" fontId="18" fillId="50" borderId="128" applyNumberFormat="0" applyProtection="0">
      <alignment horizontal="left" vertical="center" indent="1"/>
    </xf>
    <xf numFmtId="0" fontId="102" fillId="79" borderId="129" applyNumberFormat="0" applyAlignment="0" applyProtection="0"/>
    <xf numFmtId="0" fontId="47" fillId="34" borderId="128" applyNumberFormat="0" applyProtection="0">
      <alignment horizontal="left" vertical="top"/>
    </xf>
    <xf numFmtId="0" fontId="18" fillId="49" borderId="128" applyNumberFormat="0" applyProtection="0">
      <alignment horizontal="left" vertical="top" indent="1"/>
    </xf>
    <xf numFmtId="0" fontId="18" fillId="51" borderId="128" applyNumberFormat="0" applyProtection="0">
      <alignment horizontal="left" vertical="top" indent="1"/>
    </xf>
    <xf numFmtId="0" fontId="18" fillId="51" borderId="128" applyNumberFormat="0" applyProtection="0">
      <alignment horizontal="left" vertical="center" indent="1"/>
    </xf>
    <xf numFmtId="0" fontId="18" fillId="50" borderId="128" applyNumberFormat="0" applyProtection="0">
      <alignment horizontal="left" vertical="top" indent="1"/>
    </xf>
    <xf numFmtId="0" fontId="18" fillId="54" borderId="128" applyNumberFormat="0" applyProtection="0">
      <alignment horizontal="left" vertical="center" indent="1"/>
    </xf>
    <xf numFmtId="4" fontId="47" fillId="41" borderId="128" applyNumberFormat="0" applyProtection="0">
      <alignment horizontal="right" vertical="center"/>
    </xf>
    <xf numFmtId="0" fontId="18" fillId="49" borderId="128" applyNumberFormat="0" applyProtection="0">
      <alignment horizontal="left" vertical="top" indent="1"/>
    </xf>
    <xf numFmtId="0" fontId="18" fillId="84" borderId="128" applyNumberFormat="0" applyProtection="0">
      <alignment horizontal="left" vertical="center" indent="1"/>
    </xf>
    <xf numFmtId="0" fontId="18" fillId="76" borderId="130" applyNumberFormat="0" applyFont="0" applyAlignment="0" applyProtection="0"/>
    <xf numFmtId="0" fontId="105" fillId="0" borderId="132" applyNumberFormat="0" applyFill="0" applyAlignment="0" applyProtection="0"/>
    <xf numFmtId="4" fontId="27" fillId="38" borderId="128" applyNumberFormat="0" applyProtection="0">
      <alignment horizontal="left" vertical="center" indent="1"/>
    </xf>
    <xf numFmtId="0" fontId="18" fillId="84" borderId="128" applyNumberFormat="0" applyProtection="0">
      <alignment horizontal="left" vertical="top" indent="1"/>
    </xf>
    <xf numFmtId="0" fontId="114" fillId="79" borderId="121" applyNumberFormat="0" applyAlignment="0" applyProtection="0"/>
    <xf numFmtId="0" fontId="114" fillId="79" borderId="121" applyNumberFormat="0" applyAlignment="0" applyProtection="0"/>
    <xf numFmtId="0" fontId="47" fillId="34" borderId="128" applyNumberFormat="0" applyProtection="0">
      <alignment horizontal="left" vertical="top"/>
    </xf>
    <xf numFmtId="0" fontId="18" fillId="76" borderId="120" applyNumberFormat="0" applyFont="0" applyAlignment="0" applyProtection="0"/>
    <xf numFmtId="0" fontId="18" fillId="55" borderId="128" applyNumberFormat="0" applyProtection="0">
      <alignment horizontal="left" vertical="top" indent="1"/>
    </xf>
    <xf numFmtId="0" fontId="18" fillId="51" borderId="128" applyNumberFormat="0" applyProtection="0">
      <alignment horizontal="left" vertical="top" indent="1"/>
    </xf>
    <xf numFmtId="0" fontId="105" fillId="0" borderId="132" applyNumberFormat="0" applyFill="0" applyAlignment="0" applyProtection="0"/>
    <xf numFmtId="0" fontId="105" fillId="0" borderId="132" applyNumberFormat="0" applyFill="0" applyAlignment="0" applyProtection="0"/>
    <xf numFmtId="4" fontId="51" fillId="35" borderId="128" applyNumberFormat="0" applyProtection="0">
      <alignment vertical="center"/>
    </xf>
    <xf numFmtId="4" fontId="47" fillId="0" borderId="128" applyNumberFormat="0" applyProtection="0">
      <alignment horizontal="left" vertical="center" indent="1"/>
    </xf>
    <xf numFmtId="0" fontId="18" fillId="76" borderId="130" applyNumberFormat="0" applyFont="0" applyAlignment="0" applyProtection="0"/>
    <xf numFmtId="0" fontId="47" fillId="34" borderId="128" applyNumberFormat="0" applyProtection="0">
      <alignment horizontal="left" vertical="top"/>
    </xf>
    <xf numFmtId="0" fontId="105" fillId="0" borderId="132" applyNumberFormat="0" applyFill="0" applyAlignment="0" applyProtection="0"/>
    <xf numFmtId="0" fontId="18" fillId="49" borderId="128" applyNumberFormat="0" applyProtection="0">
      <alignment horizontal="left" vertical="center" indent="1"/>
    </xf>
    <xf numFmtId="4" fontId="46" fillId="38" borderId="128" applyNumberFormat="0" applyProtection="0">
      <alignment vertical="center"/>
    </xf>
    <xf numFmtId="0" fontId="110" fillId="77" borderId="129" applyNumberFormat="0" applyAlignment="0" applyProtection="0"/>
    <xf numFmtId="0" fontId="102" fillId="79" borderId="129" applyNumberFormat="0" applyAlignment="0" applyProtection="0"/>
    <xf numFmtId="0" fontId="105" fillId="0" borderId="132" applyNumberFormat="0" applyFill="0" applyAlignment="0" applyProtection="0"/>
    <xf numFmtId="0" fontId="26" fillId="0" borderId="127">
      <alignment horizontal="left" vertical="center"/>
    </xf>
    <xf numFmtId="0" fontId="26" fillId="0" borderId="134">
      <alignment horizontal="left" vertical="center"/>
    </xf>
    <xf numFmtId="0" fontId="110" fillId="77" borderId="129" applyNumberFormat="0" applyAlignment="0" applyProtection="0"/>
    <xf numFmtId="0" fontId="18" fillId="85" borderId="128" applyNumberFormat="0" applyProtection="0">
      <alignment horizontal="left" vertical="top" indent="1"/>
    </xf>
    <xf numFmtId="4" fontId="47" fillId="0" borderId="128" applyNumberFormat="0" applyProtection="0">
      <alignment horizontal="left" vertical="center" indent="1"/>
    </xf>
    <xf numFmtId="0" fontId="114" fillId="79" borderId="131" applyNumberFormat="0" applyAlignment="0" applyProtection="0"/>
    <xf numFmtId="0" fontId="18" fillId="49" borderId="128" applyNumberFormat="0" applyProtection="0">
      <alignment horizontal="left" vertical="center" indent="1"/>
    </xf>
    <xf numFmtId="0" fontId="102" fillId="79" borderId="129" applyNumberFormat="0" applyAlignment="0" applyProtection="0"/>
    <xf numFmtId="0" fontId="114" fillId="79" borderId="121" applyNumberFormat="0" applyAlignment="0" applyProtection="0"/>
    <xf numFmtId="0" fontId="114" fillId="79" borderId="121" applyNumberFormat="0" applyAlignment="0" applyProtection="0"/>
    <xf numFmtId="4" fontId="27" fillId="34" borderId="128" applyNumberFormat="0" applyProtection="0"/>
    <xf numFmtId="0" fontId="105" fillId="0" borderId="132" applyNumberFormat="0" applyFill="0" applyAlignment="0" applyProtection="0"/>
    <xf numFmtId="0" fontId="47" fillId="35" borderId="128" applyNumberFormat="0" applyProtection="0">
      <alignment horizontal="left" vertical="top" indent="1"/>
    </xf>
    <xf numFmtId="0" fontId="18" fillId="76" borderId="120" applyNumberFormat="0" applyFont="0" applyAlignment="0" applyProtection="0"/>
    <xf numFmtId="0" fontId="18" fillId="76" borderId="120" applyNumberFormat="0" applyFont="0" applyAlignment="0" applyProtection="0"/>
    <xf numFmtId="0" fontId="18" fillId="76" borderId="120" applyNumberFormat="0" applyFont="0" applyAlignment="0" applyProtection="0"/>
    <xf numFmtId="0" fontId="18" fillId="34" borderId="128" applyNumberFormat="0" applyProtection="0">
      <alignment horizontal="left" vertical="top" indent="1"/>
    </xf>
    <xf numFmtId="4" fontId="47" fillId="51" borderId="128" applyNumberFormat="0" applyProtection="0">
      <alignment horizontal="right" vertical="center"/>
    </xf>
    <xf numFmtId="0" fontId="18" fillId="76" borderId="130" applyNumberFormat="0" applyFont="0" applyAlignment="0" applyProtection="0"/>
    <xf numFmtId="0" fontId="18" fillId="34" borderId="128" applyNumberFormat="0" applyProtection="0">
      <alignment horizontal="left" vertical="top" indent="1"/>
    </xf>
    <xf numFmtId="0" fontId="18" fillId="34" borderId="128" applyNumberFormat="0" applyProtection="0">
      <alignment horizontal="left" vertical="top" indent="1"/>
    </xf>
    <xf numFmtId="0" fontId="114" fillId="79" borderId="131" applyNumberFormat="0" applyAlignment="0" applyProtection="0"/>
    <xf numFmtId="0" fontId="110" fillId="77" borderId="129" applyNumberFormat="0" applyAlignment="0" applyProtection="0"/>
    <xf numFmtId="0" fontId="114" fillId="79" borderId="131" applyNumberFormat="0" applyAlignment="0" applyProtection="0"/>
    <xf numFmtId="0" fontId="18" fillId="34" borderId="128" applyNumberFormat="0" applyProtection="0">
      <alignment horizontal="left" vertical="top" indent="1"/>
    </xf>
    <xf numFmtId="0" fontId="114" fillId="79" borderId="131" applyNumberFormat="0" applyAlignment="0" applyProtection="0"/>
    <xf numFmtId="0" fontId="18" fillId="34" borderId="128" applyNumberFormat="0" applyProtection="0">
      <alignment horizontal="left" vertical="top" indent="1"/>
    </xf>
    <xf numFmtId="4" fontId="47" fillId="0" borderId="128" applyNumberFormat="0" applyProtection="0">
      <alignment horizontal="left" vertical="center" indent="1"/>
    </xf>
    <xf numFmtId="0" fontId="18" fillId="84" borderId="128" applyNumberFormat="0" applyProtection="0">
      <alignment horizontal="left" vertical="center" indent="1"/>
    </xf>
    <xf numFmtId="4" fontId="27" fillId="38" borderId="128" applyNumberFormat="0" applyProtection="0">
      <alignment horizontal="left" vertical="center" indent="1"/>
    </xf>
    <xf numFmtId="0" fontId="18" fillId="84" borderId="128" applyNumberFormat="0" applyProtection="0">
      <alignment horizontal="left" vertical="top" indent="1"/>
    </xf>
    <xf numFmtId="0" fontId="47" fillId="34" borderId="128" applyNumberFormat="0" applyProtection="0">
      <alignment horizontal="center" vertical="top"/>
    </xf>
    <xf numFmtId="0" fontId="110" fillId="77" borderId="129" applyNumberFormat="0" applyAlignment="0" applyProtection="0"/>
    <xf numFmtId="4" fontId="51" fillId="49" borderId="128" applyNumberFormat="0" applyProtection="0">
      <alignment horizontal="right" vertical="center"/>
    </xf>
    <xf numFmtId="0" fontId="114" fillId="79" borderId="131" applyNumberFormat="0" applyAlignment="0" applyProtection="0"/>
    <xf numFmtId="0" fontId="18" fillId="85" borderId="128" applyNumberFormat="0" applyProtection="0">
      <alignment horizontal="left" vertical="center" indent="1"/>
    </xf>
    <xf numFmtId="0" fontId="18" fillId="55" borderId="128" applyNumberFormat="0" applyProtection="0">
      <alignment horizontal="left" vertical="top" indent="1"/>
    </xf>
    <xf numFmtId="0" fontId="18" fillId="49" borderId="128" applyNumberFormat="0" applyProtection="0">
      <alignment horizontal="left" vertical="center" indent="1"/>
    </xf>
    <xf numFmtId="4" fontId="47" fillId="0" borderId="128" applyNumberFormat="0" applyProtection="0">
      <alignment horizontal="left" vertical="center" indent="1"/>
    </xf>
    <xf numFmtId="0" fontId="114" fillId="79" borderId="121" applyNumberFormat="0" applyAlignment="0" applyProtection="0"/>
    <xf numFmtId="0" fontId="114" fillId="79" borderId="121" applyNumberFormat="0" applyAlignment="0" applyProtection="0"/>
    <xf numFmtId="0" fontId="105" fillId="0" borderId="132" applyNumberFormat="0" applyFill="0" applyAlignment="0" applyProtection="0"/>
    <xf numFmtId="0" fontId="18" fillId="76" borderId="120" applyNumberFormat="0" applyFont="0" applyAlignment="0" applyProtection="0"/>
    <xf numFmtId="0" fontId="18" fillId="76" borderId="120" applyNumberFormat="0" applyFont="0" applyAlignment="0" applyProtection="0"/>
    <xf numFmtId="0" fontId="18" fillId="55" borderId="128" applyNumberFormat="0" applyProtection="0">
      <alignment horizontal="left" vertical="top" indent="1"/>
    </xf>
    <xf numFmtId="0" fontId="18" fillId="50" borderId="128" applyNumberFormat="0" applyProtection="0">
      <alignment horizontal="left" vertical="center" indent="1"/>
    </xf>
    <xf numFmtId="4" fontId="27" fillId="37" borderId="128" applyNumberFormat="0" applyProtection="0">
      <alignment vertical="center"/>
    </xf>
    <xf numFmtId="0" fontId="18" fillId="51" borderId="128" applyNumberFormat="0" applyProtection="0">
      <alignment horizontal="left" vertical="center" indent="1"/>
    </xf>
    <xf numFmtId="0" fontId="18" fillId="0" borderId="0" applyFill="0" applyBorder="0" applyProtection="0">
      <alignment horizontal="right"/>
    </xf>
    <xf numFmtId="0" fontId="18" fillId="84" borderId="128" applyNumberFormat="0" applyProtection="0">
      <alignment horizontal="left" vertical="center" indent="1"/>
    </xf>
    <xf numFmtId="4" fontId="27" fillId="37" borderId="128" applyNumberFormat="0" applyProtection="0">
      <alignment vertical="center"/>
    </xf>
    <xf numFmtId="0" fontId="18" fillId="54" borderId="128" applyNumberFormat="0" applyProtection="0">
      <alignment horizontal="left" vertical="center" indent="1"/>
    </xf>
    <xf numFmtId="0" fontId="110" fillId="77" borderId="129" applyNumberFormat="0" applyAlignment="0" applyProtection="0"/>
    <xf numFmtId="0" fontId="18" fillId="84" borderId="128" applyNumberFormat="0" applyProtection="0">
      <alignment horizontal="left" vertical="center" indent="1"/>
    </xf>
    <xf numFmtId="0" fontId="18" fillId="85" borderId="128" applyNumberFormat="0" applyProtection="0">
      <alignment horizontal="left" vertical="top" indent="1"/>
    </xf>
    <xf numFmtId="0" fontId="18" fillId="55" borderId="128" applyNumberFormat="0" applyProtection="0">
      <alignment horizontal="left" vertical="center" indent="1"/>
    </xf>
    <xf numFmtId="0" fontId="18" fillId="54" borderId="128" applyNumberFormat="0" applyProtection="0">
      <alignment horizontal="left" vertical="top" indent="1"/>
    </xf>
    <xf numFmtId="0" fontId="18" fillId="84" borderId="128" applyNumberFormat="0" applyProtection="0">
      <alignment horizontal="left" vertical="center" indent="1"/>
    </xf>
    <xf numFmtId="0" fontId="18" fillId="84" borderId="128" applyNumberFormat="0" applyProtection="0">
      <alignment horizontal="left" vertical="center" indent="1"/>
    </xf>
    <xf numFmtId="0" fontId="18" fillId="55" borderId="128" applyNumberFormat="0" applyProtection="0">
      <alignment horizontal="left" vertical="center" indent="1"/>
    </xf>
    <xf numFmtId="0" fontId="18" fillId="50" borderId="128" applyNumberFormat="0" applyProtection="0">
      <alignment horizontal="left" vertical="center" indent="1"/>
    </xf>
    <xf numFmtId="4" fontId="51" fillId="49" borderId="128" applyNumberFormat="0" applyProtection="0">
      <alignment horizontal="right" vertical="center"/>
    </xf>
    <xf numFmtId="4" fontId="47" fillId="0" borderId="128" applyNumberFormat="0" applyProtection="0">
      <alignment horizontal="right" vertical="center"/>
    </xf>
    <xf numFmtId="4" fontId="47" fillId="59" borderId="128" applyNumberFormat="0" applyProtection="0">
      <alignment horizontal="left" vertical="center" indent="1"/>
    </xf>
    <xf numFmtId="0" fontId="18" fillId="84" borderId="128" applyNumberFormat="0" applyProtection="0">
      <alignment horizontal="left" vertical="top" indent="1"/>
    </xf>
    <xf numFmtId="0" fontId="18" fillId="51" borderId="128" applyNumberFormat="0" applyProtection="0">
      <alignment horizontal="left" vertical="top" indent="1"/>
    </xf>
    <xf numFmtId="0" fontId="63" fillId="59" borderId="133" applyNumberFormat="0" applyFont="0" applyFill="0" applyAlignment="0" applyProtection="0">
      <protection locked="0"/>
    </xf>
    <xf numFmtId="0" fontId="47" fillId="34" borderId="128" applyNumberFormat="0" applyProtection="0">
      <alignment horizontal="center" vertical="top"/>
    </xf>
    <xf numFmtId="0" fontId="114" fillId="79" borderId="131" applyNumberFormat="0" applyAlignment="0" applyProtection="0"/>
    <xf numFmtId="0" fontId="18" fillId="84" borderId="128" applyNumberFormat="0" applyProtection="0">
      <alignment horizontal="left" vertical="center" indent="1"/>
    </xf>
    <xf numFmtId="0" fontId="18" fillId="76" borderId="130" applyNumberFormat="0" applyFont="0" applyAlignment="0" applyProtection="0"/>
    <xf numFmtId="0" fontId="102" fillId="79" borderId="129" applyNumberFormat="0" applyAlignment="0" applyProtection="0"/>
    <xf numFmtId="4" fontId="47" fillId="45" borderId="128" applyNumberFormat="0" applyProtection="0">
      <alignment horizontal="right" vertical="center"/>
    </xf>
    <xf numFmtId="0" fontId="18" fillId="54" borderId="128" applyNumberFormat="0" applyProtection="0">
      <alignment horizontal="left" vertical="center" indent="1"/>
    </xf>
    <xf numFmtId="0" fontId="24" fillId="59" borderId="133" applyNumberFormat="0" applyFont="0" applyAlignment="0" applyProtection="0">
      <protection locked="0"/>
    </xf>
    <xf numFmtId="0" fontId="110" fillId="77" borderId="129" applyNumberFormat="0" applyAlignment="0" applyProtection="0"/>
    <xf numFmtId="0" fontId="18" fillId="51" borderId="128"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6"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8" applyNumberFormat="0" applyProtection="0">
      <alignment horizontal="left" vertical="center" indent="1"/>
    </xf>
    <xf numFmtId="4" fontId="47" fillId="35" borderId="128" applyNumberFormat="0" applyProtection="0">
      <alignment horizontal="left" vertical="center" indent="1"/>
    </xf>
    <xf numFmtId="0" fontId="105" fillId="0" borderId="132"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4" fontId="47" fillId="47" borderId="128" applyNumberFormat="0" applyProtection="0">
      <alignment horizontal="right" vertical="center"/>
    </xf>
    <xf numFmtId="0" fontId="18" fillId="49" borderId="128"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21" fillId="35" borderId="88" applyNumberFormat="0" applyFont="0" applyAlignment="0" applyProtection="0">
      <alignment horizontal="center"/>
      <protection locked="0"/>
    </xf>
    <xf numFmtId="0" fontId="18" fillId="0" borderId="0"/>
    <xf numFmtId="4" fontId="47" fillId="44" borderId="128" applyNumberFormat="0" applyProtection="0">
      <alignment horizontal="right" vertical="center"/>
    </xf>
    <xf numFmtId="0" fontId="102" fillId="79" borderId="129"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8" applyNumberFormat="0" applyProtection="0">
      <alignment horizontal="left" vertical="top" indent="1"/>
    </xf>
    <xf numFmtId="0" fontId="18" fillId="51" borderId="128" applyNumberFormat="0" applyProtection="0">
      <alignment horizontal="left" vertical="center" indent="1"/>
    </xf>
    <xf numFmtId="0" fontId="18" fillId="49" borderId="128" applyNumberFormat="0" applyProtection="0">
      <alignment horizontal="left" vertical="top" indent="1"/>
    </xf>
    <xf numFmtId="0" fontId="114" fillId="79" borderId="131" applyNumberFormat="0" applyAlignment="0" applyProtection="0"/>
    <xf numFmtId="0" fontId="18" fillId="51" borderId="128" applyNumberFormat="0" applyProtection="0">
      <alignment horizontal="left" vertical="top" indent="1"/>
    </xf>
    <xf numFmtId="0" fontId="114" fillId="79" borderId="131" applyNumberForma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8" fillId="50" borderId="128"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5" applyNumberFormat="0" applyAlignment="0" applyProtection="0"/>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49" borderId="111" applyNumberFormat="0" applyProtection="0">
      <alignment horizontal="left" vertical="top" indent="1"/>
    </xf>
    <xf numFmtId="0" fontId="18" fillId="49" borderId="111"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10" fillId="77" borderId="125"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8"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8" applyNumberFormat="0" applyProtection="0">
      <alignment horizontal="left" vertical="center" indent="1"/>
    </xf>
    <xf numFmtId="4" fontId="47" fillId="40" borderId="128" applyNumberFormat="0" applyProtection="0">
      <alignment horizontal="right" vertical="center"/>
    </xf>
    <xf numFmtId="0" fontId="18" fillId="0" borderId="0"/>
    <xf numFmtId="0" fontId="102" fillId="79" borderId="129"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9" applyNumberFormat="0" applyAlignment="0" applyProtection="0"/>
    <xf numFmtId="4" fontId="27" fillId="38" borderId="128" applyNumberFormat="0" applyProtection="0">
      <alignment horizontal="left" vertical="center" indent="1"/>
    </xf>
    <xf numFmtId="0" fontId="18" fillId="49" borderId="128" applyNumberFormat="0" applyProtection="0">
      <alignment horizontal="left" vertical="top" indent="1"/>
    </xf>
    <xf numFmtId="0" fontId="18" fillId="0" borderId="0"/>
    <xf numFmtId="4" fontId="27" fillId="34" borderId="128"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7" applyNumberFormat="0" applyFont="0" applyAlignment="0" applyProtection="0">
      <protection locked="0"/>
    </xf>
    <xf numFmtId="0" fontId="18" fillId="0" borderId="0" applyFont="0" applyFill="0" applyBorder="0" applyAlignment="0" applyProtection="0"/>
    <xf numFmtId="0" fontId="63" fillId="59" borderId="117"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8" applyNumberFormat="0" applyProtection="0"/>
    <xf numFmtId="4" fontId="47" fillId="43" borderId="128" applyNumberFormat="0" applyProtection="0">
      <alignment horizontal="right" vertical="center"/>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8" fillId="0" borderId="0" applyFont="0" applyFill="0" applyBorder="0" applyAlignment="0" applyProtection="0"/>
    <xf numFmtId="4" fontId="25" fillId="49" borderId="111" applyNumberFormat="0" applyProtection="0">
      <alignment horizontal="right" vertical="center"/>
    </xf>
    <xf numFmtId="0" fontId="47" fillId="34" borderId="111" applyNumberFormat="0" applyProtection="0">
      <alignment horizontal="left" vertical="top"/>
    </xf>
    <xf numFmtId="4" fontId="47" fillId="0" borderId="111" applyNumberFormat="0" applyProtection="0">
      <alignment horizontal="left" vertical="center" indent="1"/>
    </xf>
    <xf numFmtId="4" fontId="51" fillId="49" borderId="111" applyNumberFormat="0" applyProtection="0">
      <alignment horizontal="right" vertical="center"/>
    </xf>
    <xf numFmtId="4" fontId="47" fillId="0" borderId="111" applyNumberFormat="0" applyProtection="0">
      <alignment horizontal="right" vertical="center"/>
    </xf>
    <xf numFmtId="0" fontId="47" fillId="35" borderId="111" applyNumberFormat="0" applyProtection="0">
      <alignment horizontal="left" vertical="top" indent="1"/>
    </xf>
    <xf numFmtId="4" fontId="47" fillId="35" borderId="111" applyNumberFormat="0" applyProtection="0">
      <alignment horizontal="left" vertical="center" indent="1"/>
    </xf>
    <xf numFmtId="4" fontId="51" fillId="35" borderId="111" applyNumberFormat="0" applyProtection="0">
      <alignment vertical="center"/>
    </xf>
    <xf numFmtId="4" fontId="47" fillId="35" borderId="111" applyNumberFormat="0" applyProtection="0">
      <alignment vertical="center"/>
    </xf>
    <xf numFmtId="0" fontId="18" fillId="49" borderId="111" applyNumberFormat="0" applyProtection="0">
      <alignment horizontal="left" vertical="top" indent="1"/>
    </xf>
    <xf numFmtId="0" fontId="18" fillId="49" borderId="111" applyNumberFormat="0" applyProtection="0">
      <alignment horizontal="left" vertical="top" indent="1"/>
    </xf>
    <xf numFmtId="0" fontId="18" fillId="55" borderId="111" applyNumberFormat="0" applyProtection="0">
      <alignment horizontal="left" vertical="top"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55" borderId="111" applyNumberFormat="0" applyProtection="0">
      <alignment horizontal="left" vertical="center"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54" borderId="111" applyNumberFormat="0" applyProtection="0">
      <alignment horizontal="left" vertical="top"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54" borderId="111" applyNumberFormat="0" applyProtection="0">
      <alignment horizontal="left" vertical="center"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34" borderId="111" applyNumberFormat="0" applyProtection="0">
      <alignment horizontal="left" vertical="top"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34" borderId="111" applyNumberFormat="0" applyProtection="0">
      <alignment horizontal="left" vertical="center"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50" borderId="111" applyNumberFormat="0" applyProtection="0">
      <alignment horizontal="left" vertical="top" indent="1"/>
    </xf>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50" borderId="111" applyNumberFormat="0" applyProtection="0">
      <alignment horizontal="left" vertical="center" indent="1"/>
    </xf>
    <xf numFmtId="4" fontId="47" fillId="51" borderId="111" applyNumberFormat="0" applyProtection="0">
      <alignment horizontal="right" vertical="center"/>
    </xf>
    <xf numFmtId="4" fontId="47" fillId="47" borderId="111" applyNumberFormat="0" applyProtection="0">
      <alignment horizontal="right" vertical="center"/>
    </xf>
    <xf numFmtId="4" fontId="47" fillId="46" borderId="111" applyNumberFormat="0" applyProtection="0">
      <alignment horizontal="right" vertical="center"/>
    </xf>
    <xf numFmtId="4" fontId="47" fillId="45" borderId="111" applyNumberFormat="0" applyProtection="0">
      <alignment horizontal="right" vertical="center"/>
    </xf>
    <xf numFmtId="4" fontId="47" fillId="44" borderId="111" applyNumberFormat="0" applyProtection="0">
      <alignment horizontal="right" vertical="center"/>
    </xf>
    <xf numFmtId="4" fontId="47" fillId="43" borderId="111" applyNumberFormat="0" applyProtection="0">
      <alignment horizontal="right" vertical="center"/>
    </xf>
    <xf numFmtId="4" fontId="47" fillId="42" borderId="111" applyNumberFormat="0" applyProtection="0">
      <alignment horizontal="right" vertical="center"/>
    </xf>
    <xf numFmtId="4" fontId="47" fillId="41" borderId="111" applyNumberFormat="0" applyProtection="0">
      <alignment horizontal="right" vertical="center"/>
    </xf>
    <xf numFmtId="4" fontId="47" fillId="40" borderId="111" applyNumberFormat="0" applyProtection="0">
      <alignment horizontal="right" vertical="center"/>
    </xf>
    <xf numFmtId="4" fontId="47" fillId="39" borderId="111" applyNumberFormat="0" applyProtection="0">
      <alignment horizontal="right" vertical="center"/>
    </xf>
    <xf numFmtId="0" fontId="27" fillId="38" borderId="111" applyNumberFormat="0" applyProtection="0">
      <alignment horizontal="left" vertical="top" indent="1"/>
    </xf>
    <xf numFmtId="4" fontId="27" fillId="38" borderId="111" applyNumberFormat="0" applyProtection="0">
      <alignment horizontal="left" vertical="center" indent="1"/>
    </xf>
    <xf numFmtId="4" fontId="46" fillId="38" borderId="111" applyNumberFormat="0" applyProtection="0">
      <alignment vertical="center"/>
    </xf>
    <xf numFmtId="4" fontId="27" fillId="37" borderId="111" applyNumberFormat="0" applyProtection="0">
      <alignment vertical="center"/>
    </xf>
    <xf numFmtId="3" fontId="18" fillId="0" borderId="0" applyFont="0" applyFill="0" applyBorder="0" applyAlignment="0" applyProtection="0"/>
    <xf numFmtId="0" fontId="63" fillId="59" borderId="117" applyNumberFormat="0" applyFont="0" applyFill="0" applyAlignment="0" applyProtection="0">
      <protection locked="0"/>
    </xf>
    <xf numFmtId="0" fontId="18" fillId="0" borderId="0"/>
    <xf numFmtId="0" fontId="18" fillId="0" borderId="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4" fontId="47" fillId="46" borderId="128" applyNumberFormat="0" applyProtection="0">
      <alignment horizontal="right" vertical="center"/>
    </xf>
    <xf numFmtId="4" fontId="51" fillId="49" borderId="128" applyNumberFormat="0" applyProtection="0">
      <alignment horizontal="right" vertical="center"/>
    </xf>
    <xf numFmtId="0" fontId="105" fillId="0" borderId="132" applyNumberFormat="0" applyFill="0" applyAlignment="0" applyProtection="0"/>
    <xf numFmtId="0" fontId="114" fillId="79" borderId="131" applyNumberFormat="0" applyAlignment="0" applyProtection="0"/>
    <xf numFmtId="4" fontId="47" fillId="0" borderId="128" applyNumberFormat="0" applyProtection="0">
      <alignment horizontal="right" vertical="center"/>
    </xf>
    <xf numFmtId="4" fontId="25" fillId="49" borderId="128" applyNumberFormat="0" applyProtection="0">
      <alignment horizontal="right" vertical="center"/>
    </xf>
    <xf numFmtId="0" fontId="102" fillId="79" borderId="129"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7"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6" applyNumberFormat="0" applyFont="0" applyAlignment="0" applyProtection="0">
      <protection locked="0"/>
    </xf>
    <xf numFmtId="4" fontId="47" fillId="41" borderId="128"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9" applyNumberFormat="0" applyAlignment="0" applyProtection="0"/>
    <xf numFmtId="0" fontId="102" fillId="79" borderId="129" applyNumberFormat="0" applyAlignment="0" applyProtection="0"/>
    <xf numFmtId="0" fontId="18" fillId="54" borderId="128" applyNumberFormat="0" applyProtection="0">
      <alignment horizontal="left" vertical="top" indent="1"/>
    </xf>
    <xf numFmtId="0" fontId="24" fillId="59" borderId="133" applyNumberFormat="0" applyFont="0" applyAlignment="0" applyProtection="0">
      <protection locked="0"/>
    </xf>
    <xf numFmtId="0" fontId="102" fillId="79" borderId="129" applyNumberFormat="0" applyAlignment="0" applyProtection="0"/>
    <xf numFmtId="0" fontId="110" fillId="77" borderId="129"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6" applyNumberFormat="0" applyFill="0" applyAlignment="0" applyProtection="0"/>
    <xf numFmtId="0" fontId="105" fillId="0" borderId="116"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8" applyNumberFormat="0" applyProtection="0">
      <alignment horizontal="left" vertical="top" indent="1"/>
    </xf>
    <xf numFmtId="0" fontId="18" fillId="49" borderId="128" applyNumberFormat="0" applyProtection="0">
      <alignment horizontal="left" vertical="top" indent="1"/>
    </xf>
    <xf numFmtId="0" fontId="18" fillId="54" borderId="128" applyNumberFormat="0" applyProtection="0">
      <alignment horizontal="left" vertical="center" indent="1"/>
    </xf>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8" fillId="85" borderId="128" applyNumberFormat="0" applyProtection="0">
      <alignment horizontal="left" vertical="top" indent="1"/>
    </xf>
    <xf numFmtId="0" fontId="18" fillId="51" borderId="128" applyNumberFormat="0" applyProtection="0">
      <alignment horizontal="left" vertical="center" indent="1"/>
    </xf>
    <xf numFmtId="0" fontId="47" fillId="35" borderId="128" applyNumberFormat="0" applyProtection="0">
      <alignment horizontal="left" vertical="top" indent="1"/>
    </xf>
    <xf numFmtId="0" fontId="18" fillId="51" borderId="128" applyNumberFormat="0" applyProtection="0">
      <alignment horizontal="left" vertical="center" indent="1"/>
    </xf>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4" fontId="27" fillId="37" borderId="111" applyNumberFormat="0" applyProtection="0">
      <alignment vertical="center"/>
    </xf>
    <xf numFmtId="4" fontId="46" fillId="38" borderId="111" applyNumberFormat="0" applyProtection="0">
      <alignment vertical="center"/>
    </xf>
    <xf numFmtId="4" fontId="27" fillId="38" borderId="111" applyNumberFormat="0" applyProtection="0">
      <alignment horizontal="left" vertical="center" indent="1"/>
    </xf>
    <xf numFmtId="0" fontId="27" fillId="38" borderId="111" applyNumberFormat="0" applyProtection="0">
      <alignment horizontal="left" vertical="top" indent="1"/>
    </xf>
    <xf numFmtId="4" fontId="47" fillId="39" borderId="111" applyNumberFormat="0" applyProtection="0">
      <alignment horizontal="right" vertical="center"/>
    </xf>
    <xf numFmtId="4" fontId="47" fillId="40" borderId="111" applyNumberFormat="0" applyProtection="0">
      <alignment horizontal="right" vertical="center"/>
    </xf>
    <xf numFmtId="4" fontId="47" fillId="41" borderId="111" applyNumberFormat="0" applyProtection="0">
      <alignment horizontal="right" vertical="center"/>
    </xf>
    <xf numFmtId="4" fontId="47" fillId="42" borderId="111" applyNumberFormat="0" applyProtection="0">
      <alignment horizontal="right" vertical="center"/>
    </xf>
    <xf numFmtId="4" fontId="47" fillId="43" borderId="111" applyNumberFormat="0" applyProtection="0">
      <alignment horizontal="right" vertical="center"/>
    </xf>
    <xf numFmtId="4" fontId="47" fillId="44" borderId="111" applyNumberFormat="0" applyProtection="0">
      <alignment horizontal="right" vertical="center"/>
    </xf>
    <xf numFmtId="4" fontId="47" fillId="45" borderId="111" applyNumberFormat="0" applyProtection="0">
      <alignment horizontal="right" vertical="center"/>
    </xf>
    <xf numFmtId="4" fontId="47" fillId="46" borderId="111" applyNumberFormat="0" applyProtection="0">
      <alignment horizontal="right" vertical="center"/>
    </xf>
    <xf numFmtId="4" fontId="47" fillId="47" borderId="111" applyNumberFormat="0" applyProtection="0">
      <alignment horizontal="right" vertical="center"/>
    </xf>
    <xf numFmtId="4" fontId="47" fillId="51" borderId="111" applyNumberFormat="0" applyProtection="0">
      <alignment horizontal="right" vertical="center"/>
    </xf>
    <xf numFmtId="0" fontId="18" fillId="50" borderId="111" applyNumberFormat="0" applyProtection="0">
      <alignment horizontal="left" vertical="center" indent="1"/>
    </xf>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50" borderId="111" applyNumberFormat="0" applyProtection="0">
      <alignment horizontal="left" vertical="top"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34" borderId="111" applyNumberFormat="0" applyProtection="0">
      <alignment horizontal="left" vertical="center"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34" borderId="111" applyNumberFormat="0" applyProtection="0">
      <alignment horizontal="left" vertical="top"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54" borderId="111" applyNumberFormat="0" applyProtection="0">
      <alignment horizontal="left" vertical="center"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54" borderId="111" applyNumberFormat="0" applyProtection="0">
      <alignment horizontal="left" vertical="top"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55" borderId="111" applyNumberFormat="0" applyProtection="0">
      <alignment horizontal="left" vertical="center"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55" borderId="111" applyNumberFormat="0" applyProtection="0">
      <alignment horizontal="left" vertical="top" indent="1"/>
    </xf>
    <xf numFmtId="0" fontId="18" fillId="49" borderId="111" applyNumberFormat="0" applyProtection="0">
      <alignment horizontal="left" vertical="top" indent="1"/>
    </xf>
    <xf numFmtId="0" fontId="18" fillId="49" borderId="111" applyNumberFormat="0" applyProtection="0">
      <alignment horizontal="left" vertical="top" indent="1"/>
    </xf>
    <xf numFmtId="4" fontId="47" fillId="35" borderId="111" applyNumberFormat="0" applyProtection="0">
      <alignment vertical="center"/>
    </xf>
    <xf numFmtId="4" fontId="51" fillId="35" borderId="111" applyNumberFormat="0" applyProtection="0">
      <alignment vertical="center"/>
    </xf>
    <xf numFmtId="4" fontId="47" fillId="35" borderId="111" applyNumberFormat="0" applyProtection="0">
      <alignment horizontal="left" vertical="center" indent="1"/>
    </xf>
    <xf numFmtId="0" fontId="47" fillId="35" borderId="111" applyNumberFormat="0" applyProtection="0">
      <alignment horizontal="left" vertical="top" indent="1"/>
    </xf>
    <xf numFmtId="4" fontId="47" fillId="0" borderId="111" applyNumberFormat="0" applyProtection="0">
      <alignment horizontal="right" vertical="center"/>
    </xf>
    <xf numFmtId="4" fontId="51" fillId="49" borderId="111" applyNumberFormat="0" applyProtection="0">
      <alignment horizontal="right" vertical="center"/>
    </xf>
    <xf numFmtId="4" fontId="47" fillId="0" borderId="111" applyNumberFormat="0" applyProtection="0">
      <alignment horizontal="left" vertical="center" indent="1"/>
    </xf>
    <xf numFmtId="0" fontId="47" fillId="34" borderId="111" applyNumberFormat="0" applyProtection="0">
      <alignment horizontal="left" vertical="top"/>
    </xf>
    <xf numFmtId="4" fontId="25" fillId="49" borderId="111" applyNumberFormat="0" applyProtection="0">
      <alignment horizontal="right" vertical="center"/>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10" fillId="77" borderId="129" applyNumberFormat="0" applyAlignment="0" applyProtection="0"/>
    <xf numFmtId="0" fontId="114" fillId="79" borderId="131" applyNumberFormat="0" applyAlignment="0" applyProtection="0"/>
    <xf numFmtId="4" fontId="47" fillId="51" borderId="128" applyNumberFormat="0" applyProtection="0">
      <alignment horizontal="right" vertical="center"/>
    </xf>
    <xf numFmtId="4" fontId="47" fillId="42" borderId="128"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8">
      <alignment horizontal="left" vertical="center"/>
    </xf>
    <xf numFmtId="4" fontId="27" fillId="34" borderId="119" applyNumberFormat="0" applyProtection="0">
      <alignment vertical="center"/>
    </xf>
    <xf numFmtId="4" fontId="47" fillId="0" borderId="111" applyNumberFormat="0" applyProtection="0">
      <alignment horizontal="right" vertical="center"/>
    </xf>
    <xf numFmtId="0" fontId="18" fillId="51" borderId="111" applyNumberFormat="0" applyProtection="0">
      <alignment horizontal="left" vertical="center" indent="1"/>
    </xf>
    <xf numFmtId="4" fontId="27" fillId="37" borderId="111" applyNumberFormat="0" applyProtection="0">
      <alignment vertical="center"/>
    </xf>
    <xf numFmtId="0" fontId="110" fillId="77" borderId="113" applyNumberFormat="0" applyAlignment="0" applyProtection="0"/>
    <xf numFmtId="0" fontId="24" fillId="59" borderId="117" applyNumberFormat="0" applyFont="0" applyAlignment="0" applyProtection="0">
      <protection locked="0"/>
    </xf>
    <xf numFmtId="0" fontId="102" fillId="79" borderId="113" applyNumberFormat="0" applyAlignment="0" applyProtection="0"/>
    <xf numFmtId="4" fontId="47" fillId="42" borderId="111" applyNumberFormat="0" applyProtection="0">
      <alignment horizontal="right" vertical="center"/>
    </xf>
    <xf numFmtId="0" fontId="18" fillId="51" borderId="111" applyNumberFormat="0" applyProtection="0">
      <alignment horizontal="left" vertical="top" indent="1"/>
    </xf>
    <xf numFmtId="4" fontId="25" fillId="49" borderId="111" applyNumberFormat="0" applyProtection="0">
      <alignment horizontal="right" vertical="center"/>
    </xf>
    <xf numFmtId="0" fontId="114" fillId="79" borderId="115"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11" applyNumberFormat="0" applyProtection="0">
      <alignment horizontal="left" vertical="top" indent="1"/>
    </xf>
    <xf numFmtId="0" fontId="18" fillId="34" borderId="111" applyNumberFormat="0" applyProtection="0">
      <alignment horizontal="left" vertical="center" indent="1"/>
    </xf>
    <xf numFmtId="0" fontId="102" fillId="79" borderId="113" applyNumberFormat="0" applyAlignment="0" applyProtection="0"/>
    <xf numFmtId="4" fontId="47" fillId="43" borderId="111" applyNumberFormat="0" applyProtection="0">
      <alignment horizontal="right" vertical="center"/>
    </xf>
    <xf numFmtId="0" fontId="18" fillId="54" borderId="111" applyNumberFormat="0" applyProtection="0">
      <alignment horizontal="left" vertical="center" indent="1"/>
    </xf>
    <xf numFmtId="0" fontId="114" fillId="79" borderId="115" applyNumberFormat="0" applyAlignment="0" applyProtection="0"/>
    <xf numFmtId="4" fontId="25" fillId="49" borderId="111" applyNumberFormat="0" applyProtection="0">
      <alignment horizontal="right" vertical="center"/>
    </xf>
    <xf numFmtId="0" fontId="18" fillId="51" borderId="111" applyNumberFormat="0" applyProtection="0">
      <alignment horizontal="left" vertical="top" indent="1"/>
    </xf>
    <xf numFmtId="4" fontId="47" fillId="39" borderId="111" applyNumberFormat="0" applyProtection="0">
      <alignment horizontal="right" vertical="center"/>
    </xf>
    <xf numFmtId="0" fontId="18" fillId="76" borderId="114" applyNumberFormat="0" applyFont="0" applyAlignment="0" applyProtection="0"/>
    <xf numFmtId="0" fontId="105" fillId="0" borderId="116" applyNumberFormat="0" applyFill="0" applyAlignment="0" applyProtection="0"/>
    <xf numFmtId="0" fontId="27" fillId="38" borderId="111" applyNumberFormat="0" applyProtection="0">
      <alignment horizontal="left" vertical="top" indent="1"/>
    </xf>
    <xf numFmtId="0" fontId="18" fillId="51" borderId="111" applyNumberFormat="0" applyProtection="0">
      <alignment horizontal="left" vertical="center" indent="1"/>
    </xf>
    <xf numFmtId="4" fontId="47" fillId="0" borderId="111" applyNumberFormat="0" applyProtection="0">
      <alignment horizontal="right" vertical="center"/>
    </xf>
    <xf numFmtId="0" fontId="105" fillId="0" borderId="116" applyNumberFormat="0" applyFill="0" applyAlignment="0" applyProtection="0"/>
    <xf numFmtId="0" fontId="18" fillId="76" borderId="114" applyNumberFormat="0" applyFont="0" applyAlignment="0" applyProtection="0"/>
    <xf numFmtId="0" fontId="21" fillId="35" borderId="88" applyNumberFormat="0" applyFont="0" applyAlignment="0" applyProtection="0">
      <alignment horizontal="center"/>
      <protection locked="0"/>
    </xf>
    <xf numFmtId="0" fontId="18" fillId="49" borderId="111" applyNumberFormat="0" applyProtection="0">
      <alignment horizontal="left" vertical="center" indent="1"/>
    </xf>
    <xf numFmtId="4" fontId="47" fillId="51" borderId="111" applyNumberFormat="0" applyProtection="0">
      <alignment horizontal="right" vertical="center"/>
    </xf>
    <xf numFmtId="0" fontId="114" fillId="79" borderId="115" applyNumberFormat="0" applyAlignment="0" applyProtection="0"/>
    <xf numFmtId="0" fontId="114" fillId="79" borderId="115" applyNumberFormat="0" applyAlignment="0" applyProtection="0"/>
    <xf numFmtId="0" fontId="18" fillId="49" borderId="111" applyNumberFormat="0" applyProtection="0">
      <alignment horizontal="left" vertical="center" indent="1"/>
    </xf>
    <xf numFmtId="0" fontId="105" fillId="0" borderId="116" applyNumberFormat="0" applyFill="0" applyAlignment="0" applyProtection="0"/>
    <xf numFmtId="0" fontId="18" fillId="85" borderId="111" applyNumberFormat="0" applyProtection="0">
      <alignment horizontal="left" vertical="center" indent="1"/>
    </xf>
    <xf numFmtId="4" fontId="47" fillId="41" borderId="111" applyNumberFormat="0" applyProtection="0">
      <alignment horizontal="right" vertical="center"/>
    </xf>
    <xf numFmtId="0" fontId="18" fillId="76" borderId="114" applyNumberFormat="0" applyFont="0" applyAlignment="0" applyProtection="0"/>
    <xf numFmtId="4" fontId="46" fillId="38" borderId="111" applyNumberFormat="0" applyProtection="0">
      <alignment vertical="center"/>
    </xf>
    <xf numFmtId="0" fontId="18" fillId="84" borderId="111" applyNumberFormat="0" applyProtection="0">
      <alignment horizontal="left" vertical="top" indent="1"/>
    </xf>
    <xf numFmtId="4" fontId="47" fillId="35" borderId="111" applyNumberFormat="0" applyProtection="0">
      <alignment horizontal="left" vertical="center" indent="1"/>
    </xf>
    <xf numFmtId="0" fontId="105" fillId="0" borderId="116" applyNumberFormat="0" applyFill="0" applyAlignment="0" applyProtection="0"/>
    <xf numFmtId="0" fontId="18" fillId="76" borderId="114" applyNumberFormat="0" applyFont="0" applyAlignment="0" applyProtection="0"/>
    <xf numFmtId="0" fontId="18" fillId="49" borderId="111" applyNumberFormat="0" applyProtection="0">
      <alignment horizontal="left" vertical="top" indent="1"/>
    </xf>
    <xf numFmtId="0" fontId="18" fillId="84" borderId="111" applyNumberFormat="0" applyProtection="0">
      <alignment horizontal="left" vertical="center" indent="1"/>
    </xf>
    <xf numFmtId="0" fontId="114" fillId="79" borderId="115" applyNumberFormat="0" applyAlignment="0" applyProtection="0"/>
    <xf numFmtId="0" fontId="102" fillId="79" borderId="113" applyNumberFormat="0" applyAlignment="0" applyProtection="0"/>
    <xf numFmtId="0" fontId="114" fillId="79" borderId="115" applyNumberFormat="0" applyAlignment="0" applyProtection="0"/>
    <xf numFmtId="4" fontId="47" fillId="51" borderId="111" applyNumberFormat="0" applyProtection="0">
      <alignment horizontal="right" vertical="center"/>
    </xf>
    <xf numFmtId="0" fontId="18" fillId="85" borderId="111" applyNumberFormat="0" applyProtection="0">
      <alignment horizontal="left" vertical="top" indent="1"/>
    </xf>
    <xf numFmtId="0" fontId="105" fillId="0" borderId="116" applyNumberFormat="0" applyFill="0" applyAlignment="0" applyProtection="0"/>
    <xf numFmtId="0" fontId="24" fillId="59" borderId="117" applyNumberFormat="0" applyFont="0" applyAlignment="0" applyProtection="0">
      <protection locked="0"/>
    </xf>
    <xf numFmtId="4" fontId="47" fillId="43" borderId="111" applyNumberFormat="0" applyProtection="0">
      <alignment horizontal="right" vertical="center"/>
    </xf>
    <xf numFmtId="0" fontId="18" fillId="54" borderId="111" applyNumberFormat="0" applyProtection="0">
      <alignment horizontal="left" vertical="top" indent="1"/>
    </xf>
    <xf numFmtId="0" fontId="18" fillId="76" borderId="114" applyNumberFormat="0" applyFont="0" applyAlignment="0" applyProtection="0"/>
    <xf numFmtId="0" fontId="105" fillId="0" borderId="116" applyNumberFormat="0" applyFill="0" applyAlignment="0" applyProtection="0"/>
    <xf numFmtId="0" fontId="18" fillId="50" borderId="111" applyNumberFormat="0" applyProtection="0">
      <alignment horizontal="left" vertical="top" indent="1"/>
    </xf>
    <xf numFmtId="4" fontId="47" fillId="35" borderId="111" applyNumberFormat="0" applyProtection="0">
      <alignment vertical="center"/>
    </xf>
    <xf numFmtId="0" fontId="105" fillId="0" borderId="116" applyNumberFormat="0" applyFill="0" applyAlignment="0" applyProtection="0"/>
    <xf numFmtId="0" fontId="18" fillId="76" borderId="114" applyNumberFormat="0" applyFont="0" applyAlignment="0" applyProtection="0"/>
    <xf numFmtId="4" fontId="47" fillId="35" borderId="111" applyNumberFormat="0" applyProtection="0">
      <alignment vertical="center"/>
    </xf>
    <xf numFmtId="0" fontId="18" fillId="50" borderId="111" applyNumberFormat="0" applyProtection="0">
      <alignment horizontal="left" vertical="top" indent="1"/>
    </xf>
    <xf numFmtId="0" fontId="114" fillId="79" borderId="115" applyNumberFormat="0" applyAlignment="0" applyProtection="0"/>
    <xf numFmtId="0" fontId="102" fillId="79" borderId="113" applyNumberFormat="0" applyAlignment="0" applyProtection="0"/>
    <xf numFmtId="0" fontId="114" fillId="79" borderId="115" applyNumberFormat="0" applyAlignment="0" applyProtection="0"/>
    <xf numFmtId="4" fontId="47" fillId="46" borderId="111" applyNumberFormat="0" applyProtection="0">
      <alignment horizontal="right" vertical="center"/>
    </xf>
    <xf numFmtId="0" fontId="18" fillId="54" borderId="111" applyNumberFormat="0" applyProtection="0">
      <alignment horizontal="left" vertical="top" indent="1"/>
    </xf>
    <xf numFmtId="0" fontId="105" fillId="0" borderId="116" applyNumberFormat="0" applyFill="0" applyAlignment="0" applyProtection="0"/>
    <xf numFmtId="0" fontId="63" fillId="59" borderId="117" applyNumberFormat="0" applyFont="0" applyFill="0" applyAlignment="0" applyProtection="0">
      <protection locked="0"/>
    </xf>
    <xf numFmtId="0" fontId="105" fillId="0" borderId="116" applyNumberFormat="0" applyFill="0" applyAlignment="0" applyProtection="0"/>
    <xf numFmtId="0" fontId="18" fillId="85" borderId="111" applyNumberFormat="0" applyProtection="0">
      <alignment horizontal="left" vertical="top" indent="1"/>
    </xf>
    <xf numFmtId="4" fontId="47" fillId="45" borderId="111" applyNumberFormat="0" applyProtection="0">
      <alignment horizontal="right" vertical="center"/>
    </xf>
    <xf numFmtId="0" fontId="110" fillId="77" borderId="113" applyNumberFormat="0" applyAlignment="0" applyProtection="0"/>
    <xf numFmtId="0" fontId="18" fillId="84" borderId="111" applyNumberFormat="0" applyProtection="0">
      <alignment horizontal="left" vertical="center" indent="1"/>
    </xf>
    <xf numFmtId="0" fontId="18" fillId="49" borderId="111" applyNumberFormat="0" applyProtection="0">
      <alignment horizontal="left" vertical="top" indent="1"/>
    </xf>
    <xf numFmtId="4" fontId="47" fillId="35" borderId="111" applyNumberFormat="0" applyProtection="0">
      <alignment horizontal="left" vertical="center" indent="1"/>
    </xf>
    <xf numFmtId="0" fontId="18" fillId="84" borderId="111" applyNumberFormat="0" applyProtection="0">
      <alignment horizontal="left" vertical="top" indent="1"/>
    </xf>
    <xf numFmtId="0" fontId="102" fillId="79" borderId="113" applyNumberFormat="0" applyAlignment="0" applyProtection="0"/>
    <xf numFmtId="4" fontId="47" fillId="44" borderId="111" applyNumberFormat="0" applyProtection="0">
      <alignment horizontal="right" vertical="center"/>
    </xf>
    <xf numFmtId="0" fontId="18" fillId="85" borderId="111" applyNumberFormat="0" applyProtection="0">
      <alignment horizontal="left" vertical="center" indent="1"/>
    </xf>
    <xf numFmtId="0" fontId="114" fillId="79" borderId="115" applyNumberFormat="0" applyAlignment="0" applyProtection="0"/>
    <xf numFmtId="4" fontId="51" fillId="49" borderId="111" applyNumberFormat="0" applyProtection="0">
      <alignment horizontal="right" vertical="center"/>
    </xf>
    <xf numFmtId="0" fontId="18" fillId="51" borderId="111" applyNumberFormat="0" applyProtection="0">
      <alignment horizontal="left" vertical="center" indent="1"/>
    </xf>
    <xf numFmtId="4" fontId="46" fillId="38" borderId="111" applyNumberFormat="0" applyProtection="0">
      <alignment vertical="center"/>
    </xf>
    <xf numFmtId="0" fontId="110" fillId="77" borderId="113" applyNumberFormat="0" applyAlignment="0" applyProtection="0"/>
    <xf numFmtId="0" fontId="102" fillId="79" borderId="113" applyNumberFormat="0" applyAlignment="0" applyProtection="0"/>
    <xf numFmtId="4" fontId="47" fillId="41" borderId="111" applyNumberFormat="0" applyProtection="0">
      <alignment horizontal="right" vertical="center"/>
    </xf>
    <xf numFmtId="0" fontId="18" fillId="51" borderId="111" applyNumberFormat="0" applyProtection="0">
      <alignment horizontal="left" vertical="top" indent="1"/>
    </xf>
    <xf numFmtId="0" fontId="47" fillId="34" borderId="111" applyNumberFormat="0" applyProtection="0">
      <alignment horizontal="left" vertical="top"/>
    </xf>
    <xf numFmtId="0" fontId="114" fillId="79" borderId="115" applyNumberFormat="0" applyAlignment="0" applyProtection="0"/>
    <xf numFmtId="0" fontId="26" fillId="0" borderId="118">
      <alignment horizontal="left" vertical="center"/>
    </xf>
    <xf numFmtId="4" fontId="27" fillId="34" borderId="119" applyNumberFormat="0" applyProtection="0">
      <alignment vertical="center"/>
    </xf>
    <xf numFmtId="0" fontId="26" fillId="0" borderId="118">
      <alignment horizontal="left" vertical="center"/>
    </xf>
    <xf numFmtId="4" fontId="27" fillId="34" borderId="119" applyNumberFormat="0" applyProtection="0">
      <alignment vertical="center"/>
    </xf>
    <xf numFmtId="4" fontId="27" fillId="34" borderId="119" applyNumberFormat="0" applyProtection="0">
      <alignment vertical="center"/>
    </xf>
    <xf numFmtId="4" fontId="47" fillId="0" borderId="111" applyNumberFormat="0" applyProtection="0">
      <alignment horizontal="left" vertical="center" indent="1"/>
    </xf>
    <xf numFmtId="0" fontId="18" fillId="34" borderId="111" applyNumberFormat="0" applyProtection="0">
      <alignment horizontal="left" vertical="top" indent="1"/>
    </xf>
    <xf numFmtId="4" fontId="27" fillId="38" borderId="111" applyNumberFormat="0" applyProtection="0">
      <alignment horizontal="left" vertical="center" indent="1"/>
    </xf>
    <xf numFmtId="0" fontId="110" fillId="77" borderId="113" applyNumberFormat="0" applyAlignment="0" applyProtection="0"/>
    <xf numFmtId="4" fontId="47" fillId="40" borderId="111" applyNumberFormat="0" applyProtection="0">
      <alignment horizontal="right" vertical="center"/>
    </xf>
    <xf numFmtId="0" fontId="18" fillId="34" borderId="111" applyNumberFormat="0" applyProtection="0">
      <alignment horizontal="left" vertical="top" indent="1"/>
    </xf>
    <xf numFmtId="4" fontId="47" fillId="0" borderId="111" applyNumberFormat="0" applyProtection="0">
      <alignment horizontal="left" vertical="center" indent="1"/>
    </xf>
    <xf numFmtId="0" fontId="114" fillId="79" borderId="115" applyNumberFormat="0" applyAlignment="0" applyProtection="0"/>
    <xf numFmtId="0" fontId="105" fillId="0" borderId="116" applyNumberFormat="0" applyFill="0" applyAlignment="0" applyProtection="0"/>
    <xf numFmtId="0" fontId="18" fillId="55" borderId="111" applyNumberFormat="0" applyProtection="0">
      <alignment horizontal="left" vertical="center" indent="1"/>
    </xf>
    <xf numFmtId="4" fontId="47" fillId="46" borderId="111" applyNumberFormat="0" applyProtection="0">
      <alignment horizontal="right" vertical="center"/>
    </xf>
    <xf numFmtId="0" fontId="110" fillId="77" borderId="113" applyNumberFormat="0" applyAlignment="0" applyProtection="0"/>
    <xf numFmtId="0" fontId="18" fillId="50" borderId="111" applyNumberFormat="0" applyProtection="0">
      <alignment horizontal="left" vertical="center" indent="1"/>
    </xf>
    <xf numFmtId="0" fontId="18" fillId="55" borderId="111" applyNumberFormat="0" applyProtection="0">
      <alignment horizontal="left" vertical="top" indent="1"/>
    </xf>
    <xf numFmtId="0" fontId="47" fillId="34" borderId="111" applyNumberFormat="0" applyProtection="0">
      <alignment horizontal="left" vertical="top"/>
    </xf>
    <xf numFmtId="0" fontId="18" fillId="51" borderId="111" applyNumberFormat="0" applyProtection="0">
      <alignment horizontal="left" vertical="top" indent="1"/>
    </xf>
    <xf numFmtId="0" fontId="27" fillId="38" borderId="111" applyNumberFormat="0" applyProtection="0">
      <alignment horizontal="left" vertical="top" indent="1"/>
    </xf>
    <xf numFmtId="0" fontId="18" fillId="76" borderId="114" applyNumberFormat="0" applyFont="0" applyAlignment="0" applyProtection="0"/>
    <xf numFmtId="0" fontId="110" fillId="77" borderId="113" applyNumberFormat="0" applyAlignment="0" applyProtection="0"/>
    <xf numFmtId="0" fontId="105" fillId="0" borderId="116" applyNumberFormat="0" applyFill="0" applyAlignment="0" applyProtection="0"/>
    <xf numFmtId="4" fontId="47" fillId="39" borderId="111" applyNumberFormat="0" applyProtection="0">
      <alignment horizontal="right" vertical="center"/>
    </xf>
    <xf numFmtId="0" fontId="18" fillId="51" borderId="111" applyNumberFormat="0" applyProtection="0">
      <alignment horizontal="left" vertical="center" indent="1"/>
    </xf>
    <xf numFmtId="4" fontId="51" fillId="49" borderId="111" applyNumberFormat="0" applyProtection="0">
      <alignment horizontal="right" vertical="center"/>
    </xf>
    <xf numFmtId="0" fontId="18" fillId="49" borderId="111" applyNumberFormat="0" applyProtection="0">
      <alignment horizontal="left" vertical="center" indent="1"/>
    </xf>
    <xf numFmtId="4" fontId="47" fillId="47" borderId="111" applyNumberFormat="0" applyProtection="0">
      <alignment horizontal="right" vertical="center"/>
    </xf>
    <xf numFmtId="0" fontId="110" fillId="77" borderId="113" applyNumberFormat="0" applyAlignment="0" applyProtection="0"/>
    <xf numFmtId="0" fontId="18" fillId="49" borderId="111" applyNumberFormat="0" applyProtection="0">
      <alignment horizontal="left" vertical="center" indent="1"/>
    </xf>
    <xf numFmtId="0" fontId="18" fillId="54" borderId="111" applyNumberFormat="0" applyProtection="0">
      <alignment horizontal="left" vertical="center" indent="1"/>
    </xf>
    <xf numFmtId="4" fontId="47" fillId="40" borderId="111" applyNumberFormat="0" applyProtection="0">
      <alignment horizontal="right" vertical="center"/>
    </xf>
    <xf numFmtId="0" fontId="18" fillId="76" borderId="114" applyNumberFormat="0" applyFont="0" applyAlignment="0" applyProtection="0"/>
    <xf numFmtId="4" fontId="27" fillId="38" borderId="111" applyNumberFormat="0" applyProtection="0">
      <alignment horizontal="left" vertical="center" indent="1"/>
    </xf>
    <xf numFmtId="0" fontId="18" fillId="34" borderId="111" applyNumberFormat="0" applyProtection="0">
      <alignment horizontal="left" vertical="center" indent="1"/>
    </xf>
    <xf numFmtId="0" fontId="47" fillId="35" borderId="111" applyNumberFormat="0" applyProtection="0">
      <alignment horizontal="left" vertical="top" indent="1"/>
    </xf>
    <xf numFmtId="0" fontId="105" fillId="0" borderId="116" applyNumberFormat="0" applyFill="0" applyAlignment="0" applyProtection="0"/>
    <xf numFmtId="0" fontId="18" fillId="76" borderId="114" applyNumberFormat="0" applyFont="0" applyAlignment="0" applyProtection="0"/>
    <xf numFmtId="0" fontId="18" fillId="55" borderId="111" applyNumberFormat="0" applyProtection="0">
      <alignment horizontal="left" vertical="top" indent="1"/>
    </xf>
    <xf numFmtId="0" fontId="18" fillId="50" borderId="111" applyNumberFormat="0" applyProtection="0">
      <alignment horizontal="left" vertical="center" indent="1"/>
    </xf>
    <xf numFmtId="0" fontId="114" fillId="79" borderId="115" applyNumberFormat="0" applyAlignment="0" applyProtection="0"/>
    <xf numFmtId="0" fontId="114" fillId="79" borderId="115" applyNumberFormat="0" applyAlignment="0" applyProtection="0"/>
    <xf numFmtId="0" fontId="18" fillId="55" borderId="111" applyNumberFormat="0" applyProtection="0">
      <alignment horizontal="left" vertical="center" indent="1"/>
    </xf>
    <xf numFmtId="4" fontId="47" fillId="42" borderId="111" applyNumberFormat="0" applyProtection="0">
      <alignment horizontal="right" vertical="center"/>
    </xf>
    <xf numFmtId="0" fontId="18" fillId="85" borderId="111" applyNumberFormat="0" applyProtection="0">
      <alignment horizontal="left" vertical="center" indent="1"/>
    </xf>
    <xf numFmtId="0" fontId="18" fillId="76" borderId="114" applyNumberFormat="0" applyFont="0" applyAlignment="0" applyProtection="0"/>
    <xf numFmtId="0" fontId="105" fillId="0" borderId="116" applyNumberFormat="0" applyFill="0" applyAlignment="0" applyProtection="0"/>
    <xf numFmtId="4" fontId="27" fillId="37" borderId="111" applyNumberFormat="0" applyProtection="0">
      <alignment vertical="center"/>
    </xf>
    <xf numFmtId="0" fontId="18" fillId="84" borderId="111" applyNumberFormat="0" applyProtection="0">
      <alignment horizontal="left" vertical="top" indent="1"/>
    </xf>
    <xf numFmtId="4" fontId="51" fillId="35" borderId="111" applyNumberFormat="0" applyProtection="0">
      <alignment vertical="center"/>
    </xf>
    <xf numFmtId="0" fontId="105" fillId="0" borderId="116" applyNumberFormat="0" applyFill="0" applyAlignment="0" applyProtection="0"/>
    <xf numFmtId="0" fontId="18" fillId="76" borderId="114" applyNumberFormat="0" applyFont="0" applyAlignment="0" applyProtection="0"/>
    <xf numFmtId="0" fontId="18" fillId="49" borderId="111" applyNumberFormat="0" applyProtection="0">
      <alignment horizontal="left" vertical="top" indent="1"/>
    </xf>
    <xf numFmtId="0" fontId="18" fillId="84" borderId="111" applyNumberFormat="0" applyProtection="0">
      <alignment horizontal="left" vertical="center" indent="1"/>
    </xf>
    <xf numFmtId="0" fontId="114" fillId="79" borderId="115" applyNumberFormat="0" applyAlignment="0" applyProtection="0"/>
    <xf numFmtId="0" fontId="102" fillId="79" borderId="113" applyNumberFormat="0" applyAlignment="0" applyProtection="0"/>
    <xf numFmtId="0" fontId="114" fillId="79" borderId="115" applyNumberFormat="0" applyAlignment="0" applyProtection="0"/>
    <xf numFmtId="4" fontId="47" fillId="47" borderId="111" applyNumberFormat="0" applyProtection="0">
      <alignment horizontal="right" vertical="center"/>
    </xf>
    <xf numFmtId="0" fontId="18" fillId="85" borderId="111" applyNumberFormat="0" applyProtection="0">
      <alignment horizontal="left" vertical="top" indent="1"/>
    </xf>
    <xf numFmtId="0" fontId="105" fillId="0" borderId="116" applyNumberFormat="0" applyFill="0" applyAlignment="0" applyProtection="0"/>
    <xf numFmtId="0" fontId="105" fillId="0" borderId="116" applyNumberFormat="0" applyFill="0" applyAlignment="0" applyProtection="0"/>
    <xf numFmtId="0" fontId="18" fillId="85" borderId="111" applyNumberFormat="0" applyProtection="0">
      <alignment horizontal="left" vertical="top" indent="1"/>
    </xf>
    <xf numFmtId="4" fontId="47" fillId="44" borderId="111" applyNumberFormat="0" applyProtection="0">
      <alignment horizontal="right" vertical="center"/>
    </xf>
    <xf numFmtId="0" fontId="110" fillId="77" borderId="113" applyNumberFormat="0" applyAlignment="0" applyProtection="0"/>
    <xf numFmtId="0" fontId="63" fillId="59" borderId="117" applyNumberFormat="0" applyFont="0" applyFill="0" applyAlignment="0" applyProtection="0">
      <protection locked="0"/>
    </xf>
    <xf numFmtId="0" fontId="18" fillId="84" borderId="111" applyNumberFormat="0" applyProtection="0">
      <alignment horizontal="left" vertical="center" indent="1"/>
    </xf>
    <xf numFmtId="0" fontId="18" fillId="49" borderId="111" applyNumberFormat="0" applyProtection="0">
      <alignment horizontal="left" vertical="top" indent="1"/>
    </xf>
    <xf numFmtId="0" fontId="105" fillId="0" borderId="116" applyNumberFormat="0" applyFill="0" applyAlignment="0" applyProtection="0"/>
    <xf numFmtId="0" fontId="18" fillId="76" borderId="114" applyNumberFormat="0" applyFont="0" applyAlignment="0" applyProtection="0"/>
    <xf numFmtId="4" fontId="51" fillId="35" borderId="111" applyNumberFormat="0" applyProtection="0">
      <alignment vertical="center"/>
    </xf>
    <xf numFmtId="0" fontId="18" fillId="84" borderId="111" applyNumberFormat="0" applyProtection="0">
      <alignment horizontal="left" vertical="top" indent="1"/>
    </xf>
    <xf numFmtId="0" fontId="114" fillId="79" borderId="115" applyNumberFormat="0" applyAlignment="0" applyProtection="0"/>
    <xf numFmtId="0" fontId="102" fillId="79" borderId="113" applyNumberFormat="0" applyAlignment="0" applyProtection="0"/>
    <xf numFmtId="0" fontId="114" fillId="79" borderId="115" applyNumberFormat="0" applyAlignment="0" applyProtection="0"/>
    <xf numFmtId="4" fontId="47" fillId="45" borderId="111" applyNumberFormat="0" applyProtection="0">
      <alignment horizontal="right" vertical="center"/>
    </xf>
    <xf numFmtId="0" fontId="18" fillId="85" borderId="111" applyNumberFormat="0" applyProtection="0">
      <alignment horizontal="left" vertical="center" indent="1"/>
    </xf>
    <xf numFmtId="0" fontId="105" fillId="0" borderId="116" applyNumberFormat="0" applyFill="0" applyAlignment="0" applyProtection="0"/>
    <xf numFmtId="0" fontId="114" fillId="79" borderId="115" applyNumberFormat="0" applyAlignment="0" applyProtection="0"/>
    <xf numFmtId="0" fontId="21" fillId="35" borderId="88"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11" applyNumberFormat="0" applyProtection="0">
      <alignment vertical="center"/>
    </xf>
    <xf numFmtId="4" fontId="46" fillId="38" borderId="111" applyNumberFormat="0" applyProtection="0">
      <alignment vertical="center"/>
    </xf>
    <xf numFmtId="4" fontId="27" fillId="38" borderId="111" applyNumberFormat="0" applyProtection="0">
      <alignment horizontal="left" vertical="center" indent="1"/>
    </xf>
    <xf numFmtId="4" fontId="27" fillId="38" borderId="111" applyNumberFormat="0" applyProtection="0">
      <alignment horizontal="left" vertical="center" indent="1"/>
    </xf>
    <xf numFmtId="0" fontId="27" fillId="38" borderId="111" applyNumberFormat="0" applyProtection="0">
      <alignment horizontal="left" vertical="top" indent="1"/>
    </xf>
    <xf numFmtId="4" fontId="27" fillId="34" borderId="111" applyNumberFormat="0" applyProtection="0"/>
    <xf numFmtId="4" fontId="47" fillId="39" borderId="111" applyNumberFormat="0" applyProtection="0">
      <alignment horizontal="right" vertical="center"/>
    </xf>
    <xf numFmtId="4" fontId="47" fillId="40" borderId="111" applyNumberFormat="0" applyProtection="0">
      <alignment horizontal="right" vertical="center"/>
    </xf>
    <xf numFmtId="4" fontId="47" fillId="41" borderId="111" applyNumberFormat="0" applyProtection="0">
      <alignment horizontal="right" vertical="center"/>
    </xf>
    <xf numFmtId="4" fontId="47" fillId="42" borderId="111" applyNumberFormat="0" applyProtection="0">
      <alignment horizontal="right" vertical="center"/>
    </xf>
    <xf numFmtId="4" fontId="47" fillId="43" borderId="111" applyNumberFormat="0" applyProtection="0">
      <alignment horizontal="right" vertical="center"/>
    </xf>
    <xf numFmtId="4" fontId="47" fillId="44" borderId="111" applyNumberFormat="0" applyProtection="0">
      <alignment horizontal="right" vertical="center"/>
    </xf>
    <xf numFmtId="4" fontId="47" fillId="45" borderId="111" applyNumberFormat="0" applyProtection="0">
      <alignment horizontal="right" vertical="center"/>
    </xf>
    <xf numFmtId="4" fontId="47" fillId="46" borderId="111" applyNumberFormat="0" applyProtection="0">
      <alignment horizontal="right" vertical="center"/>
    </xf>
    <xf numFmtId="4" fontId="47" fillId="47" borderId="111" applyNumberFormat="0" applyProtection="0">
      <alignment horizontal="right" vertical="center"/>
    </xf>
    <xf numFmtId="4" fontId="47" fillId="51" borderId="111" applyNumberFormat="0" applyProtection="0">
      <alignment horizontal="right" vertical="center"/>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0" fontId="18" fillId="55" borderId="111" applyNumberFormat="0" applyProtection="0">
      <alignment horizontal="left" vertical="top" indent="1"/>
    </xf>
    <xf numFmtId="4" fontId="47" fillId="35" borderId="111" applyNumberFormat="0" applyProtection="0">
      <alignment vertical="center"/>
    </xf>
    <xf numFmtId="4" fontId="51" fillId="35" borderId="111" applyNumberFormat="0" applyProtection="0">
      <alignment vertical="center"/>
    </xf>
    <xf numFmtId="4" fontId="47" fillId="35" borderId="111" applyNumberFormat="0" applyProtection="0">
      <alignment horizontal="left" vertical="center" indent="1"/>
    </xf>
    <xf numFmtId="0" fontId="47" fillId="3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51" fillId="49"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4" fontId="25" fillId="49" borderId="111" applyNumberFormat="0" applyProtection="0">
      <alignment horizontal="right" vertical="center"/>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horizontal="left" vertical="center" indent="1"/>
    </xf>
    <xf numFmtId="4" fontId="27" fillId="38" borderId="111" applyNumberFormat="0" applyProtection="0">
      <alignment vertical="center"/>
    </xf>
    <xf numFmtId="4" fontId="27" fillId="34" borderId="111" applyNumberFormat="0" applyProtection="0"/>
    <xf numFmtId="4" fontId="27" fillId="34" borderId="111" applyNumberFormat="0" applyProtection="0"/>
    <xf numFmtId="4" fontId="27" fillId="34" borderId="111" applyNumberFormat="0" applyProtection="0"/>
    <xf numFmtId="4" fontId="27" fillId="34" borderId="111" applyNumberFormat="0" applyProtection="0"/>
    <xf numFmtId="0" fontId="18" fillId="50" borderId="111" applyNumberFormat="0" applyProtection="0">
      <alignment horizontal="left" vertical="center" indent="1"/>
    </xf>
    <xf numFmtId="0" fontId="18" fillId="50" borderId="111" applyNumberFormat="0" applyProtection="0">
      <alignment horizontal="left" vertical="top" indent="1"/>
    </xf>
    <xf numFmtId="0" fontId="18" fillId="34" borderId="111" applyNumberFormat="0" applyProtection="0">
      <alignment horizontal="left" vertical="center" indent="1"/>
    </xf>
    <xf numFmtId="0" fontId="18" fillId="34" borderId="111" applyNumberFormat="0" applyProtection="0">
      <alignment horizontal="left" vertical="top" indent="1"/>
    </xf>
    <xf numFmtId="0" fontId="18" fillId="54" borderId="111" applyNumberFormat="0" applyProtection="0">
      <alignment horizontal="left" vertical="center" indent="1"/>
    </xf>
    <xf numFmtId="0" fontId="18" fillId="54" borderId="111" applyNumberFormat="0" applyProtection="0">
      <alignment horizontal="left" vertical="top" indent="1"/>
    </xf>
    <xf numFmtId="0" fontId="18" fillId="55" borderId="111" applyNumberFormat="0" applyProtection="0">
      <alignment horizontal="left" vertical="center" indent="1"/>
    </xf>
    <xf numFmtId="0" fontId="18" fillId="55" borderId="111" applyNumberFormat="0" applyProtection="0">
      <alignment horizontal="left" vertical="top" indent="1"/>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right" vertical="center"/>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0" borderId="111" applyNumberFormat="0" applyProtection="0">
      <alignment horizontal="left" vertical="center" indent="1"/>
    </xf>
    <xf numFmtId="4" fontId="47" fillId="59" borderId="111" applyNumberFormat="0" applyProtection="0">
      <alignment horizontal="left" vertical="center" indent="1"/>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left" vertical="top"/>
    </xf>
    <xf numFmtId="0" fontId="47" fillId="34" borderId="111" applyNumberFormat="0" applyProtection="0">
      <alignment horizontal="center" vertical="top"/>
    </xf>
    <xf numFmtId="4" fontId="47" fillId="51" borderId="111" applyNumberFormat="0" applyProtection="0">
      <alignment horizontal="left" vertical="center" indent="1"/>
    </xf>
    <xf numFmtId="4" fontId="27" fillId="38" borderId="111" applyNumberFormat="0" applyProtection="0">
      <alignment horizontal="left" vertical="center" indent="1"/>
    </xf>
    <xf numFmtId="4" fontId="47" fillId="0" borderId="111" applyNumberFormat="0" applyProtection="0">
      <alignment horizontal="right" vertical="center"/>
    </xf>
    <xf numFmtId="4" fontId="47" fillId="0" borderId="111" applyNumberFormat="0" applyProtection="0">
      <alignment horizontal="left" vertical="center" indent="1"/>
    </xf>
    <xf numFmtId="0" fontId="47" fillId="34" borderId="111" applyNumberFormat="0" applyProtection="0">
      <alignment horizontal="left" vertical="top"/>
    </xf>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49" borderId="111" applyNumberFormat="0" applyProtection="0">
      <alignment horizontal="left" vertical="top" indent="1"/>
    </xf>
    <xf numFmtId="0" fontId="18" fillId="49" borderId="111" applyNumberFormat="0" applyProtection="0">
      <alignment horizontal="left" vertical="top" indent="1"/>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24" fillId="59" borderId="117" applyNumberFormat="0" applyFont="0" applyAlignment="0" applyProtection="0">
      <protection locked="0"/>
    </xf>
    <xf numFmtId="0" fontId="63" fillId="59" borderId="117" applyNumberFormat="0" applyFont="0" applyFill="0" applyAlignment="0" applyProtection="0">
      <protection locked="0"/>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4" fontId="25" fillId="49" borderId="111" applyNumberFormat="0" applyProtection="0">
      <alignment horizontal="right" vertical="center"/>
    </xf>
    <xf numFmtId="0" fontId="47" fillId="34" borderId="111" applyNumberFormat="0" applyProtection="0">
      <alignment horizontal="left" vertical="top"/>
    </xf>
    <xf numFmtId="4" fontId="47" fillId="0" borderId="111" applyNumberFormat="0" applyProtection="0">
      <alignment horizontal="left" vertical="center" indent="1"/>
    </xf>
    <xf numFmtId="4" fontId="51" fillId="49" borderId="111" applyNumberFormat="0" applyProtection="0">
      <alignment horizontal="right" vertical="center"/>
    </xf>
    <xf numFmtId="4" fontId="47" fillId="0" borderId="111" applyNumberFormat="0" applyProtection="0">
      <alignment horizontal="right" vertical="center"/>
    </xf>
    <xf numFmtId="0" fontId="47" fillId="35" borderId="111" applyNumberFormat="0" applyProtection="0">
      <alignment horizontal="left" vertical="top" indent="1"/>
    </xf>
    <xf numFmtId="4" fontId="47" fillId="35" borderId="111" applyNumberFormat="0" applyProtection="0">
      <alignment horizontal="left" vertical="center" indent="1"/>
    </xf>
    <xf numFmtId="4" fontId="51" fillId="35" borderId="111" applyNumberFormat="0" applyProtection="0">
      <alignment vertical="center"/>
    </xf>
    <xf numFmtId="4" fontId="47" fillId="35" borderId="111" applyNumberFormat="0" applyProtection="0">
      <alignment vertical="center"/>
    </xf>
    <xf numFmtId="0" fontId="18" fillId="49" borderId="111" applyNumberFormat="0" applyProtection="0">
      <alignment horizontal="left" vertical="top" indent="1"/>
    </xf>
    <xf numFmtId="0" fontId="18" fillId="49" borderId="111" applyNumberFormat="0" applyProtection="0">
      <alignment horizontal="left" vertical="top" indent="1"/>
    </xf>
    <xf numFmtId="0" fontId="18" fillId="55" borderId="111" applyNumberFormat="0" applyProtection="0">
      <alignment horizontal="left" vertical="top"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55" borderId="111" applyNumberFormat="0" applyProtection="0">
      <alignment horizontal="left" vertical="center"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54" borderId="111" applyNumberFormat="0" applyProtection="0">
      <alignment horizontal="left" vertical="top"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54" borderId="111" applyNumberFormat="0" applyProtection="0">
      <alignment horizontal="left" vertical="center"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34" borderId="111" applyNumberFormat="0" applyProtection="0">
      <alignment horizontal="left" vertical="top"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34" borderId="111" applyNumberFormat="0" applyProtection="0">
      <alignment horizontal="left" vertical="center"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50" borderId="111" applyNumberFormat="0" applyProtection="0">
      <alignment horizontal="left" vertical="top" indent="1"/>
    </xf>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50" borderId="111" applyNumberFormat="0" applyProtection="0">
      <alignment horizontal="left" vertical="center" indent="1"/>
    </xf>
    <xf numFmtId="4" fontId="47" fillId="51" borderId="111" applyNumberFormat="0" applyProtection="0">
      <alignment horizontal="right" vertical="center"/>
    </xf>
    <xf numFmtId="4" fontId="47" fillId="47" borderId="111" applyNumberFormat="0" applyProtection="0">
      <alignment horizontal="right" vertical="center"/>
    </xf>
    <xf numFmtId="4" fontId="47" fillId="46" borderId="111" applyNumberFormat="0" applyProtection="0">
      <alignment horizontal="right" vertical="center"/>
    </xf>
    <xf numFmtId="4" fontId="47" fillId="45" borderId="111" applyNumberFormat="0" applyProtection="0">
      <alignment horizontal="right" vertical="center"/>
    </xf>
    <xf numFmtId="4" fontId="47" fillId="44" borderId="111" applyNumberFormat="0" applyProtection="0">
      <alignment horizontal="right" vertical="center"/>
    </xf>
    <xf numFmtId="4" fontId="47" fillId="43" borderId="111" applyNumberFormat="0" applyProtection="0">
      <alignment horizontal="right" vertical="center"/>
    </xf>
    <xf numFmtId="4" fontId="47" fillId="42" borderId="111" applyNumberFormat="0" applyProtection="0">
      <alignment horizontal="right" vertical="center"/>
    </xf>
    <xf numFmtId="4" fontId="47" fillId="41" borderId="111" applyNumberFormat="0" applyProtection="0">
      <alignment horizontal="right" vertical="center"/>
    </xf>
    <xf numFmtId="4" fontId="47" fillId="40" borderId="111" applyNumberFormat="0" applyProtection="0">
      <alignment horizontal="right" vertical="center"/>
    </xf>
    <xf numFmtId="4" fontId="47" fillId="39" borderId="111" applyNumberFormat="0" applyProtection="0">
      <alignment horizontal="right" vertical="center"/>
    </xf>
    <xf numFmtId="0" fontId="27" fillId="38" borderId="111" applyNumberFormat="0" applyProtection="0">
      <alignment horizontal="left" vertical="top" indent="1"/>
    </xf>
    <xf numFmtId="4" fontId="27" fillId="38" borderId="111" applyNumberFormat="0" applyProtection="0">
      <alignment horizontal="left" vertical="center" indent="1"/>
    </xf>
    <xf numFmtId="4" fontId="46" fillId="38" borderId="111" applyNumberFormat="0" applyProtection="0">
      <alignment vertical="center"/>
    </xf>
    <xf numFmtId="4" fontId="27" fillId="37" borderId="111" applyNumberFormat="0" applyProtection="0">
      <alignment vertical="center"/>
    </xf>
    <xf numFmtId="0" fontId="63" fillId="59" borderId="117" applyNumberFormat="0" applyFont="0" applyFill="0" applyAlignment="0" applyProtection="0">
      <protection locked="0"/>
    </xf>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24" fillId="59" borderId="117" applyNumberFormat="0" applyFont="0" applyAlignment="0" applyProtection="0">
      <protection locked="0"/>
    </xf>
    <xf numFmtId="0" fontId="105" fillId="0" borderId="116" applyNumberFormat="0" applyFill="0" applyAlignment="0" applyProtection="0"/>
    <xf numFmtId="0" fontId="105" fillId="0" borderId="116" applyNumberFormat="0" applyFill="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02" fillId="79"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10" fillId="77" borderId="113" applyNumberForma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8" fillId="76" borderId="114" applyNumberFormat="0" applyFon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0" fontId="114" fillId="79" borderId="115" applyNumberFormat="0" applyAlignment="0" applyProtection="0"/>
    <xf numFmtId="4" fontId="27" fillId="37" borderId="111" applyNumberFormat="0" applyProtection="0">
      <alignment vertical="center"/>
    </xf>
    <xf numFmtId="4" fontId="46" fillId="38" borderId="111" applyNumberFormat="0" applyProtection="0">
      <alignment vertical="center"/>
    </xf>
    <xf numFmtId="4" fontId="27" fillId="38" borderId="111" applyNumberFormat="0" applyProtection="0">
      <alignment horizontal="left" vertical="center" indent="1"/>
    </xf>
    <xf numFmtId="0" fontId="27" fillId="38" borderId="111" applyNumberFormat="0" applyProtection="0">
      <alignment horizontal="left" vertical="top" indent="1"/>
    </xf>
    <xf numFmtId="4" fontId="47" fillId="39" borderId="111" applyNumberFormat="0" applyProtection="0">
      <alignment horizontal="right" vertical="center"/>
    </xf>
    <xf numFmtId="4" fontId="47" fillId="40" borderId="111" applyNumberFormat="0" applyProtection="0">
      <alignment horizontal="right" vertical="center"/>
    </xf>
    <xf numFmtId="4" fontId="47" fillId="41" borderId="111" applyNumberFormat="0" applyProtection="0">
      <alignment horizontal="right" vertical="center"/>
    </xf>
    <xf numFmtId="4" fontId="47" fillId="42" borderId="111" applyNumberFormat="0" applyProtection="0">
      <alignment horizontal="right" vertical="center"/>
    </xf>
    <xf numFmtId="4" fontId="47" fillId="43" borderId="111" applyNumberFormat="0" applyProtection="0">
      <alignment horizontal="right" vertical="center"/>
    </xf>
    <xf numFmtId="4" fontId="47" fillId="44" borderId="111" applyNumberFormat="0" applyProtection="0">
      <alignment horizontal="right" vertical="center"/>
    </xf>
    <xf numFmtId="4" fontId="47" fillId="45" borderId="111" applyNumberFormat="0" applyProtection="0">
      <alignment horizontal="right" vertical="center"/>
    </xf>
    <xf numFmtId="4" fontId="47" fillId="46" borderId="111" applyNumberFormat="0" applyProtection="0">
      <alignment horizontal="right" vertical="center"/>
    </xf>
    <xf numFmtId="4" fontId="47" fillId="47" borderId="111" applyNumberFormat="0" applyProtection="0">
      <alignment horizontal="right" vertical="center"/>
    </xf>
    <xf numFmtId="4" fontId="47" fillId="51" borderId="111" applyNumberFormat="0" applyProtection="0">
      <alignment horizontal="right" vertical="center"/>
    </xf>
    <xf numFmtId="0" fontId="18" fillId="50" borderId="111" applyNumberFormat="0" applyProtection="0">
      <alignment horizontal="left" vertical="center" indent="1"/>
    </xf>
    <xf numFmtId="0" fontId="18" fillId="84" borderId="111" applyNumberFormat="0" applyProtection="0">
      <alignment horizontal="left" vertical="center" indent="1"/>
    </xf>
    <xf numFmtId="0" fontId="18" fillId="84" borderId="111" applyNumberFormat="0" applyProtection="0">
      <alignment horizontal="left" vertical="center" indent="1"/>
    </xf>
    <xf numFmtId="0" fontId="18" fillId="50" borderId="111" applyNumberFormat="0" applyProtection="0">
      <alignment horizontal="left" vertical="top" indent="1"/>
    </xf>
    <xf numFmtId="0" fontId="18" fillId="84" borderId="111" applyNumberFormat="0" applyProtection="0">
      <alignment horizontal="left" vertical="top" indent="1"/>
    </xf>
    <xf numFmtId="0" fontId="18" fillId="84" borderId="111" applyNumberFormat="0" applyProtection="0">
      <alignment horizontal="left" vertical="top" indent="1"/>
    </xf>
    <xf numFmtId="0" fontId="18" fillId="34" borderId="111" applyNumberFormat="0" applyProtection="0">
      <alignment horizontal="left" vertical="center" indent="1"/>
    </xf>
    <xf numFmtId="0" fontId="18" fillId="51" borderId="111" applyNumberFormat="0" applyProtection="0">
      <alignment horizontal="left" vertical="center" indent="1"/>
    </xf>
    <xf numFmtId="0" fontId="18" fillId="51" borderId="111" applyNumberFormat="0" applyProtection="0">
      <alignment horizontal="left" vertical="center" indent="1"/>
    </xf>
    <xf numFmtId="0" fontId="18" fillId="34" borderId="111" applyNumberFormat="0" applyProtection="0">
      <alignment horizontal="left" vertical="top" indent="1"/>
    </xf>
    <xf numFmtId="0" fontId="18" fillId="51" borderId="111" applyNumberFormat="0" applyProtection="0">
      <alignment horizontal="left" vertical="top" indent="1"/>
    </xf>
    <xf numFmtId="0" fontId="18" fillId="51" borderId="111" applyNumberFormat="0" applyProtection="0">
      <alignment horizontal="left" vertical="top" indent="1"/>
    </xf>
    <xf numFmtId="0" fontId="18" fillId="54" borderId="111" applyNumberFormat="0" applyProtection="0">
      <alignment horizontal="left" vertical="center" indent="1"/>
    </xf>
    <xf numFmtId="0" fontId="18" fillId="85" borderId="111" applyNumberFormat="0" applyProtection="0">
      <alignment horizontal="left" vertical="center" indent="1"/>
    </xf>
    <xf numFmtId="0" fontId="18" fillId="85" borderId="111" applyNumberFormat="0" applyProtection="0">
      <alignment horizontal="left" vertical="center" indent="1"/>
    </xf>
    <xf numFmtId="0" fontId="18" fillId="54" borderId="111" applyNumberFormat="0" applyProtection="0">
      <alignment horizontal="left" vertical="top" indent="1"/>
    </xf>
    <xf numFmtId="0" fontId="18" fillId="85" borderId="111" applyNumberFormat="0" applyProtection="0">
      <alignment horizontal="left" vertical="top" indent="1"/>
    </xf>
    <xf numFmtId="0" fontId="18" fillId="85" borderId="111" applyNumberFormat="0" applyProtection="0">
      <alignment horizontal="left" vertical="top" indent="1"/>
    </xf>
    <xf numFmtId="0" fontId="18" fillId="55" borderId="111" applyNumberFormat="0" applyProtection="0">
      <alignment horizontal="left" vertical="center" indent="1"/>
    </xf>
    <xf numFmtId="0" fontId="18" fillId="49" borderId="111" applyNumberFormat="0" applyProtection="0">
      <alignment horizontal="left" vertical="center" indent="1"/>
    </xf>
    <xf numFmtId="0" fontId="18" fillId="49" borderId="111" applyNumberFormat="0" applyProtection="0">
      <alignment horizontal="left" vertical="center" indent="1"/>
    </xf>
    <xf numFmtId="0" fontId="18" fillId="55" borderId="111" applyNumberFormat="0" applyProtection="0">
      <alignment horizontal="left" vertical="top" indent="1"/>
    </xf>
    <xf numFmtId="0" fontId="18" fillId="49" borderId="111" applyNumberFormat="0" applyProtection="0">
      <alignment horizontal="left" vertical="top" indent="1"/>
    </xf>
    <xf numFmtId="0" fontId="18" fillId="49" borderId="111" applyNumberFormat="0" applyProtection="0">
      <alignment horizontal="left" vertical="top" indent="1"/>
    </xf>
    <xf numFmtId="4" fontId="47" fillId="35" borderId="111" applyNumberFormat="0" applyProtection="0">
      <alignment vertical="center"/>
    </xf>
    <xf numFmtId="4" fontId="51" fillId="35" borderId="111" applyNumberFormat="0" applyProtection="0">
      <alignment vertical="center"/>
    </xf>
    <xf numFmtId="4" fontId="47" fillId="35" borderId="111" applyNumberFormat="0" applyProtection="0">
      <alignment horizontal="left" vertical="center" indent="1"/>
    </xf>
    <xf numFmtId="0" fontId="47" fillId="35" borderId="111" applyNumberFormat="0" applyProtection="0">
      <alignment horizontal="left" vertical="top" indent="1"/>
    </xf>
    <xf numFmtId="4" fontId="47" fillId="0" borderId="111" applyNumberFormat="0" applyProtection="0">
      <alignment horizontal="right" vertical="center"/>
    </xf>
    <xf numFmtId="4" fontId="51" fillId="49" borderId="111" applyNumberFormat="0" applyProtection="0">
      <alignment horizontal="right" vertical="center"/>
    </xf>
    <xf numFmtId="4" fontId="47" fillId="0" borderId="111" applyNumberFormat="0" applyProtection="0">
      <alignment horizontal="left" vertical="center" indent="1"/>
    </xf>
    <xf numFmtId="0" fontId="47" fillId="34" borderId="111" applyNumberFormat="0" applyProtection="0">
      <alignment horizontal="left" vertical="top"/>
    </xf>
    <xf numFmtId="4" fontId="25" fillId="49" borderId="111" applyNumberFormat="0" applyProtection="0">
      <alignment horizontal="right" vertical="center"/>
    </xf>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0" fontId="105" fillId="0" borderId="116"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8" applyNumberFormat="0" applyProtection="0">
      <alignment horizontal="left" vertical="top" indent="1"/>
    </xf>
    <xf numFmtId="0" fontId="18" fillId="55" borderId="128" applyNumberFormat="0" applyProtection="0">
      <alignment horizontal="left" vertical="center" indent="1"/>
    </xf>
    <xf numFmtId="0" fontId="18" fillId="55" borderId="128" applyNumberFormat="0" applyProtection="0">
      <alignment horizontal="left" vertical="top" indent="1"/>
    </xf>
    <xf numFmtId="4" fontId="47" fillId="0" borderId="128" applyNumberFormat="0" applyProtection="0">
      <alignment horizontal="right" vertical="center"/>
    </xf>
    <xf numFmtId="4" fontId="47" fillId="0" borderId="128" applyNumberFormat="0" applyProtection="0">
      <alignment horizontal="right" vertical="center"/>
    </xf>
    <xf numFmtId="4" fontId="47" fillId="0" borderId="128" applyNumberFormat="0" applyProtection="0">
      <alignment horizontal="left" vertical="center" indent="1"/>
    </xf>
    <xf numFmtId="0" fontId="47" fillId="34" borderId="128" applyNumberFormat="0" applyProtection="0">
      <alignment horizontal="left" vertical="top"/>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27" fillId="37"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46" fillId="38" borderId="122" applyNumberFormat="0" applyProtection="0">
      <alignment vertical="center"/>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vertical="center"/>
    </xf>
    <xf numFmtId="4" fontId="27" fillId="38" borderId="122" applyNumberFormat="0" applyProtection="0">
      <alignment vertical="center"/>
    </xf>
    <xf numFmtId="4" fontId="27" fillId="38" borderId="122" applyNumberFormat="0" applyProtection="0">
      <alignment vertical="center"/>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4" fontId="27" fillId="38" borderId="122" applyNumberFormat="0" applyProtection="0">
      <alignment horizontal="left" vertical="center"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0" fontId="27" fillId="38" borderId="122" applyNumberFormat="0" applyProtection="0">
      <alignment horizontal="left" vertical="top" indent="1"/>
    </xf>
    <xf numFmtId="4" fontId="27" fillId="34" borderId="122" applyNumberFormat="0" applyProtection="0"/>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2" applyNumberFormat="0" applyProtection="0"/>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27" fillId="34" borderId="123" applyNumberFormat="0" applyProtection="0">
      <alignmen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39"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0"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1"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2"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3"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4"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5"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6"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47"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4" fontId="47" fillId="51" borderId="122" applyNumberFormat="0" applyProtection="0">
      <alignment horizontal="right" vertical="center"/>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84"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center"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84"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50" borderId="122" applyNumberFormat="0" applyProtection="0">
      <alignment horizontal="left" vertical="top"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51"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center"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51"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34" borderId="122" applyNumberFormat="0" applyProtection="0">
      <alignment horizontal="left" vertical="top"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85"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center"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85"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4" borderId="122" applyNumberFormat="0" applyProtection="0">
      <alignment horizontal="left" vertical="top"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49"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center"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49"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0" fontId="18" fillId="55" borderId="122" applyNumberFormat="0" applyProtection="0">
      <alignment horizontal="left" vertical="top" indent="1"/>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47"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51" fillId="35" borderId="122" applyNumberFormat="0" applyProtection="0">
      <alignment vertical="center"/>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4" fontId="47" fillId="35" borderId="122" applyNumberFormat="0" applyProtection="0">
      <alignment horizontal="left" vertical="center"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0" fontId="47" fillId="35" borderId="122" applyNumberFormat="0" applyProtection="0">
      <alignment horizontal="left" vertical="top" indent="1"/>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47" fillId="0"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51" fillId="49" borderId="122" applyNumberFormat="0" applyProtection="0">
      <alignment horizontal="right" vertical="center"/>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59" borderId="122" applyNumberFormat="0" applyProtection="0">
      <alignment horizontal="left" vertical="center" indent="1"/>
    </xf>
    <xf numFmtId="4" fontId="47" fillId="59" borderId="122" applyNumberFormat="0" applyProtection="0">
      <alignment horizontal="left" vertical="center" indent="1"/>
    </xf>
    <xf numFmtId="4" fontId="47" fillId="59"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0" borderId="122" applyNumberFormat="0" applyProtection="0">
      <alignment horizontal="left" vertical="center" indent="1"/>
    </xf>
    <xf numFmtId="4" fontId="47" fillId="51" borderId="122" applyNumberFormat="0" applyProtection="0">
      <alignment horizontal="left" vertical="center" indent="1"/>
    </xf>
    <xf numFmtId="4" fontId="47" fillId="51" borderId="122" applyNumberFormat="0" applyProtection="0">
      <alignment horizontal="left" vertical="center" indent="1"/>
    </xf>
    <xf numFmtId="4" fontId="47" fillId="51" borderId="122" applyNumberFormat="0" applyProtection="0">
      <alignment horizontal="left" vertical="center" indent="1"/>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center" vertical="top"/>
    </xf>
    <xf numFmtId="0" fontId="47" fillId="34" borderId="122" applyNumberFormat="0" applyProtection="0">
      <alignment horizontal="center" vertical="top"/>
    </xf>
    <xf numFmtId="0" fontId="47" fillId="34" borderId="122" applyNumberFormat="0" applyProtection="0">
      <alignment horizontal="center"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0" fontId="47" fillId="34" borderId="122" applyNumberFormat="0" applyProtection="0">
      <alignment horizontal="left" vertical="top"/>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4" fontId="25" fillId="49" borderId="122" applyNumberFormat="0" applyProtection="0">
      <alignment horizontal="right" vertical="center"/>
    </xf>
    <xf numFmtId="176" fontId="18" fillId="0" borderId="16">
      <alignment horizontal="justify" vertical="top" wrapText="1"/>
    </xf>
    <xf numFmtId="4" fontId="47" fillId="42" borderId="128" applyNumberFormat="0" applyProtection="0">
      <alignment horizontal="right" vertical="center"/>
    </xf>
    <xf numFmtId="4" fontId="47" fillId="43" borderId="128" applyNumberFormat="0" applyProtection="0">
      <alignment horizontal="right" vertical="center"/>
    </xf>
    <xf numFmtId="4" fontId="47" fillId="44" borderId="128" applyNumberFormat="0" applyProtection="0">
      <alignment horizontal="right" vertical="center"/>
    </xf>
    <xf numFmtId="4" fontId="47" fillId="47" borderId="128" applyNumberFormat="0" applyProtection="0">
      <alignment horizontal="right" vertical="center"/>
    </xf>
    <xf numFmtId="4" fontId="27" fillId="38" borderId="128" applyNumberFormat="0" applyProtection="0">
      <alignment horizontal="left" vertical="center" indent="1"/>
    </xf>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8" fillId="54" borderId="128" applyNumberFormat="0" applyProtection="0">
      <alignment horizontal="left" vertical="center" indent="1"/>
    </xf>
    <xf numFmtId="4" fontId="47" fillId="0" borderId="128" applyNumberFormat="0" applyProtection="0">
      <alignment horizontal="right" vertical="center"/>
    </xf>
    <xf numFmtId="4" fontId="47" fillId="0" borderId="128" applyNumberFormat="0" applyProtection="0">
      <alignment horizontal="right" vertical="center"/>
    </xf>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105" fillId="0" borderId="124"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4"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204"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8" applyNumberFormat="0" applyProtection="0">
      <alignment horizontal="left" vertical="center" indent="1"/>
    </xf>
    <xf numFmtId="4" fontId="47" fillId="0" borderId="128" applyNumberFormat="0" applyProtection="0">
      <alignment horizontal="right" vertical="center"/>
    </xf>
    <xf numFmtId="0" fontId="18" fillId="54" borderId="128" applyNumberFormat="0" applyProtection="0">
      <alignment horizontal="left" vertical="center" indent="1"/>
    </xf>
    <xf numFmtId="0" fontId="47" fillId="35" borderId="128" applyNumberFormat="0" applyProtection="0">
      <alignment horizontal="left" vertical="top" indent="1"/>
    </xf>
    <xf numFmtId="4" fontId="47" fillId="51" borderId="128" applyNumberFormat="0" applyProtection="0">
      <alignment horizontal="right" vertical="center"/>
    </xf>
    <xf numFmtId="0" fontId="26" fillId="0" borderId="127">
      <alignment horizontal="left" vertical="center"/>
    </xf>
    <xf numFmtId="0" fontId="110" fillId="77" borderId="125" applyNumberFormat="0" applyAlignment="0" applyProtection="0"/>
    <xf numFmtId="0" fontId="24" fillId="59" borderId="126" applyNumberFormat="0" applyFont="0" applyAlignment="0" applyProtection="0">
      <protection locked="0"/>
    </xf>
    <xf numFmtId="0" fontId="102" fillId="79" borderId="125" applyNumberFormat="0" applyAlignment="0" applyProtection="0"/>
    <xf numFmtId="0" fontId="18" fillId="50" borderId="128" applyNumberFormat="0" applyProtection="0">
      <alignment horizontal="left" vertical="center" indent="1"/>
    </xf>
    <xf numFmtId="0" fontId="102" fillId="79" borderId="125" applyNumberFormat="0" applyAlignment="0" applyProtection="0"/>
    <xf numFmtId="0" fontId="18" fillId="54" borderId="128" applyNumberFormat="0" applyProtection="0">
      <alignment horizontal="left" vertical="center" indent="1"/>
    </xf>
    <xf numFmtId="0" fontId="102" fillId="79" borderId="125" applyNumberFormat="0" applyAlignment="0" applyProtection="0"/>
    <xf numFmtId="0" fontId="24" fillId="59" borderId="126" applyNumberFormat="0" applyFont="0" applyAlignment="0" applyProtection="0">
      <protection locked="0"/>
    </xf>
    <xf numFmtId="0" fontId="47" fillId="34" borderId="128" applyNumberFormat="0" applyProtection="0">
      <alignment horizontal="left" vertical="top"/>
    </xf>
    <xf numFmtId="0" fontId="102" fillId="79" borderId="125" applyNumberFormat="0" applyAlignment="0" applyProtection="0"/>
    <xf numFmtId="0" fontId="63" fillId="59" borderId="126" applyNumberFormat="0" applyFont="0" applyFill="0" applyAlignment="0" applyProtection="0">
      <protection locked="0"/>
    </xf>
    <xf numFmtId="4" fontId="47" fillId="0" borderId="128" applyNumberFormat="0" applyProtection="0">
      <alignment horizontal="right" vertical="center"/>
    </xf>
    <xf numFmtId="0" fontId="110" fillId="77" borderId="125" applyNumberFormat="0" applyAlignment="0" applyProtection="0"/>
    <xf numFmtId="0" fontId="102" fillId="79" borderId="125" applyNumberFormat="0" applyAlignment="0" applyProtection="0"/>
    <xf numFmtId="0" fontId="110" fillId="77" borderId="125" applyNumberFormat="0" applyAlignment="0" applyProtection="0"/>
    <xf numFmtId="0" fontId="102" fillId="79" borderId="125" applyNumberFormat="0" applyAlignment="0" applyProtection="0"/>
    <xf numFmtId="0" fontId="26" fillId="0" borderId="127">
      <alignment horizontal="left" vertical="center"/>
    </xf>
    <xf numFmtId="0" fontId="26" fillId="0" borderId="127">
      <alignment horizontal="left" vertical="center"/>
    </xf>
    <xf numFmtId="0" fontId="110" fillId="77" borderId="125" applyNumberFormat="0" applyAlignment="0" applyProtection="0"/>
    <xf numFmtId="0" fontId="18" fillId="54" borderId="128" applyNumberFormat="0" applyProtection="0">
      <alignment horizontal="left" vertical="center" indent="1"/>
    </xf>
    <xf numFmtId="0" fontId="110" fillId="77" borderId="125" applyNumberFormat="0" applyAlignment="0" applyProtection="0"/>
    <xf numFmtId="0" fontId="110" fillId="77" borderId="125" applyNumberFormat="0" applyAlignment="0" applyProtection="0"/>
    <xf numFmtId="4" fontId="47" fillId="0" borderId="128" applyNumberFormat="0" applyProtection="0">
      <alignment horizontal="left" vertical="center" indent="1"/>
    </xf>
    <xf numFmtId="0" fontId="110" fillId="77" borderId="125" applyNumberFormat="0" applyAlignment="0" applyProtection="0"/>
    <xf numFmtId="0" fontId="102" fillId="79" borderId="125" applyNumberFormat="0" applyAlignment="0" applyProtection="0"/>
    <xf numFmtId="0" fontId="110" fillId="77" borderId="125" applyNumberFormat="0" applyAlignment="0" applyProtection="0"/>
    <xf numFmtId="0" fontId="63" fillId="59" borderId="126" applyNumberFormat="0" applyFont="0" applyFill="0" applyAlignment="0" applyProtection="0">
      <protection locked="0"/>
    </xf>
    <xf numFmtId="0" fontId="18" fillId="54" borderId="128" applyNumberFormat="0" applyProtection="0">
      <alignment horizontal="left" vertical="top" indent="1"/>
    </xf>
    <xf numFmtId="0" fontId="102" fillId="79" borderId="125" applyNumberFormat="0" applyAlignment="0" applyProtection="0"/>
    <xf numFmtId="4" fontId="47" fillId="0" borderId="128" applyNumberFormat="0" applyProtection="0">
      <alignment horizontal="right" vertical="center"/>
    </xf>
    <xf numFmtId="4" fontId="47" fillId="0" borderId="128" applyNumberFormat="0" applyProtection="0">
      <alignment horizontal="left" vertical="center" indent="1"/>
    </xf>
    <xf numFmtId="0" fontId="18" fillId="34" borderId="128" applyNumberFormat="0" applyProtection="0">
      <alignment horizontal="left" vertical="center" indent="1"/>
    </xf>
    <xf numFmtId="0" fontId="47" fillId="34" borderId="128" applyNumberFormat="0" applyProtection="0">
      <alignment horizontal="left" vertical="top"/>
    </xf>
    <xf numFmtId="0" fontId="47" fillId="34" borderId="128" applyNumberFormat="0" applyProtection="0">
      <alignment horizontal="left" vertical="top"/>
    </xf>
    <xf numFmtId="0" fontId="47" fillId="34" borderId="128" applyNumberFormat="0" applyProtection="0">
      <alignment horizontal="left" vertical="top"/>
    </xf>
    <xf numFmtId="4" fontId="47" fillId="0" borderId="128" applyNumberFormat="0" applyProtection="0">
      <alignment horizontal="left" vertical="center" indent="1"/>
    </xf>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47" fillId="34" borderId="128" applyNumberFormat="0" applyProtection="0">
      <alignment horizontal="left" vertical="top"/>
    </xf>
    <xf numFmtId="0" fontId="18" fillId="54" borderId="128" applyNumberFormat="0" applyProtection="0">
      <alignment horizontal="left" vertical="top" indent="1"/>
    </xf>
    <xf numFmtId="0" fontId="24" fillId="59" borderId="126" applyNumberFormat="0" applyFont="0" applyAlignment="0" applyProtection="0">
      <protection locked="0"/>
    </xf>
    <xf numFmtId="0" fontId="63" fillId="59" borderId="126" applyNumberFormat="0" applyFont="0" applyFill="0" applyAlignment="0" applyProtection="0">
      <protection locked="0"/>
    </xf>
    <xf numFmtId="0" fontId="18" fillId="0" borderId="0" applyFill="0" applyBorder="0" applyProtection="0">
      <alignment horizontal="right"/>
    </xf>
    <xf numFmtId="0" fontId="63" fillId="59" borderId="126" applyNumberFormat="0" applyFont="0" applyFill="0" applyAlignment="0" applyProtection="0">
      <protection locked="0"/>
    </xf>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24" fillId="59" borderId="126" applyNumberFormat="0" applyFont="0" applyAlignment="0" applyProtection="0">
      <protection locked="0"/>
    </xf>
    <xf numFmtId="4" fontId="51" fillId="49" borderId="128" applyNumberFormat="0" applyProtection="0">
      <alignment horizontal="right" vertical="center"/>
    </xf>
    <xf numFmtId="0" fontId="18" fillId="54" borderId="128" applyNumberFormat="0" applyProtection="0">
      <alignment horizontal="left" vertical="center" indent="1"/>
    </xf>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02" fillId="79"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110" fillId="77" borderId="125" applyNumberFormat="0" applyAlignment="0" applyProtection="0"/>
    <xf numFmtId="0" fontId="47" fillId="35" borderId="128" applyNumberFormat="0" applyProtection="0">
      <alignment horizontal="left" vertical="top" indent="1"/>
    </xf>
    <xf numFmtId="0" fontId="18" fillId="34" borderId="128" applyNumberFormat="0" applyProtection="0">
      <alignment horizontal="left" vertical="top" indent="1"/>
    </xf>
    <xf numFmtId="0" fontId="105" fillId="0" borderId="132" applyNumberFormat="0" applyFill="0" applyAlignment="0" applyProtection="0"/>
    <xf numFmtId="0" fontId="105" fillId="0" borderId="132" applyNumberFormat="0" applyFill="0" applyAlignment="0" applyProtection="0"/>
    <xf numFmtId="0" fontId="105" fillId="0" borderId="132" applyNumberFormat="0" applyFill="0" applyAlignment="0" applyProtection="0"/>
    <xf numFmtId="0" fontId="105" fillId="0" borderId="132" applyNumberFormat="0" applyFill="0" applyAlignment="0" applyProtection="0"/>
    <xf numFmtId="0" fontId="105" fillId="0" borderId="132" applyNumberFormat="0" applyFill="0" applyAlignment="0" applyProtection="0"/>
  </cellStyleXfs>
  <cellXfs count="1092">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2" fillId="0" borderId="0" xfId="0" applyFont="1" applyAlignment="1">
      <alignment vertical="top" wrapText="1"/>
    </xf>
    <xf numFmtId="0" fontId="122" fillId="94" borderId="0" xfId="0" applyFont="1" applyFill="1" applyAlignment="1">
      <alignment vertical="center"/>
    </xf>
    <xf numFmtId="0" fontId="122" fillId="0" borderId="0" xfId="0" applyFont="1" applyAlignment="1">
      <alignment vertical="center"/>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7" fontId="0" fillId="0" borderId="0" xfId="0" applyNumberFormat="1"/>
    <xf numFmtId="0" fontId="125" fillId="0" borderId="0" xfId="0" applyFont="1" applyAlignment="1">
      <alignment horizontal="center"/>
    </xf>
    <xf numFmtId="0" fontId="122" fillId="0" borderId="0" xfId="0" applyFont="1" applyBorder="1" applyAlignment="1">
      <alignment horizontal="left"/>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32" fillId="0" borderId="0" xfId="0" applyFont="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1"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1" fillId="0" borderId="0" xfId="0" applyFont="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8"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1"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2"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2" fillId="0" borderId="0" xfId="0" applyNumberFormat="1" applyFont="1"/>
    <xf numFmtId="43" fontId="122" fillId="0" borderId="0" xfId="0" applyNumberFormat="1" applyFont="1"/>
    <xf numFmtId="38" fontId="32" fillId="0" borderId="0" xfId="2" applyNumberFormat="1" applyFont="1" applyFill="1" applyBorder="1"/>
    <xf numFmtId="38" fontId="122" fillId="0" borderId="35" xfId="0" applyNumberFormat="1" applyFont="1" applyFill="1" applyBorder="1"/>
    <xf numFmtId="0" fontId="121"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2"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1"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8" xfId="4" applyNumberFormat="1" applyFont="1" applyFill="1" applyBorder="1"/>
    <xf numFmtId="10" fontId="32" fillId="0" borderId="103" xfId="4" applyNumberFormat="1" applyFont="1" applyFill="1" applyBorder="1"/>
    <xf numFmtId="0" fontId="32" fillId="0" borderId="13" xfId="1" applyFont="1" applyBorder="1"/>
    <xf numFmtId="5" fontId="122" fillId="0" borderId="0" xfId="0" applyNumberFormat="1" applyFont="1"/>
    <xf numFmtId="0" fontId="32" fillId="0" borderId="0" xfId="25455" applyFont="1"/>
    <xf numFmtId="0" fontId="32" fillId="0" borderId="0" xfId="25455" applyFont="1" applyFill="1" applyBorder="1"/>
    <xf numFmtId="10" fontId="122" fillId="0" borderId="55" xfId="0" applyNumberFormat="1" applyFont="1" applyFill="1" applyBorder="1"/>
    <xf numFmtId="190" fontId="122" fillId="0" borderId="0" xfId="0" applyNumberFormat="1" applyFont="1"/>
    <xf numFmtId="190" fontId="122" fillId="0" borderId="55" xfId="0" applyNumberFormat="1" applyFont="1" applyBorder="1"/>
    <xf numFmtId="185" fontId="122" fillId="0" borderId="55" xfId="0" applyNumberFormat="1" applyFont="1" applyBorder="1"/>
    <xf numFmtId="190" fontId="124" fillId="0" borderId="82" xfId="0" applyNumberFormat="1" applyFont="1" applyBorder="1"/>
    <xf numFmtId="168" fontId="124"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0" fontId="127" fillId="0" borderId="0" xfId="0" applyFont="1" applyBorder="1"/>
    <xf numFmtId="0" fontId="128" fillId="0" borderId="0" xfId="0" applyFont="1" applyBorder="1" applyAlignment="1">
      <alignment vertical="center"/>
    </xf>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0" fontId="32" fillId="0" borderId="78" xfId="25455" applyFont="1" applyBorder="1" applyAlignment="1">
      <alignment horizontal="center"/>
    </xf>
    <xf numFmtId="0" fontId="121" fillId="0" borderId="94"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88" xfId="25455" applyFont="1" applyFill="1" applyBorder="1" applyAlignment="1">
      <alignment horizontal="center"/>
    </xf>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121" fillId="0" borderId="6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8" xfId="25455" applyFont="1" applyFill="1" applyBorder="1"/>
    <xf numFmtId="0" fontId="32" fillId="0" borderId="88" xfId="25455" applyFont="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44"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Border="1">
      <alignment horizontal="right"/>
    </xf>
    <xf numFmtId="5" fontId="121" fillId="0" borderId="51" xfId="25457" applyNumberFormat="1" applyFont="1" applyFill="1" applyBorder="1">
      <alignment horizontal="right"/>
    </xf>
    <xf numFmtId="5" fontId="121" fillId="94" borderId="51" xfId="25457" applyNumberFormat="1" applyFont="1" applyFill="1" applyBorder="1">
      <alignment horizontal="right"/>
    </xf>
    <xf numFmtId="5" fontId="121" fillId="0" borderId="78" xfId="25457" applyNumberFormat="1" applyFont="1" applyBorder="1">
      <alignment horizontal="right"/>
    </xf>
    <xf numFmtId="5" fontId="121" fillId="0" borderId="78" xfId="25457" applyNumberFormat="1" applyFont="1" applyFill="1" applyBorder="1">
      <alignment horizontal="right"/>
    </xf>
    <xf numFmtId="5" fontId="121" fillId="94" borderId="78" xfId="25457" applyNumberFormat="1" applyFont="1" applyFill="1" applyBorder="1">
      <alignment horizontal="right"/>
    </xf>
    <xf numFmtId="5" fontId="121"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86" borderId="14" xfId="25457" applyNumberFormat="1" applyFont="1" applyFill="1" applyBorder="1">
      <alignment horizontal="right"/>
    </xf>
    <xf numFmtId="41" fontId="32" fillId="86" borderId="14" xfId="25457" applyNumberFormat="1" applyFont="1" applyFill="1" applyBorder="1">
      <alignment horizontal="right"/>
    </xf>
    <xf numFmtId="5" fontId="32" fillId="87" borderId="14" xfId="25457" applyNumberFormat="1" applyFont="1" applyFill="1" applyBorder="1">
      <alignment horizontal="right"/>
    </xf>
    <xf numFmtId="5" fontId="126" fillId="87" borderId="14" xfId="25457" applyNumberFormat="1" applyFont="1" applyFill="1" applyBorder="1">
      <alignment horizontal="right"/>
    </xf>
    <xf numFmtId="5" fontId="32" fillId="0" borderId="14" xfId="25456" applyNumberFormat="1" applyFont="1" applyBorder="1"/>
    <xf numFmtId="182" fontId="32" fillId="86" borderId="14" xfId="25456" applyNumberFormat="1" applyFont="1" applyFill="1" applyBorder="1"/>
    <xf numFmtId="37" fontId="32" fillId="0" borderId="14" xfId="25456" applyNumberFormat="1" applyFont="1" applyBorder="1"/>
    <xf numFmtId="5" fontId="121" fillId="0" borderId="51" xfId="25456" applyNumberFormat="1" applyFont="1" applyBorder="1"/>
    <xf numFmtId="5" fontId="32" fillId="86" borderId="14" xfId="25456" applyNumberFormat="1" applyFont="1" applyFill="1" applyBorder="1"/>
    <xf numFmtId="5" fontId="32" fillId="87" borderId="14" xfId="25456" applyNumberFormat="1" applyFont="1" applyFill="1" applyBorder="1"/>
    <xf numFmtId="37" fontId="32" fillId="0" borderId="16" xfId="25456" applyNumberFormat="1" applyFont="1" applyBorder="1"/>
    <xf numFmtId="5" fontId="32" fillId="0" borderId="51" xfId="25457" applyNumberFormat="1" applyFont="1" applyBorder="1">
      <alignment horizontal="right"/>
    </xf>
    <xf numFmtId="5" fontId="121" fillId="0" borderId="64" xfId="25457" applyNumberFormat="1" applyFont="1" applyBorder="1">
      <alignment horizontal="right"/>
    </xf>
    <xf numFmtId="5" fontId="121" fillId="0" borderId="64" xfId="25457" applyNumberFormat="1" applyFont="1" applyFill="1" applyBorder="1">
      <alignment horizontal="right"/>
    </xf>
    <xf numFmtId="5" fontId="121" fillId="0" borderId="64" xfId="25456" applyNumberFormat="1" applyFont="1" applyBorder="1"/>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Border="1">
      <alignment horizontal="right"/>
    </xf>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Border="1"/>
    <xf numFmtId="5" fontId="121" fillId="0" borderId="16" xfId="25455" applyNumberFormat="1" applyFont="1" applyFill="1" applyBorder="1"/>
    <xf numFmtId="5" fontId="121" fillId="94"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1" fillId="0" borderId="102" xfId="25744" applyNumberFormat="1" applyFont="1" applyBorder="1"/>
    <xf numFmtId="0" fontId="121" fillId="0" borderId="0" xfId="25752" applyFont="1" applyAlignment="1">
      <alignment horizontal="center" vertical="center" wrapText="1"/>
    </xf>
    <xf numFmtId="43" fontId="121" fillId="0" borderId="0" xfId="25744" applyFont="1" applyFill="1" applyBorder="1" applyAlignment="1">
      <alignment horizontal="center" vertical="center" wrapText="1"/>
    </xf>
    <xf numFmtId="43" fontId="121" fillId="0" borderId="100" xfId="25744" applyFont="1" applyBorder="1" applyAlignment="1">
      <alignment horizontal="center" vertical="center" wrapText="1"/>
    </xf>
    <xf numFmtId="0" fontId="32" fillId="0" borderId="0" xfId="25796" applyFont="1"/>
    <xf numFmtId="43" fontId="32" fillId="0" borderId="0" xfId="25744" applyFont="1" applyFill="1"/>
    <xf numFmtId="43" fontId="32" fillId="0" borderId="100" xfId="25744" applyFont="1" applyBorder="1"/>
    <xf numFmtId="39" fontId="32" fillId="0" borderId="0" xfId="25796" applyNumberFormat="1" applyFont="1"/>
    <xf numFmtId="39" fontId="32" fillId="0" borderId="0" xfId="25796" applyNumberFormat="1" applyFont="1" applyFill="1"/>
    <xf numFmtId="0" fontId="32" fillId="0" borderId="0" xfId="25796" applyFont="1" applyAlignment="1">
      <alignment horizontal="center"/>
    </xf>
    <xf numFmtId="0" fontId="32" fillId="0" borderId="0" xfId="25796" applyFont="1" applyFill="1"/>
    <xf numFmtId="43" fontId="32" fillId="0" borderId="0" xfId="25744" applyFont="1" applyFill="1" applyBorder="1"/>
    <xf numFmtId="43" fontId="32" fillId="0" borderId="100" xfId="25744" applyFont="1" applyFill="1" applyBorder="1"/>
    <xf numFmtId="0" fontId="32" fillId="0" borderId="0" xfId="25752" applyFont="1"/>
    <xf numFmtId="0" fontId="121" fillId="0" borderId="0" xfId="25752" applyFont="1" applyAlignment="1">
      <alignment horizontal="right"/>
    </xf>
    <xf numFmtId="43" fontId="32" fillId="0" borderId="79" xfId="25744" applyFont="1" applyFill="1" applyBorder="1"/>
    <xf numFmtId="43" fontId="32" fillId="0" borderId="101" xfId="25744" applyFont="1" applyBorder="1"/>
    <xf numFmtId="39" fontId="32" fillId="0" borderId="101" xfId="25744" applyNumberFormat="1" applyFont="1" applyBorder="1"/>
    <xf numFmtId="0" fontId="32" fillId="0" borderId="0" xfId="25752" applyFont="1" applyAlignment="1">
      <alignment horizontal="center"/>
    </xf>
    <xf numFmtId="39" fontId="32" fillId="0" borderId="0" xfId="25752" applyNumberFormat="1" applyFont="1"/>
    <xf numFmtId="43" fontId="32" fillId="0" borderId="0" xfId="25796" applyNumberFormat="1" applyFont="1"/>
    <xf numFmtId="39" fontId="32" fillId="0" borderId="100" xfId="25744" applyNumberFormat="1" applyFont="1" applyBorder="1"/>
    <xf numFmtId="39" fontId="121" fillId="0" borderId="101" xfId="25744" applyNumberFormat="1" applyFont="1" applyBorder="1"/>
    <xf numFmtId="43" fontId="32" fillId="0" borderId="0" xfId="25744" applyFont="1"/>
    <xf numFmtId="0" fontId="32" fillId="0" borderId="0" xfId="25796" applyFont="1" applyAlignment="1">
      <alignment horizontal="right"/>
    </xf>
    <xf numFmtId="4" fontId="32" fillId="0" borderId="0" xfId="25796" applyNumberFormat="1" applyFont="1"/>
    <xf numFmtId="0" fontId="121" fillId="0" borderId="80" xfId="0" applyFont="1" applyBorder="1"/>
    <xf numFmtId="43" fontId="122" fillId="0" borderId="0" xfId="25747" applyNumberFormat="1" applyFont="1"/>
    <xf numFmtId="39" fontId="122" fillId="0" borderId="0" xfId="0" applyNumberFormat="1" applyFont="1"/>
    <xf numFmtId="43" fontId="124" fillId="0" borderId="0" xfId="0" applyNumberFormat="1" applyFont="1" applyAlignment="1">
      <alignment horizontal="center"/>
    </xf>
    <xf numFmtId="39" fontId="124" fillId="0" borderId="0" xfId="0" applyNumberFormat="1" applyFont="1" applyAlignment="1">
      <alignment horizontal="center"/>
    </xf>
    <xf numFmtId="43" fontId="124" fillId="0" borderId="0" xfId="25747" applyNumberFormat="1" applyFont="1" applyAlignment="1">
      <alignment horizontal="center"/>
    </xf>
    <xf numFmtId="0" fontId="32" fillId="0" borderId="79" xfId="0" applyFont="1" applyBorder="1"/>
    <xf numFmtId="0" fontId="32" fillId="90" borderId="0" xfId="0" applyFont="1" applyFill="1"/>
    <xf numFmtId="0" fontId="32" fillId="0" borderId="79" xfId="0" applyFont="1" applyBorder="1" applyAlignment="1">
      <alignment wrapText="1"/>
    </xf>
    <xf numFmtId="0" fontId="121" fillId="0" borderId="79" xfId="0" applyFont="1" applyBorder="1" applyAlignment="1">
      <alignment horizontal="center" wrapText="1"/>
    </xf>
    <xf numFmtId="0" fontId="121"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1" fillId="90" borderId="79" xfId="0" applyFont="1" applyFill="1" applyBorder="1" applyAlignment="1">
      <alignment horizontal="center"/>
    </xf>
    <xf numFmtId="39" fontId="121" fillId="90" borderId="88" xfId="25745" applyFont="1" applyFill="1" applyBorder="1" applyAlignment="1" applyProtection="1">
      <alignment horizontal="center" wrapText="1"/>
    </xf>
    <xf numFmtId="191" fontId="121" fillId="92" borderId="54" xfId="25745" applyNumberFormat="1" applyFont="1" applyFill="1" applyBorder="1" applyAlignment="1" applyProtection="1">
      <alignment horizontal="center" wrapText="1"/>
    </xf>
    <xf numFmtId="39" fontId="121" fillId="92" borderId="88" xfId="25745" applyFont="1" applyFill="1" applyBorder="1" applyAlignment="1" applyProtection="1">
      <alignment horizontal="center" wrapText="1"/>
    </xf>
    <xf numFmtId="39" fontId="121" fillId="92" borderId="56" xfId="25745" applyFont="1" applyFill="1" applyBorder="1" applyAlignment="1" applyProtection="1">
      <alignment horizontal="center" wrapText="1"/>
    </xf>
    <xf numFmtId="43" fontId="121" fillId="92" borderId="0" xfId="25745" applyNumberFormat="1" applyFont="1" applyFill="1" applyBorder="1" applyAlignment="1" applyProtection="1">
      <alignment horizontal="center" wrapText="1"/>
    </xf>
    <xf numFmtId="39" fontId="121" fillId="92" borderId="0" xfId="25745" applyNumberFormat="1" applyFont="1" applyFill="1" applyBorder="1" applyAlignment="1" applyProtection="1">
      <alignment horizontal="center" wrapText="1"/>
    </xf>
    <xf numFmtId="43" fontId="121" fillId="92" borderId="0" xfId="25747" applyNumberFormat="1" applyFont="1" applyFill="1" applyBorder="1" applyAlignment="1" applyProtection="1">
      <alignment horizontal="center" wrapText="1"/>
    </xf>
    <xf numFmtId="39" fontId="121" fillId="92" borderId="0" xfId="25745" applyFont="1" applyFill="1" applyBorder="1" applyAlignment="1" applyProtection="1">
      <alignment horizontal="center" wrapText="1"/>
    </xf>
    <xf numFmtId="39" fontId="121" fillId="0" borderId="35" xfId="25745" applyFont="1" applyBorder="1" applyAlignment="1" applyProtection="1">
      <alignment horizontal="left"/>
    </xf>
    <xf numFmtId="39" fontId="32" fillId="0" borderId="11" xfId="25745" applyFont="1" applyBorder="1"/>
    <xf numFmtId="0" fontId="32" fillId="90"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0"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2" fillId="0" borderId="0" xfId="0" applyNumberFormat="1" applyFont="1"/>
    <xf numFmtId="43" fontId="32" fillId="90"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0"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0"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1" fillId="0" borderId="11" xfId="25745" applyFont="1" applyBorder="1"/>
    <xf numFmtId="39" fontId="32" fillId="90"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0" borderId="88" xfId="0" applyNumberFormat="1" applyFont="1" applyFill="1" applyBorder="1"/>
    <xf numFmtId="43" fontId="32" fillId="0" borderId="54" xfId="0" applyNumberFormat="1" applyFont="1" applyBorder="1"/>
    <xf numFmtId="39" fontId="32" fillId="0" borderId="88"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2" fillId="0" borderId="0" xfId="0" applyNumberFormat="1" applyFont="1"/>
    <xf numFmtId="39" fontId="121" fillId="0" borderId="11" xfId="25745" applyFont="1" applyBorder="1" applyAlignment="1">
      <alignment horizontal="left" indent="2"/>
    </xf>
    <xf numFmtId="43" fontId="32" fillId="0" borderId="0" xfId="0" applyNumberFormat="1" applyFont="1" applyFill="1" applyBorder="1"/>
    <xf numFmtId="43" fontId="32" fillId="0" borderId="88" xfId="0" applyNumberFormat="1" applyFont="1" applyBorder="1"/>
    <xf numFmtId="5" fontId="32" fillId="0" borderId="0" xfId="0" applyNumberFormat="1" applyFont="1" applyFill="1"/>
    <xf numFmtId="39" fontId="121" fillId="0" borderId="35" xfId="25745" applyFont="1" applyBorder="1" applyAlignment="1" applyProtection="1">
      <alignment horizontal="center"/>
    </xf>
    <xf numFmtId="43" fontId="32" fillId="0" borderId="54" xfId="0" applyNumberFormat="1" applyFont="1" applyFill="1" applyBorder="1"/>
    <xf numFmtId="43" fontId="32" fillId="0" borderId="88"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0" borderId="83" xfId="0" applyNumberFormat="1" applyFont="1" applyFill="1" applyBorder="1"/>
    <xf numFmtId="43" fontId="32" fillId="0" borderId="89" xfId="0" applyNumberFormat="1" applyFont="1" applyBorder="1"/>
    <xf numFmtId="43" fontId="32" fillId="0" borderId="83" xfId="0" applyNumberFormat="1" applyFont="1" applyBorder="1"/>
    <xf numFmtId="43" fontId="32" fillId="0" borderId="90" xfId="0" applyNumberFormat="1" applyFont="1" applyBorder="1"/>
    <xf numFmtId="39" fontId="32" fillId="0" borderId="90" xfId="0" applyNumberFormat="1" applyFont="1" applyBorder="1"/>
    <xf numFmtId="43" fontId="32" fillId="0" borderId="90" xfId="25747" applyNumberFormat="1" applyFont="1" applyBorder="1"/>
    <xf numFmtId="195" fontId="122"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1"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1" fillId="0" borderId="54" xfId="25745" applyFont="1" applyBorder="1" applyAlignment="1" applyProtection="1">
      <alignment horizontal="left"/>
    </xf>
    <xf numFmtId="39" fontId="32" fillId="0" borderId="56" xfId="25745" applyFont="1" applyBorder="1"/>
    <xf numFmtId="43" fontId="122" fillId="0" borderId="88" xfId="0" applyNumberFormat="1" applyFont="1" applyBorder="1"/>
    <xf numFmtId="6" fontId="122" fillId="0" borderId="0" xfId="0" applyNumberFormat="1" applyFont="1" applyFill="1"/>
    <xf numFmtId="6" fontId="122" fillId="0" borderId="88" xfId="0" applyNumberFormat="1" applyFont="1" applyFill="1" applyBorder="1"/>
    <xf numFmtId="6" fontId="124" fillId="0" borderId="53" xfId="0" applyNumberFormat="1" applyFont="1" applyBorder="1"/>
    <xf numFmtId="0" fontId="121" fillId="0" borderId="53" xfId="0" applyFont="1" applyBorder="1"/>
    <xf numFmtId="0" fontId="121" fillId="0" borderId="0" xfId="0" applyFont="1"/>
    <xf numFmtId="0" fontId="121" fillId="0" borderId="0" xfId="0" applyFont="1" applyBorder="1"/>
    <xf numFmtId="43" fontId="122" fillId="0" borderId="0" xfId="25768" applyFont="1"/>
    <xf numFmtId="49" fontId="122" fillId="0" borderId="0" xfId="0" applyNumberFormat="1" applyFont="1"/>
    <xf numFmtId="0" fontId="129" fillId="0" borderId="53" xfId="0" applyFont="1" applyBorder="1"/>
    <xf numFmtId="0" fontId="129" fillId="0" borderId="53" xfId="0" applyFont="1" applyBorder="1" applyAlignment="1">
      <alignment horizontal="center"/>
    </xf>
    <xf numFmtId="43" fontId="129" fillId="0" borderId="53" xfId="25768" applyFont="1" applyBorder="1"/>
    <xf numFmtId="0" fontId="129" fillId="0" borderId="0" xfId="0" applyFont="1" applyBorder="1"/>
    <xf numFmtId="43" fontId="129" fillId="0" borderId="0" xfId="25768" applyFont="1" applyBorder="1"/>
    <xf numFmtId="0" fontId="129" fillId="0" borderId="83" xfId="0" applyFont="1" applyBorder="1"/>
    <xf numFmtId="0" fontId="129" fillId="0" borderId="83" xfId="0" applyFont="1" applyBorder="1" applyAlignment="1">
      <alignment horizontal="center"/>
    </xf>
    <xf numFmtId="43" fontId="129" fillId="0" borderId="83" xfId="0" applyNumberFormat="1" applyFont="1" applyFill="1" applyBorder="1"/>
    <xf numFmtId="43" fontId="129" fillId="0" borderId="83" xfId="0" applyNumberFormat="1" applyFont="1" applyBorder="1"/>
    <xf numFmtId="0" fontId="32" fillId="0" borderId="0" xfId="0" applyFont="1" applyAlignment="1">
      <alignment horizontal="left"/>
    </xf>
    <xf numFmtId="44" fontId="122" fillId="0" borderId="0" xfId="25753" applyFont="1"/>
    <xf numFmtId="0" fontId="32" fillId="0" borderId="0" xfId="0" applyFont="1" applyAlignment="1">
      <alignment horizontal="right"/>
    </xf>
    <xf numFmtId="10" fontId="122" fillId="0" borderId="0" xfId="0" applyNumberFormat="1" applyFont="1"/>
    <xf numFmtId="43" fontId="122" fillId="93" borderId="0" xfId="25768" applyFont="1" applyFill="1"/>
    <xf numFmtId="49" fontId="122" fillId="0" borderId="95" xfId="0" applyNumberFormat="1" applyFont="1" applyBorder="1" applyAlignment="1">
      <alignment horizontal="center"/>
    </xf>
    <xf numFmtId="49" fontId="122" fillId="0" borderId="96" xfId="0" applyNumberFormat="1" applyFont="1" applyBorder="1" applyAlignment="1">
      <alignment horizontal="center"/>
    </xf>
    <xf numFmtId="49" fontId="122" fillId="0" borderId="97"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91" xfId="0" applyNumberFormat="1" applyFont="1" applyBorder="1" applyAlignment="1">
      <alignment horizontal="center"/>
    </xf>
    <xf numFmtId="49" fontId="122" fillId="0" borderId="0" xfId="0" applyNumberFormat="1" applyFont="1" applyBorder="1" applyAlignment="1">
      <alignment horizontal="center"/>
    </xf>
    <xf numFmtId="49" fontId="122" fillId="0" borderId="92" xfId="0" applyNumberFormat="1" applyFont="1" applyBorder="1" applyAlignment="1">
      <alignment horizontal="center"/>
    </xf>
    <xf numFmtId="0" fontId="122" fillId="90" borderId="91" xfId="0" applyFont="1" applyFill="1" applyBorder="1"/>
    <xf numFmtId="0" fontId="122" fillId="90" borderId="0" xfId="0" applyFont="1" applyFill="1" applyBorder="1"/>
    <xf numFmtId="0" fontId="122" fillId="90" borderId="92" xfId="0" applyFont="1" applyFill="1" applyBorder="1"/>
    <xf numFmtId="0" fontId="122" fillId="0" borderId="91" xfId="0" applyFont="1" applyBorder="1"/>
    <xf numFmtId="10" fontId="122" fillId="0" borderId="0" xfId="25795" applyNumberFormat="1" applyFont="1" applyBorder="1"/>
    <xf numFmtId="0" fontId="122" fillId="0" borderId="91" xfId="0" applyFont="1" applyBorder="1" applyAlignment="1">
      <alignment wrapText="1"/>
    </xf>
    <xf numFmtId="0" fontId="124" fillId="0" borderId="88" xfId="0" applyFont="1" applyBorder="1" applyAlignment="1">
      <alignment horizontal="center" wrapText="1"/>
    </xf>
    <xf numFmtId="0" fontId="124" fillId="0" borderId="104" xfId="0" applyFont="1" applyBorder="1" applyAlignment="1">
      <alignment horizontal="center" wrapText="1"/>
    </xf>
    <xf numFmtId="0" fontId="122" fillId="0" borderId="0" xfId="0" applyFont="1" applyBorder="1" applyAlignment="1">
      <alignment wrapText="1"/>
    </xf>
    <xf numFmtId="0" fontId="122" fillId="0" borderId="92" xfId="0" applyFont="1" applyBorder="1" applyAlignment="1">
      <alignment wrapText="1"/>
    </xf>
    <xf numFmtId="166" fontId="122" fillId="0" borderId="91" xfId="25744" applyNumberFormat="1" applyFont="1" applyBorder="1"/>
    <xf numFmtId="166" fontId="122" fillId="0" borderId="0" xfId="25744" applyNumberFormat="1" applyFont="1" applyBorder="1"/>
    <xf numFmtId="166" fontId="122" fillId="0" borderId="92" xfId="25744" applyNumberFormat="1" applyFont="1" applyBorder="1"/>
    <xf numFmtId="166" fontId="122" fillId="0" borderId="0" xfId="25744" applyNumberFormat="1" applyFont="1" applyFill="1" applyBorder="1"/>
    <xf numFmtId="166" fontId="122" fillId="95" borderId="91" xfId="25744" applyNumberFormat="1" applyFont="1" applyFill="1" applyBorder="1"/>
    <xf numFmtId="166" fontId="122" fillId="95" borderId="0" xfId="25744" applyNumberFormat="1" applyFont="1" applyFill="1" applyBorder="1"/>
    <xf numFmtId="166" fontId="122" fillId="95" borderId="92" xfId="25744" applyNumberFormat="1" applyFont="1" applyFill="1" applyBorder="1"/>
    <xf numFmtId="6" fontId="122" fillId="0" borderId="98" xfId="0" applyNumberFormat="1" applyFont="1" applyBorder="1"/>
    <xf numFmtId="166" fontId="124" fillId="0" borderId="105" xfId="25744" applyNumberFormat="1" applyFont="1" applyBorder="1"/>
    <xf numFmtId="166" fontId="124" fillId="0" borderId="83" xfId="25744" applyNumberFormat="1" applyFont="1" applyBorder="1"/>
    <xf numFmtId="166" fontId="124" fillId="0" borderId="106" xfId="25744" applyNumberFormat="1" applyFont="1" applyBorder="1"/>
    <xf numFmtId="6" fontId="122" fillId="0" borderId="107" xfId="0" applyNumberFormat="1" applyFont="1" applyBorder="1"/>
    <xf numFmtId="6" fontId="122" fillId="93" borderId="93" xfId="0" applyNumberFormat="1" applyFont="1" applyFill="1" applyBorder="1"/>
    <xf numFmtId="6" fontId="122" fillId="0" borderId="93" xfId="0" applyNumberFormat="1" applyFont="1" applyBorder="1"/>
    <xf numFmtId="41" fontId="122" fillId="0" borderId="0" xfId="0" applyNumberFormat="1" applyFont="1"/>
    <xf numFmtId="166" fontId="122" fillId="97" borderId="91" xfId="25744" applyNumberFormat="1" applyFont="1" applyFill="1" applyBorder="1"/>
    <xf numFmtId="166" fontId="122" fillId="97" borderId="0" xfId="25744" applyNumberFormat="1" applyFont="1" applyFill="1" applyBorder="1"/>
    <xf numFmtId="166" fontId="122" fillId="97" borderId="92" xfId="25744" applyNumberFormat="1" applyFont="1" applyFill="1" applyBorder="1"/>
    <xf numFmtId="0" fontId="122" fillId="97" borderId="91" xfId="0" applyFont="1" applyFill="1" applyBorder="1"/>
    <xf numFmtId="49" fontId="122" fillId="97" borderId="0" xfId="0" applyNumberFormat="1" applyFont="1" applyFill="1" applyBorder="1" applyAlignment="1">
      <alignment horizontal="center"/>
    </xf>
    <xf numFmtId="49" fontId="122" fillId="97" borderId="92" xfId="0" applyNumberFormat="1" applyFont="1" applyFill="1" applyBorder="1" applyAlignment="1">
      <alignment horizontal="center"/>
    </xf>
    <xf numFmtId="166" fontId="122" fillId="88" borderId="91" xfId="25744" applyNumberFormat="1" applyFont="1" applyFill="1" applyBorder="1"/>
    <xf numFmtId="166" fontId="122" fillId="88" borderId="0" xfId="25744" applyNumberFormat="1" applyFont="1" applyFill="1" applyBorder="1"/>
    <xf numFmtId="166" fontId="122" fillId="88" borderId="92" xfId="25744" applyNumberFormat="1" applyFont="1" applyFill="1" applyBorder="1"/>
    <xf numFmtId="166" fontId="122" fillId="96" borderId="0" xfId="25744" applyNumberFormat="1" applyFont="1" applyFill="1" applyBorder="1"/>
    <xf numFmtId="166" fontId="122" fillId="96" borderId="92" xfId="25744" applyNumberFormat="1" applyFont="1" applyFill="1" applyBorder="1"/>
    <xf numFmtId="166" fontId="122" fillId="96" borderId="104" xfId="25744" applyNumberFormat="1" applyFont="1" applyFill="1" applyBorder="1"/>
    <xf numFmtId="38" fontId="130" fillId="0" borderId="0" xfId="0" applyNumberFormat="1" applyFont="1"/>
    <xf numFmtId="38" fontId="122" fillId="0" borderId="95" xfId="0" applyNumberFormat="1" applyFont="1" applyBorder="1"/>
    <xf numFmtId="38" fontId="122" fillId="0" borderId="96" xfId="0" applyNumberFormat="1" applyFont="1" applyBorder="1"/>
    <xf numFmtId="38" fontId="122" fillId="0" borderId="97" xfId="0" applyNumberFormat="1" applyFont="1" applyBorder="1"/>
    <xf numFmtId="38" fontId="122" fillId="0" borderId="91" xfId="0" applyNumberFormat="1" applyFont="1" applyBorder="1"/>
    <xf numFmtId="38" fontId="122" fillId="0" borderId="0" xfId="0" applyNumberFormat="1" applyFont="1" applyBorder="1"/>
    <xf numFmtId="38" fontId="122" fillId="0" borderId="92" xfId="0" applyNumberFormat="1" applyFont="1" applyBorder="1"/>
    <xf numFmtId="38" fontId="122" fillId="0" borderId="108" xfId="0" applyNumberFormat="1" applyFont="1" applyBorder="1"/>
    <xf numFmtId="38" fontId="122" fillId="0" borderId="109" xfId="0" applyNumberFormat="1" applyFont="1" applyBorder="1"/>
    <xf numFmtId="40" fontId="122" fillId="0" borderId="91" xfId="0" applyNumberFormat="1" applyFont="1" applyBorder="1"/>
    <xf numFmtId="38" fontId="122" fillId="0" borderId="98" xfId="0" applyNumberFormat="1" applyFont="1" applyBorder="1"/>
    <xf numFmtId="38" fontId="122" fillId="0" borderId="49" xfId="0" applyNumberFormat="1" applyFont="1" applyBorder="1"/>
    <xf numFmtId="38" fontId="122" fillId="0" borderId="99" xfId="0" applyNumberFormat="1" applyFont="1" applyBorder="1"/>
    <xf numFmtId="3" fontId="122" fillId="0" borderId="0" xfId="0" applyNumberFormat="1" applyFont="1"/>
    <xf numFmtId="0" fontId="122" fillId="0" borderId="79" xfId="0" applyFont="1" applyBorder="1"/>
    <xf numFmtId="0" fontId="122" fillId="0" borderId="88" xfId="0" applyFont="1" applyBorder="1"/>
    <xf numFmtId="0" fontId="122" fillId="0" borderId="88" xfId="0" applyFont="1" applyBorder="1" applyAlignment="1">
      <alignment horizontal="center"/>
    </xf>
    <xf numFmtId="0" fontId="122" fillId="0" borderId="35" xfId="0" applyFont="1" applyBorder="1" applyAlignment="1">
      <alignment horizontal="center"/>
    </xf>
    <xf numFmtId="0" fontId="122" fillId="0" borderId="54" xfId="0" applyFont="1" applyBorder="1" applyAlignment="1">
      <alignment horizontal="center"/>
    </xf>
    <xf numFmtId="0" fontId="122" fillId="0" borderId="78"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80" xfId="0" applyFont="1" applyBorder="1" applyAlignment="1">
      <alignment horizontal="center"/>
    </xf>
    <xf numFmtId="0" fontId="121"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2" fillId="0" borderId="0" xfId="0" applyNumberFormat="1" applyFont="1"/>
    <xf numFmtId="10" fontId="32" fillId="0" borderId="19" xfId="25292" applyNumberFormat="1" applyFont="1" applyBorder="1" applyAlignment="1">
      <alignment horizontal="center"/>
    </xf>
    <xf numFmtId="167" fontId="121"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1"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1" fillId="0" borderId="0" xfId="0" applyFont="1"/>
    <xf numFmtId="0" fontId="131" fillId="0" borderId="0" xfId="0" applyFont="1" applyBorder="1" applyAlignment="1">
      <alignment horizontal="centerContinuous"/>
    </xf>
    <xf numFmtId="0" fontId="121" fillId="0" borderId="0" xfId="0" applyFont="1" applyBorder="1" applyAlignment="1">
      <alignment horizontal="centerContinuous"/>
    </xf>
    <xf numFmtId="0" fontId="131" fillId="0" borderId="0" xfId="0" applyFont="1" applyFill="1" applyAlignment="1">
      <alignment horizontal="center" wrapText="1"/>
    </xf>
    <xf numFmtId="0" fontId="131"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2" fillId="0" borderId="0" xfId="0" applyNumberFormat="1" applyFont="1" applyFill="1"/>
    <xf numFmtId="186" fontId="32" fillId="0" borderId="0" xfId="25747" applyNumberFormat="1" applyFont="1" applyBorder="1"/>
    <xf numFmtId="3" fontId="32" fillId="0" borderId="0" xfId="0" applyNumberFormat="1" applyFont="1"/>
    <xf numFmtId="0" fontId="131"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2"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2" fillId="0" borderId="0" xfId="25747" applyNumberFormat="1" applyFont="1"/>
    <xf numFmtId="186" fontId="122" fillId="0" borderId="0" xfId="25747" applyNumberFormat="1" applyFont="1" applyAlignment="1">
      <alignment horizontal="center"/>
    </xf>
    <xf numFmtId="198" fontId="122" fillId="0" borderId="88" xfId="0" applyNumberFormat="1" applyFont="1" applyBorder="1" applyAlignment="1">
      <alignment horizontal="center"/>
    </xf>
    <xf numFmtId="3" fontId="122" fillId="0" borderId="88" xfId="0" applyNumberFormat="1" applyFont="1" applyBorder="1" applyAlignment="1">
      <alignment horizontal="center"/>
    </xf>
    <xf numFmtId="166" fontId="122" fillId="0" borderId="0" xfId="25768" applyNumberFormat="1" applyFont="1" applyAlignment="1">
      <alignment horizontal="center"/>
    </xf>
    <xf numFmtId="3" fontId="122" fillId="0" borderId="0" xfId="0" applyNumberFormat="1" applyFont="1" applyAlignment="1">
      <alignment horizontal="center"/>
    </xf>
    <xf numFmtId="3" fontId="122" fillId="0" borderId="33" xfId="0" applyNumberFormat="1" applyFont="1" applyBorder="1" applyAlignment="1">
      <alignment horizontal="center"/>
    </xf>
    <xf numFmtId="0" fontId="122" fillId="0" borderId="14" xfId="0" applyFont="1" applyBorder="1"/>
    <xf numFmtId="0" fontId="122" fillId="0" borderId="14" xfId="0" applyFont="1" applyFill="1" applyBorder="1"/>
    <xf numFmtId="43" fontId="122" fillId="0" borderId="14" xfId="25744" applyFont="1" applyBorder="1"/>
    <xf numFmtId="0" fontId="122" fillId="0" borderId="0" xfId="0" applyFont="1" applyFill="1" applyBorder="1" applyAlignment="1">
      <alignment horizontal="center"/>
    </xf>
    <xf numFmtId="43" fontId="32" fillId="0" borderId="0" xfId="0" applyNumberFormat="1" applyFont="1"/>
    <xf numFmtId="6" fontId="122" fillId="0" borderId="0" xfId="0" applyNumberFormat="1" applyFont="1" applyAlignment="1">
      <alignment horizontal="center"/>
    </xf>
    <xf numFmtId="0" fontId="130" fillId="0" borderId="0" xfId="0" applyFont="1" applyAlignment="1">
      <alignment horizontal="left"/>
    </xf>
    <xf numFmtId="6" fontId="122" fillId="0" borderId="0" xfId="0" applyNumberFormat="1" applyFont="1" applyFill="1" applyAlignment="1">
      <alignment horizontal="center"/>
    </xf>
    <xf numFmtId="166" fontId="122" fillId="0" borderId="0" xfId="25744" applyNumberFormat="1" applyFont="1" applyAlignment="1">
      <alignment horizontal="center"/>
    </xf>
    <xf numFmtId="6" fontId="122" fillId="0" borderId="0" xfId="25747" applyNumberFormat="1" applyFont="1"/>
    <xf numFmtId="6" fontId="122" fillId="0" borderId="88" xfId="25747" applyNumberFormat="1" applyFont="1" applyBorder="1"/>
    <xf numFmtId="49" fontId="121"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4" fillId="0" borderId="78" xfId="0" applyNumberFormat="1" applyFont="1" applyBorder="1"/>
    <xf numFmtId="6" fontId="124" fillId="0" borderId="103" xfId="0" applyNumberFormat="1" applyFont="1" applyBorder="1"/>
    <xf numFmtId="6" fontId="124" fillId="0" borderId="14" xfId="0" applyNumberFormat="1" applyFont="1" applyBorder="1"/>
    <xf numFmtId="0" fontId="122" fillId="0" borderId="0" xfId="0" applyFont="1" applyAlignment="1">
      <alignment horizontal="left"/>
    </xf>
    <xf numFmtId="0" fontId="124" fillId="0" borderId="88" xfId="0" applyFont="1" applyBorder="1" applyAlignment="1">
      <alignment horizontal="center"/>
    </xf>
    <xf numFmtId="0" fontId="124" fillId="0" borderId="88" xfId="0" applyFont="1" applyFill="1" applyBorder="1" applyAlignment="1">
      <alignment horizontal="center" wrapText="1"/>
    </xf>
    <xf numFmtId="37" fontId="32" fillId="0" borderId="0" xfId="25743" applyFont="1"/>
    <xf numFmtId="0" fontId="127"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1"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1"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8" fontId="122" fillId="0" borderId="49" xfId="0" applyNumberFormat="1" applyFont="1" applyBorder="1"/>
    <xf numFmtId="0" fontId="122" fillId="0" borderId="49" xfId="0" applyFont="1" applyBorder="1"/>
    <xf numFmtId="10" fontId="122" fillId="0" borderId="49" xfId="0" applyNumberFormat="1" applyFont="1" applyBorder="1"/>
    <xf numFmtId="193" fontId="122" fillId="0" borderId="49" xfId="0" applyNumberFormat="1" applyFont="1" applyBorder="1"/>
    <xf numFmtId="8" fontId="125" fillId="0" borderId="0" xfId="0" applyNumberFormat="1" applyFont="1"/>
    <xf numFmtId="8" fontId="124" fillId="0" borderId="82" xfId="0" applyNumberFormat="1" applyFont="1" applyBorder="1"/>
    <xf numFmtId="8" fontId="124" fillId="0" borderId="0" xfId="0" applyNumberFormat="1" applyFont="1" applyBorder="1"/>
    <xf numFmtId="0" fontId="122" fillId="0" borderId="0" xfId="0" applyFont="1" applyFill="1" applyAlignment="1">
      <alignment horizontal="left" indent="1"/>
    </xf>
    <xf numFmtId="10" fontId="122" fillId="0" borderId="0" xfId="0" applyNumberFormat="1" applyFont="1" applyFill="1"/>
    <xf numFmtId="43" fontId="122" fillId="94" borderId="0" xfId="0" applyNumberFormat="1" applyFont="1" applyFill="1" applyBorder="1"/>
    <xf numFmtId="0" fontId="122" fillId="0" borderId="0" xfId="0" applyFont="1" applyAlignment="1">
      <alignment horizontal="left" indent="1"/>
    </xf>
    <xf numFmtId="40" fontId="122" fillId="0" borderId="0" xfId="0" applyNumberFormat="1" applyFont="1"/>
    <xf numFmtId="10" fontId="122" fillId="0" borderId="88" xfId="0" applyNumberFormat="1" applyFont="1" applyBorder="1"/>
    <xf numFmtId="8" fontId="122" fillId="0" borderId="88" xfId="0" applyNumberFormat="1" applyFont="1" applyBorder="1"/>
    <xf numFmtId="193" fontId="122" fillId="0" borderId="88" xfId="0" applyNumberFormat="1" applyFont="1" applyBorder="1"/>
    <xf numFmtId="4" fontId="122" fillId="0" borderId="88" xfId="0" applyNumberFormat="1" applyFont="1" applyBorder="1"/>
    <xf numFmtId="4" fontId="122" fillId="0" borderId="33" xfId="0" applyNumberFormat="1" applyFont="1" applyBorder="1"/>
    <xf numFmtId="44" fontId="122" fillId="0" borderId="0" xfId="0" applyNumberFormat="1" applyFont="1"/>
    <xf numFmtId="0" fontId="123" fillId="0" borderId="0" xfId="0" applyFont="1" applyBorder="1" applyAlignment="1">
      <alignment horizontal="center"/>
    </xf>
    <xf numFmtId="44" fontId="122" fillId="0" borderId="0" xfId="25747" applyFont="1" applyFill="1"/>
    <xf numFmtId="44" fontId="122" fillId="0" borderId="0" xfId="0" applyNumberFormat="1" applyFont="1" applyBorder="1"/>
    <xf numFmtId="44" fontId="124" fillId="0" borderId="83" xfId="0" applyNumberFormat="1" applyFont="1" applyBorder="1"/>
    <xf numFmtId="0" fontId="122" fillId="0" borderId="49" xfId="0" applyFont="1" applyBorder="1" applyAlignment="1">
      <alignment horizontal="center"/>
    </xf>
    <xf numFmtId="0" fontId="124" fillId="0" borderId="49" xfId="0" applyFont="1" applyFill="1" applyBorder="1" applyAlignment="1">
      <alignment horizontal="center"/>
    </xf>
    <xf numFmtId="166" fontId="122" fillId="0" borderId="0" xfId="25744" applyNumberFormat="1" applyFont="1"/>
    <xf numFmtId="166" fontId="122" fillId="0" borderId="88" xfId="25744" applyNumberFormat="1" applyFont="1" applyBorder="1"/>
    <xf numFmtId="186" fontId="122" fillId="0" borderId="88" xfId="25747" applyNumberFormat="1" applyFont="1" applyBorder="1"/>
    <xf numFmtId="186" fontId="124" fillId="0" borderId="0" xfId="25747" applyNumberFormat="1" applyFont="1"/>
    <xf numFmtId="186" fontId="124" fillId="0" borderId="96" xfId="25747" applyNumberFormat="1" applyFont="1" applyBorder="1"/>
    <xf numFmtId="186" fontId="124" fillId="0" borderId="14" xfId="0" applyNumberFormat="1" applyFont="1" applyBorder="1"/>
    <xf numFmtId="0" fontId="132" fillId="0" borderId="0" xfId="0" applyFont="1" applyAlignment="1">
      <alignment horizontal="center"/>
    </xf>
    <xf numFmtId="3" fontId="127" fillId="0" borderId="0" xfId="0" applyNumberFormat="1" applyFont="1"/>
    <xf numFmtId="3" fontId="127" fillId="0" borderId="0" xfId="0" applyNumberFormat="1" applyFont="1" applyBorder="1"/>
    <xf numFmtId="3" fontId="127" fillId="0" borderId="88" xfId="0" applyNumberFormat="1" applyFont="1" applyBorder="1"/>
    <xf numFmtId="190" fontId="127" fillId="0" borderId="83" xfId="0" applyNumberFormat="1" applyFont="1" applyBorder="1"/>
    <xf numFmtId="0" fontId="124" fillId="0" borderId="0" xfId="0" applyFont="1" applyAlignment="1">
      <alignment vertical="center"/>
    </xf>
    <xf numFmtId="0" fontId="124" fillId="0" borderId="0" xfId="0" applyFont="1" applyAlignment="1">
      <alignment horizontal="center" vertical="center" wrapText="1"/>
    </xf>
    <xf numFmtId="0" fontId="124" fillId="0" borderId="0" xfId="0" applyFont="1" applyAlignment="1">
      <alignment vertical="center" wrapText="1"/>
    </xf>
    <xf numFmtId="0" fontId="124" fillId="0" borderId="88" xfId="0" applyFont="1" applyBorder="1" applyAlignment="1">
      <alignment vertical="center"/>
    </xf>
    <xf numFmtId="0" fontId="124" fillId="0" borderId="88" xfId="0" applyFont="1" applyBorder="1" applyAlignment="1">
      <alignment horizontal="center" vertical="center"/>
    </xf>
    <xf numFmtId="0" fontId="122" fillId="91" borderId="0" xfId="0" quotePrefix="1" applyFont="1" applyFill="1" applyAlignment="1">
      <alignment vertical="center"/>
    </xf>
    <xf numFmtId="6" fontId="122" fillId="91" borderId="0" xfId="0" quotePrefix="1" applyNumberFormat="1" applyFont="1" applyFill="1" applyAlignment="1">
      <alignment horizontal="center" vertical="center"/>
    </xf>
    <xf numFmtId="0" fontId="122" fillId="91" borderId="0" xfId="0" applyFont="1" applyFill="1" applyAlignment="1">
      <alignment horizontal="center" vertical="center"/>
    </xf>
    <xf numFmtId="6" fontId="122" fillId="91" borderId="33" xfId="0" quotePrefix="1" applyNumberFormat="1" applyFont="1" applyFill="1" applyBorder="1" applyAlignment="1">
      <alignment vertical="center"/>
    </xf>
    <xf numFmtId="0" fontId="122" fillId="91" borderId="33" xfId="0" quotePrefix="1" applyFont="1" applyFill="1" applyBorder="1" applyAlignment="1">
      <alignment vertical="center"/>
    </xf>
    <xf numFmtId="190" fontId="122" fillId="91" borderId="33" xfId="0" quotePrefix="1" applyNumberFormat="1" applyFont="1" applyFill="1" applyBorder="1" applyAlignment="1">
      <alignment horizontal="center" vertical="center"/>
    </xf>
    <xf numFmtId="190" fontId="122" fillId="91" borderId="33" xfId="0" quotePrefix="1" applyNumberFormat="1" applyFont="1" applyFill="1" applyBorder="1" applyAlignment="1">
      <alignment vertical="center"/>
    </xf>
    <xf numFmtId="9" fontId="122" fillId="91" borderId="33" xfId="0" quotePrefix="1" applyNumberFormat="1" applyFont="1" applyFill="1" applyBorder="1" applyAlignment="1">
      <alignment vertical="center"/>
    </xf>
    <xf numFmtId="0" fontId="122" fillId="0" borderId="0" xfId="0" quotePrefix="1" applyFont="1" applyAlignment="1">
      <alignment vertical="center"/>
    </xf>
    <xf numFmtId="6" fontId="122" fillId="0" borderId="0" xfId="0" quotePrefix="1" applyNumberFormat="1" applyFont="1" applyAlignment="1">
      <alignment horizontal="center" vertical="center"/>
    </xf>
    <xf numFmtId="6" fontId="122" fillId="0" borderId="0" xfId="0" applyNumberFormat="1" applyFont="1" applyAlignment="1">
      <alignment vertical="center"/>
    </xf>
    <xf numFmtId="190" fontId="122" fillId="0" borderId="0" xfId="0" quotePrefix="1" applyNumberFormat="1" applyFont="1" applyAlignment="1">
      <alignment horizontal="center" vertical="center"/>
    </xf>
    <xf numFmtId="190" fontId="122" fillId="0" borderId="0" xfId="0" quotePrefix="1" applyNumberFormat="1" applyFont="1" applyAlignment="1">
      <alignment vertical="center"/>
    </xf>
    <xf numFmtId="6" fontId="122" fillId="0" borderId="0" xfId="0" quotePrefix="1" applyNumberFormat="1" applyFont="1" applyAlignment="1">
      <alignment vertical="center"/>
    </xf>
    <xf numFmtId="9" fontId="122" fillId="0" borderId="0" xfId="0" quotePrefix="1" applyNumberFormat="1" applyFont="1" applyFill="1" applyBorder="1" applyAlignment="1">
      <alignment vertical="center"/>
    </xf>
    <xf numFmtId="6" fontId="122" fillId="91" borderId="0" xfId="0" applyNumberFormat="1" applyFont="1" applyFill="1" applyAlignment="1">
      <alignment vertical="center"/>
    </xf>
    <xf numFmtId="190" fontId="122" fillId="91" borderId="0" xfId="0" quotePrefix="1" applyNumberFormat="1" applyFont="1" applyFill="1" applyAlignment="1">
      <alignment horizontal="center" vertical="center"/>
    </xf>
    <xf numFmtId="190" fontId="122" fillId="91" borderId="0" xfId="0" quotePrefix="1" applyNumberFormat="1" applyFont="1" applyFill="1" applyAlignment="1">
      <alignment vertical="center"/>
    </xf>
    <xf numFmtId="6" fontId="122" fillId="91" borderId="0" xfId="0" quotePrefix="1" applyNumberFormat="1" applyFont="1" applyFill="1" applyAlignment="1">
      <alignment vertical="center"/>
    </xf>
    <xf numFmtId="9" fontId="122" fillId="91" borderId="0" xfId="0" quotePrefix="1" applyNumberFormat="1" applyFont="1" applyFill="1" applyBorder="1" applyAlignment="1">
      <alignment vertical="center"/>
    </xf>
    <xf numFmtId="6" fontId="122" fillId="0" borderId="0" xfId="0" applyNumberFormat="1" applyFont="1" applyFill="1" applyAlignment="1">
      <alignment vertical="center"/>
    </xf>
    <xf numFmtId="9" fontId="126" fillId="0" borderId="0" xfId="0" quotePrefix="1" applyNumberFormat="1" applyFont="1" applyFill="1" applyBorder="1" applyAlignment="1">
      <alignment vertical="center"/>
    </xf>
    <xf numFmtId="38" fontId="127" fillId="0" borderId="0" xfId="0" applyNumberFormat="1" applyFont="1"/>
    <xf numFmtId="38" fontId="127" fillId="0" borderId="49" xfId="0" applyNumberFormat="1" applyFont="1" applyBorder="1"/>
    <xf numFmtId="38" fontId="135" fillId="0" borderId="0" xfId="0" applyNumberFormat="1" applyFont="1"/>
    <xf numFmtId="38" fontId="135" fillId="0" borderId="14" xfId="0" applyNumberFormat="1" applyFont="1" applyBorder="1"/>
    <xf numFmtId="190" fontId="127" fillId="0" borderId="0" xfId="0" applyNumberFormat="1" applyFont="1"/>
    <xf numFmtId="190" fontId="135" fillId="0" borderId="0" xfId="0" applyNumberFormat="1" applyFont="1" applyBorder="1"/>
    <xf numFmtId="1" fontId="122" fillId="0" borderId="0" xfId="0" applyNumberFormat="1" applyFont="1" applyFill="1" applyBorder="1" applyAlignment="1">
      <alignment horizontal="center"/>
    </xf>
    <xf numFmtId="1" fontId="122" fillId="0" borderId="0" xfId="0" applyNumberFormat="1" applyFont="1" applyBorder="1" applyAlignment="1">
      <alignment horizontal="center"/>
    </xf>
    <xf numFmtId="49" fontId="122" fillId="0" borderId="0" xfId="0" applyNumberFormat="1" applyFont="1" applyFill="1" applyAlignment="1">
      <alignment horizontal="center"/>
    </xf>
    <xf numFmtId="10" fontId="122" fillId="0" borderId="0" xfId="25795" applyNumberFormat="1" applyFont="1" applyFill="1" applyAlignment="1">
      <alignment horizontal="right"/>
    </xf>
    <xf numFmtId="49" fontId="122" fillId="0" borderId="0" xfId="0" applyNumberFormat="1" applyFont="1" applyAlignment="1">
      <alignment horizontal="center"/>
    </xf>
    <xf numFmtId="10" fontId="122" fillId="0" borderId="0" xfId="25795" applyNumberFormat="1" applyFont="1"/>
    <xf numFmtId="10" fontId="122" fillId="0" borderId="0" xfId="25795" applyNumberFormat="1" applyFont="1" applyFill="1" applyAlignment="1">
      <alignment horizontal="center"/>
    </xf>
    <xf numFmtId="49" fontId="122" fillId="0" borderId="79" xfId="0" applyNumberFormat="1" applyFont="1" applyFill="1" applyBorder="1" applyAlignment="1">
      <alignment horizontal="center"/>
    </xf>
    <xf numFmtId="0" fontId="124" fillId="0" borderId="79" xfId="0" applyFont="1" applyFill="1" applyBorder="1"/>
    <xf numFmtId="0" fontId="124" fillId="0" borderId="79" xfId="0" applyFont="1" applyFill="1" applyBorder="1" applyAlignment="1">
      <alignment horizontal="center"/>
    </xf>
    <xf numFmtId="0" fontId="122" fillId="0" borderId="79" xfId="0" applyFont="1" applyFill="1" applyBorder="1"/>
    <xf numFmtId="10" fontId="122" fillId="0" borderId="81" xfId="25795" applyNumberFormat="1" applyFont="1" applyFill="1" applyBorder="1" applyAlignment="1">
      <alignment horizontal="center"/>
    </xf>
    <xf numFmtId="43" fontId="122" fillId="0" borderId="79" xfId="25744" applyFont="1" applyFill="1" applyBorder="1"/>
    <xf numFmtId="43" fontId="122" fillId="0" borderId="78" xfId="25744" applyFont="1" applyFill="1" applyBorder="1"/>
    <xf numFmtId="10" fontId="122" fillId="0" borderId="11" xfId="25795" applyNumberFormat="1" applyFont="1" applyFill="1" applyBorder="1" applyAlignment="1">
      <alignment horizontal="center"/>
    </xf>
    <xf numFmtId="43" fontId="122" fillId="0" borderId="0" xfId="25744" applyFont="1" applyFill="1" applyBorder="1"/>
    <xf numFmtId="43" fontId="122" fillId="0" borderId="15" xfId="25744" applyFont="1" applyFill="1" applyBorder="1"/>
    <xf numFmtId="49" fontId="122" fillId="0" borderId="88" xfId="0" quotePrefix="1" applyNumberFormat="1" applyFont="1" applyFill="1" applyBorder="1" applyAlignment="1">
      <alignment horizontal="center"/>
    </xf>
    <xf numFmtId="49" fontId="122" fillId="0" borderId="88" xfId="0" applyNumberFormat="1" applyFont="1" applyFill="1" applyBorder="1" applyAlignment="1">
      <alignment horizontal="center"/>
    </xf>
    <xf numFmtId="0" fontId="122" fillId="0" borderId="88" xfId="0" applyFont="1" applyFill="1" applyBorder="1"/>
    <xf numFmtId="0" fontId="122" fillId="0" borderId="88" xfId="0" applyFont="1" applyFill="1" applyBorder="1" applyAlignment="1">
      <alignment horizontal="center"/>
    </xf>
    <xf numFmtId="0" fontId="122" fillId="0" borderId="79" xfId="0" applyFont="1" applyFill="1" applyBorder="1" applyAlignment="1">
      <alignment horizontal="center"/>
    </xf>
    <xf numFmtId="43" fontId="122" fillId="0" borderId="14" xfId="25744" applyFont="1" applyFill="1" applyBorder="1"/>
    <xf numFmtId="49" fontId="122" fillId="0" borderId="0" xfId="0" applyNumberFormat="1" applyFont="1" applyFill="1" applyBorder="1"/>
    <xf numFmtId="10" fontId="122" fillId="0" borderId="56" xfId="25795" applyNumberFormat="1" applyFont="1" applyFill="1" applyBorder="1" applyAlignment="1">
      <alignment horizontal="center"/>
    </xf>
    <xf numFmtId="43" fontId="122" fillId="0" borderId="88" xfId="25744" applyFont="1" applyFill="1" applyBorder="1"/>
    <xf numFmtId="49" fontId="122" fillId="0" borderId="53" xfId="25744" applyNumberFormat="1" applyFont="1" applyFill="1" applyBorder="1" applyAlignment="1">
      <alignment horizontal="center" vertical="center"/>
    </xf>
    <xf numFmtId="0" fontId="122" fillId="0" borderId="53" xfId="0" applyFont="1" applyFill="1" applyBorder="1"/>
    <xf numFmtId="0" fontId="122" fillId="0" borderId="53" xfId="0" applyFont="1" applyFill="1" applyBorder="1" applyAlignment="1">
      <alignment horizontal="center"/>
    </xf>
    <xf numFmtId="49" fontId="122" fillId="0" borderId="53" xfId="0" applyNumberFormat="1" applyFont="1" applyFill="1" applyBorder="1" applyAlignment="1">
      <alignment horizontal="center"/>
    </xf>
    <xf numFmtId="10" fontId="122" fillId="0" borderId="53" xfId="25795" applyNumberFormat="1" applyFont="1" applyFill="1" applyBorder="1" applyAlignment="1">
      <alignment horizontal="center"/>
    </xf>
    <xf numFmtId="43" fontId="122" fillId="0" borderId="53" xfId="25744" applyFont="1" applyFill="1" applyBorder="1"/>
    <xf numFmtId="49" fontId="122" fillId="0" borderId="79" xfId="25744" applyNumberFormat="1" applyFont="1" applyFill="1" applyBorder="1" applyAlignment="1">
      <alignment horizontal="center" vertical="center"/>
    </xf>
    <xf numFmtId="10" fontId="122" fillId="0" borderId="79" xfId="25795" applyNumberFormat="1" applyFont="1" applyFill="1" applyBorder="1" applyAlignment="1">
      <alignment horizontal="center"/>
    </xf>
    <xf numFmtId="49" fontId="122" fillId="0" borderId="0" xfId="25744" applyNumberFormat="1" applyFont="1" applyFill="1" applyBorder="1" applyAlignment="1">
      <alignment horizontal="center" vertical="center"/>
    </xf>
    <xf numFmtId="10" fontId="122" fillId="0" borderId="0" xfId="25795" applyNumberFormat="1" applyFont="1" applyFill="1" applyBorder="1" applyAlignment="1">
      <alignment horizontal="center"/>
    </xf>
    <xf numFmtId="49" fontId="122" fillId="0" borderId="88" xfId="25744" applyNumberFormat="1" applyFont="1" applyFill="1" applyBorder="1" applyAlignment="1">
      <alignment horizontal="center" vertical="center"/>
    </xf>
    <xf numFmtId="10" fontId="122" fillId="0" borderId="88" xfId="25795" applyNumberFormat="1" applyFont="1" applyFill="1" applyBorder="1" applyAlignment="1">
      <alignment horizontal="center"/>
    </xf>
    <xf numFmtId="49" fontId="122" fillId="0" borderId="53" xfId="0" applyNumberFormat="1" applyFont="1" applyBorder="1" applyAlignment="1">
      <alignment horizontal="center"/>
    </xf>
    <xf numFmtId="10" fontId="122" fillId="0" borderId="53" xfId="25795" applyNumberFormat="1" applyFont="1" applyBorder="1" applyAlignment="1">
      <alignment horizontal="center"/>
    </xf>
    <xf numFmtId="43" fontId="122" fillId="0" borderId="53" xfId="25744" applyFont="1" applyBorder="1"/>
    <xf numFmtId="10" fontId="122" fillId="0" borderId="0" xfId="25795" applyNumberFormat="1" applyFont="1" applyBorder="1" applyAlignment="1">
      <alignment horizontal="center"/>
    </xf>
    <xf numFmtId="43" fontId="122" fillId="0" borderId="0" xfId="25744" applyFont="1" applyBorder="1"/>
    <xf numFmtId="43" fontId="122" fillId="0" borderId="15" xfId="25744" applyFont="1" applyBorder="1"/>
    <xf numFmtId="43" fontId="122" fillId="0" borderId="0" xfId="25795" applyNumberFormat="1" applyFont="1" applyBorder="1"/>
    <xf numFmtId="4" fontId="122" fillId="0" borderId="0" xfId="25795" applyNumberFormat="1" applyFont="1" applyBorder="1"/>
    <xf numFmtId="40" fontId="122" fillId="0" borderId="0" xfId="0" applyNumberFormat="1" applyFont="1" applyBorder="1"/>
    <xf numFmtId="38" fontId="124" fillId="0" borderId="93" xfId="0" applyNumberFormat="1" applyFont="1" applyBorder="1"/>
    <xf numFmtId="3" fontId="122" fillId="0" borderId="0" xfId="0" applyNumberFormat="1" applyFont="1" applyFill="1"/>
    <xf numFmtId="4" fontId="122" fillId="0" borderId="0" xfId="0" quotePrefix="1" applyNumberFormat="1" applyFont="1"/>
    <xf numFmtId="6" fontId="124" fillId="0" borderId="83" xfId="0" applyNumberFormat="1" applyFont="1" applyBorder="1" applyAlignment="1">
      <alignment horizontal="center"/>
    </xf>
    <xf numFmtId="0" fontId="121" fillId="0" borderId="0" xfId="0" applyFont="1" applyFill="1" applyAlignment="1">
      <alignment horizontal="center"/>
    </xf>
    <xf numFmtId="0" fontId="131" fillId="0" borderId="0" xfId="0" applyFont="1" applyFill="1" applyAlignment="1">
      <alignment horizontal="center"/>
    </xf>
    <xf numFmtId="49" fontId="32" fillId="0" borderId="0" xfId="0" applyNumberFormat="1" applyFont="1" applyFill="1" applyAlignment="1">
      <alignment horizontal="center"/>
    </xf>
    <xf numFmtId="0" fontId="32" fillId="0" borderId="0" xfId="25295" quotePrefix="1" applyFont="1" applyFill="1" applyBorder="1" applyAlignment="1">
      <alignment horizontal="center"/>
    </xf>
    <xf numFmtId="43" fontId="32" fillId="0" borderId="0" xfId="0" applyNumberFormat="1" applyFont="1" applyFill="1"/>
    <xf numFmtId="196" fontId="122" fillId="0" borderId="0" xfId="0" applyNumberFormat="1" applyFont="1" applyFill="1" applyBorder="1"/>
    <xf numFmtId="0" fontId="0" fillId="0" borderId="0" xfId="0" applyAlignment="1">
      <alignment horizontal="right"/>
    </xf>
    <xf numFmtId="39" fontId="122"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9" fontId="18" fillId="0" borderId="0" xfId="25797" applyNumberFormat="1" applyFont="1" applyFill="1"/>
    <xf numFmtId="37" fontId="18" fillId="0" borderId="88"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99" xfId="25797" applyFont="1" applyFill="1" applyBorder="1"/>
    <xf numFmtId="37" fontId="18" fillId="0" borderId="49" xfId="25797" applyFont="1" applyFill="1" applyBorder="1"/>
    <xf numFmtId="37" fontId="18" fillId="0" borderId="98" xfId="25797" applyFont="1" applyFill="1" applyBorder="1"/>
    <xf numFmtId="10" fontId="23" fillId="0" borderId="49" xfId="25797" applyNumberFormat="1" applyFont="1" applyFill="1" applyBorder="1" applyProtection="1">
      <protection locked="0"/>
    </xf>
    <xf numFmtId="37" fontId="18" fillId="0" borderId="99" xfId="25797" applyFont="1" applyBorder="1"/>
    <xf numFmtId="37" fontId="18" fillId="0" borderId="49" xfId="25797" applyFont="1" applyBorder="1"/>
    <xf numFmtId="37" fontId="18" fillId="0" borderId="98" xfId="25797" applyFont="1" applyBorder="1"/>
    <xf numFmtId="37" fontId="18" fillId="0" borderId="92" xfId="25797" applyFont="1" applyFill="1" applyBorder="1"/>
    <xf numFmtId="37" fontId="18" fillId="0" borderId="0" xfId="25797" applyFont="1" applyFill="1" applyBorder="1"/>
    <xf numFmtId="37" fontId="18" fillId="0" borderId="91" xfId="25797" applyFont="1" applyFill="1" applyBorder="1"/>
    <xf numFmtId="10" fontId="18" fillId="0" borderId="0" xfId="25797" applyNumberFormat="1" applyFont="1" applyFill="1" applyBorder="1" applyAlignment="1" applyProtection="1">
      <alignment horizontal="left"/>
    </xf>
    <xf numFmtId="37" fontId="18" fillId="0" borderId="92" xfId="25797" applyFont="1" applyBorder="1"/>
    <xf numFmtId="37" fontId="18" fillId="0" borderId="0" xfId="25797" applyFont="1" applyBorder="1"/>
    <xf numFmtId="37" fontId="18" fillId="0" borderId="91" xfId="25797" applyFont="1" applyBorder="1"/>
    <xf numFmtId="10" fontId="18" fillId="0" borderId="92"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4" xfId="25797" applyNumberFormat="1" applyFont="1" applyFill="1" applyBorder="1" applyProtection="1"/>
    <xf numFmtId="10" fontId="18" fillId="0" borderId="88" xfId="25797" applyNumberFormat="1" applyFont="1" applyFill="1" applyBorder="1" applyProtection="1"/>
    <xf numFmtId="166" fontId="18" fillId="0" borderId="104" xfId="25768" applyNumberFormat="1" applyFont="1" applyFill="1" applyBorder="1" applyProtection="1"/>
    <xf numFmtId="166" fontId="18" fillId="0" borderId="88" xfId="25768" applyNumberFormat="1" applyFont="1" applyFill="1" applyBorder="1" applyProtection="1"/>
    <xf numFmtId="10" fontId="18" fillId="0" borderId="92"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2" xfId="25768" applyNumberFormat="1" applyFont="1" applyFill="1" applyBorder="1"/>
    <xf numFmtId="166" fontId="18" fillId="0" borderId="0" xfId="25768" applyNumberFormat="1" applyFont="1" applyFill="1" applyBorder="1"/>
    <xf numFmtId="10" fontId="18" fillId="0" borderId="92"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1"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1" xfId="25797" applyNumberFormat="1" applyFont="1" applyFill="1" applyBorder="1" applyAlignment="1" applyProtection="1">
      <alignment horizontal="left"/>
    </xf>
    <xf numFmtId="166" fontId="23" fillId="0" borderId="88" xfId="25768" applyNumberFormat="1" applyFont="1" applyFill="1" applyBorder="1" applyProtection="1">
      <protection locked="0"/>
    </xf>
    <xf numFmtId="200" fontId="18" fillId="0" borderId="0" xfId="25797" applyNumberFormat="1" applyFont="1" applyFill="1" applyBorder="1" applyProtection="1"/>
    <xf numFmtId="10" fontId="18" fillId="0" borderId="104" xfId="25797" applyNumberFormat="1" applyFont="1" applyBorder="1" applyProtection="1"/>
    <xf numFmtId="10" fontId="18" fillId="0" borderId="88"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2" xfId="25797" applyNumberFormat="1" applyFont="1" applyFill="1" applyBorder="1" applyProtection="1"/>
    <xf numFmtId="166" fontId="18" fillId="0" borderId="92" xfId="25768" applyNumberFormat="1" applyFont="1" applyFill="1" applyBorder="1" applyAlignment="1" applyProtection="1">
      <alignment horizontal="fill"/>
    </xf>
    <xf numFmtId="10" fontId="18" fillId="0" borderId="104" xfId="25797" applyNumberFormat="1" applyFont="1" applyFill="1" applyBorder="1" applyAlignment="1" applyProtection="1">
      <alignment horizontal="center"/>
    </xf>
    <xf numFmtId="10" fontId="18" fillId="0" borderId="88" xfId="25797" applyNumberFormat="1" applyFont="1" applyFill="1" applyBorder="1" applyAlignment="1" applyProtection="1">
      <alignment horizontal="center"/>
    </xf>
    <xf numFmtId="10" fontId="18" fillId="0" borderId="92"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2" xfId="25768" applyNumberFormat="1" applyFont="1" applyFill="1" applyBorder="1" applyProtection="1"/>
    <xf numFmtId="37" fontId="18" fillId="0" borderId="92" xfId="25797" applyFont="1" applyFill="1" applyBorder="1" applyAlignment="1">
      <alignment horizontal="center"/>
    </xf>
    <xf numFmtId="201" fontId="18" fillId="0" borderId="0" xfId="25797" applyNumberFormat="1" applyFont="1" applyFill="1" applyBorder="1" applyAlignment="1" applyProtection="1">
      <alignment horizontal="center"/>
    </xf>
    <xf numFmtId="166" fontId="18" fillId="0" borderId="88"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4" xfId="25797" applyNumberFormat="1" applyFont="1" applyBorder="1" applyAlignment="1" applyProtection="1">
      <alignment horizontal="center"/>
    </xf>
    <xf numFmtId="10" fontId="18" fillId="0" borderId="88" xfId="25797" applyNumberFormat="1" applyFont="1" applyBorder="1" applyAlignment="1" applyProtection="1">
      <alignment horizontal="center"/>
    </xf>
    <xf numFmtId="37" fontId="18" fillId="0" borderId="92" xfId="25797" applyFont="1" applyFill="1" applyBorder="1" applyAlignment="1">
      <alignment horizontal="centerContinuous"/>
    </xf>
    <xf numFmtId="37" fontId="18" fillId="0" borderId="0" xfId="25797" applyFont="1" applyFill="1" applyBorder="1" applyAlignment="1">
      <alignment horizontal="centerContinuous"/>
    </xf>
    <xf numFmtId="201" fontId="18" fillId="0" borderId="91" xfId="25797" applyNumberFormat="1" applyFont="1" applyFill="1" applyBorder="1" applyAlignment="1" applyProtection="1">
      <alignment horizontal="centerContinuous"/>
    </xf>
    <xf numFmtId="166" fontId="18" fillId="0" borderId="92"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1" fontId="18" fillId="0" borderId="0" xfId="25797" applyNumberFormat="1" applyFont="1" applyFill="1" applyBorder="1" applyAlignment="1" applyProtection="1">
      <alignment horizontal="centerContinuous"/>
    </xf>
    <xf numFmtId="37" fontId="18" fillId="0" borderId="92" xfId="25797" applyFont="1" applyBorder="1" applyAlignment="1">
      <alignment horizontal="centerContinuous"/>
    </xf>
    <xf numFmtId="37" fontId="18" fillId="0" borderId="0" xfId="25797" applyFont="1" applyBorder="1" applyAlignment="1">
      <alignment horizontal="centerContinuous"/>
    </xf>
    <xf numFmtId="201" fontId="23" fillId="0" borderId="91" xfId="25797" applyNumberFormat="1" applyFont="1" applyBorder="1" applyAlignment="1" applyProtection="1">
      <alignment horizontal="centerContinuous"/>
      <protection locked="0"/>
    </xf>
    <xf numFmtId="10" fontId="18" fillId="0" borderId="91"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1" xfId="25797" applyNumberFormat="1" applyFont="1" applyBorder="1" applyAlignment="1" applyProtection="1">
      <alignment horizontal="centerContinuous"/>
    </xf>
    <xf numFmtId="37" fontId="18" fillId="0" borderId="97" xfId="25797" applyFont="1" applyFill="1" applyBorder="1"/>
    <xf numFmtId="37" fontId="18" fillId="0" borderId="96" xfId="25797" applyFont="1" applyFill="1" applyBorder="1"/>
    <xf numFmtId="37" fontId="18" fillId="0" borderId="95" xfId="25797" applyFont="1" applyFill="1" applyBorder="1"/>
    <xf numFmtId="166" fontId="18" fillId="0" borderId="97" xfId="25768" applyNumberFormat="1" applyFont="1" applyFill="1" applyBorder="1"/>
    <xf numFmtId="166" fontId="18" fillId="0" borderId="96" xfId="25768" applyNumberFormat="1" applyFont="1" applyFill="1" applyBorder="1"/>
    <xf numFmtId="37" fontId="18" fillId="0" borderId="97" xfId="25797" applyFont="1" applyBorder="1"/>
    <xf numFmtId="37" fontId="18" fillId="0" borderId="96" xfId="25797" applyFont="1" applyBorder="1"/>
    <xf numFmtId="37" fontId="18" fillId="0" borderId="95" xfId="25797" applyFont="1" applyBorder="1"/>
    <xf numFmtId="37" fontId="138"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3" borderId="91" xfId="25797" applyNumberFormat="1" applyFont="1" applyFill="1" applyBorder="1" applyAlignment="1" applyProtection="1">
      <alignment horizontal="left"/>
    </xf>
    <xf numFmtId="10" fontId="18" fillId="93" borderId="88" xfId="25797" applyNumberFormat="1" applyFont="1" applyFill="1" applyBorder="1" applyProtection="1"/>
    <xf numFmtId="10" fontId="18" fillId="93" borderId="104" xfId="25797" applyNumberFormat="1" applyFont="1" applyFill="1" applyBorder="1" applyProtection="1"/>
    <xf numFmtId="0" fontId="141" fillId="0" borderId="0" xfId="0" applyFont="1" applyAlignment="1"/>
    <xf numFmtId="202" fontId="18" fillId="0" borderId="0" xfId="25797" applyNumberFormat="1" applyFont="1" applyBorder="1"/>
    <xf numFmtId="0" fontId="122" fillId="0" borderId="49" xfId="0" applyFont="1" applyFill="1" applyBorder="1" applyAlignment="1">
      <alignment horizontal="center"/>
    </xf>
    <xf numFmtId="0" fontId="140" fillId="0" borderId="0" xfId="0" applyFont="1" applyAlignment="1">
      <alignment horizontal="center"/>
    </xf>
    <xf numFmtId="0" fontId="122" fillId="0" borderId="0" xfId="0" applyFont="1" applyAlignment="1">
      <alignment horizontal="left" vertical="top"/>
    </xf>
    <xf numFmtId="0" fontId="122" fillId="0" borderId="80" xfId="0" applyFont="1" applyBorder="1" applyAlignment="1">
      <alignment horizontal="center"/>
    </xf>
    <xf numFmtId="39" fontId="122" fillId="0" borderId="81" xfId="25747" applyNumberFormat="1" applyFont="1" applyBorder="1" applyAlignment="1"/>
    <xf numFmtId="4" fontId="122" fillId="0" borderId="56" xfId="0" applyNumberFormat="1" applyFont="1" applyBorder="1" applyAlignment="1"/>
    <xf numFmtId="203" fontId="122" fillId="0" borderId="56" xfId="0" applyNumberFormat="1" applyFont="1" applyBorder="1" applyAlignment="1"/>
    <xf numFmtId="4" fontId="122" fillId="0" borderId="81" xfId="0" applyNumberFormat="1" applyFont="1" applyBorder="1" applyAlignment="1"/>
    <xf numFmtId="0" fontId="122" fillId="0" borderId="11" xfId="0" applyFont="1" applyBorder="1" applyAlignment="1"/>
    <xf numFmtId="190" fontId="122" fillId="0" borderId="56" xfId="0" applyNumberFormat="1" applyFont="1" applyBorder="1" applyAlignment="1"/>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0" fontId="124"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2" fillId="0" borderId="0" xfId="0" applyFont="1" applyAlignment="1">
      <alignment horizontal="left"/>
    </xf>
    <xf numFmtId="49" fontId="124" fillId="0" borderId="0" xfId="0" applyNumberFormat="1" applyFont="1" applyBorder="1" applyAlignment="1">
      <alignment horizontal="center" vertical="center"/>
    </xf>
    <xf numFmtId="39" fontId="32" fillId="98" borderId="0" xfId="25796" applyNumberFormat="1" applyFont="1" applyFill="1"/>
    <xf numFmtId="43" fontId="32" fillId="98" borderId="0" xfId="25796" applyNumberFormat="1" applyFont="1" applyFill="1"/>
    <xf numFmtId="37" fontId="32" fillId="98" borderId="14" xfId="25456" applyNumberFormat="1" applyFont="1" applyFill="1" applyBorder="1"/>
    <xf numFmtId="5" fontId="32" fillId="98" borderId="14" xfId="25457" applyNumberFormat="1" applyFont="1" applyFill="1" applyBorder="1">
      <alignment horizontal="right"/>
    </xf>
    <xf numFmtId="0" fontId="32" fillId="98" borderId="78" xfId="25455" applyFont="1" applyFill="1" applyBorder="1" applyAlignment="1">
      <alignment horizontal="center"/>
    </xf>
    <xf numFmtId="0" fontId="32" fillId="98" borderId="15" xfId="25455" applyFont="1" applyFill="1" applyBorder="1" applyAlignment="1">
      <alignment horizontal="center"/>
    </xf>
    <xf numFmtId="0" fontId="32" fillId="98" borderId="88" xfId="25455" applyFont="1" applyFill="1" applyBorder="1"/>
    <xf numFmtId="5" fontId="121" fillId="98" borderId="51" xfId="25457" applyNumberFormat="1" applyFont="1" applyFill="1" applyBorder="1">
      <alignment horizontal="right"/>
    </xf>
    <xf numFmtId="5" fontId="121" fillId="98" borderId="78" xfId="25457" applyNumberFormat="1" applyFont="1" applyFill="1" applyBorder="1">
      <alignment horizontal="right"/>
    </xf>
    <xf numFmtId="5" fontId="126" fillId="98" borderId="14" xfId="25457" applyNumberFormat="1" applyFont="1" applyFill="1" applyBorder="1">
      <alignment horizontal="right"/>
    </xf>
    <xf numFmtId="5" fontId="32" fillId="98" borderId="14" xfId="25456" applyNumberFormat="1" applyFont="1" applyFill="1" applyBorder="1"/>
    <xf numFmtId="5" fontId="32" fillId="98" borderId="51" xfId="25457" applyNumberFormat="1" applyFont="1" applyFill="1" applyBorder="1">
      <alignment horizontal="right"/>
    </xf>
    <xf numFmtId="5" fontId="121" fillId="98" borderId="64" xfId="25457" applyNumberFormat="1" applyFont="1" applyFill="1" applyBorder="1">
      <alignment horizontal="right"/>
    </xf>
    <xf numFmtId="166" fontId="32" fillId="98" borderId="103" xfId="25456" applyNumberFormat="1" applyFont="1" applyFill="1" applyBorder="1"/>
    <xf numFmtId="37" fontId="32" fillId="98" borderId="103" xfId="25456" applyNumberFormat="1" applyFont="1" applyFill="1" applyBorder="1"/>
    <xf numFmtId="5" fontId="32" fillId="98" borderId="51" xfId="25456" applyNumberFormat="1" applyFont="1" applyFill="1" applyBorder="1"/>
    <xf numFmtId="5" fontId="121" fillId="98" borderId="16" xfId="25455" applyNumberFormat="1" applyFont="1" applyFill="1" applyBorder="1"/>
    <xf numFmtId="49" fontId="32" fillId="98" borderId="16" xfId="25455" applyNumberFormat="1" applyFont="1" applyFill="1" applyBorder="1" applyAlignment="1">
      <alignment horizontal="center"/>
    </xf>
    <xf numFmtId="0" fontId="32" fillId="98" borderId="16" xfId="25455" applyFont="1" applyFill="1" applyBorder="1"/>
    <xf numFmtId="166" fontId="32" fillId="98" borderId="16" xfId="25456" applyNumberFormat="1" applyFont="1" applyFill="1" applyBorder="1"/>
    <xf numFmtId="37" fontId="32" fillId="98" borderId="16" xfId="25456" applyNumberFormat="1" applyFont="1" applyFill="1" applyBorder="1"/>
    <xf numFmtId="185" fontId="32" fillId="0" borderId="11" xfId="24767" applyNumberFormat="1" applyFont="1" applyFill="1" applyBorder="1"/>
    <xf numFmtId="185" fontId="32" fillId="99" borderId="21" xfId="25276" applyNumberFormat="1" applyFont="1" applyFill="1" applyBorder="1"/>
    <xf numFmtId="0" fontId="32" fillId="99" borderId="35" xfId="25276" applyFont="1" applyFill="1" applyBorder="1" applyAlignment="1">
      <alignment horizontal="left" indent="1"/>
    </xf>
    <xf numFmtId="189" fontId="32" fillId="99" borderId="11" xfId="0" applyNumberFormat="1" applyFont="1" applyFill="1" applyBorder="1" applyProtection="1"/>
    <xf numFmtId="6" fontId="32" fillId="0" borderId="0" xfId="25455" applyNumberFormat="1" applyFont="1" applyFill="1"/>
    <xf numFmtId="37" fontId="32" fillId="99" borderId="15" xfId="25456" applyNumberFormat="1" applyFont="1" applyFill="1" applyBorder="1"/>
    <xf numFmtId="0" fontId="32" fillId="98" borderId="136" xfId="25455" applyFont="1" applyFill="1" applyBorder="1" applyAlignment="1">
      <alignment horizontal="center"/>
    </xf>
    <xf numFmtId="44" fontId="122" fillId="0" borderId="0" xfId="25747" applyFont="1" applyFill="1" applyAlignment="1">
      <alignment horizontal="left"/>
    </xf>
    <xf numFmtId="37" fontId="32" fillId="98" borderId="14" xfId="25457" applyNumberFormat="1" applyFont="1" applyFill="1" applyBorder="1">
      <alignment horizontal="right"/>
    </xf>
    <xf numFmtId="37" fontId="32" fillId="99" borderId="14" xfId="25456" applyNumberFormat="1" applyFont="1" applyFill="1" applyBorder="1"/>
    <xf numFmtId="49" fontId="32" fillId="99" borderId="88" xfId="25455" applyNumberFormat="1" applyFont="1" applyFill="1" applyBorder="1" applyAlignment="1">
      <alignment horizontal="center"/>
    </xf>
    <xf numFmtId="0" fontId="32" fillId="99" borderId="78" xfId="25455" applyFont="1" applyFill="1" applyBorder="1" applyAlignment="1">
      <alignment horizontal="center"/>
    </xf>
    <xf numFmtId="49" fontId="32" fillId="99" borderId="56" xfId="25455" applyNumberFormat="1" applyFont="1" applyFill="1" applyBorder="1" applyAlignment="1">
      <alignment horizontal="center"/>
    </xf>
    <xf numFmtId="5" fontId="121" fillId="99" borderId="64" xfId="25457" applyNumberFormat="1" applyFont="1" applyFill="1" applyBorder="1">
      <alignment horizontal="right"/>
    </xf>
    <xf numFmtId="0" fontId="32" fillId="99" borderId="138" xfId="25455" applyFont="1" applyFill="1" applyBorder="1" applyAlignment="1">
      <alignment horizontal="center"/>
    </xf>
    <xf numFmtId="0" fontId="32" fillId="0" borderId="137" xfId="25455" applyFont="1" applyBorder="1" applyAlignment="1">
      <alignment horizontal="center"/>
    </xf>
    <xf numFmtId="8" fontId="32" fillId="0" borderId="11" xfId="0" applyNumberFormat="1" applyFont="1" applyBorder="1"/>
    <xf numFmtId="0" fontId="32" fillId="0" borderId="135" xfId="25455" applyFont="1" applyFill="1" applyBorder="1" applyAlignment="1">
      <alignment horizontal="center"/>
    </xf>
    <xf numFmtId="0" fontId="32" fillId="98" borderId="0" xfId="25455" applyFont="1" applyFill="1" applyBorder="1" applyAlignment="1">
      <alignment horizontal="center"/>
    </xf>
    <xf numFmtId="0" fontId="121" fillId="92" borderId="0" xfId="25455" applyFont="1" applyFill="1" applyBorder="1" applyAlignment="1">
      <alignment horizontal="center"/>
    </xf>
    <xf numFmtId="0" fontId="32" fillId="98" borderId="133" xfId="25455" applyFont="1" applyFill="1" applyBorder="1" applyAlignment="1">
      <alignment horizontal="center"/>
    </xf>
    <xf numFmtId="0" fontId="32" fillId="99" borderId="136" xfId="25455" applyFont="1" applyFill="1" applyBorder="1" applyAlignment="1">
      <alignment horizontal="center"/>
    </xf>
    <xf numFmtId="37" fontId="32" fillId="99" borderId="16" xfId="25455" applyNumberFormat="1" applyFont="1" applyFill="1" applyBorder="1"/>
    <xf numFmtId="37" fontId="32" fillId="99" borderId="16" xfId="25455" applyNumberFormat="1" applyFont="1" applyFill="1" applyBorder="1" applyAlignment="1">
      <alignment horizontal="center"/>
    </xf>
    <xf numFmtId="37" fontId="32" fillId="99" borderId="103" xfId="25456" applyNumberFormat="1" applyFont="1" applyFill="1" applyBorder="1"/>
    <xf numFmtId="37" fontId="121" fillId="99" borderId="51" xfId="25457" applyNumberFormat="1" applyFont="1" applyFill="1" applyBorder="1">
      <alignment horizontal="right"/>
    </xf>
    <xf numFmtId="37" fontId="121" fillId="99" borderId="64" xfId="25457" applyNumberFormat="1" applyFont="1" applyFill="1" applyBorder="1">
      <alignment horizontal="right"/>
    </xf>
    <xf numFmtId="0" fontId="32" fillId="0" borderId="137" xfId="25455" applyFont="1" applyFill="1" applyBorder="1" applyAlignment="1">
      <alignment horizontal="center"/>
    </xf>
    <xf numFmtId="5" fontId="121" fillId="99" borderId="15" xfId="25457" applyNumberFormat="1" applyFont="1" applyFill="1" applyBorder="1">
      <alignment horizontal="right"/>
    </xf>
    <xf numFmtId="49" fontId="32" fillId="0" borderId="17" xfId="25455" applyNumberFormat="1" applyFont="1" applyBorder="1" applyAlignment="1">
      <alignment horizontal="center"/>
    </xf>
    <xf numFmtId="5" fontId="32" fillId="99" borderId="14" xfId="25456" applyNumberFormat="1" applyFont="1" applyFill="1" applyBorder="1"/>
    <xf numFmtId="37" fontId="32" fillId="99" borderId="78" xfId="25456" applyNumberFormat="1" applyFont="1" applyFill="1" applyBorder="1"/>
    <xf numFmtId="5" fontId="121" fillId="99" borderId="51" xfId="25457" applyNumberFormat="1" applyFont="1" applyFill="1" applyBorder="1">
      <alignment horizontal="right"/>
    </xf>
    <xf numFmtId="5" fontId="32" fillId="99" borderId="51" xfId="25457" applyNumberFormat="1" applyFont="1" applyFill="1" applyBorder="1">
      <alignment horizontal="right"/>
    </xf>
    <xf numFmtId="37" fontId="32" fillId="99" borderId="14" xfId="25457" applyNumberFormat="1" applyFont="1" applyFill="1" applyBorder="1">
      <alignment horizontal="right"/>
    </xf>
    <xf numFmtId="183" fontId="121" fillId="99" borderId="51" xfId="25457" applyNumberFormat="1" applyFont="1" applyFill="1" applyBorder="1">
      <alignment horizontal="right"/>
    </xf>
    <xf numFmtId="49" fontId="32" fillId="98" borderId="88" xfId="25455" applyNumberFormat="1" applyFont="1" applyFill="1" applyBorder="1" applyAlignment="1">
      <alignment horizontal="center"/>
    </xf>
    <xf numFmtId="166" fontId="32" fillId="99" borderId="16" xfId="25456" applyNumberFormat="1" applyFont="1" applyFill="1" applyBorder="1"/>
    <xf numFmtId="0" fontId="32" fillId="99" borderId="55" xfId="25455" applyFont="1" applyFill="1" applyBorder="1"/>
    <xf numFmtId="5" fontId="32" fillId="99" borderId="14" xfId="25457" applyNumberFormat="1" applyFont="1" applyFill="1" applyBorder="1">
      <alignment horizontal="right"/>
    </xf>
    <xf numFmtId="0" fontId="32" fillId="99" borderId="11" xfId="25455" applyFont="1" applyFill="1" applyBorder="1" applyAlignment="1">
      <alignment horizontal="center"/>
    </xf>
    <xf numFmtId="5" fontId="121" fillId="99" borderId="78" xfId="25457" applyNumberFormat="1" applyFont="1" applyFill="1" applyBorder="1">
      <alignment horizontal="right"/>
    </xf>
    <xf numFmtId="166" fontId="32" fillId="99" borderId="103" xfId="25456" applyNumberFormat="1" applyFont="1" applyFill="1" applyBorder="1"/>
    <xf numFmtId="0" fontId="32" fillId="99" borderId="88" xfId="25455" applyFont="1" applyFill="1" applyBorder="1"/>
    <xf numFmtId="37" fontId="32" fillId="99" borderId="15" xfId="25455" applyNumberFormat="1" applyFont="1" applyFill="1" applyBorder="1" applyAlignment="1">
      <alignment horizontal="center"/>
    </xf>
    <xf numFmtId="0" fontId="32" fillId="99" borderId="16" xfId="25455" applyFont="1" applyFill="1" applyBorder="1"/>
    <xf numFmtId="49" fontId="32" fillId="99" borderId="16" xfId="25455" applyNumberFormat="1" applyFont="1" applyFill="1" applyBorder="1" applyAlignment="1">
      <alignment horizontal="center"/>
    </xf>
    <xf numFmtId="5" fontId="121" fillId="99" borderId="16" xfId="25455" applyNumberFormat="1" applyFont="1" applyFill="1" applyBorder="1"/>
    <xf numFmtId="37" fontId="32" fillId="99" borderId="16" xfId="25456" applyNumberFormat="1" applyFont="1" applyFill="1" applyBorder="1"/>
    <xf numFmtId="37" fontId="32" fillId="99" borderId="78" xfId="25455" applyNumberFormat="1" applyFont="1" applyFill="1" applyBorder="1" applyAlignment="1">
      <alignment horizontal="center"/>
    </xf>
    <xf numFmtId="166" fontId="57" fillId="0" borderId="0" xfId="0" applyNumberFormat="1" applyFont="1" applyFill="1"/>
    <xf numFmtId="5" fontId="32" fillId="99" borderId="51" xfId="25456" applyNumberFormat="1" applyFont="1" applyFill="1" applyBorder="1"/>
    <xf numFmtId="0" fontId="32" fillId="99" borderId="15" xfId="25455" applyFont="1" applyFill="1" applyBorder="1" applyAlignment="1">
      <alignment horizontal="center"/>
    </xf>
    <xf numFmtId="49" fontId="121" fillId="0" borderId="0" xfId="25766" applyNumberFormat="1" applyFont="1" applyFill="1"/>
    <xf numFmtId="0" fontId="57" fillId="0" borderId="0" xfId="0" applyFont="1"/>
    <xf numFmtId="49" fontId="18" fillId="0" borderId="0" xfId="27903" applyNumberFormat="1" applyFont="1" applyAlignment="1">
      <alignment horizontal="center"/>
    </xf>
    <xf numFmtId="166" fontId="57" fillId="0" borderId="0" xfId="25744" applyNumberFormat="1" applyFont="1"/>
    <xf numFmtId="10" fontId="57" fillId="0" borderId="0" xfId="25795" applyNumberFormat="1" applyFont="1"/>
    <xf numFmtId="49" fontId="18" fillId="0" borderId="0" xfId="27903" applyNumberFormat="1" applyFont="1" applyFill="1" applyAlignment="1">
      <alignment horizontal="right"/>
    </xf>
    <xf numFmtId="49" fontId="143" fillId="0" borderId="0" xfId="27903" applyNumberFormat="1" applyFont="1" applyAlignment="1">
      <alignment horizontal="center"/>
    </xf>
    <xf numFmtId="0" fontId="57" fillId="0" borderId="0" xfId="0" applyFont="1" applyAlignment="1">
      <alignment horizontal="left"/>
    </xf>
    <xf numFmtId="166" fontId="144" fillId="0" borderId="88" xfId="25744" applyNumberFormat="1" applyFont="1" applyBorder="1"/>
    <xf numFmtId="166" fontId="57" fillId="0" borderId="88" xfId="25744" applyNumberFormat="1" applyFont="1" applyBorder="1"/>
    <xf numFmtId="0" fontId="57" fillId="0" borderId="0" xfId="0" applyFont="1" applyAlignment="1">
      <alignment vertical="center"/>
    </xf>
    <xf numFmtId="166" fontId="144" fillId="0" borderId="0" xfId="25744" applyNumberFormat="1" applyFont="1" applyAlignment="1">
      <alignment horizontal="center"/>
    </xf>
    <xf numFmtId="49" fontId="20" fillId="0" borderId="88" xfId="27903" quotePrefix="1" applyNumberFormat="1" applyFont="1" applyFill="1" applyBorder="1" applyAlignment="1">
      <alignment horizontal="center"/>
    </xf>
    <xf numFmtId="17" fontId="144" fillId="0" borderId="88" xfId="0" quotePrefix="1" applyNumberFormat="1" applyFont="1" applyBorder="1"/>
    <xf numFmtId="166" fontId="20" fillId="0" borderId="88" xfId="25744" applyNumberFormat="1" applyFont="1" applyFill="1" applyBorder="1" applyAlignment="1">
      <alignment horizontal="center"/>
    </xf>
    <xf numFmtId="0" fontId="57" fillId="0" borderId="0" xfId="0" quotePrefix="1" applyFont="1"/>
    <xf numFmtId="43" fontId="18" fillId="0" borderId="0" xfId="27904" applyFont="1" applyFill="1"/>
    <xf numFmtId="43" fontId="18" fillId="0" borderId="0" xfId="27905" applyFont="1" applyFill="1"/>
    <xf numFmtId="166" fontId="18" fillId="0" borderId="0" xfId="25744" applyNumberFormat="1" applyFont="1" applyFill="1"/>
    <xf numFmtId="166" fontId="57" fillId="0" borderId="11" xfId="25744" applyNumberFormat="1" applyFont="1" applyBorder="1"/>
    <xf numFmtId="43" fontId="18" fillId="0" borderId="133" xfId="27905" applyFont="1" applyFill="1" applyBorder="1"/>
    <xf numFmtId="166" fontId="18" fillId="0" borderId="133" xfId="25744" applyNumberFormat="1" applyFont="1" applyFill="1" applyBorder="1"/>
    <xf numFmtId="49" fontId="18" fillId="0" borderId="0" xfId="166" applyNumberFormat="1" applyFont="1" applyFill="1"/>
    <xf numFmtId="49" fontId="57" fillId="0" borderId="0" xfId="3264" applyNumberFormat="1" applyFont="1" applyFill="1"/>
    <xf numFmtId="49" fontId="57" fillId="0" borderId="0" xfId="451" applyNumberFormat="1" applyFont="1" applyFill="1"/>
    <xf numFmtId="49" fontId="18" fillId="0" borderId="0" xfId="52" applyNumberFormat="1" applyFont="1" applyFill="1"/>
    <xf numFmtId="49" fontId="57" fillId="0" borderId="0" xfId="419" applyNumberFormat="1" applyFont="1" applyFill="1"/>
    <xf numFmtId="49" fontId="57" fillId="0" borderId="0" xfId="370" applyNumberFormat="1" applyFont="1" applyFill="1"/>
    <xf numFmtId="49" fontId="18" fillId="0" borderId="0" xfId="27906" applyNumberFormat="1" applyFont="1" applyFill="1"/>
    <xf numFmtId="49" fontId="18" fillId="0" borderId="0" xfId="27907" applyNumberFormat="1" applyFont="1" applyFill="1"/>
    <xf numFmtId="49" fontId="57" fillId="0" borderId="0" xfId="0" applyNumberFormat="1" applyFont="1" applyFill="1"/>
    <xf numFmtId="49" fontId="18" fillId="0" borderId="0" xfId="27908" applyNumberFormat="1" applyFont="1" applyFill="1"/>
    <xf numFmtId="49" fontId="18" fillId="0" borderId="0" xfId="27909" applyNumberFormat="1" applyFont="1" applyFill="1"/>
    <xf numFmtId="43" fontId="57" fillId="0" borderId="0" xfId="25768" applyFont="1"/>
    <xf numFmtId="43" fontId="18" fillId="0" borderId="88" xfId="27905" applyFont="1" applyFill="1" applyBorder="1"/>
    <xf numFmtId="166" fontId="18" fillId="0" borderId="88" xfId="25744" applyNumberFormat="1" applyFont="1" applyFill="1" applyBorder="1"/>
    <xf numFmtId="43" fontId="18" fillId="0" borderId="0" xfId="27905" applyNumberFormat="1" applyFont="1" applyFill="1"/>
    <xf numFmtId="43" fontId="18" fillId="0" borderId="134" xfId="27905" applyNumberFormat="1" applyFont="1" applyFill="1" applyBorder="1"/>
    <xf numFmtId="166" fontId="18" fillId="0" borderId="134" xfId="25744" applyNumberFormat="1" applyFont="1" applyFill="1" applyBorder="1"/>
    <xf numFmtId="43" fontId="18" fillId="0" borderId="88" xfId="27905" applyNumberFormat="1" applyFont="1" applyFill="1" applyBorder="1"/>
    <xf numFmtId="49" fontId="57" fillId="0" borderId="0" xfId="409" applyNumberFormat="1" applyFont="1" applyFill="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6" applyNumberFormat="1" applyFont="1" applyFill="1"/>
    <xf numFmtId="0" fontId="18" fillId="0" borderId="0" xfId="27907" applyNumberFormat="1" applyFont="1" applyFill="1"/>
    <xf numFmtId="0" fontId="57" fillId="0" borderId="0" xfId="0" applyNumberFormat="1" applyFont="1" applyFill="1"/>
    <xf numFmtId="0" fontId="18" fillId="0" borderId="0" xfId="27908" applyNumberFormat="1" applyFont="1" applyFill="1"/>
    <xf numFmtId="0" fontId="18" fillId="0" borderId="0" xfId="27909" applyNumberFormat="1" applyFont="1" applyFill="1"/>
    <xf numFmtId="43" fontId="18" fillId="0" borderId="0" xfId="166" applyNumberFormat="1" applyFont="1" applyFill="1"/>
    <xf numFmtId="43" fontId="18" fillId="0" borderId="133" xfId="27910" applyFont="1" applyFill="1" applyBorder="1"/>
    <xf numFmtId="43" fontId="18" fillId="0" borderId="133" xfId="27911" applyFont="1" applyFill="1" applyBorder="1"/>
    <xf numFmtId="43" fontId="18" fillId="0" borderId="133" xfId="27912" applyFont="1" applyFill="1" applyBorder="1"/>
    <xf numFmtId="43" fontId="18" fillId="0" borderId="133" xfId="27913" applyFont="1" applyFill="1" applyBorder="1"/>
    <xf numFmtId="43" fontId="18" fillId="0" borderId="133" xfId="27914" applyFont="1" applyFill="1" applyBorder="1"/>
    <xf numFmtId="43" fontId="18" fillId="0" borderId="133" xfId="27915" applyFont="1" applyFill="1" applyBorder="1"/>
    <xf numFmtId="43" fontId="18" fillId="0" borderId="133" xfId="27916" applyFont="1" applyFill="1" applyBorder="1"/>
    <xf numFmtId="43" fontId="57" fillId="0" borderId="133" xfId="25768" applyFont="1" applyFill="1" applyBorder="1"/>
    <xf numFmtId="43" fontId="18" fillId="0" borderId="133" xfId="27917" applyFont="1" applyFill="1" applyBorder="1"/>
    <xf numFmtId="43" fontId="18" fillId="0" borderId="133" xfId="27918" applyFont="1" applyFill="1" applyBorder="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8" applyFont="1" applyFill="1"/>
    <xf numFmtId="43" fontId="18" fillId="0" borderId="0" xfId="27917" applyFont="1" applyFill="1"/>
    <xf numFmtId="43" fontId="18" fillId="0" borderId="0" xfId="27918" applyFont="1" applyFill="1"/>
    <xf numFmtId="43" fontId="57" fillId="0" borderId="0" xfId="0" applyNumberFormat="1" applyFont="1"/>
    <xf numFmtId="0" fontId="57" fillId="100" borderId="0" xfId="0" applyFont="1" applyFill="1"/>
    <xf numFmtId="0" fontId="57" fillId="100" borderId="0" xfId="0" quotePrefix="1" applyFont="1" applyFill="1"/>
    <xf numFmtId="43" fontId="18" fillId="100" borderId="0" xfId="27904" applyFont="1" applyFill="1"/>
    <xf numFmtId="43" fontId="18" fillId="100" borderId="0" xfId="27905" applyFont="1" applyFill="1"/>
    <xf numFmtId="166" fontId="18" fillId="100" borderId="0" xfId="25744" applyNumberFormat="1" applyFont="1" applyFill="1"/>
    <xf numFmtId="166" fontId="57" fillId="100" borderId="0" xfId="25744" applyNumberFormat="1" applyFont="1" applyFill="1"/>
    <xf numFmtId="166" fontId="57" fillId="100" borderId="11" xfId="25744" applyNumberFormat="1" applyFont="1" applyFill="1" applyBorder="1"/>
    <xf numFmtId="43" fontId="57" fillId="100" borderId="0" xfId="0" applyNumberFormat="1" applyFont="1" applyFill="1"/>
    <xf numFmtId="0" fontId="18" fillId="0" borderId="0" xfId="0" quotePrefix="1" applyFont="1"/>
    <xf numFmtId="43" fontId="18" fillId="94" borderId="0" xfId="27905" applyFont="1" applyFill="1"/>
    <xf numFmtId="43" fontId="57" fillId="0" borderId="0" xfId="25768" applyFont="1" applyFill="1" applyBorder="1"/>
    <xf numFmtId="43" fontId="18" fillId="0" borderId="0" xfId="27905" applyFont="1" applyFill="1" applyBorder="1"/>
    <xf numFmtId="166" fontId="18" fillId="0" borderId="0" xfId="25744" applyNumberFormat="1" applyFont="1" applyFill="1" applyBorder="1"/>
    <xf numFmtId="43" fontId="18" fillId="0" borderId="0" xfId="183" applyFont="1" applyFill="1"/>
    <xf numFmtId="43" fontId="18" fillId="0" borderId="0" xfId="27919" applyFont="1" applyFill="1"/>
    <xf numFmtId="43" fontId="18" fillId="0" borderId="0" xfId="27920" applyFont="1" applyFill="1"/>
    <xf numFmtId="43" fontId="18" fillId="0" borderId="0" xfId="25768" applyFont="1"/>
    <xf numFmtId="43" fontId="18" fillId="0" borderId="0" xfId="27902" applyFont="1" applyFill="1"/>
    <xf numFmtId="49" fontId="18" fillId="0" borderId="0" xfId="27921" applyNumberFormat="1" applyFont="1" applyFill="1"/>
    <xf numFmtId="0" fontId="57" fillId="0" borderId="0" xfId="0" applyFont="1" applyFill="1"/>
    <xf numFmtId="0" fontId="57" fillId="0" borderId="0" xfId="0" quotePrefix="1" applyFont="1" applyFill="1"/>
    <xf numFmtId="166" fontId="57" fillId="0" borderId="0" xfId="25744" applyNumberFormat="1" applyFont="1" applyFill="1"/>
    <xf numFmtId="166" fontId="57" fillId="0" borderId="11" xfId="25744" applyNumberFormat="1" applyFont="1" applyFill="1" applyBorder="1"/>
    <xf numFmtId="43" fontId="57" fillId="0" borderId="0" xfId="0" applyNumberFormat="1" applyFont="1" applyFill="1"/>
    <xf numFmtId="0" fontId="57" fillId="94" borderId="0" xfId="0" quotePrefix="1" applyFont="1" applyFill="1"/>
    <xf numFmtId="43" fontId="18" fillId="94" borderId="0" xfId="27904" applyFont="1" applyFill="1"/>
    <xf numFmtId="166" fontId="18" fillId="94" borderId="0" xfId="25744" applyNumberFormat="1" applyFont="1" applyFill="1"/>
    <xf numFmtId="43" fontId="18" fillId="94" borderId="88" xfId="27905" applyFont="1" applyFill="1" applyBorder="1"/>
    <xf numFmtId="43" fontId="18" fillId="94" borderId="133" xfId="27905" applyFont="1" applyFill="1" applyBorder="1"/>
    <xf numFmtId="166" fontId="18" fillId="94" borderId="133" xfId="25744" applyNumberFormat="1" applyFont="1" applyFill="1" applyBorder="1"/>
    <xf numFmtId="0" fontId="57" fillId="94" borderId="0" xfId="0" applyFont="1" applyFill="1"/>
    <xf numFmtId="49" fontId="18" fillId="0" borderId="0" xfId="27922" applyNumberFormat="1" applyFont="1"/>
    <xf numFmtId="49" fontId="18" fillId="0" borderId="0" xfId="27923" applyNumberFormat="1" applyFont="1"/>
    <xf numFmtId="49" fontId="18" fillId="0" borderId="0" xfId="27923" applyNumberFormat="1"/>
    <xf numFmtId="43" fontId="18" fillId="0" borderId="0" xfId="27924" applyFont="1" applyFill="1"/>
    <xf numFmtId="49" fontId="57" fillId="0" borderId="0" xfId="3265" applyNumberFormat="1" applyFont="1" applyFill="1"/>
    <xf numFmtId="49" fontId="57" fillId="0" borderId="0" xfId="3262" applyNumberFormat="1" applyFont="1" applyFill="1"/>
    <xf numFmtId="0" fontId="144" fillId="0" borderId="0" xfId="0" applyFont="1"/>
    <xf numFmtId="43" fontId="20" fillId="0" borderId="0" xfId="27904" applyFont="1" applyFill="1"/>
    <xf numFmtId="43" fontId="20" fillId="0" borderId="82" xfId="27905" applyFont="1" applyFill="1" applyBorder="1"/>
    <xf numFmtId="166" fontId="20" fillId="0" borderId="82" xfId="25744" applyNumberFormat="1" applyFont="1" applyFill="1" applyBorder="1"/>
    <xf numFmtId="166" fontId="144" fillId="0" borderId="0" xfId="25744" applyNumberFormat="1" applyFont="1"/>
    <xf numFmtId="166" fontId="144" fillId="0" borderId="11" xfId="25744" applyNumberFormat="1" applyFont="1" applyBorder="1"/>
    <xf numFmtId="43" fontId="18" fillId="0" borderId="0" xfId="27919"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6" applyFont="1" applyFill="1" applyBorder="1"/>
    <xf numFmtId="43" fontId="18" fillId="0" borderId="0" xfId="27917" applyFont="1" applyFill="1" applyBorder="1"/>
    <xf numFmtId="43" fontId="18" fillId="0" borderId="0" xfId="27920" applyFont="1" applyFill="1" applyBorder="1"/>
    <xf numFmtId="2" fontId="57" fillId="0" borderId="0" xfId="409" applyNumberFormat="1" applyFont="1" applyFill="1" applyAlignment="1">
      <alignment wrapText="1"/>
    </xf>
    <xf numFmtId="2" fontId="18" fillId="0" borderId="0" xfId="25766" applyNumberFormat="1" applyFont="1" applyAlignment="1">
      <alignment wrapText="1"/>
    </xf>
    <xf numFmtId="2" fontId="18" fillId="0" borderId="0" xfId="409" applyNumberFormat="1" applyFont="1" applyFill="1" applyAlignment="1">
      <alignment wrapText="1"/>
    </xf>
    <xf numFmtId="49" fontId="18" fillId="0" borderId="0" xfId="25766" applyNumberFormat="1" applyFont="1"/>
    <xf numFmtId="49" fontId="18" fillId="0" borderId="0" xfId="25766" applyNumberFormat="1" applyFont="1" applyFill="1"/>
    <xf numFmtId="49" fontId="18" fillId="0" borderId="0" xfId="409" applyNumberFormat="1" applyFont="1" applyFill="1"/>
    <xf numFmtId="49" fontId="57" fillId="100" borderId="0" xfId="409" applyNumberFormat="1" applyFont="1" applyFill="1"/>
    <xf numFmtId="49" fontId="144" fillId="0" borderId="0" xfId="409" applyNumberFormat="1" applyFont="1" applyFill="1"/>
    <xf numFmtId="43" fontId="144" fillId="0" borderId="0" xfId="0" applyNumberFormat="1" applyFont="1"/>
    <xf numFmtId="166" fontId="144" fillId="101" borderId="0" xfId="25744" applyNumberFormat="1" applyFont="1" applyFill="1" applyAlignment="1">
      <alignment horizontal="center"/>
    </xf>
    <xf numFmtId="166" fontId="144" fillId="101" borderId="0" xfId="25744" applyNumberFormat="1" applyFont="1" applyFill="1"/>
    <xf numFmtId="166" fontId="57" fillId="0" borderId="14" xfId="25744" applyNumberFormat="1" applyFont="1" applyBorder="1"/>
    <xf numFmtId="49" fontId="20" fillId="0" borderId="0" xfId="27903" quotePrefix="1" applyNumberFormat="1" applyFont="1" applyFill="1" applyBorder="1" applyAlignment="1">
      <alignment horizontal="center"/>
    </xf>
    <xf numFmtId="17" fontId="144" fillId="0" borderId="0" xfId="0" quotePrefix="1" applyNumberFormat="1" applyFont="1" applyBorder="1"/>
    <xf numFmtId="166" fontId="20" fillId="0" borderId="0" xfId="25744" applyNumberFormat="1" applyFont="1" applyFill="1" applyBorder="1" applyAlignment="1">
      <alignment horizontal="center"/>
    </xf>
    <xf numFmtId="166" fontId="144" fillId="0" borderId="0" xfId="25744" applyNumberFormat="1" applyFont="1" applyFill="1"/>
    <xf numFmtId="166" fontId="144" fillId="102" borderId="0" xfId="25744" applyNumberFormat="1" applyFont="1" applyFill="1" applyAlignment="1">
      <alignment horizontal="center"/>
    </xf>
    <xf numFmtId="166" fontId="57" fillId="102" borderId="0" xfId="25744" applyNumberFormat="1" applyFont="1" applyFill="1"/>
    <xf numFmtId="166" fontId="57" fillId="96" borderId="0" xfId="25744" applyNumberFormat="1" applyFont="1" applyFill="1"/>
    <xf numFmtId="10" fontId="57" fillId="96" borderId="0" xfId="25795" applyNumberFormat="1" applyFont="1" applyFill="1"/>
    <xf numFmtId="0" fontId="57" fillId="96" borderId="0" xfId="0" applyFont="1" applyFill="1"/>
    <xf numFmtId="14" fontId="32" fillId="0" borderId="0" xfId="1" applyNumberFormat="1" applyFont="1" applyBorder="1"/>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80" xfId="24690" applyFont="1" applyFill="1" applyBorder="1" applyAlignment="1">
      <alignment horizontal="center"/>
    </xf>
    <xf numFmtId="0" fontId="121" fillId="33" borderId="79" xfId="24690" applyFont="1" applyFill="1" applyBorder="1" applyAlignment="1">
      <alignment horizontal="center"/>
    </xf>
    <xf numFmtId="0" fontId="121" fillId="33" borderId="81"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80" xfId="25276" applyFont="1" applyFill="1" applyBorder="1" applyAlignment="1">
      <alignment horizontal="center"/>
    </xf>
    <xf numFmtId="0" fontId="121" fillId="33" borderId="79" xfId="25276" applyFont="1" applyFill="1" applyBorder="1" applyAlignment="1">
      <alignment horizontal="center"/>
    </xf>
    <xf numFmtId="0" fontId="121" fillId="33" borderId="81"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5455" quotePrefix="1" applyFont="1" applyFill="1" applyAlignment="1">
      <alignment horizontal="center"/>
    </xf>
    <xf numFmtId="0" fontId="121" fillId="0" borderId="0" xfId="24690" applyFont="1" applyFill="1" applyBorder="1" applyAlignment="1">
      <alignment horizontal="center"/>
    </xf>
    <xf numFmtId="0" fontId="121" fillId="33" borderId="72" xfId="24690" applyFont="1" applyFill="1" applyBorder="1" applyAlignment="1">
      <alignment horizontal="center"/>
    </xf>
    <xf numFmtId="0" fontId="121" fillId="33" borderId="71" xfId="24690" applyFont="1" applyFill="1" applyBorder="1" applyAlignment="1">
      <alignment horizontal="center"/>
    </xf>
    <xf numFmtId="49" fontId="121" fillId="33" borderId="55" xfId="24690" applyNumberFormat="1" applyFont="1" applyFill="1" applyBorder="1" applyAlignment="1">
      <alignment horizontal="center"/>
    </xf>
    <xf numFmtId="49" fontId="121" fillId="33" borderId="56" xfId="24690" applyNumberFormat="1" applyFont="1" applyFill="1" applyBorder="1" applyAlignment="1">
      <alignment horizontal="center"/>
    </xf>
    <xf numFmtId="0" fontId="57" fillId="0" borderId="0" xfId="0" applyFont="1" applyAlignment="1">
      <alignment horizontal="left" wrapText="1"/>
    </xf>
    <xf numFmtId="0" fontId="124" fillId="0" borderId="0" xfId="0" applyFont="1" applyAlignment="1">
      <alignment horizontal="center"/>
    </xf>
    <xf numFmtId="0" fontId="121" fillId="91" borderId="54" xfId="0" applyFont="1" applyFill="1" applyBorder="1" applyAlignment="1">
      <alignment horizontal="left"/>
    </xf>
    <xf numFmtId="0" fontId="121" fillId="91" borderId="56" xfId="0" applyFont="1" applyFill="1" applyBorder="1" applyAlignment="1">
      <alignment horizontal="left"/>
    </xf>
    <xf numFmtId="39" fontId="121" fillId="0" borderId="35" xfId="25745" applyFont="1" applyBorder="1" applyAlignment="1" applyProtection="1">
      <alignment horizontal="left" wrapText="1" indent="1"/>
    </xf>
    <xf numFmtId="39" fontId="121" fillId="0" borderId="11" xfId="25745" applyFont="1" applyBorder="1" applyAlignment="1" applyProtection="1">
      <alignment horizontal="left" wrapText="1" indent="1"/>
    </xf>
    <xf numFmtId="0" fontId="121" fillId="91" borderId="80" xfId="0" applyFont="1" applyFill="1" applyBorder="1" applyAlignment="1">
      <alignment horizontal="left" vertical="center"/>
    </xf>
    <xf numFmtId="0" fontId="121" fillId="91" borderId="81" xfId="0" applyFont="1" applyFill="1" applyBorder="1" applyAlignment="1">
      <alignment horizontal="left" vertical="center"/>
    </xf>
    <xf numFmtId="0" fontId="121" fillId="91" borderId="35" xfId="0" applyFont="1" applyFill="1" applyBorder="1" applyAlignment="1">
      <alignment horizontal="left" vertical="center"/>
    </xf>
    <xf numFmtId="0" fontId="121" fillId="91" borderId="11" xfId="0" applyFont="1" applyFill="1" applyBorder="1" applyAlignment="1">
      <alignment horizontal="left" vertical="center"/>
    </xf>
    <xf numFmtId="0" fontId="121" fillId="92" borderId="84" xfId="0" applyFont="1" applyFill="1" applyBorder="1" applyAlignment="1">
      <alignment horizontal="center"/>
    </xf>
    <xf numFmtId="0" fontId="121" fillId="92" borderId="53" xfId="0" applyFont="1" applyFill="1" applyBorder="1" applyAlignment="1">
      <alignment horizontal="center"/>
    </xf>
    <xf numFmtId="0" fontId="121" fillId="92" borderId="80" xfId="0" applyFont="1" applyFill="1" applyBorder="1" applyAlignment="1">
      <alignment horizontal="center"/>
    </xf>
    <xf numFmtId="0" fontId="121" fillId="92" borderId="79" xfId="0" applyFont="1" applyFill="1" applyBorder="1" applyAlignment="1">
      <alignment horizontal="center"/>
    </xf>
    <xf numFmtId="0" fontId="121" fillId="92" borderId="81" xfId="0" applyFont="1" applyFill="1" applyBorder="1" applyAlignment="1">
      <alignment horizontal="center"/>
    </xf>
    <xf numFmtId="0" fontId="129" fillId="0" borderId="79" xfId="0" applyFont="1" applyBorder="1" applyAlignment="1">
      <alignment horizontal="left"/>
    </xf>
    <xf numFmtId="0" fontId="129" fillId="0" borderId="53" xfId="0" applyFont="1" applyBorder="1" applyAlignment="1">
      <alignment horizontal="left"/>
    </xf>
    <xf numFmtId="0" fontId="122" fillId="0" borderId="0" xfId="0" applyFont="1" applyAlignment="1">
      <alignment horizontal="center" wrapText="1"/>
    </xf>
    <xf numFmtId="0" fontId="139" fillId="0" borderId="95" xfId="0" applyFont="1" applyBorder="1" applyAlignment="1">
      <alignment horizontal="center" vertical="center" wrapText="1"/>
    </xf>
    <xf numFmtId="0" fontId="139" fillId="0" borderId="96" xfId="0" applyFont="1" applyBorder="1" applyAlignment="1">
      <alignment horizontal="center" vertical="center" wrapText="1"/>
    </xf>
    <xf numFmtId="0" fontId="139" fillId="0" borderId="97" xfId="0" applyFont="1" applyBorder="1" applyAlignment="1">
      <alignment horizontal="center" vertical="center" wrapText="1"/>
    </xf>
    <xf numFmtId="0" fontId="139" fillId="0" borderId="91"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92" xfId="0" applyFont="1" applyBorder="1" applyAlignment="1">
      <alignment horizontal="center" vertical="center" wrapText="1"/>
    </xf>
    <xf numFmtId="0" fontId="139" fillId="0" borderId="98" xfId="0" applyFont="1" applyBorder="1" applyAlignment="1">
      <alignment horizontal="center" vertical="center" wrapText="1"/>
    </xf>
    <xf numFmtId="0" fontId="139" fillId="0" borderId="49" xfId="0" applyFont="1" applyBorder="1" applyAlignment="1">
      <alignment horizontal="center" vertical="center" wrapText="1"/>
    </xf>
    <xf numFmtId="0" fontId="139" fillId="0" borderId="99" xfId="0" applyFont="1" applyBorder="1" applyAlignment="1">
      <alignment horizontal="center" vertical="center" wrapText="1"/>
    </xf>
    <xf numFmtId="0" fontId="130" fillId="0" borderId="91" xfId="0" applyFont="1" applyBorder="1" applyAlignment="1">
      <alignment horizontal="left"/>
    </xf>
    <xf numFmtId="0" fontId="130" fillId="0" borderId="0" xfId="0" applyFont="1" applyBorder="1" applyAlignment="1">
      <alignment horizontal="left"/>
    </xf>
    <xf numFmtId="0" fontId="130" fillId="0" borderId="92" xfId="0" applyFont="1" applyBorder="1" applyAlignment="1">
      <alignment horizontal="left"/>
    </xf>
    <xf numFmtId="0" fontId="122" fillId="33" borderId="96" xfId="0" applyFont="1" applyFill="1" applyBorder="1" applyAlignment="1">
      <alignment horizontal="right"/>
    </xf>
    <xf numFmtId="0" fontId="122" fillId="33" borderId="97" xfId="0" applyFont="1" applyFill="1" applyBorder="1" applyAlignment="1">
      <alignment horizontal="right"/>
    </xf>
    <xf numFmtId="0" fontId="122" fillId="33" borderId="0" xfId="0" applyFont="1" applyFill="1" applyBorder="1" applyAlignment="1">
      <alignment horizontal="right"/>
    </xf>
    <xf numFmtId="0" fontId="122" fillId="33" borderId="92" xfId="0" applyFont="1" applyFill="1" applyBorder="1" applyAlignment="1">
      <alignment horizontal="right"/>
    </xf>
    <xf numFmtId="49" fontId="121" fillId="0" borderId="0" xfId="25293" applyNumberFormat="1" applyFont="1" applyFill="1" applyBorder="1" applyAlignment="1">
      <alignment horizontal="center"/>
    </xf>
    <xf numFmtId="0" fontId="121" fillId="0" borderId="0" xfId="0" applyFont="1" applyAlignment="1">
      <alignment horizontal="center"/>
    </xf>
    <xf numFmtId="0" fontId="32" fillId="0" borderId="0" xfId="0" applyFont="1" applyAlignment="1">
      <alignment horizontal="center" wrapText="1"/>
    </xf>
    <xf numFmtId="0" fontId="32" fillId="0" borderId="88" xfId="0" applyFont="1" applyBorder="1" applyAlignment="1">
      <alignment horizontal="center" wrapText="1"/>
    </xf>
    <xf numFmtId="0" fontId="124" fillId="0" borderId="95" xfId="0" applyFont="1" applyBorder="1" applyAlignment="1">
      <alignment vertical="center"/>
    </xf>
    <xf numFmtId="0" fontId="124" fillId="0" borderId="96" xfId="0" applyFont="1" applyBorder="1" applyAlignment="1">
      <alignment vertical="center"/>
    </xf>
    <xf numFmtId="0" fontId="124" fillId="0" borderId="97" xfId="0" applyFont="1" applyBorder="1" applyAlignment="1">
      <alignment vertical="center"/>
    </xf>
    <xf numFmtId="0" fontId="124" fillId="0" borderId="91" xfId="0" applyFont="1" applyBorder="1" applyAlignment="1">
      <alignment vertical="center"/>
    </xf>
    <xf numFmtId="0" fontId="124" fillId="0" borderId="0" xfId="0" applyFont="1" applyBorder="1" applyAlignment="1">
      <alignment vertical="center"/>
    </xf>
    <xf numFmtId="0" fontId="124" fillId="0" borderId="92" xfId="0" applyFont="1" applyBorder="1" applyAlignment="1">
      <alignment vertical="center"/>
    </xf>
    <xf numFmtId="0" fontId="124" fillId="0" borderId="98" xfId="0" applyFont="1" applyBorder="1" applyAlignment="1">
      <alignment vertical="center"/>
    </xf>
    <xf numFmtId="0" fontId="124" fillId="0" borderId="49" xfId="0" applyFont="1" applyBorder="1" applyAlignment="1">
      <alignment vertical="center"/>
    </xf>
    <xf numFmtId="0" fontId="124" fillId="0" borderId="99" xfId="0" applyFont="1" applyBorder="1" applyAlignment="1">
      <alignment vertical="center"/>
    </xf>
    <xf numFmtId="0" fontId="122" fillId="0" borderId="0" xfId="0" applyFont="1" applyAlignment="1">
      <alignment vertical="center" wrapText="1"/>
    </xf>
  </cellXfs>
  <cellStyles count="29265">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9" xr:uid="{00000000-0005-0000-0000-0000624B0000}"/>
    <cellStyle name="Border Thin" xfId="545" xr:uid="{00000000-0005-0000-0000-0000634B0000}"/>
    <cellStyle name="Border Thin 2" xfId="24055" xr:uid="{00000000-0005-0000-0000-0000644B0000}"/>
    <cellStyle name="Border Thin 2 2" xfId="27050" xr:uid="{00000000-0005-0000-0000-0000644B0000}"/>
    <cellStyle name="Border Thin 3" xfId="26041" xr:uid="{00000000-0005-0000-0000-0000634B0000}"/>
    <cellStyle name="Calculation 10" xfId="2441" xr:uid="{00000000-0005-0000-0000-0000654B0000}"/>
    <cellStyle name="Calculation 11" xfId="2442" xr:uid="{00000000-0005-0000-0000-0000664B0000}"/>
    <cellStyle name="Calculation 12" xfId="2443" xr:uid="{00000000-0005-0000-0000-0000674B0000}"/>
    <cellStyle name="Calculation 13" xfId="2444" xr:uid="{00000000-0005-0000-0000-0000684B0000}"/>
    <cellStyle name="Calculation 14" xfId="2445" xr:uid="{00000000-0005-0000-0000-0000694B0000}"/>
    <cellStyle name="Calculation 15" xfId="2446" xr:uid="{00000000-0005-0000-0000-00006A4B0000}"/>
    <cellStyle name="Calculation 16" xfId="2447" xr:uid="{00000000-0005-0000-0000-00006B4B0000}"/>
    <cellStyle name="Calculation 17" xfId="2448" xr:uid="{00000000-0005-0000-0000-00006C4B0000}"/>
    <cellStyle name="Calculation 18" xfId="2449" xr:uid="{00000000-0005-0000-0000-00006D4B0000}"/>
    <cellStyle name="Calculation 19" xfId="2450" xr:uid="{00000000-0005-0000-0000-00006E4B0000}"/>
    <cellStyle name="Calculation 2" xfId="2451" xr:uid="{00000000-0005-0000-0000-00006F4B0000}"/>
    <cellStyle name="Calculation 2 2" xfId="24057" xr:uid="{00000000-0005-0000-0000-0000704B0000}"/>
    <cellStyle name="Calculation 2 2 2" xfId="24699" xr:uid="{00000000-0005-0000-0000-0000714B0000}"/>
    <cellStyle name="Calculation 2 2 2 2" xfId="25298" xr:uid="{00000000-0005-0000-0000-0000724B0000}"/>
    <cellStyle name="Calculation 2 2 2 2 2" xfId="27454" xr:uid="{00000000-0005-0000-0000-0000724B0000}"/>
    <cellStyle name="Calculation 2 2 2 2 3" xfId="29193" xr:uid="{00000000-0005-0000-0000-0000724B0000}"/>
    <cellStyle name="Calculation 2 2 2 2 4" xfId="26816" xr:uid="{00000000-0005-0000-0000-0000724B0000}"/>
    <cellStyle name="Calculation 2 2 2 3" xfId="25658" xr:uid="{00000000-0005-0000-0000-0000734B0000}"/>
    <cellStyle name="Calculation 2 2 2 3 2" xfId="27813" xr:uid="{00000000-0005-0000-0000-0000734B0000}"/>
    <cellStyle name="Calculation 2 2 2 3 3" xfId="29240" xr:uid="{00000000-0005-0000-0000-0000734B0000}"/>
    <cellStyle name="Calculation 2 2 2 3 4" xfId="26125" xr:uid="{00000000-0005-0000-0000-0000734B0000}"/>
    <cellStyle name="Calculation 2 2 2 4" xfId="27290" xr:uid="{00000000-0005-0000-0000-0000714B0000}"/>
    <cellStyle name="Calculation 2 2 2 5" xfId="26683" xr:uid="{00000000-0005-0000-0000-0000714B0000}"/>
    <cellStyle name="Calculation 2 2 2 6" xfId="26815" xr:uid="{00000000-0005-0000-0000-0000714B0000}"/>
    <cellStyle name="Calculation 2 2 3" xfId="25022" xr:uid="{00000000-0005-0000-0000-0000744B0000}"/>
    <cellStyle name="Calculation 2 2 3 2" xfId="25431" xr:uid="{00000000-0005-0000-0000-0000754B0000}"/>
    <cellStyle name="Calculation 2 2 3 2 2" xfId="27587" xr:uid="{00000000-0005-0000-0000-0000754B0000}"/>
    <cellStyle name="Calculation 2 2 3 2 3" xfId="29213" xr:uid="{00000000-0005-0000-0000-0000754B0000}"/>
    <cellStyle name="Calculation 2 2 3 2 4" xfId="26250" xr:uid="{00000000-0005-0000-0000-0000754B0000}"/>
    <cellStyle name="Calculation 2 2 3 3" xfId="25669" xr:uid="{00000000-0005-0000-0000-0000764B0000}"/>
    <cellStyle name="Calculation 2 2 3 3 2" xfId="27824" xr:uid="{00000000-0005-0000-0000-0000764B0000}"/>
    <cellStyle name="Calculation 2 2 3 3 3" xfId="29251" xr:uid="{00000000-0005-0000-0000-0000764B0000}"/>
    <cellStyle name="Calculation 2 2 3 3 4" xfId="26831" xr:uid="{00000000-0005-0000-0000-0000764B0000}"/>
    <cellStyle name="Calculation 2 2 3 4" xfId="27354" xr:uid="{00000000-0005-0000-0000-0000744B0000}"/>
    <cellStyle name="Calculation 2 2 3 5" xfId="26192" xr:uid="{00000000-0005-0000-0000-0000744B0000}"/>
    <cellStyle name="Calculation 2 2 3 6" xfId="26922" xr:uid="{00000000-0005-0000-0000-0000744B0000}"/>
    <cellStyle name="Calculation 2 2 4" xfId="25556" xr:uid="{00000000-0005-0000-0000-0000774B0000}"/>
    <cellStyle name="Calculation 2 2 4 2" xfId="27711" xr:uid="{00000000-0005-0000-0000-0000774B0000}"/>
    <cellStyle name="Calculation 2 2 4 3" xfId="29226" xr:uid="{00000000-0005-0000-0000-0000774B0000}"/>
    <cellStyle name="Calculation 2 2 4 4" xfId="26704" xr:uid="{00000000-0005-0000-0000-0000774B0000}"/>
    <cellStyle name="Calculation 2 2 5" xfId="27052" xr:uid="{00000000-0005-0000-0000-0000704B0000}"/>
    <cellStyle name="Calculation 2 2 6" xfId="26273" xr:uid="{00000000-0005-0000-0000-0000704B0000}"/>
    <cellStyle name="Calculation 2 2 7" xfId="26778" xr:uid="{00000000-0005-0000-0000-0000704B0000}"/>
    <cellStyle name="Calculation 2 3" xfId="24056" xr:uid="{00000000-0005-0000-0000-0000784B0000}"/>
    <cellStyle name="Calculation 2 3 2" xfId="25555" xr:uid="{00000000-0005-0000-0000-0000794B0000}"/>
    <cellStyle name="Calculation 2 3 2 2" xfId="27710" xr:uid="{00000000-0005-0000-0000-0000794B0000}"/>
    <cellStyle name="Calculation 2 3 2 3" xfId="29225" xr:uid="{00000000-0005-0000-0000-0000794B0000}"/>
    <cellStyle name="Calculation 2 3 2 4" xfId="26961" xr:uid="{00000000-0005-0000-0000-0000794B0000}"/>
    <cellStyle name="Calculation 2 3 3" xfId="27051" xr:uid="{00000000-0005-0000-0000-0000784B0000}"/>
    <cellStyle name="Calculation 2 3 4" xfId="26869" xr:uid="{00000000-0005-0000-0000-0000784B0000}"/>
    <cellStyle name="Calculation 2 3 5" xfId="26180" xr:uid="{00000000-0005-0000-0000-0000784B0000}"/>
    <cellStyle name="Calculation 2 4" xfId="24698" xr:uid="{00000000-0005-0000-0000-00007A4B0000}"/>
    <cellStyle name="Calculation 2 4 2" xfId="25361" xr:uid="{00000000-0005-0000-0000-00007B4B0000}"/>
    <cellStyle name="Calculation 2 4 2 2" xfId="27517" xr:uid="{00000000-0005-0000-0000-00007B4B0000}"/>
    <cellStyle name="Calculation 2 4 2 3" xfId="29202" xr:uid="{00000000-0005-0000-0000-00007B4B0000}"/>
    <cellStyle name="Calculation 2 4 2 4" xfId="26359" xr:uid="{00000000-0005-0000-0000-00007B4B0000}"/>
    <cellStyle name="Calculation 2 4 3" xfId="25657" xr:uid="{00000000-0005-0000-0000-00007C4B0000}"/>
    <cellStyle name="Calculation 2 4 3 2" xfId="27812" xr:uid="{00000000-0005-0000-0000-00007C4B0000}"/>
    <cellStyle name="Calculation 2 4 3 3" xfId="29239" xr:uid="{00000000-0005-0000-0000-00007C4B0000}"/>
    <cellStyle name="Calculation 2 4 3 4" xfId="26353" xr:uid="{00000000-0005-0000-0000-00007C4B0000}"/>
    <cellStyle name="Calculation 2 4 4" xfId="27289" xr:uid="{00000000-0005-0000-0000-00007A4B0000}"/>
    <cellStyle name="Calculation 2 4 5" xfId="26036" xr:uid="{00000000-0005-0000-0000-00007A4B0000}"/>
    <cellStyle name="Calculation 2 4 6" xfId="27076" xr:uid="{00000000-0005-0000-0000-00007A4B0000}"/>
    <cellStyle name="Calculation 2 5" xfId="25021" xr:uid="{00000000-0005-0000-0000-00007D4B0000}"/>
    <cellStyle name="Calculation 2 5 2" xfId="25330" xr:uid="{00000000-0005-0000-0000-00007E4B0000}"/>
    <cellStyle name="Calculation 2 5 2 2" xfId="27486" xr:uid="{00000000-0005-0000-0000-00007E4B0000}"/>
    <cellStyle name="Calculation 2 5 2 3" xfId="29195" xr:uid="{00000000-0005-0000-0000-00007E4B0000}"/>
    <cellStyle name="Calculation 2 5 2 4" xfId="26277" xr:uid="{00000000-0005-0000-0000-00007E4B0000}"/>
    <cellStyle name="Calculation 2 5 3" xfId="25668" xr:uid="{00000000-0005-0000-0000-00007F4B0000}"/>
    <cellStyle name="Calculation 2 5 3 2" xfId="27823" xr:uid="{00000000-0005-0000-0000-00007F4B0000}"/>
    <cellStyle name="Calculation 2 5 3 3" xfId="29250" xr:uid="{00000000-0005-0000-0000-00007F4B0000}"/>
    <cellStyle name="Calculation 2 5 3 4" xfId="26357" xr:uid="{00000000-0005-0000-0000-00007F4B0000}"/>
    <cellStyle name="Calculation 2 5 4" xfId="27353" xr:uid="{00000000-0005-0000-0000-00007D4B0000}"/>
    <cellStyle name="Calculation 2 5 5" xfId="26191" xr:uid="{00000000-0005-0000-0000-00007D4B0000}"/>
    <cellStyle name="Calculation 2 5 6" xfId="27321" xr:uid="{00000000-0005-0000-0000-00007D4B0000}"/>
    <cellStyle name="Calculation 20" xfId="2452" xr:uid="{00000000-0005-0000-0000-0000804B0000}"/>
    <cellStyle name="Calculation 21" xfId="2453" xr:uid="{00000000-0005-0000-0000-0000814B0000}"/>
    <cellStyle name="Calculation 22" xfId="2454" xr:uid="{00000000-0005-0000-0000-0000824B0000}"/>
    <cellStyle name="Calculation 23" xfId="2455" xr:uid="{00000000-0005-0000-0000-0000834B0000}"/>
    <cellStyle name="Calculation 24" xfId="2456" xr:uid="{00000000-0005-0000-0000-0000844B0000}"/>
    <cellStyle name="Calculation 25" xfId="2457" xr:uid="{00000000-0005-0000-0000-0000854B0000}"/>
    <cellStyle name="Calculation 26" xfId="2458" xr:uid="{00000000-0005-0000-0000-0000864B0000}"/>
    <cellStyle name="Calculation 27" xfId="2459" xr:uid="{00000000-0005-0000-0000-0000874B0000}"/>
    <cellStyle name="Calculation 28" xfId="2460" xr:uid="{00000000-0005-0000-0000-0000884B0000}"/>
    <cellStyle name="Calculation 29" xfId="2461" xr:uid="{00000000-0005-0000-0000-0000894B0000}"/>
    <cellStyle name="Calculation 3" xfId="2462" xr:uid="{00000000-0005-0000-0000-00008A4B0000}"/>
    <cellStyle name="Calculation 3 2" xfId="24058" xr:uid="{00000000-0005-0000-0000-00008B4B0000}"/>
    <cellStyle name="Calculation 3 2 2" xfId="25557" xr:uid="{00000000-0005-0000-0000-00008C4B0000}"/>
    <cellStyle name="Calculation 3 2 2 2" xfId="27712" xr:uid="{00000000-0005-0000-0000-00008C4B0000}"/>
    <cellStyle name="Calculation 3 2 2 3" xfId="29227" xr:uid="{00000000-0005-0000-0000-00008C4B0000}"/>
    <cellStyle name="Calculation 3 2 2 4" xfId="26747" xr:uid="{00000000-0005-0000-0000-00008C4B0000}"/>
    <cellStyle name="Calculation 3 2 3" xfId="27053" xr:uid="{00000000-0005-0000-0000-00008B4B0000}"/>
    <cellStyle name="Calculation 3 2 4" xfId="26797" xr:uid="{00000000-0005-0000-0000-00008B4B0000}"/>
    <cellStyle name="Calculation 3 2 5" xfId="27306" xr:uid="{00000000-0005-0000-0000-00008B4B0000}"/>
    <cellStyle name="Calculation 3 3" xfId="24700" xr:uid="{00000000-0005-0000-0000-00008D4B0000}"/>
    <cellStyle name="Calculation 3 3 2" xfId="25287" xr:uid="{00000000-0005-0000-0000-00008E4B0000}"/>
    <cellStyle name="Calculation 3 3 2 2" xfId="27444" xr:uid="{00000000-0005-0000-0000-00008E4B0000}"/>
    <cellStyle name="Calculation 3 3 2 3" xfId="29191" xr:uid="{00000000-0005-0000-0000-00008E4B0000}"/>
    <cellStyle name="Calculation 3 3 2 4" xfId="27153" xr:uid="{00000000-0005-0000-0000-00008E4B0000}"/>
    <cellStyle name="Calculation 3 3 3" xfId="25659" xr:uid="{00000000-0005-0000-0000-00008F4B0000}"/>
    <cellStyle name="Calculation 3 3 3 2" xfId="27814" xr:uid="{00000000-0005-0000-0000-00008F4B0000}"/>
    <cellStyle name="Calculation 3 3 3 3" xfId="29241" xr:uid="{00000000-0005-0000-0000-00008F4B0000}"/>
    <cellStyle name="Calculation 3 3 3 4" xfId="26536" xr:uid="{00000000-0005-0000-0000-00008F4B0000}"/>
    <cellStyle name="Calculation 3 3 4" xfId="27291" xr:uid="{00000000-0005-0000-0000-00008D4B0000}"/>
    <cellStyle name="Calculation 3 3 5" xfId="26626" xr:uid="{00000000-0005-0000-0000-00008D4B0000}"/>
    <cellStyle name="Calculation 3 3 6" xfId="27325" xr:uid="{00000000-0005-0000-0000-00008D4B0000}"/>
    <cellStyle name="Calculation 3 4" xfId="25023" xr:uid="{00000000-0005-0000-0000-0000904B0000}"/>
    <cellStyle name="Calculation 3 4 2" xfId="25347" xr:uid="{00000000-0005-0000-0000-0000914B0000}"/>
    <cellStyle name="Calculation 3 4 2 2" xfId="27503" xr:uid="{00000000-0005-0000-0000-0000914B0000}"/>
    <cellStyle name="Calculation 3 4 2 3" xfId="29198" xr:uid="{00000000-0005-0000-0000-0000914B0000}"/>
    <cellStyle name="Calculation 3 4 2 4" xfId="26077" xr:uid="{00000000-0005-0000-0000-0000914B0000}"/>
    <cellStyle name="Calculation 3 4 3" xfId="25670" xr:uid="{00000000-0005-0000-0000-0000924B0000}"/>
    <cellStyle name="Calculation 3 4 3 2" xfId="27825" xr:uid="{00000000-0005-0000-0000-0000924B0000}"/>
    <cellStyle name="Calculation 3 4 3 3" xfId="29252" xr:uid="{00000000-0005-0000-0000-0000924B0000}"/>
    <cellStyle name="Calculation 3 4 3 4" xfId="26952" xr:uid="{00000000-0005-0000-0000-0000924B0000}"/>
    <cellStyle name="Calculation 3 4 4" xfId="27355" xr:uid="{00000000-0005-0000-0000-0000904B0000}"/>
    <cellStyle name="Calculation 3 4 5" xfId="26193" xr:uid="{00000000-0005-0000-0000-0000904B0000}"/>
    <cellStyle name="Calculation 3 4 6" xfId="26843" xr:uid="{00000000-0005-0000-0000-0000904B0000}"/>
    <cellStyle name="Calculation 30" xfId="2463" xr:uid="{00000000-0005-0000-0000-0000934B0000}"/>
    <cellStyle name="Calculation 31" xfId="2464" xr:uid="{00000000-0005-0000-0000-0000944B0000}"/>
    <cellStyle name="Calculation 32" xfId="2465" xr:uid="{00000000-0005-0000-0000-0000954B0000}"/>
    <cellStyle name="Calculation 33" xfId="2466" xr:uid="{00000000-0005-0000-0000-0000964B0000}"/>
    <cellStyle name="Calculation 34" xfId="2467" xr:uid="{00000000-0005-0000-0000-0000974B0000}"/>
    <cellStyle name="Calculation 35" xfId="2468" xr:uid="{00000000-0005-0000-0000-0000984B0000}"/>
    <cellStyle name="Calculation 36" xfId="2469" xr:uid="{00000000-0005-0000-0000-0000994B0000}"/>
    <cellStyle name="Calculation 37" xfId="2470" xr:uid="{00000000-0005-0000-0000-00009A4B0000}"/>
    <cellStyle name="Calculation 38" xfId="2471" xr:uid="{00000000-0005-0000-0000-00009B4B0000}"/>
    <cellStyle name="Calculation 39" xfId="2472" xr:uid="{00000000-0005-0000-0000-00009C4B0000}"/>
    <cellStyle name="Calculation 4" xfId="2473" xr:uid="{00000000-0005-0000-0000-00009D4B0000}"/>
    <cellStyle name="Calculation 4 2" xfId="24059" xr:uid="{00000000-0005-0000-0000-00009E4B0000}"/>
    <cellStyle name="Calculation 4 2 2" xfId="25558" xr:uid="{00000000-0005-0000-0000-00009F4B0000}"/>
    <cellStyle name="Calculation 4 2 2 2" xfId="27713" xr:uid="{00000000-0005-0000-0000-00009F4B0000}"/>
    <cellStyle name="Calculation 4 2 2 3" xfId="29228" xr:uid="{00000000-0005-0000-0000-00009F4B0000}"/>
    <cellStyle name="Calculation 4 2 2 4" xfId="27025" xr:uid="{00000000-0005-0000-0000-00009F4B0000}"/>
    <cellStyle name="Calculation 4 2 3" xfId="27054" xr:uid="{00000000-0005-0000-0000-00009E4B0000}"/>
    <cellStyle name="Calculation 4 2 4" xfId="26718" xr:uid="{00000000-0005-0000-0000-00009E4B0000}"/>
    <cellStyle name="Calculation 4 2 5" xfId="26472" xr:uid="{00000000-0005-0000-0000-00009E4B0000}"/>
    <cellStyle name="Calculation 4 3" xfId="24701" xr:uid="{00000000-0005-0000-0000-0000A04B0000}"/>
    <cellStyle name="Calculation 4 3 2" xfId="25369" xr:uid="{00000000-0005-0000-0000-0000A14B0000}"/>
    <cellStyle name="Calculation 4 3 2 2" xfId="27525" xr:uid="{00000000-0005-0000-0000-0000A14B0000}"/>
    <cellStyle name="Calculation 4 3 2 3" xfId="29204" xr:uid="{00000000-0005-0000-0000-0000A14B0000}"/>
    <cellStyle name="Calculation 4 3 2 4" xfId="27322" xr:uid="{00000000-0005-0000-0000-0000A14B0000}"/>
    <cellStyle name="Calculation 4 3 3" xfId="25660" xr:uid="{00000000-0005-0000-0000-0000A24B0000}"/>
    <cellStyle name="Calculation 4 3 3 2" xfId="27815" xr:uid="{00000000-0005-0000-0000-0000A24B0000}"/>
    <cellStyle name="Calculation 4 3 3 3" xfId="29242" xr:uid="{00000000-0005-0000-0000-0000A24B0000}"/>
    <cellStyle name="Calculation 4 3 3 4" xfId="26182" xr:uid="{00000000-0005-0000-0000-0000A24B0000}"/>
    <cellStyle name="Calculation 4 3 4" xfId="27292" xr:uid="{00000000-0005-0000-0000-0000A04B0000}"/>
    <cellStyle name="Calculation 4 3 5" xfId="27109" xr:uid="{00000000-0005-0000-0000-0000A04B0000}"/>
    <cellStyle name="Calculation 4 3 6" xfId="26361" xr:uid="{00000000-0005-0000-0000-0000A04B0000}"/>
    <cellStyle name="Calculation 4 4" xfId="25024" xr:uid="{00000000-0005-0000-0000-0000A34B0000}"/>
    <cellStyle name="Calculation 4 4 2" xfId="25448" xr:uid="{00000000-0005-0000-0000-0000A44B0000}"/>
    <cellStyle name="Calculation 4 4 2 2" xfId="27604" xr:uid="{00000000-0005-0000-0000-0000A44B0000}"/>
    <cellStyle name="Calculation 4 4 2 3" xfId="29217" xr:uid="{00000000-0005-0000-0000-0000A44B0000}"/>
    <cellStyle name="Calculation 4 4 2 4" xfId="26283" xr:uid="{00000000-0005-0000-0000-0000A44B0000}"/>
    <cellStyle name="Calculation 4 4 3" xfId="25671" xr:uid="{00000000-0005-0000-0000-0000A54B0000}"/>
    <cellStyle name="Calculation 4 4 3 2" xfId="27826" xr:uid="{00000000-0005-0000-0000-0000A54B0000}"/>
    <cellStyle name="Calculation 4 4 3 3" xfId="29253" xr:uid="{00000000-0005-0000-0000-0000A54B0000}"/>
    <cellStyle name="Calculation 4 4 3 4" xfId="26875" xr:uid="{00000000-0005-0000-0000-0000A54B0000}"/>
    <cellStyle name="Calculation 4 4 4" xfId="27356" xr:uid="{00000000-0005-0000-0000-0000A34B0000}"/>
    <cellStyle name="Calculation 4 4 5" xfId="26194" xr:uid="{00000000-0005-0000-0000-0000A34B0000}"/>
    <cellStyle name="Calculation 4 4 6" xfId="26691" xr:uid="{00000000-0005-0000-0000-0000A34B0000}"/>
    <cellStyle name="Calculation 40" xfId="2474" xr:uid="{00000000-0005-0000-0000-0000A64B0000}"/>
    <cellStyle name="Calculation 41" xfId="2475" xr:uid="{00000000-0005-0000-0000-0000A74B0000}"/>
    <cellStyle name="Calculation 42" xfId="2476" xr:uid="{00000000-0005-0000-0000-0000A84B0000}"/>
    <cellStyle name="Calculation 43" xfId="2477" xr:uid="{00000000-0005-0000-0000-0000A94B0000}"/>
    <cellStyle name="Calculation 44" xfId="2478" xr:uid="{00000000-0005-0000-0000-0000AA4B0000}"/>
    <cellStyle name="Calculation 45" xfId="2479" xr:uid="{00000000-0005-0000-0000-0000AB4B0000}"/>
    <cellStyle name="Calculation 46" xfId="2480" xr:uid="{00000000-0005-0000-0000-0000AC4B0000}"/>
    <cellStyle name="Calculation 47" xfId="2481" xr:uid="{00000000-0005-0000-0000-0000AD4B0000}"/>
    <cellStyle name="Calculation 48" xfId="2482" xr:uid="{00000000-0005-0000-0000-0000AE4B0000}"/>
    <cellStyle name="Calculation 49" xfId="2483" xr:uid="{00000000-0005-0000-0000-0000AF4B0000}"/>
    <cellStyle name="Calculation 5" xfId="2484" xr:uid="{00000000-0005-0000-0000-0000B04B0000}"/>
    <cellStyle name="Calculation 50" xfId="2485" xr:uid="{00000000-0005-0000-0000-0000B14B0000}"/>
    <cellStyle name="Calculation 51" xfId="2486" xr:uid="{00000000-0005-0000-0000-0000B24B0000}"/>
    <cellStyle name="Calculation 52" xfId="2487" xr:uid="{00000000-0005-0000-0000-0000B34B0000}"/>
    <cellStyle name="Calculation 53" xfId="2488" xr:uid="{00000000-0005-0000-0000-0000B44B0000}"/>
    <cellStyle name="Calculation 54" xfId="2489" xr:uid="{00000000-0005-0000-0000-0000B54B0000}"/>
    <cellStyle name="Calculation 55" xfId="2490" xr:uid="{00000000-0005-0000-0000-0000B64B0000}"/>
    <cellStyle name="Calculation 56" xfId="2491" xr:uid="{00000000-0005-0000-0000-0000B74B0000}"/>
    <cellStyle name="Calculation 57" xfId="2492" xr:uid="{00000000-0005-0000-0000-0000B84B0000}"/>
    <cellStyle name="Calculation 58" xfId="2493" xr:uid="{00000000-0005-0000-0000-0000B94B0000}"/>
    <cellStyle name="Calculation 59" xfId="2494" xr:uid="{00000000-0005-0000-0000-0000BA4B0000}"/>
    <cellStyle name="Calculation 6" xfId="2495" xr:uid="{00000000-0005-0000-0000-0000BB4B0000}"/>
    <cellStyle name="Calculation 60" xfId="2496" xr:uid="{00000000-0005-0000-0000-0000BC4B0000}"/>
    <cellStyle name="Calculation 61" xfId="2497" xr:uid="{00000000-0005-0000-0000-0000BD4B0000}"/>
    <cellStyle name="Calculation 62" xfId="2498" xr:uid="{00000000-0005-0000-0000-0000BE4B0000}"/>
    <cellStyle name="Calculation 63" xfId="2499" xr:uid="{00000000-0005-0000-0000-0000BF4B0000}"/>
    <cellStyle name="Calculation 64" xfId="2500" xr:uid="{00000000-0005-0000-0000-0000C04B0000}"/>
    <cellStyle name="Calculation 65" xfId="2501" xr:uid="{00000000-0005-0000-0000-0000C14B0000}"/>
    <cellStyle name="Calculation 66" xfId="2502" xr:uid="{00000000-0005-0000-0000-0000C24B0000}"/>
    <cellStyle name="Calculation 67" xfId="2503" xr:uid="{00000000-0005-0000-0000-0000C34B0000}"/>
    <cellStyle name="Calculation 68" xfId="2504" xr:uid="{00000000-0005-0000-0000-0000C44B0000}"/>
    <cellStyle name="Calculation 69" xfId="2505" xr:uid="{00000000-0005-0000-0000-0000C54B0000}"/>
    <cellStyle name="Calculation 7" xfId="2506" xr:uid="{00000000-0005-0000-0000-0000C64B0000}"/>
    <cellStyle name="Calculation 70" xfId="2507" xr:uid="{00000000-0005-0000-0000-0000C74B0000}"/>
    <cellStyle name="Calculation 71" xfId="2508" xr:uid="{00000000-0005-0000-0000-0000C84B0000}"/>
    <cellStyle name="Calculation 72" xfId="2509" xr:uid="{00000000-0005-0000-0000-0000C94B0000}"/>
    <cellStyle name="Calculation 8" xfId="2510" xr:uid="{00000000-0005-0000-0000-0000CA4B0000}"/>
    <cellStyle name="Calculation 9" xfId="2511" xr:uid="{00000000-0005-0000-0000-0000CB4B0000}"/>
    <cellStyle name="Check Cell 10" xfId="2512" xr:uid="{00000000-0005-0000-0000-0000CC4B0000}"/>
    <cellStyle name="Check Cell 11" xfId="2513" xr:uid="{00000000-0005-0000-0000-0000CD4B0000}"/>
    <cellStyle name="Check Cell 12" xfId="2514" xr:uid="{00000000-0005-0000-0000-0000CE4B0000}"/>
    <cellStyle name="Check Cell 13" xfId="2515" xr:uid="{00000000-0005-0000-0000-0000CF4B0000}"/>
    <cellStyle name="Check Cell 14" xfId="2516" xr:uid="{00000000-0005-0000-0000-0000D04B0000}"/>
    <cellStyle name="Check Cell 15" xfId="2517" xr:uid="{00000000-0005-0000-0000-0000D14B0000}"/>
    <cellStyle name="Check Cell 16" xfId="2518" xr:uid="{00000000-0005-0000-0000-0000D24B0000}"/>
    <cellStyle name="Check Cell 17" xfId="2519" xr:uid="{00000000-0005-0000-0000-0000D34B0000}"/>
    <cellStyle name="Check Cell 18" xfId="2520" xr:uid="{00000000-0005-0000-0000-0000D44B0000}"/>
    <cellStyle name="Check Cell 19" xfId="2521" xr:uid="{00000000-0005-0000-0000-0000D54B0000}"/>
    <cellStyle name="Check Cell 2" xfId="2522" xr:uid="{00000000-0005-0000-0000-0000D64B0000}"/>
    <cellStyle name="Check Cell 2 2" xfId="24061" xr:uid="{00000000-0005-0000-0000-0000D74B0000}"/>
    <cellStyle name="Check Cell 2 3" xfId="24060" xr:uid="{00000000-0005-0000-0000-0000D84B0000}"/>
    <cellStyle name="Check Cell 20" xfId="2523" xr:uid="{00000000-0005-0000-0000-0000D94B0000}"/>
    <cellStyle name="Check Cell 21" xfId="2524" xr:uid="{00000000-0005-0000-0000-0000DA4B0000}"/>
    <cellStyle name="Check Cell 22" xfId="2525" xr:uid="{00000000-0005-0000-0000-0000DB4B0000}"/>
    <cellStyle name="Check Cell 23" xfId="2526" xr:uid="{00000000-0005-0000-0000-0000DC4B0000}"/>
    <cellStyle name="Check Cell 24" xfId="2527" xr:uid="{00000000-0005-0000-0000-0000DD4B0000}"/>
    <cellStyle name="Check Cell 25" xfId="2528" xr:uid="{00000000-0005-0000-0000-0000DE4B0000}"/>
    <cellStyle name="Check Cell 26" xfId="2529" xr:uid="{00000000-0005-0000-0000-0000DF4B0000}"/>
    <cellStyle name="Check Cell 27" xfId="2530" xr:uid="{00000000-0005-0000-0000-0000E04B0000}"/>
    <cellStyle name="Check Cell 28" xfId="2531" xr:uid="{00000000-0005-0000-0000-0000E14B0000}"/>
    <cellStyle name="Check Cell 29" xfId="2532" xr:uid="{00000000-0005-0000-0000-0000E24B0000}"/>
    <cellStyle name="Check Cell 3" xfId="2533" xr:uid="{00000000-0005-0000-0000-0000E34B0000}"/>
    <cellStyle name="Check Cell 3 2" xfId="24062" xr:uid="{00000000-0005-0000-0000-0000E44B0000}"/>
    <cellStyle name="Check Cell 30" xfId="2534" xr:uid="{00000000-0005-0000-0000-0000E54B0000}"/>
    <cellStyle name="Check Cell 31" xfId="2535" xr:uid="{00000000-0005-0000-0000-0000E64B0000}"/>
    <cellStyle name="Check Cell 32" xfId="2536" xr:uid="{00000000-0005-0000-0000-0000E74B0000}"/>
    <cellStyle name="Check Cell 33" xfId="2537" xr:uid="{00000000-0005-0000-0000-0000E84B0000}"/>
    <cellStyle name="Check Cell 34" xfId="2538" xr:uid="{00000000-0005-0000-0000-0000E94B0000}"/>
    <cellStyle name="Check Cell 35" xfId="2539" xr:uid="{00000000-0005-0000-0000-0000EA4B0000}"/>
    <cellStyle name="Check Cell 36" xfId="2540" xr:uid="{00000000-0005-0000-0000-0000EB4B0000}"/>
    <cellStyle name="Check Cell 37" xfId="2541" xr:uid="{00000000-0005-0000-0000-0000EC4B0000}"/>
    <cellStyle name="Check Cell 38" xfId="2542" xr:uid="{00000000-0005-0000-0000-0000ED4B0000}"/>
    <cellStyle name="Check Cell 39" xfId="2543" xr:uid="{00000000-0005-0000-0000-0000EE4B0000}"/>
    <cellStyle name="Check Cell 4" xfId="2544" xr:uid="{00000000-0005-0000-0000-0000EF4B0000}"/>
    <cellStyle name="Check Cell 4 2" xfId="24063" xr:uid="{00000000-0005-0000-0000-0000F04B0000}"/>
    <cellStyle name="Check Cell 40" xfId="2545" xr:uid="{00000000-0005-0000-0000-0000F14B0000}"/>
    <cellStyle name="Check Cell 41" xfId="2546" xr:uid="{00000000-0005-0000-0000-0000F24B0000}"/>
    <cellStyle name="Check Cell 42" xfId="2547" xr:uid="{00000000-0005-0000-0000-0000F34B0000}"/>
    <cellStyle name="Check Cell 43" xfId="2548" xr:uid="{00000000-0005-0000-0000-0000F44B0000}"/>
    <cellStyle name="Check Cell 44" xfId="2549" xr:uid="{00000000-0005-0000-0000-0000F54B0000}"/>
    <cellStyle name="Check Cell 45" xfId="2550" xr:uid="{00000000-0005-0000-0000-0000F64B0000}"/>
    <cellStyle name="Check Cell 46" xfId="2551" xr:uid="{00000000-0005-0000-0000-0000F74B0000}"/>
    <cellStyle name="Check Cell 47" xfId="2552" xr:uid="{00000000-0005-0000-0000-0000F84B0000}"/>
    <cellStyle name="Check Cell 48" xfId="2553" xr:uid="{00000000-0005-0000-0000-0000F94B0000}"/>
    <cellStyle name="Check Cell 49" xfId="2554" xr:uid="{00000000-0005-0000-0000-0000FA4B0000}"/>
    <cellStyle name="Check Cell 5" xfId="2555" xr:uid="{00000000-0005-0000-0000-0000FB4B0000}"/>
    <cellStyle name="Check Cell 50" xfId="2556" xr:uid="{00000000-0005-0000-0000-0000FC4B0000}"/>
    <cellStyle name="Check Cell 51" xfId="2557" xr:uid="{00000000-0005-0000-0000-0000FD4B0000}"/>
    <cellStyle name="Check Cell 52" xfId="2558" xr:uid="{00000000-0005-0000-0000-0000FE4B0000}"/>
    <cellStyle name="Check Cell 53" xfId="2559" xr:uid="{00000000-0005-0000-0000-0000FF4B0000}"/>
    <cellStyle name="Check Cell 54" xfId="2560" xr:uid="{00000000-0005-0000-0000-0000004C0000}"/>
    <cellStyle name="Check Cell 55" xfId="2561" xr:uid="{00000000-0005-0000-0000-0000014C0000}"/>
    <cellStyle name="Check Cell 56" xfId="2562" xr:uid="{00000000-0005-0000-0000-0000024C0000}"/>
    <cellStyle name="Check Cell 57" xfId="2563" xr:uid="{00000000-0005-0000-0000-0000034C0000}"/>
    <cellStyle name="Check Cell 58" xfId="2564" xr:uid="{00000000-0005-0000-0000-0000044C0000}"/>
    <cellStyle name="Check Cell 59" xfId="2565" xr:uid="{00000000-0005-0000-0000-0000054C0000}"/>
    <cellStyle name="Check Cell 6" xfId="2566" xr:uid="{00000000-0005-0000-0000-0000064C0000}"/>
    <cellStyle name="Check Cell 60" xfId="2567" xr:uid="{00000000-0005-0000-0000-0000074C0000}"/>
    <cellStyle name="Check Cell 61" xfId="2568" xr:uid="{00000000-0005-0000-0000-0000084C0000}"/>
    <cellStyle name="Check Cell 62" xfId="2569" xr:uid="{00000000-0005-0000-0000-0000094C0000}"/>
    <cellStyle name="Check Cell 63" xfId="2570" xr:uid="{00000000-0005-0000-0000-00000A4C0000}"/>
    <cellStyle name="Check Cell 64" xfId="2571" xr:uid="{00000000-0005-0000-0000-00000B4C0000}"/>
    <cellStyle name="Check Cell 65" xfId="2572" xr:uid="{00000000-0005-0000-0000-00000C4C0000}"/>
    <cellStyle name="Check Cell 66" xfId="2573" xr:uid="{00000000-0005-0000-0000-00000D4C0000}"/>
    <cellStyle name="Check Cell 67" xfId="2574" xr:uid="{00000000-0005-0000-0000-00000E4C0000}"/>
    <cellStyle name="Check Cell 68" xfId="2575" xr:uid="{00000000-0005-0000-0000-00000F4C0000}"/>
    <cellStyle name="Check Cell 69" xfId="2576" xr:uid="{00000000-0005-0000-0000-0000104C0000}"/>
    <cellStyle name="Check Cell 7" xfId="2577" xr:uid="{00000000-0005-0000-0000-0000114C0000}"/>
    <cellStyle name="Check Cell 70" xfId="2578" xr:uid="{00000000-0005-0000-0000-0000124C0000}"/>
    <cellStyle name="Check Cell 71" xfId="2579" xr:uid="{00000000-0005-0000-0000-0000134C0000}"/>
    <cellStyle name="Check Cell 72" xfId="2580" xr:uid="{00000000-0005-0000-0000-0000144C0000}"/>
    <cellStyle name="Check Cell 8" xfId="2581" xr:uid="{00000000-0005-0000-0000-0000154C0000}"/>
    <cellStyle name="Check Cell 9" xfId="2582" xr:uid="{00000000-0005-0000-0000-0000164C0000}"/>
    <cellStyle name="Co. Names" xfId="546" xr:uid="{00000000-0005-0000-0000-0000174C0000}"/>
    <cellStyle name="Co. Names 2" xfId="24064" xr:uid="{00000000-0005-0000-0000-0000184C0000}"/>
    <cellStyle name="Column total in dollars" xfId="11" xr:uid="{00000000-0005-0000-0000-0000194C0000}"/>
    <cellStyle name="ColumnAttributeAbovePrompt" xfId="2583" xr:uid="{00000000-0005-0000-0000-00001A4C0000}"/>
    <cellStyle name="ColumnAttributePrompt" xfId="2584" xr:uid="{00000000-0005-0000-0000-00001B4C0000}"/>
    <cellStyle name="ColumnAttributeValue" xfId="2585" xr:uid="{00000000-0005-0000-0000-00001C4C0000}"/>
    <cellStyle name="ColumnHeadingPrompt" xfId="2586" xr:uid="{00000000-0005-0000-0000-00001D4C0000}"/>
    <cellStyle name="ColumnHeadingValue" xfId="2587" xr:uid="{00000000-0005-0000-0000-00001E4C0000}"/>
    <cellStyle name="Comma" xfId="25744" builtinId="3"/>
    <cellStyle name="Comma  - Style1" xfId="12" xr:uid="{00000000-0005-0000-0000-0000204C0000}"/>
    <cellStyle name="Comma  - Style1 2" xfId="25802" xr:uid="{00000000-0005-0000-0000-0000204C0000}"/>
    <cellStyle name="Comma  - Style2" xfId="13" xr:uid="{00000000-0005-0000-0000-0000214C0000}"/>
    <cellStyle name="Comma  - Style2 2" xfId="25803" xr:uid="{00000000-0005-0000-0000-0000214C0000}"/>
    <cellStyle name="Comma  - Style3" xfId="14" xr:uid="{00000000-0005-0000-0000-0000224C0000}"/>
    <cellStyle name="Comma  - Style3 2" xfId="25804" xr:uid="{00000000-0005-0000-0000-0000224C0000}"/>
    <cellStyle name="Comma  - Style4" xfId="15" xr:uid="{00000000-0005-0000-0000-0000234C0000}"/>
    <cellStyle name="Comma  - Style4 2" xfId="25805" xr:uid="{00000000-0005-0000-0000-0000234C0000}"/>
    <cellStyle name="Comma  - Style5" xfId="16" xr:uid="{00000000-0005-0000-0000-0000244C0000}"/>
    <cellStyle name="Comma  - Style5 2" xfId="25806" xr:uid="{00000000-0005-0000-0000-0000244C0000}"/>
    <cellStyle name="Comma  - Style6" xfId="17" xr:uid="{00000000-0005-0000-0000-0000254C0000}"/>
    <cellStyle name="Comma  - Style6 2" xfId="25807" xr:uid="{00000000-0005-0000-0000-0000254C0000}"/>
    <cellStyle name="Comma  - Style7" xfId="18" xr:uid="{00000000-0005-0000-0000-0000264C0000}"/>
    <cellStyle name="Comma  - Style7 2" xfId="25808" xr:uid="{00000000-0005-0000-0000-0000264C0000}"/>
    <cellStyle name="Comma  - Style8" xfId="19" xr:uid="{00000000-0005-0000-0000-0000274C0000}"/>
    <cellStyle name="Comma  - Style8 2" xfId="25809" xr:uid="{00000000-0005-0000-0000-0000274C0000}"/>
    <cellStyle name="Comma (0)" xfId="20" xr:uid="{00000000-0005-0000-0000-0000284C0000}"/>
    <cellStyle name="Comma [0] 2" xfId="176" xr:uid="{00000000-0005-0000-0000-0000294C0000}"/>
    <cellStyle name="Comma [0] 2 2" xfId="25888" xr:uid="{00000000-0005-0000-0000-0000294C0000}"/>
    <cellStyle name="Comma [0] 3" xfId="177" xr:uid="{00000000-0005-0000-0000-00002A4C0000}"/>
    <cellStyle name="Comma [0] 3 2" xfId="363" xr:uid="{00000000-0005-0000-0000-00002B4C0000}"/>
    <cellStyle name="Comma [0] 3 2 2" xfId="445" xr:uid="{00000000-0005-0000-0000-00002C4C0000}"/>
    <cellStyle name="Comma [0] 3 2 2 2" xfId="531" xr:uid="{00000000-0005-0000-0000-00002D4C0000}"/>
    <cellStyle name="Comma [0] 3 2 2 2 2" xfId="13894" xr:uid="{00000000-0005-0000-0000-00002E4C0000}"/>
    <cellStyle name="Comma [0] 3 2 2 3" xfId="13817" xr:uid="{00000000-0005-0000-0000-00002F4C0000}"/>
    <cellStyle name="Comma [0] 3 2 3" xfId="494" xr:uid="{00000000-0005-0000-0000-0000304C0000}"/>
    <cellStyle name="Comma [0] 3 2 3 2" xfId="13857" xr:uid="{00000000-0005-0000-0000-0000314C0000}"/>
    <cellStyle name="Comma [0] 3 2 4" xfId="13773" xr:uid="{00000000-0005-0000-0000-0000324C0000}"/>
    <cellStyle name="Comma [0] 3 3" xfId="425" xr:uid="{00000000-0005-0000-0000-0000334C0000}"/>
    <cellStyle name="Comma [0] 3 3 2" xfId="516" xr:uid="{00000000-0005-0000-0000-0000344C0000}"/>
    <cellStyle name="Comma [0] 3 3 2 2" xfId="13879" xr:uid="{00000000-0005-0000-0000-0000354C0000}"/>
    <cellStyle name="Comma [0] 3 3 3" xfId="13802" xr:uid="{00000000-0005-0000-0000-0000364C0000}"/>
    <cellStyle name="Comma [0] 3 4" xfId="479" xr:uid="{00000000-0005-0000-0000-0000374C0000}"/>
    <cellStyle name="Comma [0] 3 4 2" xfId="13842" xr:uid="{00000000-0005-0000-0000-0000384C0000}"/>
    <cellStyle name="Comma [0] 3 5" xfId="13687" xr:uid="{00000000-0005-0000-0000-0000394C0000}"/>
    <cellStyle name="Comma [1]" xfId="547" xr:uid="{00000000-0005-0000-0000-00003A4C0000}"/>
    <cellStyle name="Comma [1] 2" xfId="24066" xr:uid="{00000000-0005-0000-0000-00003B4C0000}"/>
    <cellStyle name="Comma [2]" xfId="548" xr:uid="{00000000-0005-0000-0000-00003C4C0000}"/>
    <cellStyle name="Comma [3]" xfId="549" xr:uid="{00000000-0005-0000-0000-00003D4C0000}"/>
    <cellStyle name="Comma 10" xfId="172" xr:uid="{00000000-0005-0000-0000-00003E4C0000}"/>
    <cellStyle name="Comma 10 10" xfId="25746" xr:uid="{00000000-0005-0000-0000-00003F4C0000}"/>
    <cellStyle name="Comma 10 10 2" xfId="27896" xr:uid="{00000000-0005-0000-0000-00003F4C0000}"/>
    <cellStyle name="Comma 10 11" xfId="28616" xr:uid="{00000000-0005-0000-0000-0000404C0000}"/>
    <cellStyle name="Comma 10 11 2" xfId="28858" xr:uid="{00000000-0005-0000-0000-0000414C0000}"/>
    <cellStyle name="Comma 10 12" xfId="28617" xr:uid="{00000000-0005-0000-0000-0000424C0000}"/>
    <cellStyle name="Comma 10 12 2" xfId="28859" xr:uid="{00000000-0005-0000-0000-0000434C0000}"/>
    <cellStyle name="Comma 10 13" xfId="28618" xr:uid="{00000000-0005-0000-0000-0000444C0000}"/>
    <cellStyle name="Comma 10 13 2" xfId="28860" xr:uid="{00000000-0005-0000-0000-0000454C0000}"/>
    <cellStyle name="Comma 10 2" xfId="281" xr:uid="{00000000-0005-0000-0000-0000404C0000}"/>
    <cellStyle name="Comma 10 2 2" xfId="25942" xr:uid="{00000000-0005-0000-0000-0000404C0000}"/>
    <cellStyle name="Comma 10 3" xfId="633" xr:uid="{00000000-0005-0000-0000-0000414C0000}"/>
    <cellStyle name="Comma 10 3 2" xfId="13905" xr:uid="{00000000-0005-0000-0000-0000424C0000}"/>
    <cellStyle name="Comma 10 3 2 2" xfId="28861" xr:uid="{00000000-0005-0000-0000-00004A4C0000}"/>
    <cellStyle name="Comma 10 3 3" xfId="28619" xr:uid="{00000000-0005-0000-0000-00004B4C0000}"/>
    <cellStyle name="Comma 10 4" xfId="28620" xr:uid="{00000000-0005-0000-0000-00004C4C0000}"/>
    <cellStyle name="Comma 10 4 2" xfId="28862" xr:uid="{00000000-0005-0000-0000-00004D4C0000}"/>
    <cellStyle name="Comma 10 5" xfId="28621" xr:uid="{00000000-0005-0000-0000-00004E4C0000}"/>
    <cellStyle name="Comma 10 5 2" xfId="28863" xr:uid="{00000000-0005-0000-0000-00004F4C0000}"/>
    <cellStyle name="Comma 10 6" xfId="28622" xr:uid="{00000000-0005-0000-0000-0000504C0000}"/>
    <cellStyle name="Comma 10 6 2" xfId="28864" xr:uid="{00000000-0005-0000-0000-0000514C0000}"/>
    <cellStyle name="Comma 10 7" xfId="28623" xr:uid="{00000000-0005-0000-0000-0000524C0000}"/>
    <cellStyle name="Comma 10 7 2" xfId="28865" xr:uid="{00000000-0005-0000-0000-0000534C0000}"/>
    <cellStyle name="Comma 10 8" xfId="28624" xr:uid="{00000000-0005-0000-0000-0000544C0000}"/>
    <cellStyle name="Comma 10 8 2" xfId="28866" xr:uid="{00000000-0005-0000-0000-0000554C0000}"/>
    <cellStyle name="Comma 10 9" xfId="28625" xr:uid="{00000000-0005-0000-0000-0000564C0000}"/>
    <cellStyle name="Comma 10 9 2" xfId="28867" xr:uid="{00000000-0005-0000-0000-0000574C0000}"/>
    <cellStyle name="Comma 11" xfId="178" xr:uid="{00000000-0005-0000-0000-0000434C0000}"/>
    <cellStyle name="Comma 11 10" xfId="28626" xr:uid="{00000000-0005-0000-0000-0000594C0000}"/>
    <cellStyle name="Comma 11 10 2" xfId="28868" xr:uid="{00000000-0005-0000-0000-00005A4C0000}"/>
    <cellStyle name="Comma 11 11" xfId="28627" xr:uid="{00000000-0005-0000-0000-00005B4C0000}"/>
    <cellStyle name="Comma 11 11 2" xfId="28869" xr:uid="{00000000-0005-0000-0000-00005C4C0000}"/>
    <cellStyle name="Comma 11 12" xfId="28628" xr:uid="{00000000-0005-0000-0000-00005D4C0000}"/>
    <cellStyle name="Comma 11 12 2" xfId="28870" xr:uid="{00000000-0005-0000-0000-00005E4C0000}"/>
    <cellStyle name="Comma 11 13" xfId="28629" xr:uid="{00000000-0005-0000-0000-00005F4C0000}"/>
    <cellStyle name="Comma 11 13 2" xfId="28871" xr:uid="{00000000-0005-0000-0000-0000604C0000}"/>
    <cellStyle name="Comma 11 2" xfId="634" xr:uid="{00000000-0005-0000-0000-0000444C0000}"/>
    <cellStyle name="Comma 11 2 2" xfId="28872" xr:uid="{00000000-0005-0000-0000-0000624C0000}"/>
    <cellStyle name="Comma 11 2 3" xfId="28630" xr:uid="{00000000-0005-0000-0000-0000634C0000}"/>
    <cellStyle name="Comma 11 3" xfId="23929" xr:uid="{00000000-0005-0000-0000-0000454C0000}"/>
    <cellStyle name="Comma 11 3 2" xfId="28873" xr:uid="{00000000-0005-0000-0000-0000654C0000}"/>
    <cellStyle name="Comma 11 3 3" xfId="28631" xr:uid="{00000000-0005-0000-0000-0000664C0000}"/>
    <cellStyle name="Comma 11 4" xfId="25889" xr:uid="{00000000-0005-0000-0000-0000434C0000}"/>
    <cellStyle name="Comma 11 4 2" xfId="28874" xr:uid="{00000000-0005-0000-0000-0000684C0000}"/>
    <cellStyle name="Comma 11 5" xfId="28632" xr:uid="{00000000-0005-0000-0000-0000694C0000}"/>
    <cellStyle name="Comma 11 5 2" xfId="28875" xr:uid="{00000000-0005-0000-0000-00006A4C0000}"/>
    <cellStyle name="Comma 11 6" xfId="28633" xr:uid="{00000000-0005-0000-0000-00006B4C0000}"/>
    <cellStyle name="Comma 11 6 2" xfId="28876" xr:uid="{00000000-0005-0000-0000-00006C4C0000}"/>
    <cellStyle name="Comma 11 7" xfId="28634" xr:uid="{00000000-0005-0000-0000-00006D4C0000}"/>
    <cellStyle name="Comma 11 7 2" xfId="28877" xr:uid="{00000000-0005-0000-0000-00006E4C0000}"/>
    <cellStyle name="Comma 11 8" xfId="28635" xr:uid="{00000000-0005-0000-0000-00006F4C0000}"/>
    <cellStyle name="Comma 11 8 2" xfId="28878" xr:uid="{00000000-0005-0000-0000-0000704C0000}"/>
    <cellStyle name="Comma 11 9" xfId="28636" xr:uid="{00000000-0005-0000-0000-0000714C0000}"/>
    <cellStyle name="Comma 11 9 2" xfId="28879" xr:uid="{00000000-0005-0000-0000-0000724C0000}"/>
    <cellStyle name="Comma 12" xfId="179" xr:uid="{00000000-0005-0000-0000-0000464C0000}"/>
    <cellStyle name="Comma 12 10" xfId="28637" xr:uid="{00000000-0005-0000-0000-0000744C0000}"/>
    <cellStyle name="Comma 12 10 2" xfId="28880" xr:uid="{00000000-0005-0000-0000-0000754C0000}"/>
    <cellStyle name="Comma 12 11" xfId="28638" xr:uid="{00000000-0005-0000-0000-0000764C0000}"/>
    <cellStyle name="Comma 12 11 2" xfId="28881" xr:uid="{00000000-0005-0000-0000-0000774C0000}"/>
    <cellStyle name="Comma 12 12" xfId="28639" xr:uid="{00000000-0005-0000-0000-0000784C0000}"/>
    <cellStyle name="Comma 12 12 2" xfId="28882" xr:uid="{00000000-0005-0000-0000-0000794C0000}"/>
    <cellStyle name="Comma 12 13" xfId="28640" xr:uid="{00000000-0005-0000-0000-00007A4C0000}"/>
    <cellStyle name="Comma 12 13 2" xfId="28883" xr:uid="{00000000-0005-0000-0000-00007B4C0000}"/>
    <cellStyle name="Comma 12 2" xfId="25890" xr:uid="{00000000-0005-0000-0000-0000464C0000}"/>
    <cellStyle name="Comma 12 2 2" xfId="28884" xr:uid="{00000000-0005-0000-0000-00007D4C0000}"/>
    <cellStyle name="Comma 12 3" xfId="28641" xr:uid="{00000000-0005-0000-0000-00007E4C0000}"/>
    <cellStyle name="Comma 12 3 2" xfId="28885" xr:uid="{00000000-0005-0000-0000-00007F4C0000}"/>
    <cellStyle name="Comma 12 4" xfId="28642" xr:uid="{00000000-0005-0000-0000-0000804C0000}"/>
    <cellStyle name="Comma 12 4 2" xfId="28886" xr:uid="{00000000-0005-0000-0000-0000814C0000}"/>
    <cellStyle name="Comma 12 5" xfId="28643" xr:uid="{00000000-0005-0000-0000-0000824C0000}"/>
    <cellStyle name="Comma 12 5 2" xfId="28887" xr:uid="{00000000-0005-0000-0000-0000834C0000}"/>
    <cellStyle name="Comma 12 6" xfId="28644" xr:uid="{00000000-0005-0000-0000-0000844C0000}"/>
    <cellStyle name="Comma 12 6 2" xfId="28888" xr:uid="{00000000-0005-0000-0000-0000854C0000}"/>
    <cellStyle name="Comma 12 7" xfId="28645" xr:uid="{00000000-0005-0000-0000-0000864C0000}"/>
    <cellStyle name="Comma 12 7 2" xfId="28889" xr:uid="{00000000-0005-0000-0000-0000874C0000}"/>
    <cellStyle name="Comma 12 8" xfId="28646" xr:uid="{00000000-0005-0000-0000-0000884C0000}"/>
    <cellStyle name="Comma 12 8 2" xfId="28890" xr:uid="{00000000-0005-0000-0000-0000894C0000}"/>
    <cellStyle name="Comma 12 9" xfId="28647" xr:uid="{00000000-0005-0000-0000-00008A4C0000}"/>
    <cellStyle name="Comma 12 9 2" xfId="28891" xr:uid="{00000000-0005-0000-0000-00008B4C0000}"/>
    <cellStyle name="Comma 13" xfId="180" xr:uid="{00000000-0005-0000-0000-0000474C0000}"/>
    <cellStyle name="Comma 13 10" xfId="28648" xr:uid="{00000000-0005-0000-0000-00008D4C0000}"/>
    <cellStyle name="Comma 13 10 2" xfId="28892" xr:uid="{00000000-0005-0000-0000-00008E4C0000}"/>
    <cellStyle name="Comma 13 11" xfId="28649" xr:uid="{00000000-0005-0000-0000-00008F4C0000}"/>
    <cellStyle name="Comma 13 11 2" xfId="28893" xr:uid="{00000000-0005-0000-0000-0000904C0000}"/>
    <cellStyle name="Comma 13 12" xfId="28650" xr:uid="{00000000-0005-0000-0000-0000914C0000}"/>
    <cellStyle name="Comma 13 12 2" xfId="28894" xr:uid="{00000000-0005-0000-0000-0000924C0000}"/>
    <cellStyle name="Comma 13 13" xfId="28651" xr:uid="{00000000-0005-0000-0000-0000934C0000}"/>
    <cellStyle name="Comma 13 13 2" xfId="28895" xr:uid="{00000000-0005-0000-0000-0000944C0000}"/>
    <cellStyle name="Comma 13 2" xfId="25891" xr:uid="{00000000-0005-0000-0000-0000474C0000}"/>
    <cellStyle name="Comma 13 2 2" xfId="28896" xr:uid="{00000000-0005-0000-0000-0000964C0000}"/>
    <cellStyle name="Comma 13 3" xfId="28652" xr:uid="{00000000-0005-0000-0000-0000974C0000}"/>
    <cellStyle name="Comma 13 3 2" xfId="28897" xr:uid="{00000000-0005-0000-0000-0000984C0000}"/>
    <cellStyle name="Comma 13 4" xfId="28653" xr:uid="{00000000-0005-0000-0000-0000994C0000}"/>
    <cellStyle name="Comma 13 4 2" xfId="28898" xr:uid="{00000000-0005-0000-0000-00009A4C0000}"/>
    <cellStyle name="Comma 13 5" xfId="28654" xr:uid="{00000000-0005-0000-0000-00009B4C0000}"/>
    <cellStyle name="Comma 13 5 2" xfId="28899" xr:uid="{00000000-0005-0000-0000-00009C4C0000}"/>
    <cellStyle name="Comma 13 6" xfId="28655" xr:uid="{00000000-0005-0000-0000-00009D4C0000}"/>
    <cellStyle name="Comma 13 6 2" xfId="28900" xr:uid="{00000000-0005-0000-0000-00009E4C0000}"/>
    <cellStyle name="Comma 13 7" xfId="28656" xr:uid="{00000000-0005-0000-0000-00009F4C0000}"/>
    <cellStyle name="Comma 13 7 2" xfId="28901" xr:uid="{00000000-0005-0000-0000-0000A04C0000}"/>
    <cellStyle name="Comma 13 8" xfId="28657" xr:uid="{00000000-0005-0000-0000-0000A14C0000}"/>
    <cellStyle name="Comma 13 8 2" xfId="28902" xr:uid="{00000000-0005-0000-0000-0000A24C0000}"/>
    <cellStyle name="Comma 13 9" xfId="28658" xr:uid="{00000000-0005-0000-0000-0000A34C0000}"/>
    <cellStyle name="Comma 13 9 2" xfId="28903" xr:uid="{00000000-0005-0000-0000-0000A44C0000}"/>
    <cellStyle name="Comma 14" xfId="175" xr:uid="{00000000-0005-0000-0000-0000484C0000}"/>
    <cellStyle name="Comma 14 10" xfId="28659" xr:uid="{00000000-0005-0000-0000-0000A64C0000}"/>
    <cellStyle name="Comma 14 10 2" xfId="28904" xr:uid="{00000000-0005-0000-0000-0000A74C0000}"/>
    <cellStyle name="Comma 14 11" xfId="28660" xr:uid="{00000000-0005-0000-0000-0000A84C0000}"/>
    <cellStyle name="Comma 14 11 2" xfId="28905" xr:uid="{00000000-0005-0000-0000-0000A94C0000}"/>
    <cellStyle name="Comma 14 12" xfId="28661" xr:uid="{00000000-0005-0000-0000-0000AA4C0000}"/>
    <cellStyle name="Comma 14 12 2" xfId="28906" xr:uid="{00000000-0005-0000-0000-0000AB4C0000}"/>
    <cellStyle name="Comma 14 13" xfId="28662" xr:uid="{00000000-0005-0000-0000-0000AC4C0000}"/>
    <cellStyle name="Comma 14 13 2" xfId="28907" xr:uid="{00000000-0005-0000-0000-0000AD4C0000}"/>
    <cellStyle name="Comma 14 2" xfId="25887" xr:uid="{00000000-0005-0000-0000-0000484C0000}"/>
    <cellStyle name="Comma 14 2 2" xfId="28908" xr:uid="{00000000-0005-0000-0000-0000AF4C0000}"/>
    <cellStyle name="Comma 14 3" xfId="28663" xr:uid="{00000000-0005-0000-0000-0000B04C0000}"/>
    <cellStyle name="Comma 14 3 2" xfId="28909" xr:uid="{00000000-0005-0000-0000-0000B14C0000}"/>
    <cellStyle name="Comma 14 4" xfId="28664" xr:uid="{00000000-0005-0000-0000-0000B24C0000}"/>
    <cellStyle name="Comma 14 4 2" xfId="28910" xr:uid="{00000000-0005-0000-0000-0000B34C0000}"/>
    <cellStyle name="Comma 14 5" xfId="28665" xr:uid="{00000000-0005-0000-0000-0000B44C0000}"/>
    <cellStyle name="Comma 14 5 2" xfId="28911" xr:uid="{00000000-0005-0000-0000-0000B54C0000}"/>
    <cellStyle name="Comma 14 6" xfId="28666" xr:uid="{00000000-0005-0000-0000-0000B64C0000}"/>
    <cellStyle name="Comma 14 6 2" xfId="28912" xr:uid="{00000000-0005-0000-0000-0000B74C0000}"/>
    <cellStyle name="Comma 14 7" xfId="28667" xr:uid="{00000000-0005-0000-0000-0000B84C0000}"/>
    <cellStyle name="Comma 14 7 2" xfId="28913" xr:uid="{00000000-0005-0000-0000-0000B94C0000}"/>
    <cellStyle name="Comma 14 8" xfId="28668" xr:uid="{00000000-0005-0000-0000-0000BA4C0000}"/>
    <cellStyle name="Comma 14 8 2" xfId="28914" xr:uid="{00000000-0005-0000-0000-0000BB4C0000}"/>
    <cellStyle name="Comma 14 9" xfId="28669" xr:uid="{00000000-0005-0000-0000-0000BC4C0000}"/>
    <cellStyle name="Comma 14 9 2" xfId="28915" xr:uid="{00000000-0005-0000-0000-0000BD4C0000}"/>
    <cellStyle name="Comma 15" xfId="181" xr:uid="{00000000-0005-0000-0000-0000494C0000}"/>
    <cellStyle name="Comma 15 2" xfId="27902" xr:uid="{00000000-0005-0000-0000-00004A4C0000}"/>
    <cellStyle name="Comma 15 3" xfId="25892" xr:uid="{00000000-0005-0000-0000-0000494C0000}"/>
    <cellStyle name="Comma 16" xfId="173" xr:uid="{00000000-0005-0000-0000-00004A4C0000}"/>
    <cellStyle name="Comma 16 2" xfId="27905" xr:uid="{00000000-0005-0000-0000-00004C4C0000}"/>
    <cellStyle name="Comma 16 3" xfId="25885" xr:uid="{00000000-0005-0000-0000-00004B4C0000}"/>
    <cellStyle name="Comma 17" xfId="182" xr:uid="{00000000-0005-0000-0000-00004B4C0000}"/>
    <cellStyle name="Comma 17 2" xfId="25893" xr:uid="{00000000-0005-0000-0000-00004D4C0000}"/>
    <cellStyle name="Comma 18" xfId="174" xr:uid="{00000000-0005-0000-0000-00004C4C0000}"/>
    <cellStyle name="Comma 18 2" xfId="27917" xr:uid="{00000000-0005-0000-0000-00004F4C0000}"/>
    <cellStyle name="Comma 18 3" xfId="25886" xr:uid="{00000000-0005-0000-0000-00004E4C0000}"/>
    <cellStyle name="Comma 19" xfId="283" xr:uid="{00000000-0005-0000-0000-00004D4C0000}"/>
    <cellStyle name="Comma 19 2" xfId="25944" xr:uid="{00000000-0005-0000-0000-0000504C0000}"/>
    <cellStyle name="Comma 2" xfId="5" xr:uid="{00000000-0005-0000-0000-00004E4C0000}"/>
    <cellStyle name="Comma 2 10" xfId="25768" xr:uid="{00000000-0005-0000-0000-00004F4C0000}"/>
    <cellStyle name="Comma 2 2" xfId="21" xr:uid="{00000000-0005-0000-0000-0000504C0000}"/>
    <cellStyle name="Comma 2 2 2" xfId="398" xr:uid="{00000000-0005-0000-0000-0000514C0000}"/>
    <cellStyle name="Comma 2 2 2 2" xfId="637" xr:uid="{00000000-0005-0000-0000-0000524C0000}"/>
    <cellStyle name="Comma 2 2 2 3" xfId="636" xr:uid="{00000000-0005-0000-0000-0000534C0000}"/>
    <cellStyle name="Comma 2 2 2 4" xfId="25782" xr:uid="{00000000-0005-0000-0000-0000544C0000}"/>
    <cellStyle name="Comma 2 2 2 5" xfId="28917" xr:uid="{00000000-0005-0000-0000-0000CF4C0000}"/>
    <cellStyle name="Comma 2 2 3" xfId="374" xr:uid="{00000000-0005-0000-0000-0000554C0000}"/>
    <cellStyle name="Comma 2 2 3 2" xfId="638" xr:uid="{00000000-0005-0000-0000-0000564C0000}"/>
    <cellStyle name="Comma 2 2 3 3" xfId="25995" xr:uid="{00000000-0005-0000-0000-0000584C0000}"/>
    <cellStyle name="Comma 2 2 4" xfId="23898" xr:uid="{00000000-0005-0000-0000-0000574C0000}"/>
    <cellStyle name="Comma 2 2 5" xfId="25769" xr:uid="{00000000-0005-0000-0000-0000584C0000}"/>
    <cellStyle name="Comma 2 3" xfId="183" xr:uid="{00000000-0005-0000-0000-0000594C0000}"/>
    <cellStyle name="Comma 2 3 2" xfId="364" xr:uid="{00000000-0005-0000-0000-00005A4C0000}"/>
    <cellStyle name="Comma 2 3 2 2" xfId="446" xr:uid="{00000000-0005-0000-0000-00005B4C0000}"/>
    <cellStyle name="Comma 2 3 2 2 2" xfId="532" xr:uid="{00000000-0005-0000-0000-00005C4C0000}"/>
    <cellStyle name="Comma 2 3 2 2 2 2" xfId="13895" xr:uid="{00000000-0005-0000-0000-00005D4C0000}"/>
    <cellStyle name="Comma 2 3 2 2 3" xfId="13818" xr:uid="{00000000-0005-0000-0000-00005E4C0000}"/>
    <cellStyle name="Comma 2 3 2 3" xfId="495" xr:uid="{00000000-0005-0000-0000-00005F4C0000}"/>
    <cellStyle name="Comma 2 3 2 3 2" xfId="13858" xr:uid="{00000000-0005-0000-0000-0000604C0000}"/>
    <cellStyle name="Comma 2 3 2 4" xfId="13774" xr:uid="{00000000-0005-0000-0000-0000614C0000}"/>
    <cellStyle name="Comma 2 3 2 5" xfId="28918" xr:uid="{00000000-0005-0000-0000-0000DD4C0000}"/>
    <cellStyle name="Comma 2 3 3" xfId="426" xr:uid="{00000000-0005-0000-0000-0000624C0000}"/>
    <cellStyle name="Comma 2 3 3 2" xfId="517" xr:uid="{00000000-0005-0000-0000-0000634C0000}"/>
    <cellStyle name="Comma 2 3 3 2 2" xfId="13880" xr:uid="{00000000-0005-0000-0000-0000644C0000}"/>
    <cellStyle name="Comma 2 3 3 3" xfId="13803" xr:uid="{00000000-0005-0000-0000-0000654C0000}"/>
    <cellStyle name="Comma 2 3 4" xfId="480" xr:uid="{00000000-0005-0000-0000-0000664C0000}"/>
    <cellStyle name="Comma 2 3 4 2" xfId="13843" xr:uid="{00000000-0005-0000-0000-0000674C0000}"/>
    <cellStyle name="Comma 2 3 5" xfId="639" xr:uid="{00000000-0005-0000-0000-0000684C0000}"/>
    <cellStyle name="Comma 2 3 5 2" xfId="13907" xr:uid="{00000000-0005-0000-0000-0000694C0000}"/>
    <cellStyle name="Comma 2 3 6" xfId="13688" xr:uid="{00000000-0005-0000-0000-00006A4C0000}"/>
    <cellStyle name="Comma 2 3 7" xfId="24067" xr:uid="{00000000-0005-0000-0000-00006B4C0000}"/>
    <cellStyle name="Comma 2 3 8" xfId="28670" xr:uid="{00000000-0005-0000-0000-0000E84C0000}"/>
    <cellStyle name="Comma 2 4" xfId="351" xr:uid="{00000000-0005-0000-0000-00006C4C0000}"/>
    <cellStyle name="Comma 2 4 2" xfId="25783" xr:uid="{00000000-0005-0000-0000-00006D4C0000}"/>
    <cellStyle name="Comma 2 4 2 2" xfId="28919" xr:uid="{00000000-0005-0000-0000-0000EB4C0000}"/>
    <cellStyle name="Comma 2 4 3" xfId="25770" xr:uid="{00000000-0005-0000-0000-00006E4C0000}"/>
    <cellStyle name="Comma 2 4 4" xfId="27924" xr:uid="{00000000-0005-0000-0000-0000724C0000}"/>
    <cellStyle name="Comma 2 4 5" xfId="25990" xr:uid="{00000000-0005-0000-0000-00006F4C0000}"/>
    <cellStyle name="Comma 2 5" xfId="373" xr:uid="{00000000-0005-0000-0000-00006F4C0000}"/>
    <cellStyle name="Comma 2 5 2" xfId="25784" xr:uid="{00000000-0005-0000-0000-0000704C0000}"/>
    <cellStyle name="Comma 2 5 2 2" xfId="28920" xr:uid="{00000000-0005-0000-0000-0000EF4C0000}"/>
    <cellStyle name="Comma 2 5 3" xfId="25771" xr:uid="{00000000-0005-0000-0000-0000714C0000}"/>
    <cellStyle name="Comma 2 5 4" xfId="28671" xr:uid="{00000000-0005-0000-0000-0000F14C0000}"/>
    <cellStyle name="Comma 2 6" xfId="635" xr:uid="{00000000-0005-0000-0000-0000724C0000}"/>
    <cellStyle name="Comma 2 6 2" xfId="13906" xr:uid="{00000000-0005-0000-0000-0000734C0000}"/>
    <cellStyle name="Comma 2 6 2 2" xfId="28921" xr:uid="{00000000-0005-0000-0000-0000F44C0000}"/>
    <cellStyle name="Comma 2 6 3" xfId="25781" xr:uid="{00000000-0005-0000-0000-0000744C0000}"/>
    <cellStyle name="Comma 2 7" xfId="2588" xr:uid="{00000000-0005-0000-0000-0000754C0000}"/>
    <cellStyle name="Comma 2 7 2" xfId="28916" xr:uid="{00000000-0005-0000-0000-0000F74C0000}"/>
    <cellStyle name="Comma 2 8" xfId="13603" xr:uid="{00000000-0005-0000-0000-0000764C0000}"/>
    <cellStyle name="Comma 2 8 2" xfId="26558" xr:uid="{00000000-0005-0000-0000-00007A4C0000}"/>
    <cellStyle name="Comma 2 9" xfId="12600" xr:uid="{00000000-0005-0000-0000-0000774C0000}"/>
    <cellStyle name="Comma 20" xfId="282" xr:uid="{00000000-0005-0000-0000-0000784C0000}"/>
    <cellStyle name="Comma 20 2" xfId="27916" xr:uid="{00000000-0005-0000-0000-00007D4C0000}"/>
    <cellStyle name="Comma 20 3" xfId="25943" xr:uid="{00000000-0005-0000-0000-00007C4C0000}"/>
    <cellStyle name="Comma 21" xfId="290" xr:uid="{00000000-0005-0000-0000-0000794C0000}"/>
    <cellStyle name="Comma 21 2" xfId="369" xr:uid="{00000000-0005-0000-0000-00007A4C0000}"/>
    <cellStyle name="Comma 21 2 2" xfId="25994" xr:uid="{00000000-0005-0000-0000-00007F4C0000}"/>
    <cellStyle name="Comma 21 3" xfId="27915" xr:uid="{00000000-0005-0000-0000-0000804C0000}"/>
    <cellStyle name="Comma 21 4" xfId="25949" xr:uid="{00000000-0005-0000-0000-00007E4C0000}"/>
    <cellStyle name="Comma 22" xfId="288" xr:uid="{00000000-0005-0000-0000-00007B4C0000}"/>
    <cellStyle name="Comma 22 2" xfId="27914" xr:uid="{00000000-0005-0000-0000-0000824C0000}"/>
    <cellStyle name="Comma 22 3" xfId="25947" xr:uid="{00000000-0005-0000-0000-0000814C0000}"/>
    <cellStyle name="Comma 23" xfId="291" xr:uid="{00000000-0005-0000-0000-00007C4C0000}"/>
    <cellStyle name="Comma 23 2" xfId="27913" xr:uid="{00000000-0005-0000-0000-0000844C0000}"/>
    <cellStyle name="Comma 23 3" xfId="25950" xr:uid="{00000000-0005-0000-0000-0000834C0000}"/>
    <cellStyle name="Comma 24" xfId="289" xr:uid="{00000000-0005-0000-0000-00007D4C0000}"/>
    <cellStyle name="Comma 24 2" xfId="27912" xr:uid="{00000000-0005-0000-0000-0000864C0000}"/>
    <cellStyle name="Comma 24 3" xfId="25948" xr:uid="{00000000-0005-0000-0000-0000854C0000}"/>
    <cellStyle name="Comma 25" xfId="301" xr:uid="{00000000-0005-0000-0000-00007E4C0000}"/>
    <cellStyle name="Comma 25 2" xfId="27904" xr:uid="{00000000-0005-0000-0000-0000884C0000}"/>
    <cellStyle name="Comma 25 3" xfId="25956" xr:uid="{00000000-0005-0000-0000-0000874C0000}"/>
    <cellStyle name="Comma 26" xfId="300" xr:uid="{00000000-0005-0000-0000-00007F4C0000}"/>
    <cellStyle name="Comma 26 2" xfId="27911" xr:uid="{00000000-0005-0000-0000-00008A4C0000}"/>
    <cellStyle name="Comma 26 3" xfId="25955" xr:uid="{00000000-0005-0000-0000-0000894C0000}"/>
    <cellStyle name="Comma 27" xfId="312" xr:uid="{00000000-0005-0000-0000-0000804C0000}"/>
    <cellStyle name="Comma 27 2" xfId="25964" xr:uid="{00000000-0005-0000-0000-00008B4C0000}"/>
    <cellStyle name="Comma 28" xfId="311" xr:uid="{00000000-0005-0000-0000-0000814C0000}"/>
    <cellStyle name="Comma 28 2" xfId="25963" xr:uid="{00000000-0005-0000-0000-00008C4C0000}"/>
    <cellStyle name="Comma 29" xfId="313" xr:uid="{00000000-0005-0000-0000-0000824C0000}"/>
    <cellStyle name="Comma 29 2" xfId="25965" xr:uid="{00000000-0005-0000-0000-00008D4C0000}"/>
    <cellStyle name="Comma 3" xfId="10" xr:uid="{00000000-0005-0000-0000-0000834C0000}"/>
    <cellStyle name="Comma 3 10" xfId="23905" xr:uid="{00000000-0005-0000-0000-0000844C0000}"/>
    <cellStyle name="Comma 3 10 2" xfId="28922" xr:uid="{00000000-0005-0000-0000-00000F4D0000}"/>
    <cellStyle name="Comma 3 10 3" xfId="28672" xr:uid="{00000000-0005-0000-0000-0000104D0000}"/>
    <cellStyle name="Comma 3 11" xfId="25779" xr:uid="{00000000-0005-0000-0000-0000854C0000}"/>
    <cellStyle name="Comma 3 11 2" xfId="28923" xr:uid="{00000000-0005-0000-0000-0000124D0000}"/>
    <cellStyle name="Comma 3 11 3" xfId="28673" xr:uid="{00000000-0005-0000-0000-0000134D0000}"/>
    <cellStyle name="Comma 3 12" xfId="25801" xr:uid="{00000000-0005-0000-0000-00008E4C0000}"/>
    <cellStyle name="Comma 3 12 2" xfId="28924" xr:uid="{00000000-0005-0000-0000-0000154D0000}"/>
    <cellStyle name="Comma 3 13" xfId="28674" xr:uid="{00000000-0005-0000-0000-0000164D0000}"/>
    <cellStyle name="Comma 3 13 2" xfId="28925" xr:uid="{00000000-0005-0000-0000-0000174D0000}"/>
    <cellStyle name="Comma 3 2" xfId="22" xr:uid="{00000000-0005-0000-0000-0000864C0000}"/>
    <cellStyle name="Comma 3 2 2" xfId="28926" xr:uid="{00000000-0005-0000-0000-0000194D0000}"/>
    <cellStyle name="Comma 3 2 3" xfId="28675" xr:uid="{00000000-0005-0000-0000-00001A4D0000}"/>
    <cellStyle name="Comma 3 3" xfId="184" xr:uid="{00000000-0005-0000-0000-0000874C0000}"/>
    <cellStyle name="Comma 3 3 2" xfId="28927" xr:uid="{00000000-0005-0000-0000-00001C4D0000}"/>
    <cellStyle name="Comma 3 3 3" xfId="28676" xr:uid="{00000000-0005-0000-0000-00001D4D0000}"/>
    <cellStyle name="Comma 3 4" xfId="353" xr:uid="{00000000-0005-0000-0000-0000884C0000}"/>
    <cellStyle name="Comma 3 4 2" xfId="25992" xr:uid="{00000000-0005-0000-0000-0000934C0000}"/>
    <cellStyle name="Comma 3 5" xfId="397" xr:uid="{00000000-0005-0000-0000-0000894C0000}"/>
    <cellStyle name="Comma 3 5 2" xfId="26009" xr:uid="{00000000-0005-0000-0000-0000944C0000}"/>
    <cellStyle name="Comma 3 6" xfId="375" xr:uid="{00000000-0005-0000-0000-00008A4C0000}"/>
    <cellStyle name="Comma 3 6 2" xfId="28928" xr:uid="{00000000-0005-0000-0000-0000234D0000}"/>
    <cellStyle name="Comma 3 6 3" xfId="28677" xr:uid="{00000000-0005-0000-0000-0000244D0000}"/>
    <cellStyle name="Comma 3 7" xfId="2589" xr:uid="{00000000-0005-0000-0000-00008B4C0000}"/>
    <cellStyle name="Comma 3 7 2" xfId="28929" xr:uid="{00000000-0005-0000-0000-0000264D0000}"/>
    <cellStyle name="Comma 3 7 3" xfId="28678" xr:uid="{00000000-0005-0000-0000-0000274D0000}"/>
    <cellStyle name="Comma 3 8" xfId="13605" xr:uid="{00000000-0005-0000-0000-00008C4C0000}"/>
    <cellStyle name="Comma 3 8 2" xfId="26560" xr:uid="{00000000-0005-0000-0000-0000974C0000}"/>
    <cellStyle name="Comma 3 9" xfId="13599" xr:uid="{00000000-0005-0000-0000-00008D4C0000}"/>
    <cellStyle name="Comma 3 9 2" xfId="28930" xr:uid="{00000000-0005-0000-0000-00002B4D0000}"/>
    <cellStyle name="Comma 3 9 3" xfId="28679" xr:uid="{00000000-0005-0000-0000-00002C4D0000}"/>
    <cellStyle name="Comma 30" xfId="310" xr:uid="{00000000-0005-0000-0000-00008E4C0000}"/>
    <cellStyle name="Comma 30 2" xfId="25962" xr:uid="{00000000-0005-0000-0000-0000994C0000}"/>
    <cellStyle name="Comma 31" xfId="314" xr:uid="{00000000-0005-0000-0000-00008F4C0000}"/>
    <cellStyle name="Comma 31 2" xfId="27918" xr:uid="{00000000-0005-0000-0000-00009B4C0000}"/>
    <cellStyle name="Comma 31 3" xfId="25966" xr:uid="{00000000-0005-0000-0000-00009A4C0000}"/>
    <cellStyle name="Comma 32" xfId="308" xr:uid="{00000000-0005-0000-0000-0000904C0000}"/>
    <cellStyle name="Comma 32 2" xfId="27920" xr:uid="{00000000-0005-0000-0000-00009D4C0000}"/>
    <cellStyle name="Comma 32 3" xfId="25961" xr:uid="{00000000-0005-0000-0000-00009C4C0000}"/>
    <cellStyle name="Comma 33" xfId="315" xr:uid="{00000000-0005-0000-0000-0000914C0000}"/>
    <cellStyle name="Comma 33 2" xfId="25967" xr:uid="{00000000-0005-0000-0000-00009E4C0000}"/>
    <cellStyle name="Comma 34" xfId="306" xr:uid="{00000000-0005-0000-0000-0000924C0000}"/>
    <cellStyle name="Comma 34 2" xfId="27910" xr:uid="{00000000-0005-0000-0000-0000A04C0000}"/>
    <cellStyle name="Comma 34 3" xfId="25959" xr:uid="{00000000-0005-0000-0000-00009F4C0000}"/>
    <cellStyle name="Comma 35" xfId="337" xr:uid="{00000000-0005-0000-0000-0000934C0000}"/>
    <cellStyle name="Comma 35 2" xfId="27919" xr:uid="{00000000-0005-0000-0000-0000A24C0000}"/>
    <cellStyle name="Comma 35 3" xfId="25981" xr:uid="{00000000-0005-0000-0000-0000A14C0000}"/>
    <cellStyle name="Comma 36" xfId="334" xr:uid="{00000000-0005-0000-0000-0000944C0000}"/>
    <cellStyle name="Comma 36 2" xfId="25978" xr:uid="{00000000-0005-0000-0000-0000A34C0000}"/>
    <cellStyle name="Comma 37" xfId="338" xr:uid="{00000000-0005-0000-0000-0000954C0000}"/>
    <cellStyle name="Comma 37 2" xfId="25982" xr:uid="{00000000-0005-0000-0000-0000A44C0000}"/>
    <cellStyle name="Comma 38" xfId="336" xr:uid="{00000000-0005-0000-0000-0000964C0000}"/>
    <cellStyle name="Comma 38 2" xfId="25980" xr:uid="{00000000-0005-0000-0000-0000A54C0000}"/>
    <cellStyle name="Comma 39" xfId="394" xr:uid="{00000000-0005-0000-0000-0000974C0000}"/>
    <cellStyle name="Comma 39 2" xfId="26006" xr:uid="{00000000-0005-0000-0000-0000A64C0000}"/>
    <cellStyle name="Comma 4" xfId="8" xr:uid="{00000000-0005-0000-0000-0000984C0000}"/>
    <cellStyle name="Comma 4 10" xfId="28680" xr:uid="{00000000-0005-0000-0000-00003E4D0000}"/>
    <cellStyle name="Comma 4 10 2" xfId="28931" xr:uid="{00000000-0005-0000-0000-00003F4D0000}"/>
    <cellStyle name="Comma 4 11" xfId="28681" xr:uid="{00000000-0005-0000-0000-0000404D0000}"/>
    <cellStyle name="Comma 4 11 2" xfId="28932" xr:uid="{00000000-0005-0000-0000-0000414D0000}"/>
    <cellStyle name="Comma 4 12" xfId="28682" xr:uid="{00000000-0005-0000-0000-0000424D0000}"/>
    <cellStyle name="Comma 4 12 2" xfId="28933" xr:uid="{00000000-0005-0000-0000-0000434D0000}"/>
    <cellStyle name="Comma 4 13" xfId="28683" xr:uid="{00000000-0005-0000-0000-0000444D0000}"/>
    <cellStyle name="Comma 4 13 2" xfId="28934" xr:uid="{00000000-0005-0000-0000-0000454D0000}"/>
    <cellStyle name="Comma 4 2" xfId="185" xr:uid="{00000000-0005-0000-0000-0000994C0000}"/>
    <cellStyle name="Comma 4 2 2" xfId="365" xr:uid="{00000000-0005-0000-0000-00009A4C0000}"/>
    <cellStyle name="Comma 4 2 2 2" xfId="447" xr:uid="{00000000-0005-0000-0000-00009B4C0000}"/>
    <cellStyle name="Comma 4 2 2 2 2" xfId="533" xr:uid="{00000000-0005-0000-0000-00009C4C0000}"/>
    <cellStyle name="Comma 4 2 2 2 2 2" xfId="13896" xr:uid="{00000000-0005-0000-0000-00009D4C0000}"/>
    <cellStyle name="Comma 4 2 2 2 3" xfId="13819" xr:uid="{00000000-0005-0000-0000-00009E4C0000}"/>
    <cellStyle name="Comma 4 2 2 3" xfId="496" xr:uid="{00000000-0005-0000-0000-00009F4C0000}"/>
    <cellStyle name="Comma 4 2 2 3 2" xfId="13859" xr:uid="{00000000-0005-0000-0000-0000A04C0000}"/>
    <cellStyle name="Comma 4 2 2 4" xfId="13775" xr:uid="{00000000-0005-0000-0000-0000A14C0000}"/>
    <cellStyle name="Comma 4 2 2 5" xfId="28935" xr:uid="{00000000-0005-0000-0000-00004F4D0000}"/>
    <cellStyle name="Comma 4 2 3" xfId="427" xr:uid="{00000000-0005-0000-0000-0000A24C0000}"/>
    <cellStyle name="Comma 4 2 3 2" xfId="518" xr:uid="{00000000-0005-0000-0000-0000A34C0000}"/>
    <cellStyle name="Comma 4 2 3 2 2" xfId="13881" xr:uid="{00000000-0005-0000-0000-0000A44C0000}"/>
    <cellStyle name="Comma 4 2 3 3" xfId="13804" xr:uid="{00000000-0005-0000-0000-0000A54C0000}"/>
    <cellStyle name="Comma 4 2 4" xfId="481" xr:uid="{00000000-0005-0000-0000-0000A64C0000}"/>
    <cellStyle name="Comma 4 2 4 2" xfId="13844" xr:uid="{00000000-0005-0000-0000-0000A74C0000}"/>
    <cellStyle name="Comma 4 2 5" xfId="641" xr:uid="{00000000-0005-0000-0000-0000A84C0000}"/>
    <cellStyle name="Comma 4 2 6" xfId="13689" xr:uid="{00000000-0005-0000-0000-0000A94C0000}"/>
    <cellStyle name="Comma 4 2 7" xfId="24068" xr:uid="{00000000-0005-0000-0000-0000AA4C0000}"/>
    <cellStyle name="Comma 4 2 7 2" xfId="27057" xr:uid="{00000000-0005-0000-0000-0000B94C0000}"/>
    <cellStyle name="Comma 4 3" xfId="352" xr:uid="{00000000-0005-0000-0000-0000AB4C0000}"/>
    <cellStyle name="Comma 4 3 2" xfId="25991" xr:uid="{00000000-0005-0000-0000-0000BA4C0000}"/>
    <cellStyle name="Comma 4 4" xfId="640" xr:uid="{00000000-0005-0000-0000-0000AC4C0000}"/>
    <cellStyle name="Comma 4 4 2" xfId="28936" xr:uid="{00000000-0005-0000-0000-00005C4D0000}"/>
    <cellStyle name="Comma 4 4 3" xfId="28684" xr:uid="{00000000-0005-0000-0000-00005D4D0000}"/>
    <cellStyle name="Comma 4 5" xfId="3619" xr:uid="{00000000-0005-0000-0000-0000AD4C0000}"/>
    <cellStyle name="Comma 4 5 2" xfId="28937" xr:uid="{00000000-0005-0000-0000-00005F4D0000}"/>
    <cellStyle name="Comma 4 5 3" xfId="28685" xr:uid="{00000000-0005-0000-0000-0000604D0000}"/>
    <cellStyle name="Comma 4 6" xfId="25792" xr:uid="{00000000-0005-0000-0000-0000AE4C0000}"/>
    <cellStyle name="Comma 4 6 2" xfId="28938" xr:uid="{00000000-0005-0000-0000-0000624D0000}"/>
    <cellStyle name="Comma 4 7" xfId="28686" xr:uid="{00000000-0005-0000-0000-0000634D0000}"/>
    <cellStyle name="Comma 4 7 2" xfId="28939" xr:uid="{00000000-0005-0000-0000-0000644D0000}"/>
    <cellStyle name="Comma 4 8" xfId="28687" xr:uid="{00000000-0005-0000-0000-0000654D0000}"/>
    <cellStyle name="Comma 4 8 2" xfId="28940" xr:uid="{00000000-0005-0000-0000-0000664D0000}"/>
    <cellStyle name="Comma 4 9" xfId="28688" xr:uid="{00000000-0005-0000-0000-0000674D0000}"/>
    <cellStyle name="Comma 4 9 2" xfId="28941" xr:uid="{00000000-0005-0000-0000-0000684D0000}"/>
    <cellStyle name="Comma 40" xfId="371" xr:uid="{00000000-0005-0000-0000-0000AF4C0000}"/>
    <cellStyle name="Comma 40 2" xfId="501" xr:uid="{00000000-0005-0000-0000-0000B04C0000}"/>
    <cellStyle name="Comma 40 2 2" xfId="13864" xr:uid="{00000000-0005-0000-0000-0000B14C0000}"/>
    <cellStyle name="Comma 40 3" xfId="13780" xr:uid="{00000000-0005-0000-0000-0000B24C0000}"/>
    <cellStyle name="Comma 41" xfId="391" xr:uid="{00000000-0005-0000-0000-0000B34C0000}"/>
    <cellStyle name="Comma 41 2" xfId="505" xr:uid="{00000000-0005-0000-0000-0000B44C0000}"/>
    <cellStyle name="Comma 41 2 2" xfId="13868" xr:uid="{00000000-0005-0000-0000-0000B54C0000}"/>
    <cellStyle name="Comma 41 3" xfId="13786" xr:uid="{00000000-0005-0000-0000-0000B64C0000}"/>
    <cellStyle name="Comma 42" xfId="388" xr:uid="{00000000-0005-0000-0000-0000B74C0000}"/>
    <cellStyle name="Comma 42 2" xfId="504" xr:uid="{00000000-0005-0000-0000-0000B84C0000}"/>
    <cellStyle name="Comma 42 2 2" xfId="13867" xr:uid="{00000000-0005-0000-0000-0000B94C0000}"/>
    <cellStyle name="Comma 42 3" xfId="13784" xr:uid="{00000000-0005-0000-0000-0000BA4C0000}"/>
    <cellStyle name="Comma 43" xfId="452" xr:uid="{00000000-0005-0000-0000-0000BB4C0000}"/>
    <cellStyle name="Comma 43 2" xfId="538" xr:uid="{00000000-0005-0000-0000-0000BC4C0000}"/>
    <cellStyle name="Comma 43 2 2" xfId="13901" xr:uid="{00000000-0005-0000-0000-0000BD4C0000}"/>
    <cellStyle name="Comma 43 3" xfId="13824" xr:uid="{00000000-0005-0000-0000-0000BE4C0000}"/>
    <cellStyle name="Comma 44" xfId="13600" xr:uid="{00000000-0005-0000-0000-0000BF4C0000}"/>
    <cellStyle name="Comma 44 2" xfId="26555" xr:uid="{00000000-0005-0000-0000-0000CE4C0000}"/>
    <cellStyle name="Comma 45" xfId="23886" xr:uid="{00000000-0005-0000-0000-0000C04C0000}"/>
    <cellStyle name="Comma 46" xfId="23891" xr:uid="{00000000-0005-0000-0000-0000C14C0000}"/>
    <cellStyle name="Comma 47" xfId="23895" xr:uid="{00000000-0005-0000-0000-0000C24C0000}"/>
    <cellStyle name="Comma 48" xfId="23899" xr:uid="{00000000-0005-0000-0000-0000C34C0000}"/>
    <cellStyle name="Comma 49" xfId="2" xr:uid="{00000000-0005-0000-0000-0000C44C0000}"/>
    <cellStyle name="Comma 49 2" xfId="25798" xr:uid="{00000000-0005-0000-0000-0000D34C0000}"/>
    <cellStyle name="Comma 5" xfId="23" xr:uid="{00000000-0005-0000-0000-0000C54C0000}"/>
    <cellStyle name="Comma 5 10" xfId="28689" xr:uid="{00000000-0005-0000-0000-0000804D0000}"/>
    <cellStyle name="Comma 5 10 2" xfId="28942" xr:uid="{00000000-0005-0000-0000-0000814D0000}"/>
    <cellStyle name="Comma 5 11" xfId="28690" xr:uid="{00000000-0005-0000-0000-0000824D0000}"/>
    <cellStyle name="Comma 5 11 2" xfId="28943" xr:uid="{00000000-0005-0000-0000-0000834D0000}"/>
    <cellStyle name="Comma 5 12" xfId="28691" xr:uid="{00000000-0005-0000-0000-0000844D0000}"/>
    <cellStyle name="Comma 5 12 2" xfId="28944" xr:uid="{00000000-0005-0000-0000-0000854D0000}"/>
    <cellStyle name="Comma 5 13" xfId="28692" xr:uid="{00000000-0005-0000-0000-0000864D0000}"/>
    <cellStyle name="Comma 5 13 2" xfId="28945" xr:uid="{00000000-0005-0000-0000-0000874D0000}"/>
    <cellStyle name="Comma 5 2" xfId="24069" xr:uid="{00000000-0005-0000-0000-0000C64C0000}"/>
    <cellStyle name="Comma 5 2 2" xfId="28946" xr:uid="{00000000-0005-0000-0000-0000894D0000}"/>
    <cellStyle name="Comma 5 2 3" xfId="28693" xr:uid="{00000000-0005-0000-0000-00008A4D0000}"/>
    <cellStyle name="Comma 5 3" xfId="28694" xr:uid="{00000000-0005-0000-0000-00008B4D0000}"/>
    <cellStyle name="Comma 5 3 2" xfId="28947" xr:uid="{00000000-0005-0000-0000-00008C4D0000}"/>
    <cellStyle name="Comma 5 4" xfId="28695" xr:uid="{00000000-0005-0000-0000-00008D4D0000}"/>
    <cellStyle name="Comma 5 4 2" xfId="28948" xr:uid="{00000000-0005-0000-0000-00008E4D0000}"/>
    <cellStyle name="Comma 5 5" xfId="28696" xr:uid="{00000000-0005-0000-0000-00008F4D0000}"/>
    <cellStyle name="Comma 5 5 2" xfId="28949" xr:uid="{00000000-0005-0000-0000-0000904D0000}"/>
    <cellStyle name="Comma 5 6" xfId="28697" xr:uid="{00000000-0005-0000-0000-0000914D0000}"/>
    <cellStyle name="Comma 5 6 2" xfId="28950" xr:uid="{00000000-0005-0000-0000-0000924D0000}"/>
    <cellStyle name="Comma 5 7" xfId="28698" xr:uid="{00000000-0005-0000-0000-0000934D0000}"/>
    <cellStyle name="Comma 5 7 2" xfId="28951" xr:uid="{00000000-0005-0000-0000-0000944D0000}"/>
    <cellStyle name="Comma 5 8" xfId="28699" xr:uid="{00000000-0005-0000-0000-0000954D0000}"/>
    <cellStyle name="Comma 5 8 2" xfId="28952" xr:uid="{00000000-0005-0000-0000-0000964D0000}"/>
    <cellStyle name="Comma 5 9" xfId="28700" xr:uid="{00000000-0005-0000-0000-0000974D0000}"/>
    <cellStyle name="Comma 5 9 2" xfId="28953" xr:uid="{00000000-0005-0000-0000-0000984D0000}"/>
    <cellStyle name="Comma 50" xfId="25277" xr:uid="{00000000-0005-0000-0000-0000C74C0000}"/>
    <cellStyle name="Comma 50 2" xfId="27434" xr:uid="{00000000-0005-0000-0000-0000D64C0000}"/>
    <cellStyle name="Comma 51" xfId="25294" xr:uid="{00000000-0005-0000-0000-0000C84C0000}"/>
    <cellStyle name="Comma 51 2" xfId="27451" xr:uid="{00000000-0005-0000-0000-0000D74C0000}"/>
    <cellStyle name="Comma 52" xfId="25456" xr:uid="{00000000-0005-0000-0000-0000C94C0000}"/>
    <cellStyle name="Comma 52 2" xfId="27611" xr:uid="{00000000-0005-0000-0000-0000D84C0000}"/>
    <cellStyle name="Comma 53" xfId="25749" xr:uid="{00000000-0005-0000-0000-0000CA4C0000}"/>
    <cellStyle name="Comma 54" xfId="25755" xr:uid="{00000000-0005-0000-0000-0000CB4C0000}"/>
    <cellStyle name="Comma 55" xfId="25756" xr:uid="{00000000-0005-0000-0000-0000CC4C0000}"/>
    <cellStyle name="Comma 56" xfId="25761" xr:uid="{00000000-0005-0000-0000-0000CD4C0000}"/>
    <cellStyle name="Comma 57" xfId="25762" xr:uid="{00000000-0005-0000-0000-0000CE4C0000}"/>
    <cellStyle name="Comma 58" xfId="28615" xr:uid="{00000000-0005-0000-0000-0000A14D0000}"/>
    <cellStyle name="Comma 59" xfId="28845" xr:uid="{00000000-0005-0000-0000-0000A24D0000}"/>
    <cellStyle name="Comma 6" xfId="24" xr:uid="{00000000-0005-0000-0000-0000CF4C0000}"/>
    <cellStyle name="Comma 6 10" xfId="28701" xr:uid="{00000000-0005-0000-0000-0000A44D0000}"/>
    <cellStyle name="Comma 6 10 2" xfId="28954" xr:uid="{00000000-0005-0000-0000-0000A54D0000}"/>
    <cellStyle name="Comma 6 11" xfId="28702" xr:uid="{00000000-0005-0000-0000-0000A64D0000}"/>
    <cellStyle name="Comma 6 11 2" xfId="28955" xr:uid="{00000000-0005-0000-0000-0000A74D0000}"/>
    <cellStyle name="Comma 6 12" xfId="28703" xr:uid="{00000000-0005-0000-0000-0000A84D0000}"/>
    <cellStyle name="Comma 6 12 2" xfId="28956" xr:uid="{00000000-0005-0000-0000-0000A94D0000}"/>
    <cellStyle name="Comma 6 13" xfId="28704" xr:uid="{00000000-0005-0000-0000-0000AA4D0000}"/>
    <cellStyle name="Comma 6 13 2" xfId="28957" xr:uid="{00000000-0005-0000-0000-0000AB4D0000}"/>
    <cellStyle name="Comma 6 2" xfId="399" xr:uid="{00000000-0005-0000-0000-0000D04C0000}"/>
    <cellStyle name="Comma 6 2 2" xfId="24319" xr:uid="{00000000-0005-0000-0000-0000D14C0000}"/>
    <cellStyle name="Comma 6 2 2 2" xfId="28958" xr:uid="{00000000-0005-0000-0000-0000AE4D0000}"/>
    <cellStyle name="Comma 6 2 3" xfId="24783" xr:uid="{00000000-0005-0000-0000-0000D24C0000}"/>
    <cellStyle name="Comma 6 2 4" xfId="25150" xr:uid="{00000000-0005-0000-0000-0000D34C0000}"/>
    <cellStyle name="Comma 6 2 5" xfId="26010" xr:uid="{00000000-0005-0000-0000-0000DF4C0000}"/>
    <cellStyle name="Comma 6 3" xfId="376" xr:uid="{00000000-0005-0000-0000-0000D44C0000}"/>
    <cellStyle name="Comma 6 3 2" xfId="28959" xr:uid="{00000000-0005-0000-0000-0000B24D0000}"/>
    <cellStyle name="Comma 6 3 3" xfId="28705" xr:uid="{00000000-0005-0000-0000-0000B34D0000}"/>
    <cellStyle name="Comma 6 4" xfId="23931" xr:uid="{00000000-0005-0000-0000-0000D54C0000}"/>
    <cellStyle name="Comma 6 4 2" xfId="28960" xr:uid="{00000000-0005-0000-0000-0000B54D0000}"/>
    <cellStyle name="Comma 6 4 3" xfId="28706" xr:uid="{00000000-0005-0000-0000-0000B64D0000}"/>
    <cellStyle name="Comma 6 5" xfId="24558" xr:uid="{00000000-0005-0000-0000-0000D64C0000}"/>
    <cellStyle name="Comma 6 5 2" xfId="28961" xr:uid="{00000000-0005-0000-0000-0000B84D0000}"/>
    <cellStyle name="Comma 6 5 3" xfId="28707" xr:uid="{00000000-0005-0000-0000-0000B94D0000}"/>
    <cellStyle name="Comma 6 6" xfId="24948" xr:uid="{00000000-0005-0000-0000-0000D74C0000}"/>
    <cellStyle name="Comma 6 6 2" xfId="28962" xr:uid="{00000000-0005-0000-0000-0000BB4D0000}"/>
    <cellStyle name="Comma 6 6 3" xfId="28708" xr:uid="{00000000-0005-0000-0000-0000BC4D0000}"/>
    <cellStyle name="Comma 6 7" xfId="25810" xr:uid="{00000000-0005-0000-0000-0000DE4C0000}"/>
    <cellStyle name="Comma 6 7 2" xfId="28963" xr:uid="{00000000-0005-0000-0000-0000BE4D0000}"/>
    <cellStyle name="Comma 6 8" xfId="28709" xr:uid="{00000000-0005-0000-0000-0000BF4D0000}"/>
    <cellStyle name="Comma 6 8 2" xfId="28964" xr:uid="{00000000-0005-0000-0000-0000C04D0000}"/>
    <cellStyle name="Comma 6 9" xfId="28710" xr:uid="{00000000-0005-0000-0000-0000C14D0000}"/>
    <cellStyle name="Comma 6 9 2" xfId="28965" xr:uid="{00000000-0005-0000-0000-0000C24D0000}"/>
    <cellStyle name="Comma 60" xfId="29174" xr:uid="{00000000-0005-0000-0000-0000C34D0000}"/>
    <cellStyle name="Comma 61" xfId="29173" xr:uid="{00000000-0005-0000-0000-0000C44D0000}"/>
    <cellStyle name="Comma 62" xfId="29171" xr:uid="{00000000-0005-0000-0000-0000C54D0000}"/>
    <cellStyle name="Comma 63" xfId="29178" xr:uid="{00000000-0005-0000-0000-0000C64D0000}"/>
    <cellStyle name="Comma 64" xfId="29181" xr:uid="{00000000-0005-0000-0000-0000C74D0000}"/>
    <cellStyle name="Comma 65" xfId="29179" xr:uid="{00000000-0005-0000-0000-0000C84D0000}"/>
    <cellStyle name="Comma 66" xfId="29180" xr:uid="{00000000-0005-0000-0000-0000C94D0000}"/>
    <cellStyle name="Comma 7" xfId="186" xr:uid="{00000000-0005-0000-0000-0000D84C0000}"/>
    <cellStyle name="Comma 7 10" xfId="28711" xr:uid="{00000000-0005-0000-0000-0000CB4D0000}"/>
    <cellStyle name="Comma 7 10 2" xfId="28966" xr:uid="{00000000-0005-0000-0000-0000CC4D0000}"/>
    <cellStyle name="Comma 7 11" xfId="28712" xr:uid="{00000000-0005-0000-0000-0000CD4D0000}"/>
    <cellStyle name="Comma 7 11 2" xfId="28967" xr:uid="{00000000-0005-0000-0000-0000CE4D0000}"/>
    <cellStyle name="Comma 7 12" xfId="28713" xr:uid="{00000000-0005-0000-0000-0000CF4D0000}"/>
    <cellStyle name="Comma 7 12 2" xfId="28968" xr:uid="{00000000-0005-0000-0000-0000D04D0000}"/>
    <cellStyle name="Comma 7 13" xfId="28714" xr:uid="{00000000-0005-0000-0000-0000D14D0000}"/>
    <cellStyle name="Comma 7 13 2" xfId="28969" xr:uid="{00000000-0005-0000-0000-0000D24D0000}"/>
    <cellStyle name="Comma 7 2" xfId="642" xr:uid="{00000000-0005-0000-0000-0000D94C0000}"/>
    <cellStyle name="Comma 7 2 2" xfId="24406" xr:uid="{00000000-0005-0000-0000-0000DA4C0000}"/>
    <cellStyle name="Comma 7 2 2 2" xfId="28970" xr:uid="{00000000-0005-0000-0000-0000D54D0000}"/>
    <cellStyle name="Comma 7 2 3" xfId="24858" xr:uid="{00000000-0005-0000-0000-0000DB4C0000}"/>
    <cellStyle name="Comma 7 2 4" xfId="25223" xr:uid="{00000000-0005-0000-0000-0000DC4C0000}"/>
    <cellStyle name="Comma 7 2 5" xfId="28715" xr:uid="{00000000-0005-0000-0000-0000D84D0000}"/>
    <cellStyle name="Comma 7 3" xfId="24070" xr:uid="{00000000-0005-0000-0000-0000DD4C0000}"/>
    <cellStyle name="Comma 7 3 2" xfId="28971" xr:uid="{00000000-0005-0000-0000-0000DA4D0000}"/>
    <cellStyle name="Comma 7 3 3" xfId="28716" xr:uid="{00000000-0005-0000-0000-0000DB4D0000}"/>
    <cellStyle name="Comma 7 4" xfId="24703" xr:uid="{00000000-0005-0000-0000-0000DE4C0000}"/>
    <cellStyle name="Comma 7 4 2" xfId="28972" xr:uid="{00000000-0005-0000-0000-0000DD4D0000}"/>
    <cellStyle name="Comma 7 4 3" xfId="28717" xr:uid="{00000000-0005-0000-0000-0000DE4D0000}"/>
    <cellStyle name="Comma 7 5" xfId="25025" xr:uid="{00000000-0005-0000-0000-0000DF4C0000}"/>
    <cellStyle name="Comma 7 5 2" xfId="28973" xr:uid="{00000000-0005-0000-0000-0000E04D0000}"/>
    <cellStyle name="Comma 7 5 3" xfId="28718" xr:uid="{00000000-0005-0000-0000-0000E14D0000}"/>
    <cellStyle name="Comma 7 6" xfId="25894" xr:uid="{00000000-0005-0000-0000-0000E74C0000}"/>
    <cellStyle name="Comma 7 6 2" xfId="28974" xr:uid="{00000000-0005-0000-0000-0000E34D0000}"/>
    <cellStyle name="Comma 7 7" xfId="28719" xr:uid="{00000000-0005-0000-0000-0000E44D0000}"/>
    <cellStyle name="Comma 7 7 2" xfId="28975" xr:uid="{00000000-0005-0000-0000-0000E54D0000}"/>
    <cellStyle name="Comma 7 8" xfId="28720" xr:uid="{00000000-0005-0000-0000-0000E64D0000}"/>
    <cellStyle name="Comma 7 8 2" xfId="28976" xr:uid="{00000000-0005-0000-0000-0000E74D0000}"/>
    <cellStyle name="Comma 7 9" xfId="28721" xr:uid="{00000000-0005-0000-0000-0000E84D0000}"/>
    <cellStyle name="Comma 7 9 2" xfId="28977" xr:uid="{00000000-0005-0000-0000-0000E94D0000}"/>
    <cellStyle name="Comma 8" xfId="187" xr:uid="{00000000-0005-0000-0000-0000E04C0000}"/>
    <cellStyle name="Comma 8 10" xfId="28722" xr:uid="{00000000-0005-0000-0000-0000EB4D0000}"/>
    <cellStyle name="Comma 8 10 2" xfId="28978" xr:uid="{00000000-0005-0000-0000-0000EC4D0000}"/>
    <cellStyle name="Comma 8 11" xfId="28723" xr:uid="{00000000-0005-0000-0000-0000ED4D0000}"/>
    <cellStyle name="Comma 8 11 2" xfId="28979" xr:uid="{00000000-0005-0000-0000-0000EE4D0000}"/>
    <cellStyle name="Comma 8 12" xfId="28724" xr:uid="{00000000-0005-0000-0000-0000EF4D0000}"/>
    <cellStyle name="Comma 8 12 2" xfId="28980" xr:uid="{00000000-0005-0000-0000-0000F04D0000}"/>
    <cellStyle name="Comma 8 13" xfId="28725" xr:uid="{00000000-0005-0000-0000-0000F14D0000}"/>
    <cellStyle name="Comma 8 13 2" xfId="28981" xr:uid="{00000000-0005-0000-0000-0000F24D0000}"/>
    <cellStyle name="Comma 8 2" xfId="643" xr:uid="{00000000-0005-0000-0000-0000E14C0000}"/>
    <cellStyle name="Comma 8 2 2" xfId="13908" xr:uid="{00000000-0005-0000-0000-0000E24C0000}"/>
    <cellStyle name="Comma 8 2 2 2" xfId="28982" xr:uid="{00000000-0005-0000-0000-0000F54D0000}"/>
    <cellStyle name="Comma 8 2 3" xfId="24481" xr:uid="{00000000-0005-0000-0000-0000E34C0000}"/>
    <cellStyle name="Comma 8 2 4" xfId="24913" xr:uid="{00000000-0005-0000-0000-0000E44C0000}"/>
    <cellStyle name="Comma 8 2 5" xfId="25273" xr:uid="{00000000-0005-0000-0000-0000E54C0000}"/>
    <cellStyle name="Comma 8 2 6" xfId="28726" xr:uid="{00000000-0005-0000-0000-0000F94D0000}"/>
    <cellStyle name="Comma 8 3" xfId="24295" xr:uid="{00000000-0005-0000-0000-0000E64C0000}"/>
    <cellStyle name="Comma 8 3 2" xfId="28983" xr:uid="{00000000-0005-0000-0000-0000FB4D0000}"/>
    <cellStyle name="Comma 8 3 3" xfId="28727" xr:uid="{00000000-0005-0000-0000-0000FC4D0000}"/>
    <cellStyle name="Comma 8 4" xfId="24776" xr:uid="{00000000-0005-0000-0000-0000E74C0000}"/>
    <cellStyle name="Comma 8 4 2" xfId="28984" xr:uid="{00000000-0005-0000-0000-0000FE4D0000}"/>
    <cellStyle name="Comma 8 4 3" xfId="28728" xr:uid="{00000000-0005-0000-0000-0000FF4D0000}"/>
    <cellStyle name="Comma 8 5" xfId="25145" xr:uid="{00000000-0005-0000-0000-0000E84C0000}"/>
    <cellStyle name="Comma 8 5 2" xfId="28985" xr:uid="{00000000-0005-0000-0000-0000014E0000}"/>
    <cellStyle name="Comma 8 5 3" xfId="28729" xr:uid="{00000000-0005-0000-0000-0000024E0000}"/>
    <cellStyle name="Comma 8 6" xfId="25895" xr:uid="{00000000-0005-0000-0000-0000EF4C0000}"/>
    <cellStyle name="Comma 8 6 2" xfId="28986" xr:uid="{00000000-0005-0000-0000-0000044E0000}"/>
    <cellStyle name="Comma 8 7" xfId="28730" xr:uid="{00000000-0005-0000-0000-0000054E0000}"/>
    <cellStyle name="Comma 8 7 2" xfId="28987" xr:uid="{00000000-0005-0000-0000-0000064E0000}"/>
    <cellStyle name="Comma 8 8" xfId="28731" xr:uid="{00000000-0005-0000-0000-0000074E0000}"/>
    <cellStyle name="Comma 8 8 2" xfId="28988" xr:uid="{00000000-0005-0000-0000-0000084E0000}"/>
    <cellStyle name="Comma 8 9" xfId="28732" xr:uid="{00000000-0005-0000-0000-0000094E0000}"/>
    <cellStyle name="Comma 8 9 2" xfId="28989" xr:uid="{00000000-0005-0000-0000-00000A4E0000}"/>
    <cellStyle name="Comma 9" xfId="188" xr:uid="{00000000-0005-0000-0000-0000E94C0000}"/>
    <cellStyle name="Comma 9 10" xfId="28733" xr:uid="{00000000-0005-0000-0000-00000C4E0000}"/>
    <cellStyle name="Comma 9 10 2" xfId="28990" xr:uid="{00000000-0005-0000-0000-00000D4E0000}"/>
    <cellStyle name="Comma 9 11" xfId="28734" xr:uid="{00000000-0005-0000-0000-00000E4E0000}"/>
    <cellStyle name="Comma 9 11 2" xfId="28991" xr:uid="{00000000-0005-0000-0000-00000F4E0000}"/>
    <cellStyle name="Comma 9 12" xfId="28735" xr:uid="{00000000-0005-0000-0000-0000104E0000}"/>
    <cellStyle name="Comma 9 12 2" xfId="28992" xr:uid="{00000000-0005-0000-0000-0000114E0000}"/>
    <cellStyle name="Comma 9 13" xfId="28736" xr:uid="{00000000-0005-0000-0000-0000124E0000}"/>
    <cellStyle name="Comma 9 13 2" xfId="28993" xr:uid="{00000000-0005-0000-0000-0000134E0000}"/>
    <cellStyle name="Comma 9 2" xfId="24482" xr:uid="{00000000-0005-0000-0000-0000EA4C0000}"/>
    <cellStyle name="Comma 9 2 2" xfId="24914" xr:uid="{00000000-0005-0000-0000-0000EB4C0000}"/>
    <cellStyle name="Comma 9 2 2 2" xfId="28994" xr:uid="{00000000-0005-0000-0000-0000164E0000}"/>
    <cellStyle name="Comma 9 2 3" xfId="25274" xr:uid="{00000000-0005-0000-0000-0000EC4C0000}"/>
    <cellStyle name="Comma 9 2 4" xfId="28737" xr:uid="{00000000-0005-0000-0000-0000184E0000}"/>
    <cellStyle name="Comma 9 3" xfId="24296" xr:uid="{00000000-0005-0000-0000-0000ED4C0000}"/>
    <cellStyle name="Comma 9 3 2" xfId="28995" xr:uid="{00000000-0005-0000-0000-00001A4E0000}"/>
    <cellStyle name="Comma 9 3 3" xfId="28738" xr:uid="{00000000-0005-0000-0000-00001B4E0000}"/>
    <cellStyle name="Comma 9 4" xfId="24777" xr:uid="{00000000-0005-0000-0000-0000EE4C0000}"/>
    <cellStyle name="Comma 9 4 2" xfId="28996" xr:uid="{00000000-0005-0000-0000-00001D4E0000}"/>
    <cellStyle name="Comma 9 4 3" xfId="28739" xr:uid="{00000000-0005-0000-0000-00001E4E0000}"/>
    <cellStyle name="Comma 9 5" xfId="25146" xr:uid="{00000000-0005-0000-0000-0000EF4C0000}"/>
    <cellStyle name="Comma 9 5 2" xfId="28997" xr:uid="{00000000-0005-0000-0000-0000204E0000}"/>
    <cellStyle name="Comma 9 5 3" xfId="28740" xr:uid="{00000000-0005-0000-0000-0000214E0000}"/>
    <cellStyle name="Comma 9 6" xfId="25896" xr:uid="{00000000-0005-0000-0000-0000F84C0000}"/>
    <cellStyle name="Comma 9 6 2" xfId="28998" xr:uid="{00000000-0005-0000-0000-0000234E0000}"/>
    <cellStyle name="Comma 9 7" xfId="28741" xr:uid="{00000000-0005-0000-0000-0000244E0000}"/>
    <cellStyle name="Comma 9 7 2" xfId="28999" xr:uid="{00000000-0005-0000-0000-0000254E0000}"/>
    <cellStyle name="Comma 9 8" xfId="28742" xr:uid="{00000000-0005-0000-0000-0000264E0000}"/>
    <cellStyle name="Comma 9 8 2" xfId="29000" xr:uid="{00000000-0005-0000-0000-0000274E0000}"/>
    <cellStyle name="Comma 9 9" xfId="28743" xr:uid="{00000000-0005-0000-0000-0000284E0000}"/>
    <cellStyle name="Comma 9 9 2" xfId="29001" xr:uid="{00000000-0005-0000-0000-0000294E0000}"/>
    <cellStyle name="Comma0" xfId="25" xr:uid="{00000000-0005-0000-0000-0000F04C0000}"/>
    <cellStyle name="Comma0 - Style3" xfId="26" xr:uid="{00000000-0005-0000-0000-0000F14C0000}"/>
    <cellStyle name="Comma0 - Style4" xfId="27" xr:uid="{00000000-0005-0000-0000-0000F24C0000}"/>
    <cellStyle name="Comma0 10" xfId="461" xr:uid="{00000000-0005-0000-0000-0000F34C0000}"/>
    <cellStyle name="Comma0 10 2" xfId="26028" xr:uid="{00000000-0005-0000-0000-0000024D0000}"/>
    <cellStyle name="Comma0 11" xfId="24411" xr:uid="{00000000-0005-0000-0000-0000F44C0000}"/>
    <cellStyle name="Comma0 11 2" xfId="27163" xr:uid="{00000000-0005-0000-0000-0000034D0000}"/>
    <cellStyle name="Comma0 12" xfId="24399" xr:uid="{00000000-0005-0000-0000-0000F54C0000}"/>
    <cellStyle name="Comma0 12 2" xfId="27154" xr:uid="{00000000-0005-0000-0000-0000044D0000}"/>
    <cellStyle name="Comma0 13" xfId="24503" xr:uid="{00000000-0005-0000-0000-0000F64C0000}"/>
    <cellStyle name="Comma0 13 2" xfId="27193" xr:uid="{00000000-0005-0000-0000-0000054D0000}"/>
    <cellStyle name="Comma0 14" xfId="24400" xr:uid="{00000000-0005-0000-0000-0000F74C0000}"/>
    <cellStyle name="Comma0 14 2" xfId="27155" xr:uid="{00000000-0005-0000-0000-0000064D0000}"/>
    <cellStyle name="Comma0 15" xfId="24496" xr:uid="{00000000-0005-0000-0000-0000F84C0000}"/>
    <cellStyle name="Comma0 15 2" xfId="27187" xr:uid="{00000000-0005-0000-0000-0000074D0000}"/>
    <cellStyle name="Comma0 16" xfId="24474" xr:uid="{00000000-0005-0000-0000-0000F94C0000}"/>
    <cellStyle name="Comma0 16 2" xfId="27172" xr:uid="{00000000-0005-0000-0000-0000084D0000}"/>
    <cellStyle name="Comma0 17" xfId="24497" xr:uid="{00000000-0005-0000-0000-0000FA4C0000}"/>
    <cellStyle name="Comma0 17 2" xfId="27188" xr:uid="{00000000-0005-0000-0000-0000094D0000}"/>
    <cellStyle name="Comma0 18" xfId="24402" xr:uid="{00000000-0005-0000-0000-0000FB4C0000}"/>
    <cellStyle name="Comma0 18 2" xfId="27157" xr:uid="{00000000-0005-0000-0000-00000A4D0000}"/>
    <cellStyle name="Comma0 19" xfId="24477" xr:uid="{00000000-0005-0000-0000-0000FC4C0000}"/>
    <cellStyle name="Comma0 19 2" xfId="27174" xr:uid="{00000000-0005-0000-0000-00000B4D0000}"/>
    <cellStyle name="Comma0 2" xfId="400" xr:uid="{00000000-0005-0000-0000-0000FD4C0000}"/>
    <cellStyle name="Comma0 2 2" xfId="24072" xr:uid="{00000000-0005-0000-0000-0000FE4C0000}"/>
    <cellStyle name="Comma0 2 2 2" xfId="27059" xr:uid="{00000000-0005-0000-0000-00000D4D0000}"/>
    <cellStyle name="Comma0 20" xfId="24508" xr:uid="{00000000-0005-0000-0000-0000FF4C0000}"/>
    <cellStyle name="Comma0 20 2" xfId="27196" xr:uid="{00000000-0005-0000-0000-00000E4D0000}"/>
    <cellStyle name="Comma0 21" xfId="24509" xr:uid="{00000000-0005-0000-0000-0000004D0000}"/>
    <cellStyle name="Comma0 21 2" xfId="27197" xr:uid="{00000000-0005-0000-0000-00000F4D0000}"/>
    <cellStyle name="Comma0 22" xfId="24510" xr:uid="{00000000-0005-0000-0000-0000014D0000}"/>
    <cellStyle name="Comma0 22 2" xfId="27198" xr:uid="{00000000-0005-0000-0000-0000104D0000}"/>
    <cellStyle name="Comma0 23" xfId="24512" xr:uid="{00000000-0005-0000-0000-0000024D0000}"/>
    <cellStyle name="Comma0 23 2" xfId="27200" xr:uid="{00000000-0005-0000-0000-0000114D0000}"/>
    <cellStyle name="Comma0 24" xfId="24513" xr:uid="{00000000-0005-0000-0000-0000034D0000}"/>
    <cellStyle name="Comma0 24 2" xfId="27201" xr:uid="{00000000-0005-0000-0000-0000124D0000}"/>
    <cellStyle name="Comma0 25" xfId="24514" xr:uid="{00000000-0005-0000-0000-0000044D0000}"/>
    <cellStyle name="Comma0 25 2" xfId="27202" xr:uid="{00000000-0005-0000-0000-0000134D0000}"/>
    <cellStyle name="Comma0 26" xfId="24515" xr:uid="{00000000-0005-0000-0000-0000054D0000}"/>
    <cellStyle name="Comma0 26 2" xfId="27203" xr:uid="{00000000-0005-0000-0000-0000144D0000}"/>
    <cellStyle name="Comma0 27" xfId="24516" xr:uid="{00000000-0005-0000-0000-0000064D0000}"/>
    <cellStyle name="Comma0 27 2" xfId="27204" xr:uid="{00000000-0005-0000-0000-0000154D0000}"/>
    <cellStyle name="Comma0 28" xfId="24517" xr:uid="{00000000-0005-0000-0000-0000074D0000}"/>
    <cellStyle name="Comma0 28 2" xfId="27205" xr:uid="{00000000-0005-0000-0000-0000164D0000}"/>
    <cellStyle name="Comma0 29" xfId="23909" xr:uid="{00000000-0005-0000-0000-0000084D0000}"/>
    <cellStyle name="Comma0 29 2" xfId="27036" xr:uid="{00000000-0005-0000-0000-0000174D0000}"/>
    <cellStyle name="Comma0 3" xfId="377" xr:uid="{00000000-0005-0000-0000-0000094D0000}"/>
    <cellStyle name="Comma0 3 2" xfId="24073" xr:uid="{00000000-0005-0000-0000-00000A4D0000}"/>
    <cellStyle name="Comma0 3 2 2" xfId="27060" xr:uid="{00000000-0005-0000-0000-0000194D0000}"/>
    <cellStyle name="Comma0 3 3" xfId="25996" xr:uid="{00000000-0005-0000-0000-0000184D0000}"/>
    <cellStyle name="Comma0 30" xfId="23926" xr:uid="{00000000-0005-0000-0000-00000B4D0000}"/>
    <cellStyle name="Comma0 30 2" xfId="27042" xr:uid="{00000000-0005-0000-0000-00001A4D0000}"/>
    <cellStyle name="Comma0 31" xfId="24531" xr:uid="{00000000-0005-0000-0000-00000C4D0000}"/>
    <cellStyle name="Comma0 31 2" xfId="27212" xr:uid="{00000000-0005-0000-0000-00001B4D0000}"/>
    <cellStyle name="Comma0 32" xfId="24012" xr:uid="{00000000-0005-0000-0000-00000D4D0000}"/>
    <cellStyle name="Comma0 32 2" xfId="27048" xr:uid="{00000000-0005-0000-0000-00001C4D0000}"/>
    <cellStyle name="Comma0 33" xfId="24540" xr:uid="{00000000-0005-0000-0000-00000E4D0000}"/>
    <cellStyle name="Comma0 33 2" xfId="27218" xr:uid="{00000000-0005-0000-0000-00001D4D0000}"/>
    <cellStyle name="Comma0 34" xfId="24102" xr:uid="{00000000-0005-0000-0000-00000F4D0000}"/>
    <cellStyle name="Comma0 34 2" xfId="27068" xr:uid="{00000000-0005-0000-0000-00001E4D0000}"/>
    <cellStyle name="Comma0 35" xfId="24032" xr:uid="{00000000-0005-0000-0000-0000104D0000}"/>
    <cellStyle name="Comma0 35 2" xfId="27049" xr:uid="{00000000-0005-0000-0000-00001F4D0000}"/>
    <cellStyle name="Comma0 36" xfId="24071" xr:uid="{00000000-0005-0000-0000-0000114D0000}"/>
    <cellStyle name="Comma0 36 2" xfId="27058" xr:uid="{00000000-0005-0000-0000-0000204D0000}"/>
    <cellStyle name="Comma0 37" xfId="24533" xr:uid="{00000000-0005-0000-0000-0000124D0000}"/>
    <cellStyle name="Comma0 37 2" xfId="27213" xr:uid="{00000000-0005-0000-0000-0000214D0000}"/>
    <cellStyle name="Comma0 38" xfId="24535" xr:uid="{00000000-0005-0000-0000-0000134D0000}"/>
    <cellStyle name="Comma0 38 2" xfId="27215" xr:uid="{00000000-0005-0000-0000-0000224D0000}"/>
    <cellStyle name="Comma0 39" xfId="24524" xr:uid="{00000000-0005-0000-0000-0000144D0000}"/>
    <cellStyle name="Comma0 39 2" xfId="27207" xr:uid="{00000000-0005-0000-0000-0000234D0000}"/>
    <cellStyle name="Comma0 4" xfId="435" xr:uid="{00000000-0005-0000-0000-0000154D0000}"/>
    <cellStyle name="Comma0 4 2" xfId="26019" xr:uid="{00000000-0005-0000-0000-0000244D0000}"/>
    <cellStyle name="Comma0 40" xfId="24547" xr:uid="{00000000-0005-0000-0000-0000164D0000}"/>
    <cellStyle name="Comma0 40 2" xfId="27222" xr:uid="{00000000-0005-0000-0000-0000254D0000}"/>
    <cellStyle name="Comma0 41" xfId="24773" xr:uid="{00000000-0005-0000-0000-0000174D0000}"/>
    <cellStyle name="Comma0 41 2" xfId="27316" xr:uid="{00000000-0005-0000-0000-0000264D0000}"/>
    <cellStyle name="Comma0 42" xfId="24922" xr:uid="{00000000-0005-0000-0000-0000184D0000}"/>
    <cellStyle name="Comma0 42 2" xfId="27333" xr:uid="{00000000-0005-0000-0000-0000274D0000}"/>
    <cellStyle name="Comma0 43" xfId="24687" xr:uid="{00000000-0005-0000-0000-0000194D0000}"/>
    <cellStyle name="Comma0 43 2" xfId="27279" xr:uid="{00000000-0005-0000-0000-0000284D0000}"/>
    <cellStyle name="Comma0 44" xfId="24702" xr:uid="{00000000-0005-0000-0000-00001A4D0000}"/>
    <cellStyle name="Comma0 44 2" xfId="27293" xr:uid="{00000000-0005-0000-0000-0000294D0000}"/>
    <cellStyle name="Comma0 45" xfId="24934" xr:uid="{00000000-0005-0000-0000-00001B4D0000}"/>
    <cellStyle name="Comma0 45 2" xfId="27343" xr:uid="{00000000-0005-0000-0000-00002A4D0000}"/>
    <cellStyle name="Comma0 46" xfId="24765" xr:uid="{00000000-0005-0000-0000-00001C4D0000}"/>
    <cellStyle name="Comma0 46 2" xfId="27309" xr:uid="{00000000-0005-0000-0000-00002B4D0000}"/>
    <cellStyle name="Comma0 47" xfId="24938" xr:uid="{00000000-0005-0000-0000-00001D4D0000}"/>
    <cellStyle name="Comma0 47 2" xfId="27345" xr:uid="{00000000-0005-0000-0000-00002C4D0000}"/>
    <cellStyle name="Comma0 48" xfId="24706" xr:uid="{00000000-0005-0000-0000-00001E4D0000}"/>
    <cellStyle name="Comma0 48 2" xfId="27295" xr:uid="{00000000-0005-0000-0000-00002D4D0000}"/>
    <cellStyle name="Comma0 49" xfId="24766" xr:uid="{00000000-0005-0000-0000-00001F4D0000}"/>
    <cellStyle name="Comma0 49 2" xfId="27310" xr:uid="{00000000-0005-0000-0000-00002E4D0000}"/>
    <cellStyle name="Comma0 5" xfId="430" xr:uid="{00000000-0005-0000-0000-0000204D0000}"/>
    <cellStyle name="Comma0 5 2" xfId="26016" xr:uid="{00000000-0005-0000-0000-00002F4D0000}"/>
    <cellStyle name="Comma0 50" xfId="24546" xr:uid="{00000000-0005-0000-0000-0000214D0000}"/>
    <cellStyle name="Comma0 50 2" xfId="27221" xr:uid="{00000000-0005-0000-0000-0000304D0000}"/>
    <cellStyle name="Comma0 51" xfId="24761" xr:uid="{00000000-0005-0000-0000-0000224D0000}"/>
    <cellStyle name="Comma0 51 2" xfId="27308" xr:uid="{00000000-0005-0000-0000-0000314D0000}"/>
    <cellStyle name="Comma0 52" xfId="24923" xr:uid="{00000000-0005-0000-0000-0000234D0000}"/>
    <cellStyle name="Comma0 52 2" xfId="27334" xr:uid="{00000000-0005-0000-0000-0000324D0000}"/>
    <cellStyle name="Comma0 53" xfId="24942" xr:uid="{00000000-0005-0000-0000-0000244D0000}"/>
    <cellStyle name="Comma0 53 2" xfId="27348" xr:uid="{00000000-0005-0000-0000-0000334D0000}"/>
    <cellStyle name="Comma0 6" xfId="433" xr:uid="{00000000-0005-0000-0000-0000254D0000}"/>
    <cellStyle name="Comma0 6 2" xfId="26017" xr:uid="{00000000-0005-0000-0000-0000344D0000}"/>
    <cellStyle name="Comma0 7" xfId="455" xr:uid="{00000000-0005-0000-0000-0000264D0000}"/>
    <cellStyle name="Comma0 7 2" xfId="26022" xr:uid="{00000000-0005-0000-0000-0000354D0000}"/>
    <cellStyle name="Comma0 8" xfId="463" xr:uid="{00000000-0005-0000-0000-0000274D0000}"/>
    <cellStyle name="Comma0 8 2" xfId="26030" xr:uid="{00000000-0005-0000-0000-0000364D0000}"/>
    <cellStyle name="Comma0 9" xfId="456" xr:uid="{00000000-0005-0000-0000-0000284D0000}"/>
    <cellStyle name="Comma0 9 2" xfId="26023" xr:uid="{00000000-0005-0000-0000-0000374D0000}"/>
    <cellStyle name="Comma0_3.7 Revenue Correcting - Dec09" xfId="349" xr:uid="{00000000-0005-0000-0000-0000294D0000}"/>
    <cellStyle name="Comma1 - Style1" xfId="28" xr:uid="{00000000-0005-0000-0000-00002A4D0000}"/>
    <cellStyle name="Currency" xfId="25747" builtinId="4"/>
    <cellStyle name="Currency [1]" xfId="550" xr:uid="{00000000-0005-0000-0000-00002C4D0000}"/>
    <cellStyle name="Currency [1] 2" xfId="24074" xr:uid="{00000000-0005-0000-0000-00002D4D0000}"/>
    <cellStyle name="Currency [2]" xfId="551" xr:uid="{00000000-0005-0000-0000-00002E4D0000}"/>
    <cellStyle name="Currency [2] 2" xfId="24075" xr:uid="{00000000-0005-0000-0000-00002F4D0000}"/>
    <cellStyle name="Currency [3]" xfId="552" xr:uid="{00000000-0005-0000-0000-0000304D0000}"/>
    <cellStyle name="Currency [3] 2" xfId="24076" xr:uid="{00000000-0005-0000-0000-0000314D0000}"/>
    <cellStyle name="Currency 10" xfId="24300" xr:uid="{00000000-0005-0000-0000-0000324D0000}"/>
    <cellStyle name="Currency 10 2" xfId="27138" xr:uid="{00000000-0005-0000-0000-0000404D0000}"/>
    <cellStyle name="Currency 11" xfId="24466" xr:uid="{00000000-0005-0000-0000-0000334D0000}"/>
    <cellStyle name="Currency 11 2" xfId="27169" xr:uid="{00000000-0005-0000-0000-0000414D0000}"/>
    <cellStyle name="Currency 12" xfId="3" xr:uid="{00000000-0005-0000-0000-0000344D0000}"/>
    <cellStyle name="Currency 12 2" xfId="25799" xr:uid="{00000000-0005-0000-0000-0000424D0000}"/>
    <cellStyle name="Currency 13" xfId="24305" xr:uid="{00000000-0005-0000-0000-0000354D0000}"/>
    <cellStyle name="Currency 13 2" xfId="27143" xr:uid="{00000000-0005-0000-0000-0000434D0000}"/>
    <cellStyle name="Currency 14" xfId="25278" xr:uid="{00000000-0005-0000-0000-0000364D0000}"/>
    <cellStyle name="Currency 14 2" xfId="27435" xr:uid="{00000000-0005-0000-0000-0000444D0000}"/>
    <cellStyle name="Currency 15" xfId="25293" xr:uid="{00000000-0005-0000-0000-0000374D0000}"/>
    <cellStyle name="Currency 15 2" xfId="27450" xr:uid="{00000000-0005-0000-0000-0000454D0000}"/>
    <cellStyle name="Currency 16" xfId="24306" xr:uid="{00000000-0005-0000-0000-0000384D0000}"/>
    <cellStyle name="Currency 16 2" xfId="27144" xr:uid="{00000000-0005-0000-0000-0000464D0000}"/>
    <cellStyle name="Currency 17" xfId="24307" xr:uid="{00000000-0005-0000-0000-0000394D0000}"/>
    <cellStyle name="Currency 17 2" xfId="27145" xr:uid="{00000000-0005-0000-0000-0000474D0000}"/>
    <cellStyle name="Currency 18" xfId="25457" xr:uid="{00000000-0005-0000-0000-00003A4D0000}"/>
    <cellStyle name="Currency 18 2" xfId="27612" xr:uid="{00000000-0005-0000-0000-0000484D0000}"/>
    <cellStyle name="Currency 2" xfId="29" xr:uid="{00000000-0005-0000-0000-00003B4D0000}"/>
    <cellStyle name="Currency 2 10" xfId="24077" xr:uid="{00000000-0005-0000-0000-00003C4D0000}"/>
    <cellStyle name="Currency 2 11" xfId="25753" xr:uid="{00000000-0005-0000-0000-00003D4D0000}"/>
    <cellStyle name="Currency 2 2" xfId="354" xr:uid="{00000000-0005-0000-0000-00003E4D0000}"/>
    <cellStyle name="Currency 2 2 2" xfId="437" xr:uid="{00000000-0005-0000-0000-00003F4D0000}"/>
    <cellStyle name="Currency 2 2 2 2" xfId="523" xr:uid="{00000000-0005-0000-0000-0000404D0000}"/>
    <cellStyle name="Currency 2 2 2 2 2" xfId="13886" xr:uid="{00000000-0005-0000-0000-0000414D0000}"/>
    <cellStyle name="Currency 2 2 2 3" xfId="13809" xr:uid="{00000000-0005-0000-0000-0000424D0000}"/>
    <cellStyle name="Currency 2 2 3" xfId="486" xr:uid="{00000000-0005-0000-0000-0000434D0000}"/>
    <cellStyle name="Currency 2 2 3 2" xfId="13849" xr:uid="{00000000-0005-0000-0000-0000444D0000}"/>
    <cellStyle name="Currency 2 2 4" xfId="13764" xr:uid="{00000000-0005-0000-0000-0000454D0000}"/>
    <cellStyle name="Currency 2 2 5" xfId="24078" xr:uid="{00000000-0005-0000-0000-0000464D0000}"/>
    <cellStyle name="Currency 2 2 5 2" xfId="27061" xr:uid="{00000000-0005-0000-0000-0000544D0000}"/>
    <cellStyle name="Currency 2 3" xfId="401" xr:uid="{00000000-0005-0000-0000-0000474D0000}"/>
    <cellStyle name="Currency 2 3 2" xfId="506" xr:uid="{00000000-0005-0000-0000-0000484D0000}"/>
    <cellStyle name="Currency 2 3 2 2" xfId="13869" xr:uid="{00000000-0005-0000-0000-0000494D0000}"/>
    <cellStyle name="Currency 2 3 3" xfId="13788" xr:uid="{00000000-0005-0000-0000-00004A4D0000}"/>
    <cellStyle name="Currency 2 3 4" xfId="24079" xr:uid="{00000000-0005-0000-0000-00004B4D0000}"/>
    <cellStyle name="Currency 2 3 4 2" xfId="27062" xr:uid="{00000000-0005-0000-0000-0000594D0000}"/>
    <cellStyle name="Currency 2 4" xfId="378" xr:uid="{00000000-0005-0000-0000-00004C4D0000}"/>
    <cellStyle name="Currency 2 5" xfId="468" xr:uid="{00000000-0005-0000-0000-00004D4D0000}"/>
    <cellStyle name="Currency 2 5 2" xfId="26033" xr:uid="{00000000-0005-0000-0000-00005B4D0000}"/>
    <cellStyle name="Currency 2 6" xfId="471" xr:uid="{00000000-0005-0000-0000-00004E4D0000}"/>
    <cellStyle name="Currency 2 6 2" xfId="13834" xr:uid="{00000000-0005-0000-0000-00004F4D0000}"/>
    <cellStyle name="Currency 2 7" xfId="644" xr:uid="{00000000-0005-0000-0000-0000504D0000}"/>
    <cellStyle name="Currency 2 7 2" xfId="13909" xr:uid="{00000000-0005-0000-0000-0000514D0000}"/>
    <cellStyle name="Currency 2 8" xfId="23896" xr:uid="{00000000-0005-0000-0000-0000524D0000}"/>
    <cellStyle name="Currency 2 9" xfId="13606" xr:uid="{00000000-0005-0000-0000-0000534D0000}"/>
    <cellStyle name="Currency 3" xfId="30" xr:uid="{00000000-0005-0000-0000-0000544D0000}"/>
    <cellStyle name="Currency 3 2" xfId="402" xr:uid="{00000000-0005-0000-0000-0000554D0000}"/>
    <cellStyle name="Currency 3 2 2" xfId="24302" xr:uid="{00000000-0005-0000-0000-0000564D0000}"/>
    <cellStyle name="Currency 3 2 2 2" xfId="27140" xr:uid="{00000000-0005-0000-0000-0000644D0000}"/>
    <cellStyle name="Currency 3 3" xfId="379" xr:uid="{00000000-0005-0000-0000-0000574D0000}"/>
    <cellStyle name="Currency 3 3 2" xfId="25997" xr:uid="{00000000-0005-0000-0000-0000654D0000}"/>
    <cellStyle name="Currency 3 4" xfId="3620" xr:uid="{00000000-0005-0000-0000-0000584D0000}"/>
    <cellStyle name="Currency 3 5" xfId="24080" xr:uid="{00000000-0005-0000-0000-0000594D0000}"/>
    <cellStyle name="Currency 3 6" xfId="25793" xr:uid="{00000000-0005-0000-0000-00005A4D0000}"/>
    <cellStyle name="Currency 4" xfId="168" xr:uid="{00000000-0005-0000-0000-00005B4D0000}"/>
    <cellStyle name="Currency 4 2" xfId="25884" xr:uid="{00000000-0005-0000-0000-0000694D0000}"/>
    <cellStyle name="Currency 5" xfId="169" xr:uid="{00000000-0005-0000-0000-00005C4D0000}"/>
    <cellStyle name="Currency 5 2" xfId="360" xr:uid="{00000000-0005-0000-0000-00005D4D0000}"/>
    <cellStyle name="Currency 5 2 2" xfId="442" xr:uid="{00000000-0005-0000-0000-00005E4D0000}"/>
    <cellStyle name="Currency 5 2 2 2" xfId="528" xr:uid="{00000000-0005-0000-0000-00005F4D0000}"/>
    <cellStyle name="Currency 5 2 2 2 2" xfId="13891" xr:uid="{00000000-0005-0000-0000-0000604D0000}"/>
    <cellStyle name="Currency 5 2 2 3" xfId="13814" xr:uid="{00000000-0005-0000-0000-0000614D0000}"/>
    <cellStyle name="Currency 5 2 3" xfId="491" xr:uid="{00000000-0005-0000-0000-0000624D0000}"/>
    <cellStyle name="Currency 5 2 3 2" xfId="13854" xr:uid="{00000000-0005-0000-0000-0000634D0000}"/>
    <cellStyle name="Currency 5 2 4" xfId="13770" xr:uid="{00000000-0005-0000-0000-0000644D0000}"/>
    <cellStyle name="Currency 5 2 5" xfId="24303" xr:uid="{00000000-0005-0000-0000-0000654D0000}"/>
    <cellStyle name="Currency 5 2 5 2" xfId="27141" xr:uid="{00000000-0005-0000-0000-0000734D0000}"/>
    <cellStyle name="Currency 5 3" xfId="422" xr:uid="{00000000-0005-0000-0000-0000664D0000}"/>
    <cellStyle name="Currency 5 3 2" xfId="513" xr:uid="{00000000-0005-0000-0000-0000674D0000}"/>
    <cellStyle name="Currency 5 3 2 2" xfId="13876" xr:uid="{00000000-0005-0000-0000-0000684D0000}"/>
    <cellStyle name="Currency 5 3 3" xfId="13799" xr:uid="{00000000-0005-0000-0000-0000694D0000}"/>
    <cellStyle name="Currency 5 3 4" xfId="24407" xr:uid="{00000000-0005-0000-0000-00006A4D0000}"/>
    <cellStyle name="Currency 5 3 5" xfId="24859" xr:uid="{00000000-0005-0000-0000-00006B4D0000}"/>
    <cellStyle name="Currency 5 3 6" xfId="25224" xr:uid="{00000000-0005-0000-0000-00006C4D0000}"/>
    <cellStyle name="Currency 5 4" xfId="476" xr:uid="{00000000-0005-0000-0000-00006D4D0000}"/>
    <cellStyle name="Currency 5 4 2" xfId="13839" xr:uid="{00000000-0005-0000-0000-00006E4D0000}"/>
    <cellStyle name="Currency 5 5" xfId="13684" xr:uid="{00000000-0005-0000-0000-00006F4D0000}"/>
    <cellStyle name="Currency 5 6" xfId="23903" xr:uid="{00000000-0005-0000-0000-0000704D0000}"/>
    <cellStyle name="Currency 5 6 2" xfId="27034" xr:uid="{00000000-0005-0000-0000-00007E4D0000}"/>
    <cellStyle name="Currency 5 7" xfId="24081" xr:uid="{00000000-0005-0000-0000-0000714D0000}"/>
    <cellStyle name="Currency 5 8" xfId="24707" xr:uid="{00000000-0005-0000-0000-0000724D0000}"/>
    <cellStyle name="Currency 5 9" xfId="25026" xr:uid="{00000000-0005-0000-0000-0000734D0000}"/>
    <cellStyle name="Currency 6" xfId="395" xr:uid="{00000000-0005-0000-0000-0000744D0000}"/>
    <cellStyle name="Currency 6 2" xfId="24293" xr:uid="{00000000-0005-0000-0000-0000754D0000}"/>
    <cellStyle name="Currency 6 3" xfId="26007" xr:uid="{00000000-0005-0000-0000-0000824D0000}"/>
    <cellStyle name="Currency 7" xfId="2590" xr:uid="{00000000-0005-0000-0000-0000764D0000}"/>
    <cellStyle name="Currency 7 2" xfId="24484" xr:uid="{00000000-0005-0000-0000-0000774D0000}"/>
    <cellStyle name="Currency 7 2 2" xfId="24915" xr:uid="{00000000-0005-0000-0000-0000784D0000}"/>
    <cellStyle name="Currency 7 2 3" xfId="25275" xr:uid="{00000000-0005-0000-0000-0000794D0000}"/>
    <cellStyle name="Currency 7 3" xfId="24297" xr:uid="{00000000-0005-0000-0000-00007A4D0000}"/>
    <cellStyle name="Currency 7 4" xfId="24778" xr:uid="{00000000-0005-0000-0000-00007B4D0000}"/>
    <cellStyle name="Currency 7 5" xfId="25147" xr:uid="{00000000-0005-0000-0000-00007C4D0000}"/>
    <cellStyle name="Currency 7 6" xfId="26148" xr:uid="{00000000-0005-0000-0000-0000844D0000}"/>
    <cellStyle name="Currency 8" xfId="13601" xr:uid="{00000000-0005-0000-0000-00007D4D0000}"/>
    <cellStyle name="Currency 8 2" xfId="23904" xr:uid="{00000000-0005-0000-0000-00007E4D0000}"/>
    <cellStyle name="Currency 8 2 2" xfId="27035" xr:uid="{00000000-0005-0000-0000-00008C4D0000}"/>
    <cellStyle name="Currency 8 3" xfId="26556" xr:uid="{00000000-0005-0000-0000-00008B4D0000}"/>
    <cellStyle name="Currency 9" xfId="23889" xr:uid="{00000000-0005-0000-0000-00007F4D0000}"/>
    <cellStyle name="Currency 9 2" xfId="24299" xr:uid="{00000000-0005-0000-0000-0000804D0000}"/>
    <cellStyle name="Currency 9 2 2" xfId="27137" xr:uid="{00000000-0005-0000-0000-00008E4D0000}"/>
    <cellStyle name="Currency No Comma" xfId="31" xr:uid="{00000000-0005-0000-0000-0000814D0000}"/>
    <cellStyle name="Currency(0)" xfId="32" xr:uid="{00000000-0005-0000-0000-0000824D0000}"/>
    <cellStyle name="Currency0" xfId="33" xr:uid="{00000000-0005-0000-0000-0000834D0000}"/>
    <cellStyle name="Currency0 2" xfId="403" xr:uid="{00000000-0005-0000-0000-0000844D0000}"/>
    <cellStyle name="Currency0 2 2" xfId="24082" xr:uid="{00000000-0005-0000-0000-0000854D0000}"/>
    <cellStyle name="Currency0 2 2 2" xfId="27063" xr:uid="{00000000-0005-0000-0000-0000934D0000}"/>
    <cellStyle name="Currency0 3" xfId="380" xr:uid="{00000000-0005-0000-0000-0000864D0000}"/>
    <cellStyle name="Currency0 3 2" xfId="25998" xr:uid="{00000000-0005-0000-0000-0000944D0000}"/>
    <cellStyle name="Currency0 4" xfId="23910" xr:uid="{00000000-0005-0000-0000-0000874D0000}"/>
    <cellStyle name="Currency0 4 2" xfId="27037" xr:uid="{00000000-0005-0000-0000-0000954D0000}"/>
    <cellStyle name="Currsmall" xfId="553" xr:uid="{00000000-0005-0000-0000-0000884D0000}"/>
    <cellStyle name="Data Link" xfId="554" xr:uid="{00000000-0005-0000-0000-0000894D0000}"/>
    <cellStyle name="Date" xfId="34" xr:uid="{00000000-0005-0000-0000-00008A4D0000}"/>
    <cellStyle name="Date - Style3" xfId="35" xr:uid="{00000000-0005-0000-0000-00008B4D0000}"/>
    <cellStyle name="Date (mm/dd/yy)" xfId="555" xr:uid="{00000000-0005-0000-0000-00008C4D0000}"/>
    <cellStyle name="Date (mm/dd/yy) 2" xfId="26042" xr:uid="{00000000-0005-0000-0000-00009A4D0000}"/>
    <cellStyle name="Date (mm/yy)" xfId="556" xr:uid="{00000000-0005-0000-0000-00008D4D0000}"/>
    <cellStyle name="Date (mm/yy) 2" xfId="26043" xr:uid="{00000000-0005-0000-0000-00009B4D0000}"/>
    <cellStyle name="Date (mmm/yy)" xfId="557" xr:uid="{00000000-0005-0000-0000-00008E4D0000}"/>
    <cellStyle name="Date (mmm/yy) 2" xfId="26044" xr:uid="{00000000-0005-0000-0000-00009C4D0000}"/>
    <cellStyle name="Date (Mon, Tues, etc)" xfId="558" xr:uid="{00000000-0005-0000-0000-00008F4D0000}"/>
    <cellStyle name="Date (Mon, Tues, etc) 2" xfId="26045" xr:uid="{00000000-0005-0000-0000-00009D4D0000}"/>
    <cellStyle name="Date (Monday, Tuesday, etc)" xfId="559" xr:uid="{00000000-0005-0000-0000-0000904D0000}"/>
    <cellStyle name="Date (Monday, Tuesday, etc) 2" xfId="26046" xr:uid="{00000000-0005-0000-0000-00009E4D0000}"/>
    <cellStyle name="Date 10" xfId="460" xr:uid="{00000000-0005-0000-0000-0000914D0000}"/>
    <cellStyle name="Date 10 2" xfId="26027" xr:uid="{00000000-0005-0000-0000-00009F4D0000}"/>
    <cellStyle name="Date 11" xfId="24408" xr:uid="{00000000-0005-0000-0000-0000924D0000}"/>
    <cellStyle name="Date 11 2" xfId="27161" xr:uid="{00000000-0005-0000-0000-0000A04D0000}"/>
    <cellStyle name="Date 12" xfId="24401" xr:uid="{00000000-0005-0000-0000-0000934D0000}"/>
    <cellStyle name="Date 12 2" xfId="27156" xr:uid="{00000000-0005-0000-0000-0000A14D0000}"/>
    <cellStyle name="Date 13" xfId="24409" xr:uid="{00000000-0005-0000-0000-0000944D0000}"/>
    <cellStyle name="Date 13 2" xfId="27162" xr:uid="{00000000-0005-0000-0000-0000A24D0000}"/>
    <cellStyle name="Date 14" xfId="24405" xr:uid="{00000000-0005-0000-0000-0000954D0000}"/>
    <cellStyle name="Date 14 2" xfId="27160" xr:uid="{00000000-0005-0000-0000-0000A34D0000}"/>
    <cellStyle name="Date 15" xfId="24502" xr:uid="{00000000-0005-0000-0000-0000964D0000}"/>
    <cellStyle name="Date 15 2" xfId="27192" xr:uid="{00000000-0005-0000-0000-0000A44D0000}"/>
    <cellStyle name="Date 16" xfId="24404" xr:uid="{00000000-0005-0000-0000-0000974D0000}"/>
    <cellStyle name="Date 16 2" xfId="27159" xr:uid="{00000000-0005-0000-0000-0000A54D0000}"/>
    <cellStyle name="Date 17" xfId="24495" xr:uid="{00000000-0005-0000-0000-0000984D0000}"/>
    <cellStyle name="Date 17 2" xfId="27186" xr:uid="{00000000-0005-0000-0000-0000A64D0000}"/>
    <cellStyle name="Date 18" xfId="24315" xr:uid="{00000000-0005-0000-0000-0000994D0000}"/>
    <cellStyle name="Date 18 2" xfId="27148" xr:uid="{00000000-0005-0000-0000-0000A74D0000}"/>
    <cellStyle name="Date 19" xfId="24493" xr:uid="{00000000-0005-0000-0000-00009A4D0000}"/>
    <cellStyle name="Date 19 2" xfId="27184" xr:uid="{00000000-0005-0000-0000-0000A84D0000}"/>
    <cellStyle name="Date 2" xfId="404" xr:uid="{00000000-0005-0000-0000-00009B4D0000}"/>
    <cellStyle name="Date 2 2" xfId="24083" xr:uid="{00000000-0005-0000-0000-00009C4D0000}"/>
    <cellStyle name="Date 2 2 2" xfId="27064" xr:uid="{00000000-0005-0000-0000-0000AA4D0000}"/>
    <cellStyle name="Date 20" xfId="24317" xr:uid="{00000000-0005-0000-0000-00009D4D0000}"/>
    <cellStyle name="Date 20 2" xfId="27149" xr:uid="{00000000-0005-0000-0000-0000AB4D0000}"/>
    <cellStyle name="Date 21" xfId="24489" xr:uid="{00000000-0005-0000-0000-00009E4D0000}"/>
    <cellStyle name="Date 21 2" xfId="27181" xr:uid="{00000000-0005-0000-0000-0000AC4D0000}"/>
    <cellStyle name="Date 22" xfId="24483" xr:uid="{00000000-0005-0000-0000-00009F4D0000}"/>
    <cellStyle name="Date 22 2" xfId="27177" xr:uid="{00000000-0005-0000-0000-0000AD4D0000}"/>
    <cellStyle name="Date 23" xfId="24491" xr:uid="{00000000-0005-0000-0000-0000A04D0000}"/>
    <cellStyle name="Date 23 2" xfId="27183" xr:uid="{00000000-0005-0000-0000-0000AE4D0000}"/>
    <cellStyle name="Date 24" xfId="24403" xr:uid="{00000000-0005-0000-0000-0000A14D0000}"/>
    <cellStyle name="Date 24 2" xfId="27158" xr:uid="{00000000-0005-0000-0000-0000AF4D0000}"/>
    <cellStyle name="Date 25" xfId="24488" xr:uid="{00000000-0005-0000-0000-0000A24D0000}"/>
    <cellStyle name="Date 25 2" xfId="27180" xr:uid="{00000000-0005-0000-0000-0000B04D0000}"/>
    <cellStyle name="Date 26" xfId="24507" xr:uid="{00000000-0005-0000-0000-0000A34D0000}"/>
    <cellStyle name="Date 26 2" xfId="27195" xr:uid="{00000000-0005-0000-0000-0000B14D0000}"/>
    <cellStyle name="Date 27" xfId="23911" xr:uid="{00000000-0005-0000-0000-0000A44D0000}"/>
    <cellStyle name="Date 27 2" xfId="27038" xr:uid="{00000000-0005-0000-0000-0000B24D0000}"/>
    <cellStyle name="Date 28" xfId="23925" xr:uid="{00000000-0005-0000-0000-0000A54D0000}"/>
    <cellStyle name="Date 28 2" xfId="27041" xr:uid="{00000000-0005-0000-0000-0000B34D0000}"/>
    <cellStyle name="Date 29" xfId="24530" xr:uid="{00000000-0005-0000-0000-0000A64D0000}"/>
    <cellStyle name="Date 29 2" xfId="27211" xr:uid="{00000000-0005-0000-0000-0000B44D0000}"/>
    <cellStyle name="Date 3" xfId="381" xr:uid="{00000000-0005-0000-0000-0000A74D0000}"/>
    <cellStyle name="Date 3 2" xfId="25999" xr:uid="{00000000-0005-0000-0000-0000B54D0000}"/>
    <cellStyle name="Date 30" xfId="24007" xr:uid="{00000000-0005-0000-0000-0000A84D0000}"/>
    <cellStyle name="Date 30 2" xfId="27047" xr:uid="{00000000-0005-0000-0000-0000B64D0000}"/>
    <cellStyle name="Date 31" xfId="24539" xr:uid="{00000000-0005-0000-0000-0000A94D0000}"/>
    <cellStyle name="Date 31 2" xfId="27217" xr:uid="{00000000-0005-0000-0000-0000B74D0000}"/>
    <cellStyle name="Date 32" xfId="24520" xr:uid="{00000000-0005-0000-0000-0000AA4D0000}"/>
    <cellStyle name="Date 32 2" xfId="27206" xr:uid="{00000000-0005-0000-0000-0000B84D0000}"/>
    <cellStyle name="Date 33" xfId="24084" xr:uid="{00000000-0005-0000-0000-0000AB4D0000}"/>
    <cellStyle name="Date 33 2" xfId="27065" xr:uid="{00000000-0005-0000-0000-0000B94D0000}"/>
    <cellStyle name="Date 34" xfId="24527" xr:uid="{00000000-0005-0000-0000-0000AC4D0000}"/>
    <cellStyle name="Date 34 2" xfId="27209" xr:uid="{00000000-0005-0000-0000-0000BA4D0000}"/>
    <cellStyle name="Date 35" xfId="24538" xr:uid="{00000000-0005-0000-0000-0000AD4D0000}"/>
    <cellStyle name="Date 35 2" xfId="27216" xr:uid="{00000000-0005-0000-0000-0000BB4D0000}"/>
    <cellStyle name="Date 36" xfId="24097" xr:uid="{00000000-0005-0000-0000-0000AE4D0000}"/>
    <cellStyle name="Date 36 2" xfId="27067" xr:uid="{00000000-0005-0000-0000-0000BC4D0000}"/>
    <cellStyle name="Date 37" xfId="24534" xr:uid="{00000000-0005-0000-0000-0000AF4D0000}"/>
    <cellStyle name="Date 37 2" xfId="27214" xr:uid="{00000000-0005-0000-0000-0000BD4D0000}"/>
    <cellStyle name="Date 38" xfId="24548" xr:uid="{00000000-0005-0000-0000-0000B04D0000}"/>
    <cellStyle name="Date 38 2" xfId="27223" xr:uid="{00000000-0005-0000-0000-0000BE4D0000}"/>
    <cellStyle name="Date 39" xfId="24772" xr:uid="{00000000-0005-0000-0000-0000B14D0000}"/>
    <cellStyle name="Date 39 2" xfId="27315" xr:uid="{00000000-0005-0000-0000-0000BF4D0000}"/>
    <cellStyle name="Date 4" xfId="434" xr:uid="{00000000-0005-0000-0000-0000B24D0000}"/>
    <cellStyle name="Date 4 2" xfId="26018" xr:uid="{00000000-0005-0000-0000-0000C04D0000}"/>
    <cellStyle name="Date 40" xfId="24635" xr:uid="{00000000-0005-0000-0000-0000B34D0000}"/>
    <cellStyle name="Date 40 2" xfId="27231" xr:uid="{00000000-0005-0000-0000-0000C14D0000}"/>
    <cellStyle name="Date 41" xfId="24916" xr:uid="{00000000-0005-0000-0000-0000B44D0000}"/>
    <cellStyle name="Date 41 2" xfId="27329" xr:uid="{00000000-0005-0000-0000-0000C24D0000}"/>
    <cellStyle name="Date 42" xfId="24932" xr:uid="{00000000-0005-0000-0000-0000B54D0000}"/>
    <cellStyle name="Date 42 2" xfId="27341" xr:uid="{00000000-0005-0000-0000-0000C34D0000}"/>
    <cellStyle name="Date 43" xfId="24856" xr:uid="{00000000-0005-0000-0000-0000B64D0000}"/>
    <cellStyle name="Date 43 2" xfId="27319" xr:uid="{00000000-0005-0000-0000-0000C44D0000}"/>
    <cellStyle name="Date 44" xfId="24760" xr:uid="{00000000-0005-0000-0000-0000B74D0000}"/>
    <cellStyle name="Date 44 2" xfId="27307" xr:uid="{00000000-0005-0000-0000-0000C54D0000}"/>
    <cellStyle name="Date 45" xfId="24930" xr:uid="{00000000-0005-0000-0000-0000B84D0000}"/>
    <cellStyle name="Date 45 2" xfId="27340" xr:uid="{00000000-0005-0000-0000-0000C64D0000}"/>
    <cellStyle name="Date 46" xfId="24925" xr:uid="{00000000-0005-0000-0000-0000B94D0000}"/>
    <cellStyle name="Date 46 2" xfId="27336" xr:uid="{00000000-0005-0000-0000-0000C74D0000}"/>
    <cellStyle name="Date 47" xfId="24939" xr:uid="{00000000-0005-0000-0000-0000BA4D0000}"/>
    <cellStyle name="Date 47 2" xfId="27346" xr:uid="{00000000-0005-0000-0000-0000C84D0000}"/>
    <cellStyle name="Date 48" xfId="24921" xr:uid="{00000000-0005-0000-0000-0000BB4D0000}"/>
    <cellStyle name="Date 48 2" xfId="27332" xr:uid="{00000000-0005-0000-0000-0000C94D0000}"/>
    <cellStyle name="Date 49" xfId="24928" xr:uid="{00000000-0005-0000-0000-0000BC4D0000}"/>
    <cellStyle name="Date 49 2" xfId="27339" xr:uid="{00000000-0005-0000-0000-0000CA4D0000}"/>
    <cellStyle name="Date 5" xfId="436" xr:uid="{00000000-0005-0000-0000-0000BD4D0000}"/>
    <cellStyle name="Date 5 2" xfId="26020" xr:uid="{00000000-0005-0000-0000-0000CB4D0000}"/>
    <cellStyle name="Date 50" xfId="24908" xr:uid="{00000000-0005-0000-0000-0000BE4D0000}"/>
    <cellStyle name="Date 50 2" xfId="27328" xr:uid="{00000000-0005-0000-0000-0000CC4D0000}"/>
    <cellStyle name="Date 51" xfId="24943" xr:uid="{00000000-0005-0000-0000-0000BF4D0000}"/>
    <cellStyle name="Date 51 2" xfId="27349" xr:uid="{00000000-0005-0000-0000-0000CD4D0000}"/>
    <cellStyle name="Date 6" xfId="389" xr:uid="{00000000-0005-0000-0000-0000C04D0000}"/>
    <cellStyle name="Date 6 2" xfId="26002" xr:uid="{00000000-0005-0000-0000-0000CE4D0000}"/>
    <cellStyle name="Date 7" xfId="457" xr:uid="{00000000-0005-0000-0000-0000C14D0000}"/>
    <cellStyle name="Date 7 2" xfId="26024" xr:uid="{00000000-0005-0000-0000-0000CF4D0000}"/>
    <cellStyle name="Date 8" xfId="462" xr:uid="{00000000-0005-0000-0000-0000C24D0000}"/>
    <cellStyle name="Date 8 2" xfId="26029" xr:uid="{00000000-0005-0000-0000-0000D04D0000}"/>
    <cellStyle name="Date 9" xfId="458" xr:uid="{00000000-0005-0000-0000-0000C34D0000}"/>
    <cellStyle name="Date 9 2" xfId="26025" xr:uid="{00000000-0005-0000-0000-0000D14D0000}"/>
    <cellStyle name="Date_2002SavingsIdeasSummary" xfId="560" xr:uid="{00000000-0005-0000-0000-0000C44D0000}"/>
    <cellStyle name="Emphasis 1" xfId="24085" xr:uid="{00000000-0005-0000-0000-0000C54D0000}"/>
    <cellStyle name="Emphasis 2" xfId="24086" xr:uid="{00000000-0005-0000-0000-0000C64D0000}"/>
    <cellStyle name="Emphasis 3" xfId="24087" xr:uid="{00000000-0005-0000-0000-0000C74D0000}"/>
    <cellStyle name="Explanatory Text 10" xfId="2591" xr:uid="{00000000-0005-0000-0000-0000C84D0000}"/>
    <cellStyle name="Explanatory Text 11" xfId="2592" xr:uid="{00000000-0005-0000-0000-0000C94D0000}"/>
    <cellStyle name="Explanatory Text 12" xfId="2593" xr:uid="{00000000-0005-0000-0000-0000CA4D0000}"/>
    <cellStyle name="Explanatory Text 13" xfId="2594" xr:uid="{00000000-0005-0000-0000-0000CB4D0000}"/>
    <cellStyle name="Explanatory Text 14" xfId="2595" xr:uid="{00000000-0005-0000-0000-0000CC4D0000}"/>
    <cellStyle name="Explanatory Text 15" xfId="2596" xr:uid="{00000000-0005-0000-0000-0000CD4D0000}"/>
    <cellStyle name="Explanatory Text 16" xfId="2597" xr:uid="{00000000-0005-0000-0000-0000CE4D0000}"/>
    <cellStyle name="Explanatory Text 17" xfId="2598" xr:uid="{00000000-0005-0000-0000-0000CF4D0000}"/>
    <cellStyle name="Explanatory Text 18" xfId="2599" xr:uid="{00000000-0005-0000-0000-0000D04D0000}"/>
    <cellStyle name="Explanatory Text 19" xfId="2600" xr:uid="{00000000-0005-0000-0000-0000D14D0000}"/>
    <cellStyle name="Explanatory Text 2" xfId="2601" xr:uid="{00000000-0005-0000-0000-0000D24D0000}"/>
    <cellStyle name="Explanatory Text 20" xfId="2602" xr:uid="{00000000-0005-0000-0000-0000D34D0000}"/>
    <cellStyle name="Explanatory Text 21" xfId="2603" xr:uid="{00000000-0005-0000-0000-0000D44D0000}"/>
    <cellStyle name="Explanatory Text 22" xfId="2604" xr:uid="{00000000-0005-0000-0000-0000D54D0000}"/>
    <cellStyle name="Explanatory Text 23" xfId="2605" xr:uid="{00000000-0005-0000-0000-0000D64D0000}"/>
    <cellStyle name="Explanatory Text 24" xfId="2606" xr:uid="{00000000-0005-0000-0000-0000D74D0000}"/>
    <cellStyle name="Explanatory Text 25" xfId="2607" xr:uid="{00000000-0005-0000-0000-0000D84D0000}"/>
    <cellStyle name="Explanatory Text 26" xfId="2608" xr:uid="{00000000-0005-0000-0000-0000D94D0000}"/>
    <cellStyle name="Explanatory Text 27" xfId="2609" xr:uid="{00000000-0005-0000-0000-0000DA4D0000}"/>
    <cellStyle name="Explanatory Text 28" xfId="2610" xr:uid="{00000000-0005-0000-0000-0000DB4D0000}"/>
    <cellStyle name="Explanatory Text 29" xfId="2611" xr:uid="{00000000-0005-0000-0000-0000DC4D0000}"/>
    <cellStyle name="Explanatory Text 3" xfId="2612" xr:uid="{00000000-0005-0000-0000-0000DD4D0000}"/>
    <cellStyle name="Explanatory Text 30" xfId="2613" xr:uid="{00000000-0005-0000-0000-0000DE4D0000}"/>
    <cellStyle name="Explanatory Text 31" xfId="2614" xr:uid="{00000000-0005-0000-0000-0000DF4D0000}"/>
    <cellStyle name="Explanatory Text 32" xfId="2615" xr:uid="{00000000-0005-0000-0000-0000E04D0000}"/>
    <cellStyle name="Explanatory Text 33" xfId="2616" xr:uid="{00000000-0005-0000-0000-0000E14D0000}"/>
    <cellStyle name="Explanatory Text 34" xfId="2617" xr:uid="{00000000-0005-0000-0000-0000E24D0000}"/>
    <cellStyle name="Explanatory Text 35" xfId="2618" xr:uid="{00000000-0005-0000-0000-0000E34D0000}"/>
    <cellStyle name="Explanatory Text 36" xfId="2619" xr:uid="{00000000-0005-0000-0000-0000E44D0000}"/>
    <cellStyle name="Explanatory Text 37" xfId="2620" xr:uid="{00000000-0005-0000-0000-0000E54D0000}"/>
    <cellStyle name="Explanatory Text 38" xfId="2621" xr:uid="{00000000-0005-0000-0000-0000E64D0000}"/>
    <cellStyle name="Explanatory Text 39" xfId="2622" xr:uid="{00000000-0005-0000-0000-0000E74D0000}"/>
    <cellStyle name="Explanatory Text 4" xfId="2623" xr:uid="{00000000-0005-0000-0000-0000E84D0000}"/>
    <cellStyle name="Explanatory Text 40" xfId="2624" xr:uid="{00000000-0005-0000-0000-0000E94D0000}"/>
    <cellStyle name="Explanatory Text 41" xfId="2625" xr:uid="{00000000-0005-0000-0000-0000EA4D0000}"/>
    <cellStyle name="Explanatory Text 42" xfId="2626" xr:uid="{00000000-0005-0000-0000-0000EB4D0000}"/>
    <cellStyle name="Explanatory Text 43" xfId="2627" xr:uid="{00000000-0005-0000-0000-0000EC4D0000}"/>
    <cellStyle name="Explanatory Text 44" xfId="2628" xr:uid="{00000000-0005-0000-0000-0000ED4D0000}"/>
    <cellStyle name="Explanatory Text 45" xfId="2629" xr:uid="{00000000-0005-0000-0000-0000EE4D0000}"/>
    <cellStyle name="Explanatory Text 46" xfId="2630" xr:uid="{00000000-0005-0000-0000-0000EF4D0000}"/>
    <cellStyle name="Explanatory Text 47" xfId="2631" xr:uid="{00000000-0005-0000-0000-0000F04D0000}"/>
    <cellStyle name="Explanatory Text 48" xfId="2632" xr:uid="{00000000-0005-0000-0000-0000F14D0000}"/>
    <cellStyle name="Explanatory Text 49" xfId="2633" xr:uid="{00000000-0005-0000-0000-0000F24D0000}"/>
    <cellStyle name="Explanatory Text 5" xfId="2634" xr:uid="{00000000-0005-0000-0000-0000F34D0000}"/>
    <cellStyle name="Explanatory Text 50" xfId="2635" xr:uid="{00000000-0005-0000-0000-0000F44D0000}"/>
    <cellStyle name="Explanatory Text 51" xfId="2636" xr:uid="{00000000-0005-0000-0000-0000F54D0000}"/>
    <cellStyle name="Explanatory Text 52" xfId="2637" xr:uid="{00000000-0005-0000-0000-0000F64D0000}"/>
    <cellStyle name="Explanatory Text 53" xfId="2638" xr:uid="{00000000-0005-0000-0000-0000F74D0000}"/>
    <cellStyle name="Explanatory Text 54" xfId="2639" xr:uid="{00000000-0005-0000-0000-0000F84D0000}"/>
    <cellStyle name="Explanatory Text 55" xfId="2640" xr:uid="{00000000-0005-0000-0000-0000F94D0000}"/>
    <cellStyle name="Explanatory Text 56" xfId="2641" xr:uid="{00000000-0005-0000-0000-0000FA4D0000}"/>
    <cellStyle name="Explanatory Text 57" xfId="2642" xr:uid="{00000000-0005-0000-0000-0000FB4D0000}"/>
    <cellStyle name="Explanatory Text 58" xfId="2643" xr:uid="{00000000-0005-0000-0000-0000FC4D0000}"/>
    <cellStyle name="Explanatory Text 59" xfId="2644" xr:uid="{00000000-0005-0000-0000-0000FD4D0000}"/>
    <cellStyle name="Explanatory Text 6" xfId="2645" xr:uid="{00000000-0005-0000-0000-0000FE4D0000}"/>
    <cellStyle name="Explanatory Text 60" xfId="2646" xr:uid="{00000000-0005-0000-0000-0000FF4D0000}"/>
    <cellStyle name="Explanatory Text 61" xfId="2647" xr:uid="{00000000-0005-0000-0000-0000004E0000}"/>
    <cellStyle name="Explanatory Text 62" xfId="2648" xr:uid="{00000000-0005-0000-0000-0000014E0000}"/>
    <cellStyle name="Explanatory Text 63" xfId="2649" xr:uid="{00000000-0005-0000-0000-0000024E0000}"/>
    <cellStyle name="Explanatory Text 64" xfId="2650" xr:uid="{00000000-0005-0000-0000-0000034E0000}"/>
    <cellStyle name="Explanatory Text 65" xfId="2651" xr:uid="{00000000-0005-0000-0000-0000044E0000}"/>
    <cellStyle name="Explanatory Text 66" xfId="2652" xr:uid="{00000000-0005-0000-0000-0000054E0000}"/>
    <cellStyle name="Explanatory Text 67" xfId="2653" xr:uid="{00000000-0005-0000-0000-0000064E0000}"/>
    <cellStyle name="Explanatory Text 68" xfId="2654" xr:uid="{00000000-0005-0000-0000-0000074E0000}"/>
    <cellStyle name="Explanatory Text 69" xfId="2655" xr:uid="{00000000-0005-0000-0000-0000084E0000}"/>
    <cellStyle name="Explanatory Text 7" xfId="2656" xr:uid="{00000000-0005-0000-0000-0000094E0000}"/>
    <cellStyle name="Explanatory Text 70" xfId="2657" xr:uid="{00000000-0005-0000-0000-00000A4E0000}"/>
    <cellStyle name="Explanatory Text 71" xfId="2658" xr:uid="{00000000-0005-0000-0000-00000B4E0000}"/>
    <cellStyle name="Explanatory Text 72" xfId="2659" xr:uid="{00000000-0005-0000-0000-00000C4E0000}"/>
    <cellStyle name="Explanatory Text 8" xfId="2660" xr:uid="{00000000-0005-0000-0000-00000D4E0000}"/>
    <cellStyle name="Explanatory Text 9" xfId="2661" xr:uid="{00000000-0005-0000-0000-00000E4E0000}"/>
    <cellStyle name="F2" xfId="561" xr:uid="{00000000-0005-0000-0000-00000F4E0000}"/>
    <cellStyle name="F2 2" xfId="24088" xr:uid="{00000000-0005-0000-0000-0000104E0000}"/>
    <cellStyle name="F2 3" xfId="23912" xr:uid="{00000000-0005-0000-0000-0000114E0000}"/>
    <cellStyle name="F3" xfId="562" xr:uid="{00000000-0005-0000-0000-0000124E0000}"/>
    <cellStyle name="F3 2" xfId="24089" xr:uid="{00000000-0005-0000-0000-0000134E0000}"/>
    <cellStyle name="F3 3" xfId="23913" xr:uid="{00000000-0005-0000-0000-0000144E0000}"/>
    <cellStyle name="F4" xfId="563" xr:uid="{00000000-0005-0000-0000-0000154E0000}"/>
    <cellStyle name="F4 2" xfId="24090" xr:uid="{00000000-0005-0000-0000-0000164E0000}"/>
    <cellStyle name="F4 3" xfId="23914" xr:uid="{00000000-0005-0000-0000-0000174E0000}"/>
    <cellStyle name="F5" xfId="564" xr:uid="{00000000-0005-0000-0000-0000184E0000}"/>
    <cellStyle name="F5 2" xfId="24091" xr:uid="{00000000-0005-0000-0000-0000194E0000}"/>
    <cellStyle name="F5 3" xfId="23915" xr:uid="{00000000-0005-0000-0000-00001A4E0000}"/>
    <cellStyle name="F6" xfId="565" xr:uid="{00000000-0005-0000-0000-00001B4E0000}"/>
    <cellStyle name="F6 2" xfId="24092" xr:uid="{00000000-0005-0000-0000-00001C4E0000}"/>
    <cellStyle name="F6 3" xfId="23916" xr:uid="{00000000-0005-0000-0000-00001D4E0000}"/>
    <cellStyle name="F7" xfId="566" xr:uid="{00000000-0005-0000-0000-00001E4E0000}"/>
    <cellStyle name="F7 2" xfId="24093" xr:uid="{00000000-0005-0000-0000-00001F4E0000}"/>
    <cellStyle name="F7 3" xfId="23917" xr:uid="{00000000-0005-0000-0000-0000204E0000}"/>
    <cellStyle name="F8" xfId="567" xr:uid="{00000000-0005-0000-0000-0000214E0000}"/>
    <cellStyle name="F8 2" xfId="24094" xr:uid="{00000000-0005-0000-0000-0000224E0000}"/>
    <cellStyle name="F8 3" xfId="23918" xr:uid="{00000000-0005-0000-0000-0000234E0000}"/>
    <cellStyle name="Fixed" xfId="36" xr:uid="{00000000-0005-0000-0000-0000244E0000}"/>
    <cellStyle name="Fixed 2" xfId="405" xr:uid="{00000000-0005-0000-0000-0000254E0000}"/>
    <cellStyle name="Fixed 2 2" xfId="24095" xr:uid="{00000000-0005-0000-0000-0000264E0000}"/>
    <cellStyle name="Fixed 2 2 2" xfId="27066" xr:uid="{00000000-0005-0000-0000-0000344E0000}"/>
    <cellStyle name="Fixed 3" xfId="382" xr:uid="{00000000-0005-0000-0000-0000274E0000}"/>
    <cellStyle name="Fixed 3 2" xfId="26000" xr:uid="{00000000-0005-0000-0000-0000354E0000}"/>
    <cellStyle name="Fixed 4" xfId="23919" xr:uid="{00000000-0005-0000-0000-0000284E0000}"/>
    <cellStyle name="Fixed 4 2" xfId="27039" xr:uid="{00000000-0005-0000-0000-0000364E0000}"/>
    <cellStyle name="Fixlong" xfId="568" xr:uid="{00000000-0005-0000-0000-0000294E0000}"/>
    <cellStyle name="Followed Hyperlink" xfId="4621" builtinId="9" customBuiltin="1"/>
    <cellStyle name="Followed Hyperlink 2" xfId="2662" xr:uid="{00000000-0005-0000-0000-00002B4E0000}"/>
    <cellStyle name="Followed Hyperlink 3" xfId="2663" xr:uid="{00000000-0005-0000-0000-00002C4E0000}"/>
    <cellStyle name="Formula" xfId="569" xr:uid="{00000000-0005-0000-0000-00002D4E0000}"/>
    <cellStyle name="Formula 2" xfId="24096" xr:uid="{00000000-0005-0000-0000-00002E4E0000}"/>
    <cellStyle name="Formula 2 2" xfId="24774" xr:uid="{00000000-0005-0000-0000-00002F4E0000}"/>
    <cellStyle name="Formula 3" xfId="24861" xr:uid="{00000000-0005-0000-0000-0000304E0000}"/>
    <cellStyle name="General" xfId="37" xr:uid="{00000000-0005-0000-0000-0000314E0000}"/>
    <cellStyle name="Good 10" xfId="2664" xr:uid="{00000000-0005-0000-0000-0000324E0000}"/>
    <cellStyle name="Good 11" xfId="2665" xr:uid="{00000000-0005-0000-0000-0000334E0000}"/>
    <cellStyle name="Good 12" xfId="2666" xr:uid="{00000000-0005-0000-0000-0000344E0000}"/>
    <cellStyle name="Good 13" xfId="2667" xr:uid="{00000000-0005-0000-0000-0000354E0000}"/>
    <cellStyle name="Good 14" xfId="2668" xr:uid="{00000000-0005-0000-0000-0000364E0000}"/>
    <cellStyle name="Good 15" xfId="2669" xr:uid="{00000000-0005-0000-0000-0000374E0000}"/>
    <cellStyle name="Good 16" xfId="2670" xr:uid="{00000000-0005-0000-0000-0000384E0000}"/>
    <cellStyle name="Good 17" xfId="2671" xr:uid="{00000000-0005-0000-0000-0000394E0000}"/>
    <cellStyle name="Good 18" xfId="2672" xr:uid="{00000000-0005-0000-0000-00003A4E0000}"/>
    <cellStyle name="Good 19" xfId="2673" xr:uid="{00000000-0005-0000-0000-00003B4E0000}"/>
    <cellStyle name="Good 2" xfId="2674" xr:uid="{00000000-0005-0000-0000-00003C4E0000}"/>
    <cellStyle name="Good 2 2" xfId="24099" xr:uid="{00000000-0005-0000-0000-00003D4E0000}"/>
    <cellStyle name="Good 2 3" xfId="24098" xr:uid="{00000000-0005-0000-0000-00003E4E0000}"/>
    <cellStyle name="Good 20" xfId="2675" xr:uid="{00000000-0005-0000-0000-00003F4E0000}"/>
    <cellStyle name="Good 21" xfId="2676" xr:uid="{00000000-0005-0000-0000-0000404E0000}"/>
    <cellStyle name="Good 22" xfId="2677" xr:uid="{00000000-0005-0000-0000-0000414E0000}"/>
    <cellStyle name="Good 23" xfId="2678" xr:uid="{00000000-0005-0000-0000-0000424E0000}"/>
    <cellStyle name="Good 24" xfId="2679" xr:uid="{00000000-0005-0000-0000-0000434E0000}"/>
    <cellStyle name="Good 25" xfId="2680" xr:uid="{00000000-0005-0000-0000-0000444E0000}"/>
    <cellStyle name="Good 26" xfId="2681" xr:uid="{00000000-0005-0000-0000-0000454E0000}"/>
    <cellStyle name="Good 27" xfId="2682" xr:uid="{00000000-0005-0000-0000-0000464E0000}"/>
    <cellStyle name="Good 28" xfId="2683" xr:uid="{00000000-0005-0000-0000-0000474E0000}"/>
    <cellStyle name="Good 29" xfId="2684" xr:uid="{00000000-0005-0000-0000-0000484E0000}"/>
    <cellStyle name="Good 3" xfId="2685" xr:uid="{00000000-0005-0000-0000-0000494E0000}"/>
    <cellStyle name="Good 3 2" xfId="24100" xr:uid="{00000000-0005-0000-0000-00004A4E0000}"/>
    <cellStyle name="Good 30" xfId="2686" xr:uid="{00000000-0005-0000-0000-00004B4E0000}"/>
    <cellStyle name="Good 31" xfId="2687" xr:uid="{00000000-0005-0000-0000-00004C4E0000}"/>
    <cellStyle name="Good 32" xfId="2688" xr:uid="{00000000-0005-0000-0000-00004D4E0000}"/>
    <cellStyle name="Good 33" xfId="2689" xr:uid="{00000000-0005-0000-0000-00004E4E0000}"/>
    <cellStyle name="Good 34" xfId="2690" xr:uid="{00000000-0005-0000-0000-00004F4E0000}"/>
    <cellStyle name="Good 35" xfId="2691" xr:uid="{00000000-0005-0000-0000-0000504E0000}"/>
    <cellStyle name="Good 36" xfId="2692" xr:uid="{00000000-0005-0000-0000-0000514E0000}"/>
    <cellStyle name="Good 37" xfId="2693" xr:uid="{00000000-0005-0000-0000-0000524E0000}"/>
    <cellStyle name="Good 38" xfId="2694" xr:uid="{00000000-0005-0000-0000-0000534E0000}"/>
    <cellStyle name="Good 39" xfId="2695" xr:uid="{00000000-0005-0000-0000-0000544E0000}"/>
    <cellStyle name="Good 4" xfId="2696" xr:uid="{00000000-0005-0000-0000-0000554E0000}"/>
    <cellStyle name="Good 4 2" xfId="24101" xr:uid="{00000000-0005-0000-0000-0000564E0000}"/>
    <cellStyle name="Good 40" xfId="2697" xr:uid="{00000000-0005-0000-0000-0000574E0000}"/>
    <cellStyle name="Good 41" xfId="2698" xr:uid="{00000000-0005-0000-0000-0000584E0000}"/>
    <cellStyle name="Good 42" xfId="2699" xr:uid="{00000000-0005-0000-0000-0000594E0000}"/>
    <cellStyle name="Good 43" xfId="2700" xr:uid="{00000000-0005-0000-0000-00005A4E0000}"/>
    <cellStyle name="Good 44" xfId="2701" xr:uid="{00000000-0005-0000-0000-00005B4E0000}"/>
    <cellStyle name="Good 45" xfId="2702" xr:uid="{00000000-0005-0000-0000-00005C4E0000}"/>
    <cellStyle name="Good 46" xfId="2703" xr:uid="{00000000-0005-0000-0000-00005D4E0000}"/>
    <cellStyle name="Good 47" xfId="2704" xr:uid="{00000000-0005-0000-0000-00005E4E0000}"/>
    <cellStyle name="Good 48" xfId="2705" xr:uid="{00000000-0005-0000-0000-00005F4E0000}"/>
    <cellStyle name="Good 49" xfId="2706" xr:uid="{00000000-0005-0000-0000-0000604E0000}"/>
    <cellStyle name="Good 5" xfId="2707" xr:uid="{00000000-0005-0000-0000-0000614E0000}"/>
    <cellStyle name="Good 50" xfId="2708" xr:uid="{00000000-0005-0000-0000-0000624E0000}"/>
    <cellStyle name="Good 51" xfId="2709" xr:uid="{00000000-0005-0000-0000-0000634E0000}"/>
    <cellStyle name="Good 52" xfId="2710" xr:uid="{00000000-0005-0000-0000-0000644E0000}"/>
    <cellStyle name="Good 53" xfId="2711" xr:uid="{00000000-0005-0000-0000-0000654E0000}"/>
    <cellStyle name="Good 54" xfId="2712" xr:uid="{00000000-0005-0000-0000-0000664E0000}"/>
    <cellStyle name="Good 55" xfId="2713" xr:uid="{00000000-0005-0000-0000-0000674E0000}"/>
    <cellStyle name="Good 56" xfId="2714" xr:uid="{00000000-0005-0000-0000-0000684E0000}"/>
    <cellStyle name="Good 57" xfId="2715" xr:uid="{00000000-0005-0000-0000-0000694E0000}"/>
    <cellStyle name="Good 58" xfId="2716" xr:uid="{00000000-0005-0000-0000-00006A4E0000}"/>
    <cellStyle name="Good 59" xfId="2717" xr:uid="{00000000-0005-0000-0000-00006B4E0000}"/>
    <cellStyle name="Good 6" xfId="2718" xr:uid="{00000000-0005-0000-0000-00006C4E0000}"/>
    <cellStyle name="Good 60" xfId="2719" xr:uid="{00000000-0005-0000-0000-00006D4E0000}"/>
    <cellStyle name="Good 61" xfId="2720" xr:uid="{00000000-0005-0000-0000-00006E4E0000}"/>
    <cellStyle name="Good 62" xfId="2721" xr:uid="{00000000-0005-0000-0000-00006F4E0000}"/>
    <cellStyle name="Good 63" xfId="2722" xr:uid="{00000000-0005-0000-0000-0000704E0000}"/>
    <cellStyle name="Good 64" xfId="2723" xr:uid="{00000000-0005-0000-0000-0000714E0000}"/>
    <cellStyle name="Good 65" xfId="2724" xr:uid="{00000000-0005-0000-0000-0000724E0000}"/>
    <cellStyle name="Good 66" xfId="2725" xr:uid="{00000000-0005-0000-0000-0000734E0000}"/>
    <cellStyle name="Good 67" xfId="2726" xr:uid="{00000000-0005-0000-0000-0000744E0000}"/>
    <cellStyle name="Good 68" xfId="2727" xr:uid="{00000000-0005-0000-0000-0000754E0000}"/>
    <cellStyle name="Good 69" xfId="2728" xr:uid="{00000000-0005-0000-0000-0000764E0000}"/>
    <cellStyle name="Good 7" xfId="2729" xr:uid="{00000000-0005-0000-0000-0000774E0000}"/>
    <cellStyle name="Good 70" xfId="2730" xr:uid="{00000000-0005-0000-0000-0000784E0000}"/>
    <cellStyle name="Good 71" xfId="2731" xr:uid="{00000000-0005-0000-0000-0000794E0000}"/>
    <cellStyle name="Good 72" xfId="2732" xr:uid="{00000000-0005-0000-0000-00007A4E0000}"/>
    <cellStyle name="Good 8" xfId="2733" xr:uid="{00000000-0005-0000-0000-00007B4E0000}"/>
    <cellStyle name="Good 9" xfId="2734" xr:uid="{00000000-0005-0000-0000-00007C4E0000}"/>
    <cellStyle name="Grey" xfId="38" xr:uid="{00000000-0005-0000-0000-00007D4E0000}"/>
    <cellStyle name="header" xfId="39" xr:uid="{00000000-0005-0000-0000-00007E4E0000}"/>
    <cellStyle name="Header1" xfId="40" xr:uid="{00000000-0005-0000-0000-00007F4E0000}"/>
    <cellStyle name="Header1 2" xfId="25811" xr:uid="{00000000-0005-0000-0000-00008D4E0000}"/>
    <cellStyle name="Header2" xfId="41" xr:uid="{00000000-0005-0000-0000-0000804E0000}"/>
    <cellStyle name="Header2 2" xfId="383" xr:uid="{00000000-0005-0000-0000-0000814E0000}"/>
    <cellStyle name="Header2 2 2" xfId="13782" xr:uid="{00000000-0005-0000-0000-0000824E0000}"/>
    <cellStyle name="Header2 2 2 2" xfId="25376" xr:uid="{00000000-0005-0000-0000-0000834E0000}"/>
    <cellStyle name="Header2 2 2 2 2" xfId="27532" xr:uid="{00000000-0005-0000-0000-0000914E0000}"/>
    <cellStyle name="Header2 2 2 2 3" xfId="29206" xr:uid="{00000000-0005-0000-0000-0000914E0000}"/>
    <cellStyle name="Header2 2 2 2 4" xfId="26316" xr:uid="{00000000-0005-0000-0000-0000914E0000}"/>
    <cellStyle name="Header2 2 3" xfId="25280" xr:uid="{00000000-0005-0000-0000-0000844E0000}"/>
    <cellStyle name="Header2 2 3 2" xfId="27437" xr:uid="{00000000-0005-0000-0000-0000924E0000}"/>
    <cellStyle name="Header2 2 3 3" xfId="29188" xr:uid="{00000000-0005-0000-0000-0000924E0000}"/>
    <cellStyle name="Header2 2 3 4" xfId="26737" xr:uid="{00000000-0005-0000-0000-0000924E0000}"/>
    <cellStyle name="Header2 3" xfId="13607" xr:uid="{00000000-0005-0000-0000-0000854E0000}"/>
    <cellStyle name="Header2 3 2" xfId="25374" xr:uid="{00000000-0005-0000-0000-0000864E0000}"/>
    <cellStyle name="Header2 3 2 2" xfId="27530" xr:uid="{00000000-0005-0000-0000-0000944E0000}"/>
    <cellStyle name="Header2 3 2 3" xfId="29205" xr:uid="{00000000-0005-0000-0000-0000944E0000}"/>
    <cellStyle name="Header2 3 2 4" xfId="26955" xr:uid="{00000000-0005-0000-0000-0000944E0000}"/>
    <cellStyle name="Header2 4" xfId="24857" xr:uid="{00000000-0005-0000-0000-0000874E0000}"/>
    <cellStyle name="Header2 4 2" xfId="27320" xr:uid="{00000000-0005-0000-0000-0000954E0000}"/>
    <cellStyle name="Header2 4 3" xfId="26317" xr:uid="{00000000-0005-0000-0000-0000BF4F0000}"/>
    <cellStyle name="Header2 4 4" xfId="26954" xr:uid="{00000000-0005-0000-0000-0000954E0000}"/>
    <cellStyle name="Heading 1 10" xfId="2735" xr:uid="{00000000-0005-0000-0000-0000884E0000}"/>
    <cellStyle name="Heading 1 11" xfId="2736" xr:uid="{00000000-0005-0000-0000-0000894E0000}"/>
    <cellStyle name="Heading 1 12" xfId="2737" xr:uid="{00000000-0005-0000-0000-00008A4E0000}"/>
    <cellStyle name="Heading 1 13" xfId="2738" xr:uid="{00000000-0005-0000-0000-00008B4E0000}"/>
    <cellStyle name="Heading 1 14" xfId="2739" xr:uid="{00000000-0005-0000-0000-00008C4E0000}"/>
    <cellStyle name="Heading 1 15" xfId="2740" xr:uid="{00000000-0005-0000-0000-00008D4E0000}"/>
    <cellStyle name="Heading 1 16" xfId="2741" xr:uid="{00000000-0005-0000-0000-00008E4E0000}"/>
    <cellStyle name="Heading 1 17" xfId="2742" xr:uid="{00000000-0005-0000-0000-00008F4E0000}"/>
    <cellStyle name="Heading 1 18" xfId="2743" xr:uid="{00000000-0005-0000-0000-0000904E0000}"/>
    <cellStyle name="Heading 1 19" xfId="2744" xr:uid="{00000000-0005-0000-0000-0000914E0000}"/>
    <cellStyle name="Heading 1 2" xfId="42" xr:uid="{00000000-0005-0000-0000-0000924E0000}"/>
    <cellStyle name="Heading 1 2 2" xfId="2745" xr:uid="{00000000-0005-0000-0000-0000934E0000}"/>
    <cellStyle name="Heading 1 2 2 2" xfId="24104" xr:uid="{00000000-0005-0000-0000-0000944E0000}"/>
    <cellStyle name="Heading 1 2 3" xfId="13608" xr:uid="{00000000-0005-0000-0000-0000954E0000}"/>
    <cellStyle name="Heading 1 2 4" xfId="24103" xr:uid="{00000000-0005-0000-0000-0000964E0000}"/>
    <cellStyle name="Heading 1 20" xfId="2746" xr:uid="{00000000-0005-0000-0000-0000974E0000}"/>
    <cellStyle name="Heading 1 21" xfId="2747" xr:uid="{00000000-0005-0000-0000-0000984E0000}"/>
    <cellStyle name="Heading 1 22" xfId="2748" xr:uid="{00000000-0005-0000-0000-0000994E0000}"/>
    <cellStyle name="Heading 1 23" xfId="2749" xr:uid="{00000000-0005-0000-0000-00009A4E0000}"/>
    <cellStyle name="Heading 1 24" xfId="2750" xr:uid="{00000000-0005-0000-0000-00009B4E0000}"/>
    <cellStyle name="Heading 1 25" xfId="2751" xr:uid="{00000000-0005-0000-0000-00009C4E0000}"/>
    <cellStyle name="Heading 1 26" xfId="2752" xr:uid="{00000000-0005-0000-0000-00009D4E0000}"/>
    <cellStyle name="Heading 1 27" xfId="2753" xr:uid="{00000000-0005-0000-0000-00009E4E0000}"/>
    <cellStyle name="Heading 1 28" xfId="2754" xr:uid="{00000000-0005-0000-0000-00009F4E0000}"/>
    <cellStyle name="Heading 1 29" xfId="2755" xr:uid="{00000000-0005-0000-0000-0000A04E0000}"/>
    <cellStyle name="Heading 1 3" xfId="2756" xr:uid="{00000000-0005-0000-0000-0000A14E0000}"/>
    <cellStyle name="Heading 1 3 2" xfId="24105" xr:uid="{00000000-0005-0000-0000-0000A24E0000}"/>
    <cellStyle name="Heading 1 30" xfId="2757" xr:uid="{00000000-0005-0000-0000-0000A34E0000}"/>
    <cellStyle name="Heading 1 31" xfId="2758" xr:uid="{00000000-0005-0000-0000-0000A44E0000}"/>
    <cellStyle name="Heading 1 32" xfId="2759" xr:uid="{00000000-0005-0000-0000-0000A54E0000}"/>
    <cellStyle name="Heading 1 33" xfId="2760" xr:uid="{00000000-0005-0000-0000-0000A64E0000}"/>
    <cellStyle name="Heading 1 34" xfId="2761" xr:uid="{00000000-0005-0000-0000-0000A74E0000}"/>
    <cellStyle name="Heading 1 35" xfId="2762" xr:uid="{00000000-0005-0000-0000-0000A84E0000}"/>
    <cellStyle name="Heading 1 36" xfId="2763" xr:uid="{00000000-0005-0000-0000-0000A94E0000}"/>
    <cellStyle name="Heading 1 37" xfId="2764" xr:uid="{00000000-0005-0000-0000-0000AA4E0000}"/>
    <cellStyle name="Heading 1 38" xfId="2765" xr:uid="{00000000-0005-0000-0000-0000AB4E0000}"/>
    <cellStyle name="Heading 1 39" xfId="2766" xr:uid="{00000000-0005-0000-0000-0000AC4E0000}"/>
    <cellStyle name="Heading 1 4" xfId="2767" xr:uid="{00000000-0005-0000-0000-0000AD4E0000}"/>
    <cellStyle name="Heading 1 4 2" xfId="24106" xr:uid="{00000000-0005-0000-0000-0000AE4E0000}"/>
    <cellStyle name="Heading 1 40" xfId="2768" xr:uid="{00000000-0005-0000-0000-0000AF4E0000}"/>
    <cellStyle name="Heading 1 41" xfId="2769" xr:uid="{00000000-0005-0000-0000-0000B04E0000}"/>
    <cellStyle name="Heading 1 42" xfId="2770" xr:uid="{00000000-0005-0000-0000-0000B14E0000}"/>
    <cellStyle name="Heading 1 43" xfId="2771" xr:uid="{00000000-0005-0000-0000-0000B24E0000}"/>
    <cellStyle name="Heading 1 44" xfId="2772" xr:uid="{00000000-0005-0000-0000-0000B34E0000}"/>
    <cellStyle name="Heading 1 45" xfId="2773" xr:uid="{00000000-0005-0000-0000-0000B44E0000}"/>
    <cellStyle name="Heading 1 46" xfId="2774" xr:uid="{00000000-0005-0000-0000-0000B54E0000}"/>
    <cellStyle name="Heading 1 47" xfId="2775" xr:uid="{00000000-0005-0000-0000-0000B64E0000}"/>
    <cellStyle name="Heading 1 48" xfId="2776" xr:uid="{00000000-0005-0000-0000-0000B74E0000}"/>
    <cellStyle name="Heading 1 49" xfId="2777" xr:uid="{00000000-0005-0000-0000-0000B84E0000}"/>
    <cellStyle name="Heading 1 5" xfId="2778" xr:uid="{00000000-0005-0000-0000-0000B94E0000}"/>
    <cellStyle name="Heading 1 50" xfId="2779" xr:uid="{00000000-0005-0000-0000-0000BA4E0000}"/>
    <cellStyle name="Heading 1 51" xfId="2780" xr:uid="{00000000-0005-0000-0000-0000BB4E0000}"/>
    <cellStyle name="Heading 1 52" xfId="2781" xr:uid="{00000000-0005-0000-0000-0000BC4E0000}"/>
    <cellStyle name="Heading 1 53" xfId="2782" xr:uid="{00000000-0005-0000-0000-0000BD4E0000}"/>
    <cellStyle name="Heading 1 54" xfId="2783" xr:uid="{00000000-0005-0000-0000-0000BE4E0000}"/>
    <cellStyle name="Heading 1 55" xfId="2784" xr:uid="{00000000-0005-0000-0000-0000BF4E0000}"/>
    <cellStyle name="Heading 1 56" xfId="2785" xr:uid="{00000000-0005-0000-0000-0000C04E0000}"/>
    <cellStyle name="Heading 1 57" xfId="2786" xr:uid="{00000000-0005-0000-0000-0000C14E0000}"/>
    <cellStyle name="Heading 1 58" xfId="2787" xr:uid="{00000000-0005-0000-0000-0000C24E0000}"/>
    <cellStyle name="Heading 1 59" xfId="2788" xr:uid="{00000000-0005-0000-0000-0000C34E0000}"/>
    <cellStyle name="Heading 1 6" xfId="2789" xr:uid="{00000000-0005-0000-0000-0000C44E0000}"/>
    <cellStyle name="Heading 1 60" xfId="2790" xr:uid="{00000000-0005-0000-0000-0000C54E0000}"/>
    <cellStyle name="Heading 1 61" xfId="2791" xr:uid="{00000000-0005-0000-0000-0000C64E0000}"/>
    <cellStyle name="Heading 1 62" xfId="2792" xr:uid="{00000000-0005-0000-0000-0000C74E0000}"/>
    <cellStyle name="Heading 1 63" xfId="2793" xr:uid="{00000000-0005-0000-0000-0000C84E0000}"/>
    <cellStyle name="Heading 1 64" xfId="2794" xr:uid="{00000000-0005-0000-0000-0000C94E0000}"/>
    <cellStyle name="Heading 1 65" xfId="2795" xr:uid="{00000000-0005-0000-0000-0000CA4E0000}"/>
    <cellStyle name="Heading 1 66" xfId="2796" xr:uid="{00000000-0005-0000-0000-0000CB4E0000}"/>
    <cellStyle name="Heading 1 67" xfId="2797" xr:uid="{00000000-0005-0000-0000-0000CC4E0000}"/>
    <cellStyle name="Heading 1 68" xfId="2798" xr:uid="{00000000-0005-0000-0000-0000CD4E0000}"/>
    <cellStyle name="Heading 1 69" xfId="2799" xr:uid="{00000000-0005-0000-0000-0000CE4E0000}"/>
    <cellStyle name="Heading 1 7" xfId="2800" xr:uid="{00000000-0005-0000-0000-0000CF4E0000}"/>
    <cellStyle name="Heading 1 70" xfId="2801" xr:uid="{00000000-0005-0000-0000-0000D04E0000}"/>
    <cellStyle name="Heading 1 71" xfId="2802" xr:uid="{00000000-0005-0000-0000-0000D14E0000}"/>
    <cellStyle name="Heading 1 72" xfId="2803" xr:uid="{00000000-0005-0000-0000-0000D24E0000}"/>
    <cellStyle name="Heading 1 73" xfId="23920" xr:uid="{00000000-0005-0000-0000-0000D34E0000}"/>
    <cellStyle name="Heading 1 8" xfId="2804" xr:uid="{00000000-0005-0000-0000-0000D44E0000}"/>
    <cellStyle name="Heading 1 9" xfId="2805" xr:uid="{00000000-0005-0000-0000-0000D54E0000}"/>
    <cellStyle name="Heading 2 10" xfId="2806" xr:uid="{00000000-0005-0000-0000-0000D64E0000}"/>
    <cellStyle name="Heading 2 11" xfId="2807" xr:uid="{00000000-0005-0000-0000-0000D74E0000}"/>
    <cellStyle name="Heading 2 12" xfId="2808" xr:uid="{00000000-0005-0000-0000-0000D84E0000}"/>
    <cellStyle name="Heading 2 13" xfId="2809" xr:uid="{00000000-0005-0000-0000-0000D94E0000}"/>
    <cellStyle name="Heading 2 14" xfId="2810" xr:uid="{00000000-0005-0000-0000-0000DA4E0000}"/>
    <cellStyle name="Heading 2 15" xfId="2811" xr:uid="{00000000-0005-0000-0000-0000DB4E0000}"/>
    <cellStyle name="Heading 2 16" xfId="2812" xr:uid="{00000000-0005-0000-0000-0000DC4E0000}"/>
    <cellStyle name="Heading 2 17" xfId="2813" xr:uid="{00000000-0005-0000-0000-0000DD4E0000}"/>
    <cellStyle name="Heading 2 18" xfId="2814" xr:uid="{00000000-0005-0000-0000-0000DE4E0000}"/>
    <cellStyle name="Heading 2 19" xfId="2815" xr:uid="{00000000-0005-0000-0000-0000DF4E0000}"/>
    <cellStyle name="Heading 2 2" xfId="43" xr:uid="{00000000-0005-0000-0000-0000E04E0000}"/>
    <cellStyle name="Heading 2 2 2" xfId="2816" xr:uid="{00000000-0005-0000-0000-0000E14E0000}"/>
    <cellStyle name="Heading 2 2 2 2" xfId="24108" xr:uid="{00000000-0005-0000-0000-0000E24E0000}"/>
    <cellStyle name="Heading 2 2 3" xfId="13609" xr:uid="{00000000-0005-0000-0000-0000E34E0000}"/>
    <cellStyle name="Heading 2 2 4" xfId="24107" xr:uid="{00000000-0005-0000-0000-0000E44E0000}"/>
    <cellStyle name="Heading 2 20" xfId="2817" xr:uid="{00000000-0005-0000-0000-0000E54E0000}"/>
    <cellStyle name="Heading 2 21" xfId="2818" xr:uid="{00000000-0005-0000-0000-0000E64E0000}"/>
    <cellStyle name="Heading 2 22" xfId="2819" xr:uid="{00000000-0005-0000-0000-0000E74E0000}"/>
    <cellStyle name="Heading 2 23" xfId="2820" xr:uid="{00000000-0005-0000-0000-0000E84E0000}"/>
    <cellStyle name="Heading 2 24" xfId="2821" xr:uid="{00000000-0005-0000-0000-0000E94E0000}"/>
    <cellStyle name="Heading 2 25" xfId="2822" xr:uid="{00000000-0005-0000-0000-0000EA4E0000}"/>
    <cellStyle name="Heading 2 26" xfId="2823" xr:uid="{00000000-0005-0000-0000-0000EB4E0000}"/>
    <cellStyle name="Heading 2 27" xfId="2824" xr:uid="{00000000-0005-0000-0000-0000EC4E0000}"/>
    <cellStyle name="Heading 2 28" xfId="2825" xr:uid="{00000000-0005-0000-0000-0000ED4E0000}"/>
    <cellStyle name="Heading 2 29" xfId="2826" xr:uid="{00000000-0005-0000-0000-0000EE4E0000}"/>
    <cellStyle name="Heading 2 3" xfId="2827" xr:uid="{00000000-0005-0000-0000-0000EF4E0000}"/>
    <cellStyle name="Heading 2 3 2" xfId="24109" xr:uid="{00000000-0005-0000-0000-0000F04E0000}"/>
    <cellStyle name="Heading 2 30" xfId="2828" xr:uid="{00000000-0005-0000-0000-0000F14E0000}"/>
    <cellStyle name="Heading 2 31" xfId="2829" xr:uid="{00000000-0005-0000-0000-0000F24E0000}"/>
    <cellStyle name="Heading 2 32" xfId="2830" xr:uid="{00000000-0005-0000-0000-0000F34E0000}"/>
    <cellStyle name="Heading 2 33" xfId="2831" xr:uid="{00000000-0005-0000-0000-0000F44E0000}"/>
    <cellStyle name="Heading 2 34" xfId="2832" xr:uid="{00000000-0005-0000-0000-0000F54E0000}"/>
    <cellStyle name="Heading 2 35" xfId="2833" xr:uid="{00000000-0005-0000-0000-0000F64E0000}"/>
    <cellStyle name="Heading 2 36" xfId="2834" xr:uid="{00000000-0005-0000-0000-0000F74E0000}"/>
    <cellStyle name="Heading 2 37" xfId="2835" xr:uid="{00000000-0005-0000-0000-0000F84E0000}"/>
    <cellStyle name="Heading 2 38" xfId="2836" xr:uid="{00000000-0005-0000-0000-0000F94E0000}"/>
    <cellStyle name="Heading 2 39" xfId="2837" xr:uid="{00000000-0005-0000-0000-0000FA4E0000}"/>
    <cellStyle name="Heading 2 4" xfId="2838" xr:uid="{00000000-0005-0000-0000-0000FB4E0000}"/>
    <cellStyle name="Heading 2 4 2" xfId="24110" xr:uid="{00000000-0005-0000-0000-0000FC4E0000}"/>
    <cellStyle name="Heading 2 40" xfId="2839" xr:uid="{00000000-0005-0000-0000-0000FD4E0000}"/>
    <cellStyle name="Heading 2 41" xfId="2840" xr:uid="{00000000-0005-0000-0000-0000FE4E0000}"/>
    <cellStyle name="Heading 2 42" xfId="2841" xr:uid="{00000000-0005-0000-0000-0000FF4E0000}"/>
    <cellStyle name="Heading 2 43" xfId="2842" xr:uid="{00000000-0005-0000-0000-0000004F0000}"/>
    <cellStyle name="Heading 2 44" xfId="2843" xr:uid="{00000000-0005-0000-0000-0000014F0000}"/>
    <cellStyle name="Heading 2 45" xfId="2844" xr:uid="{00000000-0005-0000-0000-0000024F0000}"/>
    <cellStyle name="Heading 2 46" xfId="2845" xr:uid="{00000000-0005-0000-0000-0000034F0000}"/>
    <cellStyle name="Heading 2 47" xfId="2846" xr:uid="{00000000-0005-0000-0000-0000044F0000}"/>
    <cellStyle name="Heading 2 48" xfId="2847" xr:uid="{00000000-0005-0000-0000-0000054F0000}"/>
    <cellStyle name="Heading 2 49" xfId="2848" xr:uid="{00000000-0005-0000-0000-0000064F0000}"/>
    <cellStyle name="Heading 2 5" xfId="2849" xr:uid="{00000000-0005-0000-0000-0000074F0000}"/>
    <cellStyle name="Heading 2 50" xfId="2850" xr:uid="{00000000-0005-0000-0000-0000084F0000}"/>
    <cellStyle name="Heading 2 51" xfId="2851" xr:uid="{00000000-0005-0000-0000-0000094F0000}"/>
    <cellStyle name="Heading 2 52" xfId="2852" xr:uid="{00000000-0005-0000-0000-00000A4F0000}"/>
    <cellStyle name="Heading 2 53" xfId="2853" xr:uid="{00000000-0005-0000-0000-00000B4F0000}"/>
    <cellStyle name="Heading 2 54" xfId="2854" xr:uid="{00000000-0005-0000-0000-00000C4F0000}"/>
    <cellStyle name="Heading 2 55" xfId="2855" xr:uid="{00000000-0005-0000-0000-00000D4F0000}"/>
    <cellStyle name="Heading 2 56" xfId="2856" xr:uid="{00000000-0005-0000-0000-00000E4F0000}"/>
    <cellStyle name="Heading 2 57" xfId="2857" xr:uid="{00000000-0005-0000-0000-00000F4F0000}"/>
    <cellStyle name="Heading 2 58" xfId="2858" xr:uid="{00000000-0005-0000-0000-0000104F0000}"/>
    <cellStyle name="Heading 2 59" xfId="2859" xr:uid="{00000000-0005-0000-0000-0000114F0000}"/>
    <cellStyle name="Heading 2 6" xfId="2860" xr:uid="{00000000-0005-0000-0000-0000124F0000}"/>
    <cellStyle name="Heading 2 60" xfId="2861" xr:uid="{00000000-0005-0000-0000-0000134F0000}"/>
    <cellStyle name="Heading 2 61" xfId="2862" xr:uid="{00000000-0005-0000-0000-0000144F0000}"/>
    <cellStyle name="Heading 2 62" xfId="2863" xr:uid="{00000000-0005-0000-0000-0000154F0000}"/>
    <cellStyle name="Heading 2 63" xfId="2864" xr:uid="{00000000-0005-0000-0000-0000164F0000}"/>
    <cellStyle name="Heading 2 64" xfId="2865" xr:uid="{00000000-0005-0000-0000-0000174F0000}"/>
    <cellStyle name="Heading 2 65" xfId="2866" xr:uid="{00000000-0005-0000-0000-0000184F0000}"/>
    <cellStyle name="Heading 2 66" xfId="2867" xr:uid="{00000000-0005-0000-0000-0000194F0000}"/>
    <cellStyle name="Heading 2 67" xfId="2868" xr:uid="{00000000-0005-0000-0000-00001A4F0000}"/>
    <cellStyle name="Heading 2 68" xfId="2869" xr:uid="{00000000-0005-0000-0000-00001B4F0000}"/>
    <cellStyle name="Heading 2 69" xfId="2870" xr:uid="{00000000-0005-0000-0000-00001C4F0000}"/>
    <cellStyle name="Heading 2 7" xfId="2871" xr:uid="{00000000-0005-0000-0000-00001D4F0000}"/>
    <cellStyle name="Heading 2 70" xfId="2872" xr:uid="{00000000-0005-0000-0000-00001E4F0000}"/>
    <cellStyle name="Heading 2 71" xfId="2873" xr:uid="{00000000-0005-0000-0000-00001F4F0000}"/>
    <cellStyle name="Heading 2 72" xfId="2874" xr:uid="{00000000-0005-0000-0000-0000204F0000}"/>
    <cellStyle name="Heading 2 73" xfId="23921" xr:uid="{00000000-0005-0000-0000-0000214F0000}"/>
    <cellStyle name="Heading 2 8" xfId="2875" xr:uid="{00000000-0005-0000-0000-0000224F0000}"/>
    <cellStyle name="Heading 2 9" xfId="2876" xr:uid="{00000000-0005-0000-0000-0000234F0000}"/>
    <cellStyle name="Heading 3 10" xfId="2877" xr:uid="{00000000-0005-0000-0000-0000244F0000}"/>
    <cellStyle name="Heading 3 11" xfId="2878" xr:uid="{00000000-0005-0000-0000-0000254F0000}"/>
    <cellStyle name="Heading 3 12" xfId="2879" xr:uid="{00000000-0005-0000-0000-0000264F0000}"/>
    <cellStyle name="Heading 3 13" xfId="2880" xr:uid="{00000000-0005-0000-0000-0000274F0000}"/>
    <cellStyle name="Heading 3 14" xfId="2881" xr:uid="{00000000-0005-0000-0000-0000284F0000}"/>
    <cellStyle name="Heading 3 15" xfId="2882" xr:uid="{00000000-0005-0000-0000-0000294F0000}"/>
    <cellStyle name="Heading 3 16" xfId="2883" xr:uid="{00000000-0005-0000-0000-00002A4F0000}"/>
    <cellStyle name="Heading 3 17" xfId="2884" xr:uid="{00000000-0005-0000-0000-00002B4F0000}"/>
    <cellStyle name="Heading 3 18" xfId="2885" xr:uid="{00000000-0005-0000-0000-00002C4F0000}"/>
    <cellStyle name="Heading 3 19" xfId="2886" xr:uid="{00000000-0005-0000-0000-00002D4F0000}"/>
    <cellStyle name="Heading 3 2" xfId="2887" xr:uid="{00000000-0005-0000-0000-00002E4F0000}"/>
    <cellStyle name="Heading 3 2 2" xfId="24112" xr:uid="{00000000-0005-0000-0000-00002F4F0000}"/>
    <cellStyle name="Heading 3 2 3" xfId="24111" xr:uid="{00000000-0005-0000-0000-0000304F0000}"/>
    <cellStyle name="Heading 3 20" xfId="2888" xr:uid="{00000000-0005-0000-0000-0000314F0000}"/>
    <cellStyle name="Heading 3 21" xfId="2889" xr:uid="{00000000-0005-0000-0000-0000324F0000}"/>
    <cellStyle name="Heading 3 22" xfId="2890" xr:uid="{00000000-0005-0000-0000-0000334F0000}"/>
    <cellStyle name="Heading 3 23" xfId="2891" xr:uid="{00000000-0005-0000-0000-0000344F0000}"/>
    <cellStyle name="Heading 3 24" xfId="2892" xr:uid="{00000000-0005-0000-0000-0000354F0000}"/>
    <cellStyle name="Heading 3 25" xfId="2893" xr:uid="{00000000-0005-0000-0000-0000364F0000}"/>
    <cellStyle name="Heading 3 26" xfId="2894" xr:uid="{00000000-0005-0000-0000-0000374F0000}"/>
    <cellStyle name="Heading 3 27" xfId="2895" xr:uid="{00000000-0005-0000-0000-0000384F0000}"/>
    <cellStyle name="Heading 3 28" xfId="2896" xr:uid="{00000000-0005-0000-0000-0000394F0000}"/>
    <cellStyle name="Heading 3 29" xfId="2897" xr:uid="{00000000-0005-0000-0000-00003A4F0000}"/>
    <cellStyle name="Heading 3 3" xfId="2898" xr:uid="{00000000-0005-0000-0000-00003B4F0000}"/>
    <cellStyle name="Heading 3 3 2" xfId="24113" xr:uid="{00000000-0005-0000-0000-00003C4F0000}"/>
    <cellStyle name="Heading 3 30" xfId="2899" xr:uid="{00000000-0005-0000-0000-00003D4F0000}"/>
    <cellStyle name="Heading 3 31" xfId="2900" xr:uid="{00000000-0005-0000-0000-00003E4F0000}"/>
    <cellStyle name="Heading 3 32" xfId="2901" xr:uid="{00000000-0005-0000-0000-00003F4F0000}"/>
    <cellStyle name="Heading 3 33" xfId="2902" xr:uid="{00000000-0005-0000-0000-0000404F0000}"/>
    <cellStyle name="Heading 3 34" xfId="2903" xr:uid="{00000000-0005-0000-0000-0000414F0000}"/>
    <cellStyle name="Heading 3 35" xfId="2904" xr:uid="{00000000-0005-0000-0000-0000424F0000}"/>
    <cellStyle name="Heading 3 36" xfId="2905" xr:uid="{00000000-0005-0000-0000-0000434F0000}"/>
    <cellStyle name="Heading 3 37" xfId="2906" xr:uid="{00000000-0005-0000-0000-0000444F0000}"/>
    <cellStyle name="Heading 3 38" xfId="2907" xr:uid="{00000000-0005-0000-0000-0000454F0000}"/>
    <cellStyle name="Heading 3 39" xfId="2908" xr:uid="{00000000-0005-0000-0000-0000464F0000}"/>
    <cellStyle name="Heading 3 4" xfId="2909" xr:uid="{00000000-0005-0000-0000-0000474F0000}"/>
    <cellStyle name="Heading 3 4 2" xfId="24114" xr:uid="{00000000-0005-0000-0000-0000484F0000}"/>
    <cellStyle name="Heading 3 40" xfId="2910" xr:uid="{00000000-0005-0000-0000-0000494F0000}"/>
    <cellStyle name="Heading 3 41" xfId="2911" xr:uid="{00000000-0005-0000-0000-00004A4F0000}"/>
    <cellStyle name="Heading 3 42" xfId="2912" xr:uid="{00000000-0005-0000-0000-00004B4F0000}"/>
    <cellStyle name="Heading 3 43" xfId="2913" xr:uid="{00000000-0005-0000-0000-00004C4F0000}"/>
    <cellStyle name="Heading 3 44" xfId="2914" xr:uid="{00000000-0005-0000-0000-00004D4F0000}"/>
    <cellStyle name="Heading 3 45" xfId="2915" xr:uid="{00000000-0005-0000-0000-00004E4F0000}"/>
    <cellStyle name="Heading 3 46" xfId="2916" xr:uid="{00000000-0005-0000-0000-00004F4F0000}"/>
    <cellStyle name="Heading 3 47" xfId="2917" xr:uid="{00000000-0005-0000-0000-0000504F0000}"/>
    <cellStyle name="Heading 3 48" xfId="2918" xr:uid="{00000000-0005-0000-0000-0000514F0000}"/>
    <cellStyle name="Heading 3 49" xfId="2919" xr:uid="{00000000-0005-0000-0000-0000524F0000}"/>
    <cellStyle name="Heading 3 5" xfId="2920" xr:uid="{00000000-0005-0000-0000-0000534F0000}"/>
    <cellStyle name="Heading 3 50" xfId="2921" xr:uid="{00000000-0005-0000-0000-0000544F0000}"/>
    <cellStyle name="Heading 3 51" xfId="2922" xr:uid="{00000000-0005-0000-0000-0000554F0000}"/>
    <cellStyle name="Heading 3 52" xfId="2923" xr:uid="{00000000-0005-0000-0000-0000564F0000}"/>
    <cellStyle name="Heading 3 53" xfId="2924" xr:uid="{00000000-0005-0000-0000-0000574F0000}"/>
    <cellStyle name="Heading 3 54" xfId="2925" xr:uid="{00000000-0005-0000-0000-0000584F0000}"/>
    <cellStyle name="Heading 3 55" xfId="2926" xr:uid="{00000000-0005-0000-0000-0000594F0000}"/>
    <cellStyle name="Heading 3 56" xfId="2927" xr:uid="{00000000-0005-0000-0000-00005A4F0000}"/>
    <cellStyle name="Heading 3 57" xfId="2928" xr:uid="{00000000-0005-0000-0000-00005B4F0000}"/>
    <cellStyle name="Heading 3 58" xfId="2929" xr:uid="{00000000-0005-0000-0000-00005C4F0000}"/>
    <cellStyle name="Heading 3 59" xfId="2930" xr:uid="{00000000-0005-0000-0000-00005D4F0000}"/>
    <cellStyle name="Heading 3 6" xfId="2931" xr:uid="{00000000-0005-0000-0000-00005E4F0000}"/>
    <cellStyle name="Heading 3 60" xfId="2932" xr:uid="{00000000-0005-0000-0000-00005F4F0000}"/>
    <cellStyle name="Heading 3 61" xfId="2933" xr:uid="{00000000-0005-0000-0000-0000604F0000}"/>
    <cellStyle name="Heading 3 62" xfId="2934" xr:uid="{00000000-0005-0000-0000-0000614F0000}"/>
    <cellStyle name="Heading 3 63" xfId="2935" xr:uid="{00000000-0005-0000-0000-0000624F0000}"/>
    <cellStyle name="Heading 3 64" xfId="2936" xr:uid="{00000000-0005-0000-0000-0000634F0000}"/>
    <cellStyle name="Heading 3 65" xfId="2937" xr:uid="{00000000-0005-0000-0000-0000644F0000}"/>
    <cellStyle name="Heading 3 66" xfId="2938" xr:uid="{00000000-0005-0000-0000-0000654F0000}"/>
    <cellStyle name="Heading 3 67" xfId="2939" xr:uid="{00000000-0005-0000-0000-0000664F0000}"/>
    <cellStyle name="Heading 3 68" xfId="2940" xr:uid="{00000000-0005-0000-0000-0000674F0000}"/>
    <cellStyle name="Heading 3 69" xfId="2941" xr:uid="{00000000-0005-0000-0000-0000684F0000}"/>
    <cellStyle name="Heading 3 7" xfId="2942" xr:uid="{00000000-0005-0000-0000-0000694F0000}"/>
    <cellStyle name="Heading 3 70" xfId="2943" xr:uid="{00000000-0005-0000-0000-00006A4F0000}"/>
    <cellStyle name="Heading 3 71" xfId="2944" xr:uid="{00000000-0005-0000-0000-00006B4F0000}"/>
    <cellStyle name="Heading 3 72" xfId="2945" xr:uid="{00000000-0005-0000-0000-00006C4F0000}"/>
    <cellStyle name="Heading 3 8" xfId="2946" xr:uid="{00000000-0005-0000-0000-00006D4F0000}"/>
    <cellStyle name="Heading 3 9" xfId="2947" xr:uid="{00000000-0005-0000-0000-00006E4F0000}"/>
    <cellStyle name="Heading 4 10" xfId="2948" xr:uid="{00000000-0005-0000-0000-00006F4F0000}"/>
    <cellStyle name="Heading 4 11" xfId="2949" xr:uid="{00000000-0005-0000-0000-0000704F0000}"/>
    <cellStyle name="Heading 4 12" xfId="2950" xr:uid="{00000000-0005-0000-0000-0000714F0000}"/>
    <cellStyle name="Heading 4 13" xfId="2951" xr:uid="{00000000-0005-0000-0000-0000724F0000}"/>
    <cellStyle name="Heading 4 14" xfId="2952" xr:uid="{00000000-0005-0000-0000-0000734F0000}"/>
    <cellStyle name="Heading 4 15" xfId="2953" xr:uid="{00000000-0005-0000-0000-0000744F0000}"/>
    <cellStyle name="Heading 4 16" xfId="2954" xr:uid="{00000000-0005-0000-0000-0000754F0000}"/>
    <cellStyle name="Heading 4 17" xfId="2955" xr:uid="{00000000-0005-0000-0000-0000764F0000}"/>
    <cellStyle name="Heading 4 18" xfId="2956" xr:uid="{00000000-0005-0000-0000-0000774F0000}"/>
    <cellStyle name="Heading 4 19" xfId="2957" xr:uid="{00000000-0005-0000-0000-0000784F0000}"/>
    <cellStyle name="Heading 4 2" xfId="2958" xr:uid="{00000000-0005-0000-0000-0000794F0000}"/>
    <cellStyle name="Heading 4 2 2" xfId="24116" xr:uid="{00000000-0005-0000-0000-00007A4F0000}"/>
    <cellStyle name="Heading 4 2 3" xfId="24115" xr:uid="{00000000-0005-0000-0000-00007B4F0000}"/>
    <cellStyle name="Heading 4 20" xfId="2959" xr:uid="{00000000-0005-0000-0000-00007C4F0000}"/>
    <cellStyle name="Heading 4 21" xfId="2960" xr:uid="{00000000-0005-0000-0000-00007D4F0000}"/>
    <cellStyle name="Heading 4 22" xfId="2961" xr:uid="{00000000-0005-0000-0000-00007E4F0000}"/>
    <cellStyle name="Heading 4 23" xfId="2962" xr:uid="{00000000-0005-0000-0000-00007F4F0000}"/>
    <cellStyle name="Heading 4 24" xfId="2963" xr:uid="{00000000-0005-0000-0000-0000804F0000}"/>
    <cellStyle name="Heading 4 25" xfId="2964" xr:uid="{00000000-0005-0000-0000-0000814F0000}"/>
    <cellStyle name="Heading 4 26" xfId="2965" xr:uid="{00000000-0005-0000-0000-0000824F0000}"/>
    <cellStyle name="Heading 4 27" xfId="2966" xr:uid="{00000000-0005-0000-0000-0000834F0000}"/>
    <cellStyle name="Heading 4 28" xfId="2967" xr:uid="{00000000-0005-0000-0000-0000844F0000}"/>
    <cellStyle name="Heading 4 29" xfId="2968" xr:uid="{00000000-0005-0000-0000-0000854F0000}"/>
    <cellStyle name="Heading 4 3" xfId="2969" xr:uid="{00000000-0005-0000-0000-0000864F0000}"/>
    <cellStyle name="Heading 4 3 2" xfId="24117" xr:uid="{00000000-0005-0000-0000-0000874F0000}"/>
    <cellStyle name="Heading 4 30" xfId="2970" xr:uid="{00000000-0005-0000-0000-0000884F0000}"/>
    <cellStyle name="Heading 4 31" xfId="2971" xr:uid="{00000000-0005-0000-0000-0000894F0000}"/>
    <cellStyle name="Heading 4 32" xfId="2972" xr:uid="{00000000-0005-0000-0000-00008A4F0000}"/>
    <cellStyle name="Heading 4 33" xfId="2973" xr:uid="{00000000-0005-0000-0000-00008B4F0000}"/>
    <cellStyle name="Heading 4 34" xfId="2974" xr:uid="{00000000-0005-0000-0000-00008C4F0000}"/>
    <cellStyle name="Heading 4 35" xfId="2975" xr:uid="{00000000-0005-0000-0000-00008D4F0000}"/>
    <cellStyle name="Heading 4 36" xfId="2976" xr:uid="{00000000-0005-0000-0000-00008E4F0000}"/>
    <cellStyle name="Heading 4 37" xfId="2977" xr:uid="{00000000-0005-0000-0000-00008F4F0000}"/>
    <cellStyle name="Heading 4 38" xfId="2978" xr:uid="{00000000-0005-0000-0000-0000904F0000}"/>
    <cellStyle name="Heading 4 39" xfId="2979" xr:uid="{00000000-0005-0000-0000-0000914F0000}"/>
    <cellStyle name="Heading 4 4" xfId="2980" xr:uid="{00000000-0005-0000-0000-0000924F0000}"/>
    <cellStyle name="Heading 4 4 2" xfId="24118" xr:uid="{00000000-0005-0000-0000-0000934F0000}"/>
    <cellStyle name="Heading 4 40" xfId="2981" xr:uid="{00000000-0005-0000-0000-0000944F0000}"/>
    <cellStyle name="Heading 4 41" xfId="2982" xr:uid="{00000000-0005-0000-0000-0000954F0000}"/>
    <cellStyle name="Heading 4 42" xfId="2983" xr:uid="{00000000-0005-0000-0000-0000964F0000}"/>
    <cellStyle name="Heading 4 43" xfId="2984" xr:uid="{00000000-0005-0000-0000-0000974F0000}"/>
    <cellStyle name="Heading 4 44" xfId="2985" xr:uid="{00000000-0005-0000-0000-0000984F0000}"/>
    <cellStyle name="Heading 4 45" xfId="2986" xr:uid="{00000000-0005-0000-0000-0000994F0000}"/>
    <cellStyle name="Heading 4 46" xfId="2987" xr:uid="{00000000-0005-0000-0000-00009A4F0000}"/>
    <cellStyle name="Heading 4 47" xfId="2988" xr:uid="{00000000-0005-0000-0000-00009B4F0000}"/>
    <cellStyle name="Heading 4 48" xfId="2989" xr:uid="{00000000-0005-0000-0000-00009C4F0000}"/>
    <cellStyle name="Heading 4 49" xfId="2990" xr:uid="{00000000-0005-0000-0000-00009D4F0000}"/>
    <cellStyle name="Heading 4 5" xfId="2991" xr:uid="{00000000-0005-0000-0000-00009E4F0000}"/>
    <cellStyle name="Heading 4 50" xfId="2992" xr:uid="{00000000-0005-0000-0000-00009F4F0000}"/>
    <cellStyle name="Heading 4 51" xfId="2993" xr:uid="{00000000-0005-0000-0000-0000A04F0000}"/>
    <cellStyle name="Heading 4 52" xfId="2994" xr:uid="{00000000-0005-0000-0000-0000A14F0000}"/>
    <cellStyle name="Heading 4 53" xfId="2995" xr:uid="{00000000-0005-0000-0000-0000A24F0000}"/>
    <cellStyle name="Heading 4 54" xfId="2996" xr:uid="{00000000-0005-0000-0000-0000A34F0000}"/>
    <cellStyle name="Heading 4 55" xfId="2997" xr:uid="{00000000-0005-0000-0000-0000A44F0000}"/>
    <cellStyle name="Heading 4 56" xfId="2998" xr:uid="{00000000-0005-0000-0000-0000A54F0000}"/>
    <cellStyle name="Heading 4 57" xfId="2999" xr:uid="{00000000-0005-0000-0000-0000A64F0000}"/>
    <cellStyle name="Heading 4 58" xfId="3000" xr:uid="{00000000-0005-0000-0000-0000A74F0000}"/>
    <cellStyle name="Heading 4 59" xfId="3001" xr:uid="{00000000-0005-0000-0000-0000A84F0000}"/>
    <cellStyle name="Heading 4 6" xfId="3002" xr:uid="{00000000-0005-0000-0000-0000A94F0000}"/>
    <cellStyle name="Heading 4 60" xfId="3003" xr:uid="{00000000-0005-0000-0000-0000AA4F0000}"/>
    <cellStyle name="Heading 4 61" xfId="3004" xr:uid="{00000000-0005-0000-0000-0000AB4F0000}"/>
    <cellStyle name="Heading 4 62" xfId="3005" xr:uid="{00000000-0005-0000-0000-0000AC4F0000}"/>
    <cellStyle name="Heading 4 63" xfId="3006" xr:uid="{00000000-0005-0000-0000-0000AD4F0000}"/>
    <cellStyle name="Heading 4 64" xfId="3007" xr:uid="{00000000-0005-0000-0000-0000AE4F0000}"/>
    <cellStyle name="Heading 4 65" xfId="3008" xr:uid="{00000000-0005-0000-0000-0000AF4F0000}"/>
    <cellStyle name="Heading 4 66" xfId="3009" xr:uid="{00000000-0005-0000-0000-0000B04F0000}"/>
    <cellStyle name="Heading 4 67" xfId="3010" xr:uid="{00000000-0005-0000-0000-0000B14F0000}"/>
    <cellStyle name="Heading 4 68" xfId="3011" xr:uid="{00000000-0005-0000-0000-0000B24F0000}"/>
    <cellStyle name="Heading 4 69" xfId="3012" xr:uid="{00000000-0005-0000-0000-0000B34F0000}"/>
    <cellStyle name="Heading 4 7" xfId="3013" xr:uid="{00000000-0005-0000-0000-0000B44F0000}"/>
    <cellStyle name="Heading 4 70" xfId="3014" xr:uid="{00000000-0005-0000-0000-0000B54F0000}"/>
    <cellStyle name="Heading 4 71" xfId="3015" xr:uid="{00000000-0005-0000-0000-0000B64F0000}"/>
    <cellStyle name="Heading 4 72" xfId="3016" xr:uid="{00000000-0005-0000-0000-0000B74F0000}"/>
    <cellStyle name="Heading 4 8" xfId="3017" xr:uid="{00000000-0005-0000-0000-0000B84F0000}"/>
    <cellStyle name="Heading 4 9" xfId="3018" xr:uid="{00000000-0005-0000-0000-0000B94F0000}"/>
    <cellStyle name="HEADING1" xfId="570" xr:uid="{00000000-0005-0000-0000-0000BA4F0000}"/>
    <cellStyle name="HEADING2" xfId="571" xr:uid="{00000000-0005-0000-0000-0000BB4F0000}"/>
    <cellStyle name="HEADING2 2" xfId="24119" xr:uid="{00000000-0005-0000-0000-0000BC4F0000}"/>
    <cellStyle name="Hyperlink" xfId="4620" builtinId="8" customBuiltin="1"/>
    <cellStyle name="Hyperlink 2" xfId="645" xr:uid="{00000000-0005-0000-0000-0000BE4F0000}"/>
    <cellStyle name="Hyperlink 2 2" xfId="3019" xr:uid="{00000000-0005-0000-0000-0000BF4F0000}"/>
    <cellStyle name="Hyperlink 3" xfId="3020" xr:uid="{00000000-0005-0000-0000-0000C04F0000}"/>
    <cellStyle name="Hyperlink 4" xfId="23892" xr:uid="{00000000-0005-0000-0000-0000C14F0000}"/>
    <cellStyle name="Input [yellow]" xfId="44" xr:uid="{00000000-0005-0000-0000-0000C24F0000}"/>
    <cellStyle name="Input [yellow] 2" xfId="24553" xr:uid="{00000000-0005-0000-0000-0000C34F0000}"/>
    <cellStyle name="Input 10" xfId="189" xr:uid="{00000000-0005-0000-0000-0000C44F0000}"/>
    <cellStyle name="Input 10 2" xfId="3021" xr:uid="{00000000-0005-0000-0000-0000C54F0000}"/>
    <cellStyle name="Input 10 3" xfId="13690" xr:uid="{00000000-0005-0000-0000-0000C64F0000}"/>
    <cellStyle name="Input 11" xfId="190" xr:uid="{00000000-0005-0000-0000-0000C74F0000}"/>
    <cellStyle name="Input 11 2" xfId="3022" xr:uid="{00000000-0005-0000-0000-0000C84F0000}"/>
    <cellStyle name="Input 11 3" xfId="13691" xr:uid="{00000000-0005-0000-0000-0000C94F0000}"/>
    <cellStyle name="Input 12" xfId="191" xr:uid="{00000000-0005-0000-0000-0000CA4F0000}"/>
    <cellStyle name="Input 12 2" xfId="3023" xr:uid="{00000000-0005-0000-0000-0000CB4F0000}"/>
    <cellStyle name="Input 12 3" xfId="13692" xr:uid="{00000000-0005-0000-0000-0000CC4F0000}"/>
    <cellStyle name="Input 13" xfId="192" xr:uid="{00000000-0005-0000-0000-0000CD4F0000}"/>
    <cellStyle name="Input 13 2" xfId="3024" xr:uid="{00000000-0005-0000-0000-0000CE4F0000}"/>
    <cellStyle name="Input 13 3" xfId="13693" xr:uid="{00000000-0005-0000-0000-0000CF4F0000}"/>
    <cellStyle name="Input 14" xfId="193" xr:uid="{00000000-0005-0000-0000-0000D04F0000}"/>
    <cellStyle name="Input 14 2" xfId="3025" xr:uid="{00000000-0005-0000-0000-0000D14F0000}"/>
    <cellStyle name="Input 14 3" xfId="13694" xr:uid="{00000000-0005-0000-0000-0000D24F0000}"/>
    <cellStyle name="Input 15" xfId="284" xr:uid="{00000000-0005-0000-0000-0000D34F0000}"/>
    <cellStyle name="Input 15 2" xfId="3026" xr:uid="{00000000-0005-0000-0000-0000D44F0000}"/>
    <cellStyle name="Input 15 3" xfId="13737" xr:uid="{00000000-0005-0000-0000-0000D54F0000}"/>
    <cellStyle name="Input 16" xfId="285" xr:uid="{00000000-0005-0000-0000-0000D64F0000}"/>
    <cellStyle name="Input 16 2" xfId="3027" xr:uid="{00000000-0005-0000-0000-0000D74F0000}"/>
    <cellStyle name="Input 16 3" xfId="13738" xr:uid="{00000000-0005-0000-0000-0000D84F0000}"/>
    <cellStyle name="Input 17" xfId="292" xr:uid="{00000000-0005-0000-0000-0000D94F0000}"/>
    <cellStyle name="Input 17 2" xfId="3028" xr:uid="{00000000-0005-0000-0000-0000DA4F0000}"/>
    <cellStyle name="Input 17 3" xfId="13739" xr:uid="{00000000-0005-0000-0000-0000DB4F0000}"/>
    <cellStyle name="Input 18" xfId="293" xr:uid="{00000000-0005-0000-0000-0000DC4F0000}"/>
    <cellStyle name="Input 18 2" xfId="3029" xr:uid="{00000000-0005-0000-0000-0000DD4F0000}"/>
    <cellStyle name="Input 18 3" xfId="13740" xr:uid="{00000000-0005-0000-0000-0000DE4F0000}"/>
    <cellStyle name="Input 19" xfId="294" xr:uid="{00000000-0005-0000-0000-0000DF4F0000}"/>
    <cellStyle name="Input 19 2" xfId="3030" xr:uid="{00000000-0005-0000-0000-0000E04F0000}"/>
    <cellStyle name="Input 19 3" xfId="13741" xr:uid="{00000000-0005-0000-0000-0000E14F0000}"/>
    <cellStyle name="Input 2" xfId="45" xr:uid="{00000000-0005-0000-0000-0000E24F0000}"/>
    <cellStyle name="Input 2 2" xfId="3031" xr:uid="{00000000-0005-0000-0000-0000E34F0000}"/>
    <cellStyle name="Input 2 2 2" xfId="24121" xr:uid="{00000000-0005-0000-0000-0000E44F0000}"/>
    <cellStyle name="Input 2 2 2 2" xfId="25560" xr:uid="{00000000-0005-0000-0000-0000E54F0000}"/>
    <cellStyle name="Input 2 2 2 2 2" xfId="27715" xr:uid="{00000000-0005-0000-0000-0000F34F0000}"/>
    <cellStyle name="Input 2 2 2 2 3" xfId="29230" xr:uid="{00000000-0005-0000-0000-0000F34F0000}"/>
    <cellStyle name="Input 2 2 2 2 4" xfId="26099" xr:uid="{00000000-0005-0000-0000-0000F34F0000}"/>
    <cellStyle name="Input 2 2 2 3" xfId="27070" xr:uid="{00000000-0005-0000-0000-0000F24F0000}"/>
    <cellStyle name="Input 2 2 2 4" xfId="26798" xr:uid="{00000000-0005-0000-0000-0000F24F0000}"/>
    <cellStyle name="Input 2 2 2 5" xfId="27326" xr:uid="{00000000-0005-0000-0000-0000F24F0000}"/>
    <cellStyle name="Input 2 2 3" xfId="24710" xr:uid="{00000000-0005-0000-0000-0000E64F0000}"/>
    <cellStyle name="Input 2 2 3 2" xfId="25356" xr:uid="{00000000-0005-0000-0000-0000E74F0000}"/>
    <cellStyle name="Input 2 2 3 2 2" xfId="27512" xr:uid="{00000000-0005-0000-0000-0000F54F0000}"/>
    <cellStyle name="Input 2 2 3 2 3" xfId="29201" xr:uid="{00000000-0005-0000-0000-0000F54F0000}"/>
    <cellStyle name="Input 2 2 3 2 4" xfId="26715" xr:uid="{00000000-0005-0000-0000-0000F54F0000}"/>
    <cellStyle name="Input 2 2 3 3" xfId="25662" xr:uid="{00000000-0005-0000-0000-0000E84F0000}"/>
    <cellStyle name="Input 2 2 3 3 2" xfId="27817" xr:uid="{00000000-0005-0000-0000-0000F64F0000}"/>
    <cellStyle name="Input 2 2 3 3 3" xfId="29244" xr:uid="{00000000-0005-0000-0000-0000F64F0000}"/>
    <cellStyle name="Input 2 2 3 3 4" xfId="26956" xr:uid="{00000000-0005-0000-0000-0000F64F0000}"/>
    <cellStyle name="Input 2 2 3 4" xfId="27297" xr:uid="{00000000-0005-0000-0000-0000F44F0000}"/>
    <cellStyle name="Input 2 2 3 5" xfId="26040" xr:uid="{00000000-0005-0000-0000-0000F44F0000}"/>
    <cellStyle name="Input 2 2 3 6" xfId="26145" xr:uid="{00000000-0005-0000-0000-0000F44F0000}"/>
    <cellStyle name="Input 2 2 4" xfId="25028" xr:uid="{00000000-0005-0000-0000-0000E94F0000}"/>
    <cellStyle name="Input 2 2 4 2" xfId="25368" xr:uid="{00000000-0005-0000-0000-0000EA4F0000}"/>
    <cellStyle name="Input 2 2 4 2 2" xfId="27524" xr:uid="{00000000-0005-0000-0000-0000F84F0000}"/>
    <cellStyle name="Input 2 2 4 2 3" xfId="29203" xr:uid="{00000000-0005-0000-0000-0000F84F0000}"/>
    <cellStyle name="Input 2 2 4 2 4" xfId="26538" xr:uid="{00000000-0005-0000-0000-0000F84F0000}"/>
    <cellStyle name="Input 2 2 4 3" xfId="25673" xr:uid="{00000000-0005-0000-0000-0000EB4F0000}"/>
    <cellStyle name="Input 2 2 4 3 2" xfId="27828" xr:uid="{00000000-0005-0000-0000-0000F94F0000}"/>
    <cellStyle name="Input 2 2 4 3 3" xfId="29255" xr:uid="{00000000-0005-0000-0000-0000F94F0000}"/>
    <cellStyle name="Input 2 2 4 3 4" xfId="27430" xr:uid="{00000000-0005-0000-0000-0000F94F0000}"/>
    <cellStyle name="Input 2 2 4 4" xfId="27358" xr:uid="{00000000-0005-0000-0000-0000F74F0000}"/>
    <cellStyle name="Input 2 2 4 5" xfId="26195" xr:uid="{00000000-0005-0000-0000-0000F74F0000}"/>
    <cellStyle name="Input 2 2 4 6" xfId="26546" xr:uid="{00000000-0005-0000-0000-0000F74F0000}"/>
    <cellStyle name="Input 2 3" xfId="13610" xr:uid="{00000000-0005-0000-0000-0000EC4F0000}"/>
    <cellStyle name="Input 2 4" xfId="24120" xr:uid="{00000000-0005-0000-0000-0000ED4F0000}"/>
    <cellStyle name="Input 2 4 2" xfId="25559" xr:uid="{00000000-0005-0000-0000-0000EE4F0000}"/>
    <cellStyle name="Input 2 4 2 2" xfId="27714" xr:uid="{00000000-0005-0000-0000-0000FC4F0000}"/>
    <cellStyle name="Input 2 4 2 3" xfId="29229" xr:uid="{00000000-0005-0000-0000-0000FC4F0000}"/>
    <cellStyle name="Input 2 4 2 4" xfId="27006" xr:uid="{00000000-0005-0000-0000-0000FC4F0000}"/>
    <cellStyle name="Input 2 4 3" xfId="27069" xr:uid="{00000000-0005-0000-0000-0000FB4F0000}"/>
    <cellStyle name="Input 2 4 4" xfId="26274" xr:uid="{00000000-0005-0000-0000-0000FB4F0000}"/>
    <cellStyle name="Input 2 4 5" xfId="26324" xr:uid="{00000000-0005-0000-0000-0000FB4F0000}"/>
    <cellStyle name="Input 2 5" xfId="24709" xr:uid="{00000000-0005-0000-0000-0000EF4F0000}"/>
    <cellStyle name="Input 2 5 2" xfId="25439" xr:uid="{00000000-0005-0000-0000-0000F04F0000}"/>
    <cellStyle name="Input 2 5 2 2" xfId="27595" xr:uid="{00000000-0005-0000-0000-0000FE4F0000}"/>
    <cellStyle name="Input 2 5 2 3" xfId="29214" xr:uid="{00000000-0005-0000-0000-0000FE4F0000}"/>
    <cellStyle name="Input 2 5 2 4" xfId="26976" xr:uid="{00000000-0005-0000-0000-0000FE4F0000}"/>
    <cellStyle name="Input 2 5 3" xfId="25661" xr:uid="{00000000-0005-0000-0000-0000F14F0000}"/>
    <cellStyle name="Input 2 5 3 2" xfId="27816" xr:uid="{00000000-0005-0000-0000-0000FF4F0000}"/>
    <cellStyle name="Input 2 5 3 3" xfId="29243" xr:uid="{00000000-0005-0000-0000-0000FF4F0000}"/>
    <cellStyle name="Input 2 5 3 4" xfId="26918" xr:uid="{00000000-0005-0000-0000-0000FF4F0000}"/>
    <cellStyle name="Input 2 5 4" xfId="27296" xr:uid="{00000000-0005-0000-0000-0000FD4F0000}"/>
    <cellStyle name="Input 2 5 5" xfId="26675" xr:uid="{00000000-0005-0000-0000-0000FD4F0000}"/>
    <cellStyle name="Input 2 5 6" xfId="26285" xr:uid="{00000000-0005-0000-0000-0000FD4F0000}"/>
    <cellStyle name="Input 2 6" xfId="25027" xr:uid="{00000000-0005-0000-0000-0000F24F0000}"/>
    <cellStyle name="Input 2 6 2" xfId="25285" xr:uid="{00000000-0005-0000-0000-0000F34F0000}"/>
    <cellStyle name="Input 2 6 2 2" xfId="27442" xr:uid="{00000000-0005-0000-0000-000001500000}"/>
    <cellStyle name="Input 2 6 2 3" xfId="29189" xr:uid="{00000000-0005-0000-0000-000001500000}"/>
    <cellStyle name="Input 2 6 2 4" xfId="26417" xr:uid="{00000000-0005-0000-0000-000001500000}"/>
    <cellStyle name="Input 2 6 3" xfId="25672" xr:uid="{00000000-0005-0000-0000-0000F44F0000}"/>
    <cellStyle name="Input 2 6 3 2" xfId="27827" xr:uid="{00000000-0005-0000-0000-000002500000}"/>
    <cellStyle name="Input 2 6 3 3" xfId="29254" xr:uid="{00000000-0005-0000-0000-000002500000}"/>
    <cellStyle name="Input 2 6 3 4" xfId="26309" xr:uid="{00000000-0005-0000-0000-000002500000}"/>
    <cellStyle name="Input 2 6 4" xfId="27357" xr:uid="{00000000-0005-0000-0000-000000500000}"/>
    <cellStyle name="Input 2 6 5" xfId="27136" xr:uid="{00000000-0005-0000-0000-000000500000}"/>
    <cellStyle name="Input 2 6 6" xfId="26084" xr:uid="{00000000-0005-0000-0000-000000500000}"/>
    <cellStyle name="Input 20" xfId="295" xr:uid="{00000000-0005-0000-0000-0000F54F0000}"/>
    <cellStyle name="Input 20 2" xfId="3032" xr:uid="{00000000-0005-0000-0000-0000F64F0000}"/>
    <cellStyle name="Input 20 3" xfId="13742" xr:uid="{00000000-0005-0000-0000-0000F74F0000}"/>
    <cellStyle name="Input 21" xfId="302" xr:uid="{00000000-0005-0000-0000-0000F84F0000}"/>
    <cellStyle name="Input 21 2" xfId="3033" xr:uid="{00000000-0005-0000-0000-0000F94F0000}"/>
    <cellStyle name="Input 21 3" xfId="13743" xr:uid="{00000000-0005-0000-0000-0000FA4F0000}"/>
    <cellStyle name="Input 22" xfId="303" xr:uid="{00000000-0005-0000-0000-0000FB4F0000}"/>
    <cellStyle name="Input 22 2" xfId="3034" xr:uid="{00000000-0005-0000-0000-0000FC4F0000}"/>
    <cellStyle name="Input 22 3" xfId="13744" xr:uid="{00000000-0005-0000-0000-0000FD4F0000}"/>
    <cellStyle name="Input 23" xfId="316" xr:uid="{00000000-0005-0000-0000-0000FE4F0000}"/>
    <cellStyle name="Input 23 2" xfId="3035" xr:uid="{00000000-0005-0000-0000-0000FF4F0000}"/>
    <cellStyle name="Input 23 3" xfId="13747" xr:uid="{00000000-0005-0000-0000-000000500000}"/>
    <cellStyle name="Input 24" xfId="317" xr:uid="{00000000-0005-0000-0000-000001500000}"/>
    <cellStyle name="Input 24 2" xfId="3036" xr:uid="{00000000-0005-0000-0000-000002500000}"/>
    <cellStyle name="Input 24 3" xfId="13748" xr:uid="{00000000-0005-0000-0000-000003500000}"/>
    <cellStyle name="Input 25" xfId="318" xr:uid="{00000000-0005-0000-0000-000004500000}"/>
    <cellStyle name="Input 25 2" xfId="3037" xr:uid="{00000000-0005-0000-0000-000005500000}"/>
    <cellStyle name="Input 25 3" xfId="13749" xr:uid="{00000000-0005-0000-0000-000006500000}"/>
    <cellStyle name="Input 26" xfId="319" xr:uid="{00000000-0005-0000-0000-000007500000}"/>
    <cellStyle name="Input 26 2" xfId="3038" xr:uid="{00000000-0005-0000-0000-000008500000}"/>
    <cellStyle name="Input 26 3" xfId="13750" xr:uid="{00000000-0005-0000-0000-000009500000}"/>
    <cellStyle name="Input 27" xfId="320" xr:uid="{00000000-0005-0000-0000-00000A500000}"/>
    <cellStyle name="Input 27 2" xfId="3039" xr:uid="{00000000-0005-0000-0000-00000B500000}"/>
    <cellStyle name="Input 27 3" xfId="13751" xr:uid="{00000000-0005-0000-0000-00000C500000}"/>
    <cellStyle name="Input 28" xfId="321" xr:uid="{00000000-0005-0000-0000-00000D500000}"/>
    <cellStyle name="Input 28 2" xfId="3040" xr:uid="{00000000-0005-0000-0000-00000E500000}"/>
    <cellStyle name="Input 28 3" xfId="13752" xr:uid="{00000000-0005-0000-0000-00000F500000}"/>
    <cellStyle name="Input 29" xfId="322" xr:uid="{00000000-0005-0000-0000-000010500000}"/>
    <cellStyle name="Input 29 2" xfId="3041" xr:uid="{00000000-0005-0000-0000-000011500000}"/>
    <cellStyle name="Input 29 3" xfId="13753" xr:uid="{00000000-0005-0000-0000-000012500000}"/>
    <cellStyle name="Input 3" xfId="194" xr:uid="{00000000-0005-0000-0000-000013500000}"/>
    <cellStyle name="Input 3 2" xfId="3042" xr:uid="{00000000-0005-0000-0000-000014500000}"/>
    <cellStyle name="Input 3 3" xfId="13695" xr:uid="{00000000-0005-0000-0000-000015500000}"/>
    <cellStyle name="Input 3 4" xfId="24122" xr:uid="{00000000-0005-0000-0000-000016500000}"/>
    <cellStyle name="Input 3 4 2" xfId="25561" xr:uid="{00000000-0005-0000-0000-000017500000}"/>
    <cellStyle name="Input 3 4 2 2" xfId="27716" xr:uid="{00000000-0005-0000-0000-000025500000}"/>
    <cellStyle name="Input 3 4 2 3" xfId="29231" xr:uid="{00000000-0005-0000-0000-000025500000}"/>
    <cellStyle name="Input 3 4 2 4" xfId="26772" xr:uid="{00000000-0005-0000-0000-000025500000}"/>
    <cellStyle name="Input 3 4 3" xfId="27071" xr:uid="{00000000-0005-0000-0000-000024500000}"/>
    <cellStyle name="Input 3 4 4" xfId="26719" xr:uid="{00000000-0005-0000-0000-000024500000}"/>
    <cellStyle name="Input 3 4 5" xfId="26294" xr:uid="{00000000-0005-0000-0000-000024500000}"/>
    <cellStyle name="Input 3 5" xfId="24711" xr:uid="{00000000-0005-0000-0000-000018500000}"/>
    <cellStyle name="Input 3 5 2" xfId="25390" xr:uid="{00000000-0005-0000-0000-000019500000}"/>
    <cellStyle name="Input 3 5 2 2" xfId="27546" xr:uid="{00000000-0005-0000-0000-000027500000}"/>
    <cellStyle name="Input 3 5 2 3" xfId="29209" xr:uid="{00000000-0005-0000-0000-000027500000}"/>
    <cellStyle name="Input 3 5 2 4" xfId="27164" xr:uid="{00000000-0005-0000-0000-000027500000}"/>
    <cellStyle name="Input 3 5 3" xfId="25663" xr:uid="{00000000-0005-0000-0000-00001A500000}"/>
    <cellStyle name="Input 3 5 3 2" xfId="27818" xr:uid="{00000000-0005-0000-0000-000028500000}"/>
    <cellStyle name="Input 3 5 3 3" xfId="29245" xr:uid="{00000000-0005-0000-0000-000028500000}"/>
    <cellStyle name="Input 3 5 3 4" xfId="26712" xr:uid="{00000000-0005-0000-0000-000028500000}"/>
    <cellStyle name="Input 3 5 4" xfId="27298" xr:uid="{00000000-0005-0000-0000-000026500000}"/>
    <cellStyle name="Input 3 5 5" xfId="26685" xr:uid="{00000000-0005-0000-0000-000026500000}"/>
    <cellStyle name="Input 3 5 6" xfId="26217" xr:uid="{00000000-0005-0000-0000-000026500000}"/>
    <cellStyle name="Input 3 6" xfId="25029" xr:uid="{00000000-0005-0000-0000-00001B500000}"/>
    <cellStyle name="Input 3 6 2" xfId="25382" xr:uid="{00000000-0005-0000-0000-00001C500000}"/>
    <cellStyle name="Input 3 6 2 2" xfId="27538" xr:uid="{00000000-0005-0000-0000-00002A500000}"/>
    <cellStyle name="Input 3 6 2 3" xfId="29207" xr:uid="{00000000-0005-0000-0000-00002A500000}"/>
    <cellStyle name="Input 3 6 2 4" xfId="26951" xr:uid="{00000000-0005-0000-0000-00002A500000}"/>
    <cellStyle name="Input 3 6 3" xfId="25674" xr:uid="{00000000-0005-0000-0000-00001D500000}"/>
    <cellStyle name="Input 3 6 3 2" xfId="27829" xr:uid="{00000000-0005-0000-0000-00002B500000}"/>
    <cellStyle name="Input 3 6 3 3" xfId="29256" xr:uid="{00000000-0005-0000-0000-00002B500000}"/>
    <cellStyle name="Input 3 6 3 4" xfId="26986" xr:uid="{00000000-0005-0000-0000-00002B500000}"/>
    <cellStyle name="Input 3 6 4" xfId="27359" xr:uid="{00000000-0005-0000-0000-000029500000}"/>
    <cellStyle name="Input 3 6 5" xfId="26196" xr:uid="{00000000-0005-0000-0000-000029500000}"/>
    <cellStyle name="Input 3 6 6" xfId="26731" xr:uid="{00000000-0005-0000-0000-000029500000}"/>
    <cellStyle name="Input 30" xfId="323" xr:uid="{00000000-0005-0000-0000-00001E500000}"/>
    <cellStyle name="Input 30 2" xfId="3043" xr:uid="{00000000-0005-0000-0000-00001F500000}"/>
    <cellStyle name="Input 30 3" xfId="13754" xr:uid="{00000000-0005-0000-0000-000020500000}"/>
    <cellStyle name="Input 31" xfId="339" xr:uid="{00000000-0005-0000-0000-000021500000}"/>
    <cellStyle name="Input 31 2" xfId="3044" xr:uid="{00000000-0005-0000-0000-000022500000}"/>
    <cellStyle name="Input 31 3" xfId="13758" xr:uid="{00000000-0005-0000-0000-000023500000}"/>
    <cellStyle name="Input 32" xfId="340" xr:uid="{00000000-0005-0000-0000-000024500000}"/>
    <cellStyle name="Input 32 2" xfId="3045" xr:uid="{00000000-0005-0000-0000-000025500000}"/>
    <cellStyle name="Input 32 3" xfId="13759" xr:uid="{00000000-0005-0000-0000-000026500000}"/>
    <cellStyle name="Input 33" xfId="341" xr:uid="{00000000-0005-0000-0000-000027500000}"/>
    <cellStyle name="Input 33 2" xfId="3046" xr:uid="{00000000-0005-0000-0000-000028500000}"/>
    <cellStyle name="Input 33 3" xfId="13760" xr:uid="{00000000-0005-0000-0000-000029500000}"/>
    <cellStyle name="Input 34" xfId="342" xr:uid="{00000000-0005-0000-0000-00002A500000}"/>
    <cellStyle name="Input 34 2" xfId="3047" xr:uid="{00000000-0005-0000-0000-00002B500000}"/>
    <cellStyle name="Input 34 3" xfId="13761" xr:uid="{00000000-0005-0000-0000-00002C500000}"/>
    <cellStyle name="Input 35" xfId="3048" xr:uid="{00000000-0005-0000-0000-00002D500000}"/>
    <cellStyle name="Input 36" xfId="3049" xr:uid="{00000000-0005-0000-0000-00002E500000}"/>
    <cellStyle name="Input 37" xfId="3050" xr:uid="{00000000-0005-0000-0000-00002F500000}"/>
    <cellStyle name="Input 38" xfId="3051" xr:uid="{00000000-0005-0000-0000-000030500000}"/>
    <cellStyle name="Input 39" xfId="3052" xr:uid="{00000000-0005-0000-0000-000031500000}"/>
    <cellStyle name="Input 4" xfId="195" xr:uid="{00000000-0005-0000-0000-000032500000}"/>
    <cellStyle name="Input 4 2" xfId="3053" xr:uid="{00000000-0005-0000-0000-000033500000}"/>
    <cellStyle name="Input 4 3" xfId="13696" xr:uid="{00000000-0005-0000-0000-000034500000}"/>
    <cellStyle name="Input 4 4" xfId="24123" xr:uid="{00000000-0005-0000-0000-000035500000}"/>
    <cellStyle name="Input 4 4 2" xfId="25562" xr:uid="{00000000-0005-0000-0000-000036500000}"/>
    <cellStyle name="Input 4 4 2 2" xfId="27717" xr:uid="{00000000-0005-0000-0000-000044500000}"/>
    <cellStyle name="Input 4 4 2 3" xfId="29232" xr:uid="{00000000-0005-0000-0000-000044500000}"/>
    <cellStyle name="Input 4 4 2 4" xfId="26161" xr:uid="{00000000-0005-0000-0000-000044500000}"/>
    <cellStyle name="Input 4 4 3" xfId="27072" xr:uid="{00000000-0005-0000-0000-000043500000}"/>
    <cellStyle name="Input 4 4 4" xfId="26553" xr:uid="{00000000-0005-0000-0000-000043500000}"/>
    <cellStyle name="Input 4 4 5" xfId="26844" xr:uid="{00000000-0005-0000-0000-000043500000}"/>
    <cellStyle name="Input 4 5" xfId="24712" xr:uid="{00000000-0005-0000-0000-000037500000}"/>
    <cellStyle name="Input 4 5 2" xfId="25404" xr:uid="{00000000-0005-0000-0000-000038500000}"/>
    <cellStyle name="Input 4 5 2 2" xfId="27560" xr:uid="{00000000-0005-0000-0000-000046500000}"/>
    <cellStyle name="Input 4 5 2 3" xfId="29212" xr:uid="{00000000-0005-0000-0000-000046500000}"/>
    <cellStyle name="Input 4 5 2 4" xfId="26260" xr:uid="{00000000-0005-0000-0000-000046500000}"/>
    <cellStyle name="Input 4 5 3" xfId="25664" xr:uid="{00000000-0005-0000-0000-000039500000}"/>
    <cellStyle name="Input 4 5 3 2" xfId="27819" xr:uid="{00000000-0005-0000-0000-000047500000}"/>
    <cellStyle name="Input 4 5 3 3" xfId="29246" xr:uid="{00000000-0005-0000-0000-000047500000}"/>
    <cellStyle name="Input 4 5 3 4" xfId="26696" xr:uid="{00000000-0005-0000-0000-000047500000}"/>
    <cellStyle name="Input 4 5 4" xfId="27299" xr:uid="{00000000-0005-0000-0000-000045500000}"/>
    <cellStyle name="Input 4 5 5" xfId="26667" xr:uid="{00000000-0005-0000-0000-000045500000}"/>
    <cellStyle name="Input 4 5 6" xfId="27029" xr:uid="{00000000-0005-0000-0000-000045500000}"/>
    <cellStyle name="Input 4 6" xfId="25030" xr:uid="{00000000-0005-0000-0000-00003A500000}"/>
    <cellStyle name="Input 4 6 2" xfId="25397" xr:uid="{00000000-0005-0000-0000-00003B500000}"/>
    <cellStyle name="Input 4 6 2 2" xfId="27553" xr:uid="{00000000-0005-0000-0000-000049500000}"/>
    <cellStyle name="Input 4 6 2 3" xfId="29210" xr:uid="{00000000-0005-0000-0000-000049500000}"/>
    <cellStyle name="Input 4 6 2 4" xfId="26910" xr:uid="{00000000-0005-0000-0000-000049500000}"/>
    <cellStyle name="Input 4 6 3" xfId="25675" xr:uid="{00000000-0005-0000-0000-00003C500000}"/>
    <cellStyle name="Input 4 6 3 2" xfId="27830" xr:uid="{00000000-0005-0000-0000-00004A500000}"/>
    <cellStyle name="Input 4 6 3 3" xfId="29257" xr:uid="{00000000-0005-0000-0000-00004A500000}"/>
    <cellStyle name="Input 4 6 3 4" xfId="26478" xr:uid="{00000000-0005-0000-0000-00004A500000}"/>
    <cellStyle name="Input 4 6 4" xfId="27360" xr:uid="{00000000-0005-0000-0000-000048500000}"/>
    <cellStyle name="Input 4 6 5" xfId="26197" xr:uid="{00000000-0005-0000-0000-000048500000}"/>
    <cellStyle name="Input 4 6 6" xfId="26407" xr:uid="{00000000-0005-0000-0000-000048500000}"/>
    <cellStyle name="Input 40" xfId="3054" xr:uid="{00000000-0005-0000-0000-00003D500000}"/>
    <cellStyle name="Input 41" xfId="3055" xr:uid="{00000000-0005-0000-0000-00003E500000}"/>
    <cellStyle name="Input 42" xfId="3056" xr:uid="{00000000-0005-0000-0000-00003F500000}"/>
    <cellStyle name="Input 43" xfId="3057" xr:uid="{00000000-0005-0000-0000-000040500000}"/>
    <cellStyle name="Input 44" xfId="3058" xr:uid="{00000000-0005-0000-0000-000041500000}"/>
    <cellStyle name="Input 45" xfId="3059" xr:uid="{00000000-0005-0000-0000-000042500000}"/>
    <cellStyle name="Input 46" xfId="3060" xr:uid="{00000000-0005-0000-0000-000043500000}"/>
    <cellStyle name="Input 47" xfId="3061" xr:uid="{00000000-0005-0000-0000-000044500000}"/>
    <cellStyle name="Input 48" xfId="3062" xr:uid="{00000000-0005-0000-0000-000045500000}"/>
    <cellStyle name="Input 49" xfId="3063" xr:uid="{00000000-0005-0000-0000-000046500000}"/>
    <cellStyle name="Input 5" xfId="196" xr:uid="{00000000-0005-0000-0000-000047500000}"/>
    <cellStyle name="Input 5 2" xfId="3064" xr:uid="{00000000-0005-0000-0000-000048500000}"/>
    <cellStyle name="Input 5 3" xfId="13697" xr:uid="{00000000-0005-0000-0000-000049500000}"/>
    <cellStyle name="Input 50" xfId="3065" xr:uid="{00000000-0005-0000-0000-00004A500000}"/>
    <cellStyle name="Input 51" xfId="3066" xr:uid="{00000000-0005-0000-0000-00004B500000}"/>
    <cellStyle name="Input 52" xfId="3067" xr:uid="{00000000-0005-0000-0000-00004C500000}"/>
    <cellStyle name="Input 53" xfId="3068" xr:uid="{00000000-0005-0000-0000-00004D500000}"/>
    <cellStyle name="Input 54" xfId="3069" xr:uid="{00000000-0005-0000-0000-00004E500000}"/>
    <cellStyle name="Input 55" xfId="3070" xr:uid="{00000000-0005-0000-0000-00004F500000}"/>
    <cellStyle name="Input 56" xfId="3071" xr:uid="{00000000-0005-0000-0000-000050500000}"/>
    <cellStyle name="Input 57" xfId="3072" xr:uid="{00000000-0005-0000-0000-000051500000}"/>
    <cellStyle name="Input 58" xfId="3073" xr:uid="{00000000-0005-0000-0000-000052500000}"/>
    <cellStyle name="Input 59" xfId="3074" xr:uid="{00000000-0005-0000-0000-000053500000}"/>
    <cellStyle name="Input 6" xfId="197" xr:uid="{00000000-0005-0000-0000-000054500000}"/>
    <cellStyle name="Input 6 2" xfId="3075" xr:uid="{00000000-0005-0000-0000-000055500000}"/>
    <cellStyle name="Input 6 3" xfId="13698" xr:uid="{00000000-0005-0000-0000-000056500000}"/>
    <cellStyle name="Input 60" xfId="3076" xr:uid="{00000000-0005-0000-0000-000057500000}"/>
    <cellStyle name="Input 61" xfId="3077" xr:uid="{00000000-0005-0000-0000-000058500000}"/>
    <cellStyle name="Input 62" xfId="3078" xr:uid="{00000000-0005-0000-0000-000059500000}"/>
    <cellStyle name="Input 63" xfId="3079" xr:uid="{00000000-0005-0000-0000-00005A500000}"/>
    <cellStyle name="Input 64" xfId="3080" xr:uid="{00000000-0005-0000-0000-00005B500000}"/>
    <cellStyle name="Input 65" xfId="3081" xr:uid="{00000000-0005-0000-0000-00005C500000}"/>
    <cellStyle name="Input 66" xfId="3082" xr:uid="{00000000-0005-0000-0000-00005D500000}"/>
    <cellStyle name="Input 67" xfId="3083" xr:uid="{00000000-0005-0000-0000-00005E500000}"/>
    <cellStyle name="Input 68" xfId="3084" xr:uid="{00000000-0005-0000-0000-00005F500000}"/>
    <cellStyle name="Input 69" xfId="3085" xr:uid="{00000000-0005-0000-0000-000060500000}"/>
    <cellStyle name="Input 7" xfId="198" xr:uid="{00000000-0005-0000-0000-000061500000}"/>
    <cellStyle name="Input 7 2" xfId="3086" xr:uid="{00000000-0005-0000-0000-000062500000}"/>
    <cellStyle name="Input 7 3" xfId="13699" xr:uid="{00000000-0005-0000-0000-000063500000}"/>
    <cellStyle name="Input 70" xfId="3087" xr:uid="{00000000-0005-0000-0000-000064500000}"/>
    <cellStyle name="Input 71" xfId="3088" xr:uid="{00000000-0005-0000-0000-000065500000}"/>
    <cellStyle name="Input 72" xfId="3089" xr:uid="{00000000-0005-0000-0000-000066500000}"/>
    <cellStyle name="Input 73" xfId="23922" xr:uid="{00000000-0005-0000-0000-000067500000}"/>
    <cellStyle name="Input 74" xfId="24261" xr:uid="{00000000-0005-0000-0000-000068500000}"/>
    <cellStyle name="Input 75" xfId="23924" xr:uid="{00000000-0005-0000-0000-000069500000}"/>
    <cellStyle name="Input 76" xfId="24209" xr:uid="{00000000-0005-0000-0000-00006A500000}"/>
    <cellStyle name="Input 77" xfId="24519" xr:uid="{00000000-0005-0000-0000-00006B500000}"/>
    <cellStyle name="Input 78" xfId="24020" xr:uid="{00000000-0005-0000-0000-00006C500000}"/>
    <cellStyle name="Input 79" xfId="24536" xr:uid="{00000000-0005-0000-0000-00006D500000}"/>
    <cellStyle name="Input 8" xfId="199" xr:uid="{00000000-0005-0000-0000-00006E500000}"/>
    <cellStyle name="Input 8 2" xfId="3090" xr:uid="{00000000-0005-0000-0000-00006F500000}"/>
    <cellStyle name="Input 8 3" xfId="13700" xr:uid="{00000000-0005-0000-0000-000070500000}"/>
    <cellStyle name="Input 80" xfId="24541" xr:uid="{00000000-0005-0000-0000-000071500000}"/>
    <cellStyle name="Input 81" xfId="24245" xr:uid="{00000000-0005-0000-0000-000072500000}"/>
    <cellStyle name="Input 82" xfId="24537" xr:uid="{00000000-0005-0000-0000-000073500000}"/>
    <cellStyle name="Input 83" xfId="24031" xr:uid="{00000000-0005-0000-0000-000074500000}"/>
    <cellStyle name="Input 84" xfId="24550" xr:uid="{00000000-0005-0000-0000-000075500000}"/>
    <cellStyle name="Input 85" xfId="24552" xr:uid="{00000000-0005-0000-0000-000076500000}"/>
    <cellStyle name="Input 86" xfId="24636" xr:uid="{00000000-0005-0000-0000-000077500000}"/>
    <cellStyle name="Input 87" xfId="24715" xr:uid="{00000000-0005-0000-0000-000078500000}"/>
    <cellStyle name="Input 88" xfId="24708" xr:uid="{00000000-0005-0000-0000-000079500000}"/>
    <cellStyle name="Input 89" xfId="24918" xr:uid="{00000000-0005-0000-0000-00007A500000}"/>
    <cellStyle name="Input 9" xfId="200" xr:uid="{00000000-0005-0000-0000-00007B500000}"/>
    <cellStyle name="Input 9 2" xfId="3091" xr:uid="{00000000-0005-0000-0000-00007C500000}"/>
    <cellStyle name="Input 9 3" xfId="13701" xr:uid="{00000000-0005-0000-0000-00007D500000}"/>
    <cellStyle name="Input 90" xfId="24937" xr:uid="{00000000-0005-0000-0000-00007E500000}"/>
    <cellStyle name="Input 91" xfId="24911" xr:uid="{00000000-0005-0000-0000-00007F500000}"/>
    <cellStyle name="Input 92" xfId="24672" xr:uid="{00000000-0005-0000-0000-000080500000}"/>
    <cellStyle name="Input 93" xfId="24713" xr:uid="{00000000-0005-0000-0000-000081500000}"/>
    <cellStyle name="Input 94" xfId="24544" xr:uid="{00000000-0005-0000-0000-000082500000}"/>
    <cellStyle name="Input 95" xfId="24691" xr:uid="{00000000-0005-0000-0000-000083500000}"/>
    <cellStyle name="Input 96" xfId="24549" xr:uid="{00000000-0005-0000-0000-000084500000}"/>
    <cellStyle name="Input 97" xfId="24944" xr:uid="{00000000-0005-0000-0000-000085500000}"/>
    <cellStyle name="Input1" xfId="572" xr:uid="{00000000-0005-0000-0000-000086500000}"/>
    <cellStyle name="Input1 2" xfId="24124" xr:uid="{00000000-0005-0000-0000-000087500000}"/>
    <cellStyle name="Input2" xfId="573" xr:uid="{00000000-0005-0000-0000-000088500000}"/>
    <cellStyle name="Input2 2" xfId="24125" xr:uid="{00000000-0005-0000-0000-000089500000}"/>
    <cellStyle name="Input2 2 2" xfId="25312" xr:uid="{00000000-0005-0000-0000-00008A500000}"/>
    <cellStyle name="Input2 2 2 2" xfId="27468" xr:uid="{00000000-0005-0000-0000-000098500000}"/>
    <cellStyle name="Input2 2 2 3" xfId="26209" xr:uid="{00000000-0005-0000-0000-0000C1510000}"/>
    <cellStyle name="Input2 2 3" xfId="27073" xr:uid="{00000000-0005-0000-0000-000097500000}"/>
    <cellStyle name="Input2 3" xfId="25454" xr:uid="{00000000-0005-0000-0000-00008B500000}"/>
    <cellStyle name="Input2 3 2" xfId="27610" xr:uid="{00000000-0005-0000-0000-000099500000}"/>
    <cellStyle name="Input2 3 3" xfId="26066" xr:uid="{00000000-0005-0000-0000-0000C2510000}"/>
    <cellStyle name="Input2 4" xfId="26047" xr:uid="{00000000-0005-0000-0000-000096500000}"/>
    <cellStyle name="LineItemPrompt" xfId="3092" xr:uid="{00000000-0005-0000-0000-00008C500000}"/>
    <cellStyle name="LineItemValue" xfId="3093" xr:uid="{00000000-0005-0000-0000-00008D500000}"/>
    <cellStyle name="Linked Cell 10" xfId="3094" xr:uid="{00000000-0005-0000-0000-00008E500000}"/>
    <cellStyle name="Linked Cell 11" xfId="3095" xr:uid="{00000000-0005-0000-0000-00008F500000}"/>
    <cellStyle name="Linked Cell 12" xfId="3096" xr:uid="{00000000-0005-0000-0000-000090500000}"/>
    <cellStyle name="Linked Cell 13" xfId="3097" xr:uid="{00000000-0005-0000-0000-000091500000}"/>
    <cellStyle name="Linked Cell 14" xfId="3098" xr:uid="{00000000-0005-0000-0000-000092500000}"/>
    <cellStyle name="Linked Cell 15" xfId="3099" xr:uid="{00000000-0005-0000-0000-000093500000}"/>
    <cellStyle name="Linked Cell 16" xfId="3100" xr:uid="{00000000-0005-0000-0000-000094500000}"/>
    <cellStyle name="Linked Cell 17" xfId="3101" xr:uid="{00000000-0005-0000-0000-000095500000}"/>
    <cellStyle name="Linked Cell 18" xfId="3102" xr:uid="{00000000-0005-0000-0000-000096500000}"/>
    <cellStyle name="Linked Cell 19" xfId="3103" xr:uid="{00000000-0005-0000-0000-000097500000}"/>
    <cellStyle name="Linked Cell 2" xfId="3104" xr:uid="{00000000-0005-0000-0000-000098500000}"/>
    <cellStyle name="Linked Cell 2 2" xfId="24127" xr:uid="{00000000-0005-0000-0000-000099500000}"/>
    <cellStyle name="Linked Cell 2 3" xfId="24126" xr:uid="{00000000-0005-0000-0000-00009A500000}"/>
    <cellStyle name="Linked Cell 20" xfId="3105" xr:uid="{00000000-0005-0000-0000-00009B500000}"/>
    <cellStyle name="Linked Cell 21" xfId="3106" xr:uid="{00000000-0005-0000-0000-00009C500000}"/>
    <cellStyle name="Linked Cell 22" xfId="3107" xr:uid="{00000000-0005-0000-0000-00009D500000}"/>
    <cellStyle name="Linked Cell 23" xfId="3108" xr:uid="{00000000-0005-0000-0000-00009E500000}"/>
    <cellStyle name="Linked Cell 24" xfId="3109" xr:uid="{00000000-0005-0000-0000-00009F500000}"/>
    <cellStyle name="Linked Cell 25" xfId="3110" xr:uid="{00000000-0005-0000-0000-0000A0500000}"/>
    <cellStyle name="Linked Cell 26" xfId="3111" xr:uid="{00000000-0005-0000-0000-0000A1500000}"/>
    <cellStyle name="Linked Cell 27" xfId="3112" xr:uid="{00000000-0005-0000-0000-0000A2500000}"/>
    <cellStyle name="Linked Cell 28" xfId="3113" xr:uid="{00000000-0005-0000-0000-0000A3500000}"/>
    <cellStyle name="Linked Cell 29" xfId="3114" xr:uid="{00000000-0005-0000-0000-0000A4500000}"/>
    <cellStyle name="Linked Cell 3" xfId="3115" xr:uid="{00000000-0005-0000-0000-0000A5500000}"/>
    <cellStyle name="Linked Cell 3 2" xfId="24128" xr:uid="{00000000-0005-0000-0000-0000A6500000}"/>
    <cellStyle name="Linked Cell 30" xfId="3116" xr:uid="{00000000-0005-0000-0000-0000A7500000}"/>
    <cellStyle name="Linked Cell 31" xfId="3117" xr:uid="{00000000-0005-0000-0000-0000A8500000}"/>
    <cellStyle name="Linked Cell 32" xfId="3118" xr:uid="{00000000-0005-0000-0000-0000A9500000}"/>
    <cellStyle name="Linked Cell 33" xfId="3119" xr:uid="{00000000-0005-0000-0000-0000AA500000}"/>
    <cellStyle name="Linked Cell 34" xfId="3120" xr:uid="{00000000-0005-0000-0000-0000AB500000}"/>
    <cellStyle name="Linked Cell 35" xfId="3121" xr:uid="{00000000-0005-0000-0000-0000AC500000}"/>
    <cellStyle name="Linked Cell 36" xfId="3122" xr:uid="{00000000-0005-0000-0000-0000AD500000}"/>
    <cellStyle name="Linked Cell 37" xfId="3123" xr:uid="{00000000-0005-0000-0000-0000AE500000}"/>
    <cellStyle name="Linked Cell 38" xfId="3124" xr:uid="{00000000-0005-0000-0000-0000AF500000}"/>
    <cellStyle name="Linked Cell 39" xfId="3125" xr:uid="{00000000-0005-0000-0000-0000B0500000}"/>
    <cellStyle name="Linked Cell 4" xfId="3126" xr:uid="{00000000-0005-0000-0000-0000B1500000}"/>
    <cellStyle name="Linked Cell 4 2" xfId="24129" xr:uid="{00000000-0005-0000-0000-0000B2500000}"/>
    <cellStyle name="Linked Cell 40" xfId="3127" xr:uid="{00000000-0005-0000-0000-0000B3500000}"/>
    <cellStyle name="Linked Cell 41" xfId="3128" xr:uid="{00000000-0005-0000-0000-0000B4500000}"/>
    <cellStyle name="Linked Cell 42" xfId="3129" xr:uid="{00000000-0005-0000-0000-0000B5500000}"/>
    <cellStyle name="Linked Cell 43" xfId="3130" xr:uid="{00000000-0005-0000-0000-0000B6500000}"/>
    <cellStyle name="Linked Cell 44" xfId="3131" xr:uid="{00000000-0005-0000-0000-0000B7500000}"/>
    <cellStyle name="Linked Cell 45" xfId="3132" xr:uid="{00000000-0005-0000-0000-0000B8500000}"/>
    <cellStyle name="Linked Cell 46" xfId="3133" xr:uid="{00000000-0005-0000-0000-0000B9500000}"/>
    <cellStyle name="Linked Cell 47" xfId="3134" xr:uid="{00000000-0005-0000-0000-0000BA500000}"/>
    <cellStyle name="Linked Cell 48" xfId="3135" xr:uid="{00000000-0005-0000-0000-0000BB500000}"/>
    <cellStyle name="Linked Cell 49" xfId="3136" xr:uid="{00000000-0005-0000-0000-0000BC500000}"/>
    <cellStyle name="Linked Cell 5" xfId="3137" xr:uid="{00000000-0005-0000-0000-0000BD500000}"/>
    <cellStyle name="Linked Cell 50" xfId="3138" xr:uid="{00000000-0005-0000-0000-0000BE500000}"/>
    <cellStyle name="Linked Cell 51" xfId="3139" xr:uid="{00000000-0005-0000-0000-0000BF500000}"/>
    <cellStyle name="Linked Cell 52" xfId="3140" xr:uid="{00000000-0005-0000-0000-0000C0500000}"/>
    <cellStyle name="Linked Cell 53" xfId="3141" xr:uid="{00000000-0005-0000-0000-0000C1500000}"/>
    <cellStyle name="Linked Cell 54" xfId="3142" xr:uid="{00000000-0005-0000-0000-0000C2500000}"/>
    <cellStyle name="Linked Cell 55" xfId="3143" xr:uid="{00000000-0005-0000-0000-0000C3500000}"/>
    <cellStyle name="Linked Cell 56" xfId="3144" xr:uid="{00000000-0005-0000-0000-0000C4500000}"/>
    <cellStyle name="Linked Cell 57" xfId="3145" xr:uid="{00000000-0005-0000-0000-0000C5500000}"/>
    <cellStyle name="Linked Cell 58" xfId="3146" xr:uid="{00000000-0005-0000-0000-0000C6500000}"/>
    <cellStyle name="Linked Cell 59" xfId="3147" xr:uid="{00000000-0005-0000-0000-0000C7500000}"/>
    <cellStyle name="Linked Cell 6" xfId="3148" xr:uid="{00000000-0005-0000-0000-0000C8500000}"/>
    <cellStyle name="Linked Cell 60" xfId="3149" xr:uid="{00000000-0005-0000-0000-0000C9500000}"/>
    <cellStyle name="Linked Cell 61" xfId="3150" xr:uid="{00000000-0005-0000-0000-0000CA500000}"/>
    <cellStyle name="Linked Cell 62" xfId="3151" xr:uid="{00000000-0005-0000-0000-0000CB500000}"/>
    <cellStyle name="Linked Cell 63" xfId="3152" xr:uid="{00000000-0005-0000-0000-0000CC500000}"/>
    <cellStyle name="Linked Cell 64" xfId="3153" xr:uid="{00000000-0005-0000-0000-0000CD500000}"/>
    <cellStyle name="Linked Cell 65" xfId="3154" xr:uid="{00000000-0005-0000-0000-0000CE500000}"/>
    <cellStyle name="Linked Cell 66" xfId="3155" xr:uid="{00000000-0005-0000-0000-0000CF500000}"/>
    <cellStyle name="Linked Cell 67" xfId="3156" xr:uid="{00000000-0005-0000-0000-0000D0500000}"/>
    <cellStyle name="Linked Cell 68" xfId="3157" xr:uid="{00000000-0005-0000-0000-0000D1500000}"/>
    <cellStyle name="Linked Cell 69" xfId="3158" xr:uid="{00000000-0005-0000-0000-0000D2500000}"/>
    <cellStyle name="Linked Cell 7" xfId="3159" xr:uid="{00000000-0005-0000-0000-0000D3500000}"/>
    <cellStyle name="Linked Cell 70" xfId="3160" xr:uid="{00000000-0005-0000-0000-0000D4500000}"/>
    <cellStyle name="Linked Cell 71" xfId="3161" xr:uid="{00000000-0005-0000-0000-0000D5500000}"/>
    <cellStyle name="Linked Cell 72" xfId="3162" xr:uid="{00000000-0005-0000-0000-0000D6500000}"/>
    <cellStyle name="Linked Cell 8" xfId="3163" xr:uid="{00000000-0005-0000-0000-0000D7500000}"/>
    <cellStyle name="Linked Cell 9" xfId="3164" xr:uid="{00000000-0005-0000-0000-0000D8500000}"/>
    <cellStyle name="Manual-Input" xfId="3165" xr:uid="{00000000-0005-0000-0000-0000D9500000}"/>
    <cellStyle name="Marathon" xfId="46" xr:uid="{00000000-0005-0000-0000-0000DA500000}"/>
    <cellStyle name="Marathon 2" xfId="25812" xr:uid="{00000000-0005-0000-0000-0000E8500000}"/>
    <cellStyle name="MCP" xfId="47" xr:uid="{00000000-0005-0000-0000-0000DB500000}"/>
    <cellStyle name="Multiple" xfId="574" xr:uid="{00000000-0005-0000-0000-0000DC500000}"/>
    <cellStyle name="Multiple [1]" xfId="575" xr:uid="{00000000-0005-0000-0000-0000DD500000}"/>
    <cellStyle name="Multiple [1] 2" xfId="26049" xr:uid="{00000000-0005-0000-0000-0000EB500000}"/>
    <cellStyle name="Multiple 2" xfId="26048" xr:uid="{00000000-0005-0000-0000-0000EA500000}"/>
    <cellStyle name="Multiple 3" xfId="27002" xr:uid="{00000000-0005-0000-0000-000013520000}"/>
    <cellStyle name="Multiple 4" xfId="26721" xr:uid="{00000000-0005-0000-0000-0000EA500000}"/>
    <cellStyle name="Multiple 5" xfId="29237" xr:uid="{00000000-0005-0000-0000-0000EA500000}"/>
    <cellStyle name="Multiple_10_21 A&amp;G Review" xfId="576" xr:uid="{00000000-0005-0000-0000-0000DE500000}"/>
    <cellStyle name="Neutral 10" xfId="3166" xr:uid="{00000000-0005-0000-0000-0000DF500000}"/>
    <cellStyle name="Neutral 11" xfId="3167" xr:uid="{00000000-0005-0000-0000-0000E0500000}"/>
    <cellStyle name="Neutral 12" xfId="3168" xr:uid="{00000000-0005-0000-0000-0000E1500000}"/>
    <cellStyle name="Neutral 13" xfId="3169" xr:uid="{00000000-0005-0000-0000-0000E2500000}"/>
    <cellStyle name="Neutral 14" xfId="3170" xr:uid="{00000000-0005-0000-0000-0000E3500000}"/>
    <cellStyle name="Neutral 15" xfId="3171" xr:uid="{00000000-0005-0000-0000-0000E4500000}"/>
    <cellStyle name="Neutral 16" xfId="3172" xr:uid="{00000000-0005-0000-0000-0000E5500000}"/>
    <cellStyle name="Neutral 17" xfId="3173" xr:uid="{00000000-0005-0000-0000-0000E6500000}"/>
    <cellStyle name="Neutral 18" xfId="3174" xr:uid="{00000000-0005-0000-0000-0000E7500000}"/>
    <cellStyle name="Neutral 19" xfId="3175" xr:uid="{00000000-0005-0000-0000-0000E8500000}"/>
    <cellStyle name="Neutral 2" xfId="3176" xr:uid="{00000000-0005-0000-0000-0000E9500000}"/>
    <cellStyle name="Neutral 2 2" xfId="24132" xr:uid="{00000000-0005-0000-0000-0000EA500000}"/>
    <cellStyle name="Neutral 2 3" xfId="24131" xr:uid="{00000000-0005-0000-0000-0000EB500000}"/>
    <cellStyle name="Neutral 20" xfId="3177" xr:uid="{00000000-0005-0000-0000-0000EC500000}"/>
    <cellStyle name="Neutral 21" xfId="3178" xr:uid="{00000000-0005-0000-0000-0000ED500000}"/>
    <cellStyle name="Neutral 22" xfId="3179" xr:uid="{00000000-0005-0000-0000-0000EE500000}"/>
    <cellStyle name="Neutral 23" xfId="3180" xr:uid="{00000000-0005-0000-0000-0000EF500000}"/>
    <cellStyle name="Neutral 24" xfId="3181" xr:uid="{00000000-0005-0000-0000-0000F0500000}"/>
    <cellStyle name="Neutral 25" xfId="3182" xr:uid="{00000000-0005-0000-0000-0000F1500000}"/>
    <cellStyle name="Neutral 26" xfId="3183" xr:uid="{00000000-0005-0000-0000-0000F2500000}"/>
    <cellStyle name="Neutral 27" xfId="3184" xr:uid="{00000000-0005-0000-0000-0000F3500000}"/>
    <cellStyle name="Neutral 28" xfId="3185" xr:uid="{00000000-0005-0000-0000-0000F4500000}"/>
    <cellStyle name="Neutral 29" xfId="3186" xr:uid="{00000000-0005-0000-0000-0000F5500000}"/>
    <cellStyle name="Neutral 3" xfId="3187" xr:uid="{00000000-0005-0000-0000-0000F6500000}"/>
    <cellStyle name="Neutral 3 2" xfId="24133" xr:uid="{00000000-0005-0000-0000-0000F7500000}"/>
    <cellStyle name="Neutral 30" xfId="3188" xr:uid="{00000000-0005-0000-0000-0000F8500000}"/>
    <cellStyle name="Neutral 31" xfId="3189" xr:uid="{00000000-0005-0000-0000-0000F9500000}"/>
    <cellStyle name="Neutral 32" xfId="3190" xr:uid="{00000000-0005-0000-0000-0000FA500000}"/>
    <cellStyle name="Neutral 33" xfId="3191" xr:uid="{00000000-0005-0000-0000-0000FB500000}"/>
    <cellStyle name="Neutral 34" xfId="3192" xr:uid="{00000000-0005-0000-0000-0000FC500000}"/>
    <cellStyle name="Neutral 35" xfId="3193" xr:uid="{00000000-0005-0000-0000-0000FD500000}"/>
    <cellStyle name="Neutral 36" xfId="3194" xr:uid="{00000000-0005-0000-0000-0000FE500000}"/>
    <cellStyle name="Neutral 37" xfId="3195" xr:uid="{00000000-0005-0000-0000-0000FF500000}"/>
    <cellStyle name="Neutral 38" xfId="3196" xr:uid="{00000000-0005-0000-0000-000000510000}"/>
    <cellStyle name="Neutral 39" xfId="3197" xr:uid="{00000000-0005-0000-0000-000001510000}"/>
    <cellStyle name="Neutral 4" xfId="3198" xr:uid="{00000000-0005-0000-0000-000002510000}"/>
    <cellStyle name="Neutral 4 2" xfId="24134" xr:uid="{00000000-0005-0000-0000-000003510000}"/>
    <cellStyle name="Neutral 40" xfId="3199" xr:uid="{00000000-0005-0000-0000-000004510000}"/>
    <cellStyle name="Neutral 41" xfId="3200" xr:uid="{00000000-0005-0000-0000-000005510000}"/>
    <cellStyle name="Neutral 42" xfId="3201" xr:uid="{00000000-0005-0000-0000-000006510000}"/>
    <cellStyle name="Neutral 43" xfId="3202" xr:uid="{00000000-0005-0000-0000-000007510000}"/>
    <cellStyle name="Neutral 44" xfId="3203" xr:uid="{00000000-0005-0000-0000-000008510000}"/>
    <cellStyle name="Neutral 45" xfId="3204" xr:uid="{00000000-0005-0000-0000-000009510000}"/>
    <cellStyle name="Neutral 46" xfId="3205" xr:uid="{00000000-0005-0000-0000-00000A510000}"/>
    <cellStyle name="Neutral 47" xfId="3206" xr:uid="{00000000-0005-0000-0000-00000B510000}"/>
    <cellStyle name="Neutral 48" xfId="3207" xr:uid="{00000000-0005-0000-0000-00000C510000}"/>
    <cellStyle name="Neutral 49" xfId="3208" xr:uid="{00000000-0005-0000-0000-00000D510000}"/>
    <cellStyle name="Neutral 5" xfId="3209" xr:uid="{00000000-0005-0000-0000-00000E510000}"/>
    <cellStyle name="Neutral 50" xfId="3210" xr:uid="{00000000-0005-0000-0000-00000F510000}"/>
    <cellStyle name="Neutral 51" xfId="3211" xr:uid="{00000000-0005-0000-0000-000010510000}"/>
    <cellStyle name="Neutral 52" xfId="3212" xr:uid="{00000000-0005-0000-0000-000011510000}"/>
    <cellStyle name="Neutral 53" xfId="3213" xr:uid="{00000000-0005-0000-0000-000012510000}"/>
    <cellStyle name="Neutral 54" xfId="3214" xr:uid="{00000000-0005-0000-0000-000013510000}"/>
    <cellStyle name="Neutral 55" xfId="3215" xr:uid="{00000000-0005-0000-0000-000014510000}"/>
    <cellStyle name="Neutral 56" xfId="3216" xr:uid="{00000000-0005-0000-0000-000015510000}"/>
    <cellStyle name="Neutral 57" xfId="3217" xr:uid="{00000000-0005-0000-0000-000016510000}"/>
    <cellStyle name="Neutral 58" xfId="3218" xr:uid="{00000000-0005-0000-0000-000017510000}"/>
    <cellStyle name="Neutral 59" xfId="3219" xr:uid="{00000000-0005-0000-0000-000018510000}"/>
    <cellStyle name="Neutral 6" xfId="3220" xr:uid="{00000000-0005-0000-0000-000019510000}"/>
    <cellStyle name="Neutral 60" xfId="3221" xr:uid="{00000000-0005-0000-0000-00001A510000}"/>
    <cellStyle name="Neutral 61" xfId="3222" xr:uid="{00000000-0005-0000-0000-00001B510000}"/>
    <cellStyle name="Neutral 62" xfId="3223" xr:uid="{00000000-0005-0000-0000-00001C510000}"/>
    <cellStyle name="Neutral 63" xfId="3224" xr:uid="{00000000-0005-0000-0000-00001D510000}"/>
    <cellStyle name="Neutral 64" xfId="3225" xr:uid="{00000000-0005-0000-0000-00001E510000}"/>
    <cellStyle name="Neutral 65" xfId="3226" xr:uid="{00000000-0005-0000-0000-00001F510000}"/>
    <cellStyle name="Neutral 66" xfId="3227" xr:uid="{00000000-0005-0000-0000-000020510000}"/>
    <cellStyle name="Neutral 67" xfId="3228" xr:uid="{00000000-0005-0000-0000-000021510000}"/>
    <cellStyle name="Neutral 68" xfId="3229" xr:uid="{00000000-0005-0000-0000-000022510000}"/>
    <cellStyle name="Neutral 69" xfId="3230" xr:uid="{00000000-0005-0000-0000-000023510000}"/>
    <cellStyle name="Neutral 7" xfId="3231" xr:uid="{00000000-0005-0000-0000-000024510000}"/>
    <cellStyle name="Neutral 70" xfId="3232" xr:uid="{00000000-0005-0000-0000-000025510000}"/>
    <cellStyle name="Neutral 71" xfId="3233" xr:uid="{00000000-0005-0000-0000-000026510000}"/>
    <cellStyle name="Neutral 72" xfId="3234" xr:uid="{00000000-0005-0000-0000-000027510000}"/>
    <cellStyle name="Neutral 8" xfId="3235" xr:uid="{00000000-0005-0000-0000-000028510000}"/>
    <cellStyle name="Neutral 9" xfId="3236" xr:uid="{00000000-0005-0000-0000-000029510000}"/>
    <cellStyle name="nONE" xfId="48" xr:uid="{00000000-0005-0000-0000-00002A510000}"/>
    <cellStyle name="nONE 2" xfId="201" xr:uid="{00000000-0005-0000-0000-00002B510000}"/>
    <cellStyle name="noninput" xfId="49" xr:uid="{00000000-0005-0000-0000-00002C510000}"/>
    <cellStyle name="Normal" xfId="0" builtinId="0"/>
    <cellStyle name="Normal - Style1" xfId="50" xr:uid="{00000000-0005-0000-0000-00002E510000}"/>
    <cellStyle name="Normal - Style1 2" xfId="25813" xr:uid="{00000000-0005-0000-0000-00003C510000}"/>
    <cellStyle name="Normal 10" xfId="309" xr:uid="{00000000-0005-0000-0000-00002F510000}"/>
    <cellStyle name="Normal 10 10" xfId="25766" xr:uid="{00000000-0005-0000-0000-000030510000}"/>
    <cellStyle name="Normal 10 10 2" xfId="29002" xr:uid="{00000000-0005-0000-0000-000068520000}"/>
    <cellStyle name="Normal 10 11" xfId="25791" xr:uid="{00000000-0005-0000-0000-000031510000}"/>
    <cellStyle name="Normal 10 11 2" xfId="29003" xr:uid="{00000000-0005-0000-0000-00006A520000}"/>
    <cellStyle name="Normal 10 11 3" xfId="28744" xr:uid="{00000000-0005-0000-0000-00006B520000}"/>
    <cellStyle name="Normal 10 12" xfId="28745" xr:uid="{00000000-0005-0000-0000-00006C520000}"/>
    <cellStyle name="Normal 10 12 2" xfId="29004" xr:uid="{00000000-0005-0000-0000-00006D520000}"/>
    <cellStyle name="Normal 10 13" xfId="28746" xr:uid="{00000000-0005-0000-0000-00006E520000}"/>
    <cellStyle name="Normal 10 13 2" xfId="29005" xr:uid="{00000000-0005-0000-0000-00006F520000}"/>
    <cellStyle name="Normal 10 2" xfId="646" xr:uid="{00000000-0005-0000-0000-000032510000}"/>
    <cellStyle name="Normal 10 2 2" xfId="12453" xr:uid="{00000000-0005-0000-0000-000033510000}"/>
    <cellStyle name="Normal 10 2 2 2" xfId="23741" xr:uid="{00000000-0005-0000-0000-000034510000}"/>
    <cellStyle name="Normal 10 2 2 3" xfId="29006" xr:uid="{00000000-0005-0000-0000-000073520000}"/>
    <cellStyle name="Normal 10 2 3" xfId="10459" xr:uid="{00000000-0005-0000-0000-000035510000}"/>
    <cellStyle name="Normal 10 2 3 2" xfId="21747" xr:uid="{00000000-0005-0000-0000-000036510000}"/>
    <cellStyle name="Normal 10 2 4" xfId="8465" xr:uid="{00000000-0005-0000-0000-000037510000}"/>
    <cellStyle name="Normal 10 2 4 2" xfId="19753" xr:uid="{00000000-0005-0000-0000-000038510000}"/>
    <cellStyle name="Normal 10 2 5" xfId="6471" xr:uid="{00000000-0005-0000-0000-000039510000}"/>
    <cellStyle name="Normal 10 2 5 2" xfId="17759" xr:uid="{00000000-0005-0000-0000-00003A510000}"/>
    <cellStyle name="Normal 10 2 6" xfId="4474" xr:uid="{00000000-0005-0000-0000-00003B510000}"/>
    <cellStyle name="Normal 10 2 6 2" xfId="15765" xr:uid="{00000000-0005-0000-0000-00003C510000}"/>
    <cellStyle name="Normal 10 2 7" xfId="24135" xr:uid="{00000000-0005-0000-0000-00003D510000}"/>
    <cellStyle name="Normal 10 2 7 2" xfId="27077" xr:uid="{00000000-0005-0000-0000-00004B510000}"/>
    <cellStyle name="Normal 10 3" xfId="11456" xr:uid="{00000000-0005-0000-0000-00003E510000}"/>
    <cellStyle name="Normal 10 3 2" xfId="22744" xr:uid="{00000000-0005-0000-0000-00003F510000}"/>
    <cellStyle name="Normal 10 3 2 2" xfId="29007" xr:uid="{00000000-0005-0000-0000-00007F520000}"/>
    <cellStyle name="Normal 10 3 3" xfId="28747" xr:uid="{00000000-0005-0000-0000-000080520000}"/>
    <cellStyle name="Normal 10 4" xfId="9462" xr:uid="{00000000-0005-0000-0000-000040510000}"/>
    <cellStyle name="Normal 10 4 2" xfId="20750" xr:uid="{00000000-0005-0000-0000-000041510000}"/>
    <cellStyle name="Normal 10 4 2 2" xfId="29008" xr:uid="{00000000-0005-0000-0000-000083520000}"/>
    <cellStyle name="Normal 10 4 3" xfId="28748" xr:uid="{00000000-0005-0000-0000-000084520000}"/>
    <cellStyle name="Normal 10 5" xfId="7468" xr:uid="{00000000-0005-0000-0000-000042510000}"/>
    <cellStyle name="Normal 10 5 2" xfId="18756" xr:uid="{00000000-0005-0000-0000-000043510000}"/>
    <cellStyle name="Normal 10 5 2 2" xfId="29009" xr:uid="{00000000-0005-0000-0000-000087520000}"/>
    <cellStyle name="Normal 10 5 3" xfId="28749" xr:uid="{00000000-0005-0000-0000-000088520000}"/>
    <cellStyle name="Normal 10 6" xfId="5474" xr:uid="{00000000-0005-0000-0000-000044510000}"/>
    <cellStyle name="Normal 10 6 2" xfId="16762" xr:uid="{00000000-0005-0000-0000-000045510000}"/>
    <cellStyle name="Normal 10 6 2 2" xfId="29010" xr:uid="{00000000-0005-0000-0000-00008B520000}"/>
    <cellStyle name="Normal 10 6 3" xfId="28750" xr:uid="{00000000-0005-0000-0000-00008C520000}"/>
    <cellStyle name="Normal 10 7" xfId="3237" xr:uid="{00000000-0005-0000-0000-000046510000}"/>
    <cellStyle name="Normal 10 7 2" xfId="14768" xr:uid="{00000000-0005-0000-0000-000047510000}"/>
    <cellStyle name="Normal 10 7 2 2" xfId="29011" xr:uid="{00000000-0005-0000-0000-00008F520000}"/>
    <cellStyle name="Normal 10 7 3" xfId="28751" xr:uid="{00000000-0005-0000-0000-000090520000}"/>
    <cellStyle name="Normal 10 8" xfId="13746" xr:uid="{00000000-0005-0000-0000-000048510000}"/>
    <cellStyle name="Normal 10 8 2" xfId="26660" xr:uid="{00000000-0005-0000-0000-000056510000}"/>
    <cellStyle name="Normal 10 8 2 2" xfId="29012" xr:uid="{00000000-0005-0000-0000-000092520000}"/>
    <cellStyle name="Normal 10 9" xfId="13454" xr:uid="{00000000-0005-0000-0000-000049510000}"/>
    <cellStyle name="Normal 10 9 2" xfId="29013" xr:uid="{00000000-0005-0000-0000-000094520000}"/>
    <cellStyle name="Normal 10 9 3" xfId="28752" xr:uid="{00000000-0005-0000-0000-000095520000}"/>
    <cellStyle name="Normal 100" xfId="25763" xr:uid="{00000000-0005-0000-0000-00004A510000}"/>
    <cellStyle name="Normal 100 2" xfId="27901" xr:uid="{00000000-0005-0000-0000-000058510000}"/>
    <cellStyle name="Normal 101" xfId="25797" xr:uid="{01A8A0DD-09A5-4FF8-A0A6-3A0AF218B033}"/>
    <cellStyle name="Normal 102" xfId="28614" xr:uid="{00000000-0005-0000-0000-000098520000}"/>
    <cellStyle name="Normal 103" xfId="27903" xr:uid="{00000000-0005-0000-0000-00005A510000}"/>
    <cellStyle name="Normal 104" xfId="29172" xr:uid="{00000000-0005-0000-0000-00009A520000}"/>
    <cellStyle name="Normal 105" xfId="29175" xr:uid="{00000000-0005-0000-0000-00009B520000}"/>
    <cellStyle name="Normal 106" xfId="29176" xr:uid="{00000000-0005-0000-0000-00009C520000}"/>
    <cellStyle name="Normal 107" xfId="29177" xr:uid="{00000000-0005-0000-0000-00009D520000}"/>
    <cellStyle name="Normal 108" xfId="29182" xr:uid="{00000000-0005-0000-0000-00009E520000}"/>
    <cellStyle name="Normal 109" xfId="27922" xr:uid="{00000000-0005-0000-0000-00005B510000}"/>
    <cellStyle name="Normal 11" xfId="167" xr:uid="{00000000-0005-0000-0000-00004B510000}"/>
    <cellStyle name="Normal 11 10" xfId="25883" xr:uid="{00000000-0005-0000-0000-00005C510000}"/>
    <cellStyle name="Normal 11 10 2" xfId="29014" xr:uid="{00000000-0005-0000-0000-0000A2520000}"/>
    <cellStyle name="Normal 11 11" xfId="28753" xr:uid="{00000000-0005-0000-0000-0000A3520000}"/>
    <cellStyle name="Normal 11 11 2" xfId="29015" xr:uid="{00000000-0005-0000-0000-0000A4520000}"/>
    <cellStyle name="Normal 11 12" xfId="28754" xr:uid="{00000000-0005-0000-0000-0000A5520000}"/>
    <cellStyle name="Normal 11 12 2" xfId="29016" xr:uid="{00000000-0005-0000-0000-0000A6520000}"/>
    <cellStyle name="Normal 11 13" xfId="28755" xr:uid="{00000000-0005-0000-0000-0000A7520000}"/>
    <cellStyle name="Normal 11 13 2" xfId="29017" xr:uid="{00000000-0005-0000-0000-0000A8520000}"/>
    <cellStyle name="Normal 11 2" xfId="647" xr:uid="{00000000-0005-0000-0000-00004C510000}"/>
    <cellStyle name="Normal 11 2 2" xfId="12454" xr:uid="{00000000-0005-0000-0000-00004D510000}"/>
    <cellStyle name="Normal 11 2 2 2" xfId="23742" xr:uid="{00000000-0005-0000-0000-00004E510000}"/>
    <cellStyle name="Normal 11 2 2 3" xfId="29018" xr:uid="{00000000-0005-0000-0000-0000AC520000}"/>
    <cellStyle name="Normal 11 2 3" xfId="10460" xr:uid="{00000000-0005-0000-0000-00004F510000}"/>
    <cellStyle name="Normal 11 2 3 2" xfId="21748" xr:uid="{00000000-0005-0000-0000-000050510000}"/>
    <cellStyle name="Normal 11 2 4" xfId="8466" xr:uid="{00000000-0005-0000-0000-000051510000}"/>
    <cellStyle name="Normal 11 2 4 2" xfId="19754" xr:uid="{00000000-0005-0000-0000-000052510000}"/>
    <cellStyle name="Normal 11 2 5" xfId="6472" xr:uid="{00000000-0005-0000-0000-000053510000}"/>
    <cellStyle name="Normal 11 2 5 2" xfId="17760" xr:uid="{00000000-0005-0000-0000-000054510000}"/>
    <cellStyle name="Normal 11 2 6" xfId="4475" xr:uid="{00000000-0005-0000-0000-000055510000}"/>
    <cellStyle name="Normal 11 2 6 2" xfId="15766" xr:uid="{00000000-0005-0000-0000-000056510000}"/>
    <cellStyle name="Normal 11 2 7" xfId="28756" xr:uid="{00000000-0005-0000-0000-0000B5520000}"/>
    <cellStyle name="Normal 11 3" xfId="11457" xr:uid="{00000000-0005-0000-0000-000057510000}"/>
    <cellStyle name="Normal 11 3 2" xfId="22745" xr:uid="{00000000-0005-0000-0000-000058510000}"/>
    <cellStyle name="Normal 11 3 2 2" xfId="29019" xr:uid="{00000000-0005-0000-0000-0000B8520000}"/>
    <cellStyle name="Normal 11 3 3" xfId="28757" xr:uid="{00000000-0005-0000-0000-0000B9520000}"/>
    <cellStyle name="Normal 11 4" xfId="9463" xr:uid="{00000000-0005-0000-0000-000059510000}"/>
    <cellStyle name="Normal 11 4 2" xfId="20751" xr:uid="{00000000-0005-0000-0000-00005A510000}"/>
    <cellStyle name="Normal 11 4 2 2" xfId="29020" xr:uid="{00000000-0005-0000-0000-0000BC520000}"/>
    <cellStyle name="Normal 11 4 3" xfId="28758" xr:uid="{00000000-0005-0000-0000-0000BD520000}"/>
    <cellStyle name="Normal 11 5" xfId="7469" xr:uid="{00000000-0005-0000-0000-00005B510000}"/>
    <cellStyle name="Normal 11 5 2" xfId="18757" xr:uid="{00000000-0005-0000-0000-00005C510000}"/>
    <cellStyle name="Normal 11 5 2 2" xfId="29021" xr:uid="{00000000-0005-0000-0000-0000C0520000}"/>
    <cellStyle name="Normal 11 5 3" xfId="28759" xr:uid="{00000000-0005-0000-0000-0000C1520000}"/>
    <cellStyle name="Normal 11 6" xfId="5475" xr:uid="{00000000-0005-0000-0000-00005D510000}"/>
    <cellStyle name="Normal 11 6 2" xfId="16763" xr:uid="{00000000-0005-0000-0000-00005E510000}"/>
    <cellStyle name="Normal 11 6 2 2" xfId="29022" xr:uid="{00000000-0005-0000-0000-0000C4520000}"/>
    <cellStyle name="Normal 11 6 3" xfId="28760" xr:uid="{00000000-0005-0000-0000-0000C5520000}"/>
    <cellStyle name="Normal 11 7" xfId="3238" xr:uid="{00000000-0005-0000-0000-00005F510000}"/>
    <cellStyle name="Normal 11 7 2" xfId="14769" xr:uid="{00000000-0005-0000-0000-000060510000}"/>
    <cellStyle name="Normal 11 7 2 2" xfId="29023" xr:uid="{00000000-0005-0000-0000-0000C8520000}"/>
    <cellStyle name="Normal 11 7 3" xfId="28761" xr:uid="{00000000-0005-0000-0000-0000C9520000}"/>
    <cellStyle name="Normal 11 8" xfId="13683" xr:uid="{00000000-0005-0000-0000-000061510000}"/>
    <cellStyle name="Normal 11 8 2" xfId="26625" xr:uid="{00000000-0005-0000-0000-000072510000}"/>
    <cellStyle name="Normal 11 8 2 2" xfId="29024" xr:uid="{00000000-0005-0000-0000-0000CB520000}"/>
    <cellStyle name="Normal 11 9" xfId="13455" xr:uid="{00000000-0005-0000-0000-000062510000}"/>
    <cellStyle name="Normal 11 9 2" xfId="29025" xr:uid="{00000000-0005-0000-0000-0000CD520000}"/>
    <cellStyle name="Normal 11 9 3" xfId="28762" xr:uid="{00000000-0005-0000-0000-0000CE520000}"/>
    <cellStyle name="Normal 110" xfId="27923" xr:uid="{00000000-0005-0000-0000-000074510000}"/>
    <cellStyle name="Normal 12" xfId="307" xr:uid="{00000000-0005-0000-0000-000063510000}"/>
    <cellStyle name="Normal 12 10" xfId="24136" xr:uid="{00000000-0005-0000-0000-000064510000}"/>
    <cellStyle name="Normal 12 10 2" xfId="29026" xr:uid="{00000000-0005-0000-0000-0000D2520000}"/>
    <cellStyle name="Normal 12 10 3" xfId="28763" xr:uid="{00000000-0005-0000-0000-0000D3520000}"/>
    <cellStyle name="Normal 12 11" xfId="25960" xr:uid="{00000000-0005-0000-0000-000075510000}"/>
    <cellStyle name="Normal 12 11 2" xfId="29027" xr:uid="{00000000-0005-0000-0000-0000D5520000}"/>
    <cellStyle name="Normal 12 12" xfId="28764" xr:uid="{00000000-0005-0000-0000-0000D6520000}"/>
    <cellStyle name="Normal 12 12 2" xfId="29028" xr:uid="{00000000-0005-0000-0000-0000D7520000}"/>
    <cellStyle name="Normal 12 13" xfId="28765" xr:uid="{00000000-0005-0000-0000-0000D8520000}"/>
    <cellStyle name="Normal 12 13 2" xfId="29029" xr:uid="{00000000-0005-0000-0000-0000D9520000}"/>
    <cellStyle name="Normal 12 2" xfId="648" xr:uid="{00000000-0005-0000-0000-000065510000}"/>
    <cellStyle name="Normal 12 2 2" xfId="12455" xr:uid="{00000000-0005-0000-0000-000066510000}"/>
    <cellStyle name="Normal 12 2 2 2" xfId="23743" xr:uid="{00000000-0005-0000-0000-000067510000}"/>
    <cellStyle name="Normal 12 2 2 3" xfId="29030" xr:uid="{00000000-0005-0000-0000-0000DD520000}"/>
    <cellStyle name="Normal 12 2 3" xfId="10461" xr:uid="{00000000-0005-0000-0000-000068510000}"/>
    <cellStyle name="Normal 12 2 3 2" xfId="21749" xr:uid="{00000000-0005-0000-0000-000069510000}"/>
    <cellStyle name="Normal 12 2 4" xfId="8467" xr:uid="{00000000-0005-0000-0000-00006A510000}"/>
    <cellStyle name="Normal 12 2 4 2" xfId="19755" xr:uid="{00000000-0005-0000-0000-00006B510000}"/>
    <cellStyle name="Normal 12 2 5" xfId="6473" xr:uid="{00000000-0005-0000-0000-00006C510000}"/>
    <cellStyle name="Normal 12 2 5 2" xfId="17761" xr:uid="{00000000-0005-0000-0000-00006D510000}"/>
    <cellStyle name="Normal 12 2 6" xfId="4476" xr:uid="{00000000-0005-0000-0000-00006E510000}"/>
    <cellStyle name="Normal 12 2 6 2" xfId="15767" xr:uid="{00000000-0005-0000-0000-00006F510000}"/>
    <cellStyle name="Normal 12 2 7" xfId="24137" xr:uid="{00000000-0005-0000-0000-000070510000}"/>
    <cellStyle name="Normal 12 2 8" xfId="28766" xr:uid="{00000000-0005-0000-0000-0000E7520000}"/>
    <cellStyle name="Normal 12 3" xfId="11458" xr:uid="{00000000-0005-0000-0000-000071510000}"/>
    <cellStyle name="Normal 12 3 2" xfId="22746" xr:uid="{00000000-0005-0000-0000-000072510000}"/>
    <cellStyle name="Normal 12 3 2 2" xfId="29031" xr:uid="{00000000-0005-0000-0000-0000EA520000}"/>
    <cellStyle name="Normal 12 3 3" xfId="24301" xr:uid="{00000000-0005-0000-0000-000073510000}"/>
    <cellStyle name="Normal 12 3 3 2" xfId="27139" xr:uid="{00000000-0005-0000-0000-000085510000}"/>
    <cellStyle name="Normal 12 4" xfId="9464" xr:uid="{00000000-0005-0000-0000-000074510000}"/>
    <cellStyle name="Normal 12 4 2" xfId="20752" xr:uid="{00000000-0005-0000-0000-000075510000}"/>
    <cellStyle name="Normal 12 4 2 2" xfId="29032" xr:uid="{00000000-0005-0000-0000-0000EE520000}"/>
    <cellStyle name="Normal 12 4 3" xfId="28767" xr:uid="{00000000-0005-0000-0000-0000EF520000}"/>
    <cellStyle name="Normal 12 5" xfId="7470" xr:uid="{00000000-0005-0000-0000-000076510000}"/>
    <cellStyle name="Normal 12 5 2" xfId="18758" xr:uid="{00000000-0005-0000-0000-000077510000}"/>
    <cellStyle name="Normal 12 5 2 2" xfId="29033" xr:uid="{00000000-0005-0000-0000-0000F2520000}"/>
    <cellStyle name="Normal 12 5 3" xfId="28768" xr:uid="{00000000-0005-0000-0000-0000F3520000}"/>
    <cellStyle name="Normal 12 6" xfId="5476" xr:uid="{00000000-0005-0000-0000-000078510000}"/>
    <cellStyle name="Normal 12 6 2" xfId="16764" xr:uid="{00000000-0005-0000-0000-000079510000}"/>
    <cellStyle name="Normal 12 6 2 2" xfId="29034" xr:uid="{00000000-0005-0000-0000-0000F6520000}"/>
    <cellStyle name="Normal 12 6 3" xfId="28769" xr:uid="{00000000-0005-0000-0000-0000F7520000}"/>
    <cellStyle name="Normal 12 7" xfId="3239" xr:uid="{00000000-0005-0000-0000-00007A510000}"/>
    <cellStyle name="Normal 12 7 2" xfId="14770" xr:uid="{00000000-0005-0000-0000-00007B510000}"/>
    <cellStyle name="Normal 12 7 2 2" xfId="29035" xr:uid="{00000000-0005-0000-0000-0000FA520000}"/>
    <cellStyle name="Normal 12 7 3" xfId="28770" xr:uid="{00000000-0005-0000-0000-0000FB520000}"/>
    <cellStyle name="Normal 12 8" xfId="13745" xr:uid="{00000000-0005-0000-0000-00007C510000}"/>
    <cellStyle name="Normal 12 8 2" xfId="26659" xr:uid="{00000000-0005-0000-0000-00008E510000}"/>
    <cellStyle name="Normal 12 8 2 2" xfId="29036" xr:uid="{00000000-0005-0000-0000-0000FD520000}"/>
    <cellStyle name="Normal 12 9" xfId="13456" xr:uid="{00000000-0005-0000-0000-00007D510000}"/>
    <cellStyle name="Normal 12 9 2" xfId="29037" xr:uid="{00000000-0005-0000-0000-0000FF520000}"/>
    <cellStyle name="Normal 12 9 3" xfId="28771" xr:uid="{00000000-0005-0000-0000-000000530000}"/>
    <cellStyle name="Normal 13" xfId="324" xr:uid="{00000000-0005-0000-0000-00007E510000}"/>
    <cellStyle name="Normal 13 10" xfId="23930" xr:uid="{00000000-0005-0000-0000-00007F510000}"/>
    <cellStyle name="Normal 13 10 2" xfId="29038" xr:uid="{00000000-0005-0000-0000-000003530000}"/>
    <cellStyle name="Normal 13 10 3" xfId="28772" xr:uid="{00000000-0005-0000-0000-000004530000}"/>
    <cellStyle name="Normal 13 11" xfId="24557" xr:uid="{00000000-0005-0000-0000-000080510000}"/>
    <cellStyle name="Normal 13 11 2" xfId="29039" xr:uid="{00000000-0005-0000-0000-000006530000}"/>
    <cellStyle name="Normal 13 11 3" xfId="28773" xr:uid="{00000000-0005-0000-0000-000007530000}"/>
    <cellStyle name="Normal 13 12" xfId="24947" xr:uid="{00000000-0005-0000-0000-000081510000}"/>
    <cellStyle name="Normal 13 12 2" xfId="29040" xr:uid="{00000000-0005-0000-0000-000009530000}"/>
    <cellStyle name="Normal 13 12 3" xfId="28774" xr:uid="{00000000-0005-0000-0000-00000A530000}"/>
    <cellStyle name="Normal 13 13" xfId="25968" xr:uid="{00000000-0005-0000-0000-000090510000}"/>
    <cellStyle name="Normal 13 13 2" xfId="29041" xr:uid="{00000000-0005-0000-0000-00000C530000}"/>
    <cellStyle name="Normal 13 2" xfId="649" xr:uid="{00000000-0005-0000-0000-000082510000}"/>
    <cellStyle name="Normal 13 2 10" xfId="28775" xr:uid="{00000000-0005-0000-0000-00000E530000}"/>
    <cellStyle name="Normal 13 2 2" xfId="12456" xr:uid="{00000000-0005-0000-0000-000083510000}"/>
    <cellStyle name="Normal 13 2 2 2" xfId="23744" xr:uid="{00000000-0005-0000-0000-000084510000}"/>
    <cellStyle name="Normal 13 2 2 3" xfId="29042" xr:uid="{00000000-0005-0000-0000-000011530000}"/>
    <cellStyle name="Normal 13 2 3" xfId="10462" xr:uid="{00000000-0005-0000-0000-000085510000}"/>
    <cellStyle name="Normal 13 2 3 2" xfId="21750" xr:uid="{00000000-0005-0000-0000-000086510000}"/>
    <cellStyle name="Normal 13 2 4" xfId="8468" xr:uid="{00000000-0005-0000-0000-000087510000}"/>
    <cellStyle name="Normal 13 2 4 2" xfId="19756" xr:uid="{00000000-0005-0000-0000-000088510000}"/>
    <cellStyle name="Normal 13 2 5" xfId="6474" xr:uid="{00000000-0005-0000-0000-000089510000}"/>
    <cellStyle name="Normal 13 2 5 2" xfId="17762" xr:uid="{00000000-0005-0000-0000-00008A510000}"/>
    <cellStyle name="Normal 13 2 6" xfId="4477" xr:uid="{00000000-0005-0000-0000-00008B510000}"/>
    <cellStyle name="Normal 13 2 6 2" xfId="15768" xr:uid="{00000000-0005-0000-0000-00008C510000}"/>
    <cellStyle name="Normal 13 2 7" xfId="24318" xr:uid="{00000000-0005-0000-0000-00008D510000}"/>
    <cellStyle name="Normal 13 2 8" xfId="24782" xr:uid="{00000000-0005-0000-0000-00008E510000}"/>
    <cellStyle name="Normal 13 2 9" xfId="25149" xr:uid="{00000000-0005-0000-0000-00008F510000}"/>
    <cellStyle name="Normal 13 3" xfId="11459" xr:uid="{00000000-0005-0000-0000-000090510000}"/>
    <cellStyle name="Normal 13 3 2" xfId="22747" xr:uid="{00000000-0005-0000-0000-000091510000}"/>
    <cellStyle name="Normal 13 3 2 2" xfId="29043" xr:uid="{00000000-0005-0000-0000-00001F530000}"/>
    <cellStyle name="Normal 13 3 3" xfId="28776" xr:uid="{00000000-0005-0000-0000-000020530000}"/>
    <cellStyle name="Normal 13 4" xfId="9465" xr:uid="{00000000-0005-0000-0000-000092510000}"/>
    <cellStyle name="Normal 13 4 2" xfId="20753" xr:uid="{00000000-0005-0000-0000-000093510000}"/>
    <cellStyle name="Normal 13 4 2 2" xfId="29044" xr:uid="{00000000-0005-0000-0000-000023530000}"/>
    <cellStyle name="Normal 13 4 3" xfId="28777" xr:uid="{00000000-0005-0000-0000-000024530000}"/>
    <cellStyle name="Normal 13 5" xfId="7471" xr:uid="{00000000-0005-0000-0000-000094510000}"/>
    <cellStyle name="Normal 13 5 2" xfId="18759" xr:uid="{00000000-0005-0000-0000-000095510000}"/>
    <cellStyle name="Normal 13 5 2 2" xfId="29045" xr:uid="{00000000-0005-0000-0000-000027530000}"/>
    <cellStyle name="Normal 13 5 3" xfId="28778" xr:uid="{00000000-0005-0000-0000-000028530000}"/>
    <cellStyle name="Normal 13 6" xfId="5477" xr:uid="{00000000-0005-0000-0000-000096510000}"/>
    <cellStyle name="Normal 13 6 2" xfId="16765" xr:uid="{00000000-0005-0000-0000-000097510000}"/>
    <cellStyle name="Normal 13 6 2 2" xfId="29046" xr:uid="{00000000-0005-0000-0000-00002B530000}"/>
    <cellStyle name="Normal 13 6 3" xfId="28779" xr:uid="{00000000-0005-0000-0000-00002C530000}"/>
    <cellStyle name="Normal 13 7" xfId="3240" xr:uid="{00000000-0005-0000-0000-000098510000}"/>
    <cellStyle name="Normal 13 7 2" xfId="14771" xr:uid="{00000000-0005-0000-0000-000099510000}"/>
    <cellStyle name="Normal 13 7 2 2" xfId="29047" xr:uid="{00000000-0005-0000-0000-00002F530000}"/>
    <cellStyle name="Normal 13 7 3" xfId="28780" xr:uid="{00000000-0005-0000-0000-000030530000}"/>
    <cellStyle name="Normal 13 8" xfId="13755" xr:uid="{00000000-0005-0000-0000-00009A510000}"/>
    <cellStyle name="Normal 13 8 2" xfId="26661" xr:uid="{00000000-0005-0000-0000-0000AC510000}"/>
    <cellStyle name="Normal 13 8 2 2" xfId="29048" xr:uid="{00000000-0005-0000-0000-000032530000}"/>
    <cellStyle name="Normal 13 9" xfId="13457" xr:uid="{00000000-0005-0000-0000-00009B510000}"/>
    <cellStyle name="Normal 13 9 2" xfId="29049" xr:uid="{00000000-0005-0000-0000-000034530000}"/>
    <cellStyle name="Normal 13 9 3" xfId="28781" xr:uid="{00000000-0005-0000-0000-000035530000}"/>
    <cellStyle name="Normal 14" xfId="333" xr:uid="{00000000-0005-0000-0000-00009C510000}"/>
    <cellStyle name="Normal 14 10" xfId="24138" xr:uid="{00000000-0005-0000-0000-00009D510000}"/>
    <cellStyle name="Normal 14 11" xfId="24714" xr:uid="{00000000-0005-0000-0000-00009E510000}"/>
    <cellStyle name="Normal 14 12" xfId="25031" xr:uid="{00000000-0005-0000-0000-00009F510000}"/>
    <cellStyle name="Normal 14 13" xfId="27921" xr:uid="{00000000-0005-0000-0000-0000B2510000}"/>
    <cellStyle name="Normal 14 14" xfId="25977" xr:uid="{00000000-0005-0000-0000-0000AE510000}"/>
    <cellStyle name="Normal 14 2" xfId="650" xr:uid="{00000000-0005-0000-0000-0000A0510000}"/>
    <cellStyle name="Normal 14 2 10" xfId="29050" xr:uid="{00000000-0005-0000-0000-00003B530000}"/>
    <cellStyle name="Normal 14 2 2" xfId="12457" xr:uid="{00000000-0005-0000-0000-0000A1510000}"/>
    <cellStyle name="Normal 14 2 2 2" xfId="23745" xr:uid="{00000000-0005-0000-0000-0000A2510000}"/>
    <cellStyle name="Normal 14 2 3" xfId="10463" xr:uid="{00000000-0005-0000-0000-0000A3510000}"/>
    <cellStyle name="Normal 14 2 3 2" xfId="21751" xr:uid="{00000000-0005-0000-0000-0000A4510000}"/>
    <cellStyle name="Normal 14 2 4" xfId="8469" xr:uid="{00000000-0005-0000-0000-0000A5510000}"/>
    <cellStyle name="Normal 14 2 4 2" xfId="19757" xr:uid="{00000000-0005-0000-0000-0000A6510000}"/>
    <cellStyle name="Normal 14 2 5" xfId="6475" xr:uid="{00000000-0005-0000-0000-0000A7510000}"/>
    <cellStyle name="Normal 14 2 5 2" xfId="17763" xr:uid="{00000000-0005-0000-0000-0000A8510000}"/>
    <cellStyle name="Normal 14 2 6" xfId="4478" xr:uid="{00000000-0005-0000-0000-0000A9510000}"/>
    <cellStyle name="Normal 14 2 6 2" xfId="15769" xr:uid="{00000000-0005-0000-0000-0000AA510000}"/>
    <cellStyle name="Normal 14 2 7" xfId="24417" xr:uid="{00000000-0005-0000-0000-0000AB510000}"/>
    <cellStyle name="Normal 14 2 8" xfId="24862" xr:uid="{00000000-0005-0000-0000-0000AC510000}"/>
    <cellStyle name="Normal 14 2 9" xfId="25225" xr:uid="{00000000-0005-0000-0000-0000AD510000}"/>
    <cellStyle name="Normal 14 3" xfId="11460" xr:uid="{00000000-0005-0000-0000-0000AE510000}"/>
    <cellStyle name="Normal 14 3 2" xfId="22748" xr:uid="{00000000-0005-0000-0000-0000AF510000}"/>
    <cellStyle name="Normal 14 4" xfId="9466" xr:uid="{00000000-0005-0000-0000-0000B0510000}"/>
    <cellStyle name="Normal 14 4 2" xfId="20754" xr:uid="{00000000-0005-0000-0000-0000B1510000}"/>
    <cellStyle name="Normal 14 5" xfId="7472" xr:uid="{00000000-0005-0000-0000-0000B2510000}"/>
    <cellStyle name="Normal 14 5 2" xfId="18760" xr:uid="{00000000-0005-0000-0000-0000B3510000}"/>
    <cellStyle name="Normal 14 6" xfId="5478" xr:uid="{00000000-0005-0000-0000-0000B4510000}"/>
    <cellStyle name="Normal 14 6 2" xfId="16766" xr:uid="{00000000-0005-0000-0000-0000B5510000}"/>
    <cellStyle name="Normal 14 7" xfId="3241" xr:uid="{00000000-0005-0000-0000-0000B6510000}"/>
    <cellStyle name="Normal 14 7 2" xfId="14772" xr:uid="{00000000-0005-0000-0000-0000B7510000}"/>
    <cellStyle name="Normal 14 8" xfId="13756" xr:uid="{00000000-0005-0000-0000-0000B8510000}"/>
    <cellStyle name="Normal 14 8 2" xfId="26662" xr:uid="{00000000-0005-0000-0000-0000CB510000}"/>
    <cellStyle name="Normal 14 9" xfId="13458" xr:uid="{00000000-0005-0000-0000-0000B9510000}"/>
    <cellStyle name="Normal 15" xfId="166" xr:uid="{00000000-0005-0000-0000-0000BA510000}"/>
    <cellStyle name="Normal 15 10" xfId="28782" xr:uid="{00000000-0005-0000-0000-000056530000}"/>
    <cellStyle name="Normal 15 2" xfId="651" xr:uid="{00000000-0005-0000-0000-0000BB510000}"/>
    <cellStyle name="Normal 15 2 2" xfId="12458" xr:uid="{00000000-0005-0000-0000-0000BC510000}"/>
    <cellStyle name="Normal 15 2 2 2" xfId="23746" xr:uid="{00000000-0005-0000-0000-0000BD510000}"/>
    <cellStyle name="Normal 15 2 3" xfId="10464" xr:uid="{00000000-0005-0000-0000-0000BE510000}"/>
    <cellStyle name="Normal 15 2 3 2" xfId="21752" xr:uid="{00000000-0005-0000-0000-0000BF510000}"/>
    <cellStyle name="Normal 15 2 4" xfId="8470" xr:uid="{00000000-0005-0000-0000-0000C0510000}"/>
    <cellStyle name="Normal 15 2 4 2" xfId="19758" xr:uid="{00000000-0005-0000-0000-0000C1510000}"/>
    <cellStyle name="Normal 15 2 5" xfId="6476" xr:uid="{00000000-0005-0000-0000-0000C2510000}"/>
    <cellStyle name="Normal 15 2 5 2" xfId="17764" xr:uid="{00000000-0005-0000-0000-0000C3510000}"/>
    <cellStyle name="Normal 15 2 6" xfId="4479" xr:uid="{00000000-0005-0000-0000-0000C4510000}"/>
    <cellStyle name="Normal 15 2 6 2" xfId="15770" xr:uid="{00000000-0005-0000-0000-0000C5510000}"/>
    <cellStyle name="Normal 15 2 7" xfId="29051" xr:uid="{00000000-0005-0000-0000-000062530000}"/>
    <cellStyle name="Normal 15 3" xfId="11461" xr:uid="{00000000-0005-0000-0000-0000C6510000}"/>
    <cellStyle name="Normal 15 3 2" xfId="22749" xr:uid="{00000000-0005-0000-0000-0000C7510000}"/>
    <cellStyle name="Normal 15 4" xfId="9467" xr:uid="{00000000-0005-0000-0000-0000C8510000}"/>
    <cellStyle name="Normal 15 4 2" xfId="20755" xr:uid="{00000000-0005-0000-0000-0000C9510000}"/>
    <cellStyle name="Normal 15 5" xfId="7473" xr:uid="{00000000-0005-0000-0000-0000CA510000}"/>
    <cellStyle name="Normal 15 5 2" xfId="18761" xr:uid="{00000000-0005-0000-0000-0000CB510000}"/>
    <cellStyle name="Normal 15 6" xfId="5479" xr:uid="{00000000-0005-0000-0000-0000CC510000}"/>
    <cellStyle name="Normal 15 6 2" xfId="16767" xr:uid="{00000000-0005-0000-0000-0000CD510000}"/>
    <cellStyle name="Normal 15 7" xfId="3242" xr:uid="{00000000-0005-0000-0000-0000CE510000}"/>
    <cellStyle name="Normal 15 7 2" xfId="14773" xr:uid="{00000000-0005-0000-0000-0000CF510000}"/>
    <cellStyle name="Normal 15 8" xfId="13682" xr:uid="{00000000-0005-0000-0000-0000D0510000}"/>
    <cellStyle name="Normal 15 9" xfId="13459" xr:uid="{00000000-0005-0000-0000-0000D1510000}"/>
    <cellStyle name="Normal 16" xfId="335" xr:uid="{00000000-0005-0000-0000-0000D2510000}"/>
    <cellStyle name="Normal 16 10" xfId="24298" xr:uid="{00000000-0005-0000-0000-0000D3510000}"/>
    <cellStyle name="Normal 16 11" xfId="25979" xr:uid="{00000000-0005-0000-0000-0000E5510000}"/>
    <cellStyle name="Normal 16 2" xfId="4480" xr:uid="{00000000-0005-0000-0000-0000D4510000}"/>
    <cellStyle name="Normal 16 2 2" xfId="12459" xr:uid="{00000000-0005-0000-0000-0000D5510000}"/>
    <cellStyle name="Normal 16 2 2 2" xfId="23747" xr:uid="{00000000-0005-0000-0000-0000D6510000}"/>
    <cellStyle name="Normal 16 2 3" xfId="10465" xr:uid="{00000000-0005-0000-0000-0000D7510000}"/>
    <cellStyle name="Normal 16 2 3 2" xfId="21753" xr:uid="{00000000-0005-0000-0000-0000D8510000}"/>
    <cellStyle name="Normal 16 2 4" xfId="8471" xr:uid="{00000000-0005-0000-0000-0000D9510000}"/>
    <cellStyle name="Normal 16 2 4 2" xfId="19759" xr:uid="{00000000-0005-0000-0000-0000DA510000}"/>
    <cellStyle name="Normal 16 2 5" xfId="6477" xr:uid="{00000000-0005-0000-0000-0000DB510000}"/>
    <cellStyle name="Normal 16 2 5 2" xfId="17765" xr:uid="{00000000-0005-0000-0000-0000DC510000}"/>
    <cellStyle name="Normal 16 2 6" xfId="15771" xr:uid="{00000000-0005-0000-0000-0000DD510000}"/>
    <cellStyle name="Normal 16 2 7" xfId="29052" xr:uid="{00000000-0005-0000-0000-00007B530000}"/>
    <cellStyle name="Normal 16 3" xfId="11462" xr:uid="{00000000-0005-0000-0000-0000DE510000}"/>
    <cellStyle name="Normal 16 3 2" xfId="22750" xr:uid="{00000000-0005-0000-0000-0000DF510000}"/>
    <cellStyle name="Normal 16 4" xfId="9468" xr:uid="{00000000-0005-0000-0000-0000E0510000}"/>
    <cellStyle name="Normal 16 4 2" xfId="20756" xr:uid="{00000000-0005-0000-0000-0000E1510000}"/>
    <cellStyle name="Normal 16 5" xfId="7474" xr:uid="{00000000-0005-0000-0000-0000E2510000}"/>
    <cellStyle name="Normal 16 5 2" xfId="18762" xr:uid="{00000000-0005-0000-0000-0000E3510000}"/>
    <cellStyle name="Normal 16 6" xfId="5480" xr:uid="{00000000-0005-0000-0000-0000E4510000}"/>
    <cellStyle name="Normal 16 6 2" xfId="16768" xr:uid="{00000000-0005-0000-0000-0000E5510000}"/>
    <cellStyle name="Normal 16 7" xfId="3243" xr:uid="{00000000-0005-0000-0000-0000E6510000}"/>
    <cellStyle name="Normal 16 7 2" xfId="14774" xr:uid="{00000000-0005-0000-0000-0000E7510000}"/>
    <cellStyle name="Normal 16 8" xfId="13757" xr:uid="{00000000-0005-0000-0000-0000E8510000}"/>
    <cellStyle name="Normal 16 8 2" xfId="26663" xr:uid="{00000000-0005-0000-0000-0000FB510000}"/>
    <cellStyle name="Normal 16 9" xfId="13460" xr:uid="{00000000-0005-0000-0000-0000E9510000}"/>
    <cellStyle name="Normal 17" xfId="343" xr:uid="{00000000-0005-0000-0000-0000EA510000}"/>
    <cellStyle name="Normal 17 10" xfId="23928" xr:uid="{00000000-0005-0000-0000-0000EB510000}"/>
    <cellStyle name="Normal 17 11" xfId="24556" xr:uid="{00000000-0005-0000-0000-0000EC510000}"/>
    <cellStyle name="Normal 17 12" xfId="24946" xr:uid="{00000000-0005-0000-0000-0000ED510000}"/>
    <cellStyle name="Normal 17 13" xfId="27908" xr:uid="{00000000-0005-0000-0000-000001520000}"/>
    <cellStyle name="Normal 17 14" xfId="25983" xr:uid="{00000000-0005-0000-0000-0000FD510000}"/>
    <cellStyle name="Normal 17 2" xfId="4481" xr:uid="{00000000-0005-0000-0000-0000EE510000}"/>
    <cellStyle name="Normal 17 2 10" xfId="29053" xr:uid="{00000000-0005-0000-0000-00008D530000}"/>
    <cellStyle name="Normal 17 2 2" xfId="12460" xr:uid="{00000000-0005-0000-0000-0000EF510000}"/>
    <cellStyle name="Normal 17 2 2 2" xfId="23748" xr:uid="{00000000-0005-0000-0000-0000F0510000}"/>
    <cellStyle name="Normal 17 2 3" xfId="10466" xr:uid="{00000000-0005-0000-0000-0000F1510000}"/>
    <cellStyle name="Normal 17 2 3 2" xfId="21754" xr:uid="{00000000-0005-0000-0000-0000F2510000}"/>
    <cellStyle name="Normal 17 2 4" xfId="8472" xr:uid="{00000000-0005-0000-0000-0000F3510000}"/>
    <cellStyle name="Normal 17 2 4 2" xfId="19760" xr:uid="{00000000-0005-0000-0000-0000F4510000}"/>
    <cellStyle name="Normal 17 2 5" xfId="6478" xr:uid="{00000000-0005-0000-0000-0000F5510000}"/>
    <cellStyle name="Normal 17 2 5 2" xfId="17766" xr:uid="{00000000-0005-0000-0000-0000F6510000}"/>
    <cellStyle name="Normal 17 2 6" xfId="15772" xr:uid="{00000000-0005-0000-0000-0000F7510000}"/>
    <cellStyle name="Normal 17 2 7" xfId="24316" xr:uid="{00000000-0005-0000-0000-0000F8510000}"/>
    <cellStyle name="Normal 17 2 8" xfId="24781" xr:uid="{00000000-0005-0000-0000-0000F9510000}"/>
    <cellStyle name="Normal 17 2 9" xfId="25148" xr:uid="{00000000-0005-0000-0000-0000FA510000}"/>
    <cellStyle name="Normal 17 3" xfId="11463" xr:uid="{00000000-0005-0000-0000-0000FB510000}"/>
    <cellStyle name="Normal 17 3 2" xfId="22751" xr:uid="{00000000-0005-0000-0000-0000FC510000}"/>
    <cellStyle name="Normal 17 4" xfId="9469" xr:uid="{00000000-0005-0000-0000-0000FD510000}"/>
    <cellStyle name="Normal 17 4 2" xfId="20757" xr:uid="{00000000-0005-0000-0000-0000FE510000}"/>
    <cellStyle name="Normal 17 5" xfId="7475" xr:uid="{00000000-0005-0000-0000-0000FF510000}"/>
    <cellStyle name="Normal 17 5 2" xfId="18763" xr:uid="{00000000-0005-0000-0000-000000520000}"/>
    <cellStyle name="Normal 17 6" xfId="5481" xr:uid="{00000000-0005-0000-0000-000001520000}"/>
    <cellStyle name="Normal 17 6 2" xfId="16769" xr:uid="{00000000-0005-0000-0000-000002520000}"/>
    <cellStyle name="Normal 17 7" xfId="3244" xr:uid="{00000000-0005-0000-0000-000003520000}"/>
    <cellStyle name="Normal 17 7 2" xfId="14775" xr:uid="{00000000-0005-0000-0000-000004520000}"/>
    <cellStyle name="Normal 17 8" xfId="13762" xr:uid="{00000000-0005-0000-0000-000005520000}"/>
    <cellStyle name="Normal 17 8 2" xfId="26664" xr:uid="{00000000-0005-0000-0000-000019520000}"/>
    <cellStyle name="Normal 17 9" xfId="13461" xr:uid="{00000000-0005-0000-0000-000006520000}"/>
    <cellStyle name="Normal 18" xfId="350" xr:uid="{00000000-0005-0000-0000-000007520000}"/>
    <cellStyle name="Normal 18 10" xfId="25989" xr:uid="{00000000-0005-0000-0000-00001B520000}"/>
    <cellStyle name="Normal 18 2" xfId="4482" xr:uid="{00000000-0005-0000-0000-000008520000}"/>
    <cellStyle name="Normal 18 2 2" xfId="12461" xr:uid="{00000000-0005-0000-0000-000009520000}"/>
    <cellStyle name="Normal 18 2 2 2" xfId="23749" xr:uid="{00000000-0005-0000-0000-00000A520000}"/>
    <cellStyle name="Normal 18 2 3" xfId="10467" xr:uid="{00000000-0005-0000-0000-00000B520000}"/>
    <cellStyle name="Normal 18 2 3 2" xfId="21755" xr:uid="{00000000-0005-0000-0000-00000C520000}"/>
    <cellStyle name="Normal 18 2 4" xfId="8473" xr:uid="{00000000-0005-0000-0000-00000D520000}"/>
    <cellStyle name="Normal 18 2 4 2" xfId="19761" xr:uid="{00000000-0005-0000-0000-00000E520000}"/>
    <cellStyle name="Normal 18 2 5" xfId="6479" xr:uid="{00000000-0005-0000-0000-00000F520000}"/>
    <cellStyle name="Normal 18 2 5 2" xfId="17767" xr:uid="{00000000-0005-0000-0000-000010520000}"/>
    <cellStyle name="Normal 18 2 6" xfId="15773" xr:uid="{00000000-0005-0000-0000-000011520000}"/>
    <cellStyle name="Normal 18 2 7" xfId="29054" xr:uid="{00000000-0005-0000-0000-0000B1530000}"/>
    <cellStyle name="Normal 18 3" xfId="11464" xr:uid="{00000000-0005-0000-0000-000012520000}"/>
    <cellStyle name="Normal 18 3 2" xfId="22752" xr:uid="{00000000-0005-0000-0000-000013520000}"/>
    <cellStyle name="Normal 18 4" xfId="9470" xr:uid="{00000000-0005-0000-0000-000014520000}"/>
    <cellStyle name="Normal 18 4 2" xfId="20758" xr:uid="{00000000-0005-0000-0000-000015520000}"/>
    <cellStyle name="Normal 18 5" xfId="7476" xr:uid="{00000000-0005-0000-0000-000016520000}"/>
    <cellStyle name="Normal 18 5 2" xfId="18764" xr:uid="{00000000-0005-0000-0000-000017520000}"/>
    <cellStyle name="Normal 18 6" xfId="5482" xr:uid="{00000000-0005-0000-0000-000018520000}"/>
    <cellStyle name="Normal 18 6 2" xfId="16770" xr:uid="{00000000-0005-0000-0000-000019520000}"/>
    <cellStyle name="Normal 18 7" xfId="3245" xr:uid="{00000000-0005-0000-0000-00001A520000}"/>
    <cellStyle name="Normal 18 7 2" xfId="14776" xr:uid="{00000000-0005-0000-0000-00001B520000}"/>
    <cellStyle name="Normal 18 8" xfId="13763" xr:uid="{00000000-0005-0000-0000-00001C520000}"/>
    <cellStyle name="Normal 18 8 2" xfId="26665" xr:uid="{00000000-0005-0000-0000-000030520000}"/>
    <cellStyle name="Normal 18 9" xfId="13462" xr:uid="{00000000-0005-0000-0000-00001D520000}"/>
    <cellStyle name="Normal 19" xfId="359" xr:uid="{00000000-0005-0000-0000-00001E520000}"/>
    <cellStyle name="Normal 19 10" xfId="27907" xr:uid="{00000000-0005-0000-0000-000033520000}"/>
    <cellStyle name="Normal 19 11" xfId="25993" xr:uid="{00000000-0005-0000-0000-000032520000}"/>
    <cellStyle name="Normal 19 2" xfId="4483" xr:uid="{00000000-0005-0000-0000-00001F520000}"/>
    <cellStyle name="Normal 19 2 2" xfId="12462" xr:uid="{00000000-0005-0000-0000-000020520000}"/>
    <cellStyle name="Normal 19 2 2 2" xfId="23750" xr:uid="{00000000-0005-0000-0000-000021520000}"/>
    <cellStyle name="Normal 19 2 3" xfId="10468" xr:uid="{00000000-0005-0000-0000-000022520000}"/>
    <cellStyle name="Normal 19 2 3 2" xfId="21756" xr:uid="{00000000-0005-0000-0000-000023520000}"/>
    <cellStyle name="Normal 19 2 4" xfId="8474" xr:uid="{00000000-0005-0000-0000-000024520000}"/>
    <cellStyle name="Normal 19 2 4 2" xfId="19762" xr:uid="{00000000-0005-0000-0000-000025520000}"/>
    <cellStyle name="Normal 19 2 5" xfId="6480" xr:uid="{00000000-0005-0000-0000-000026520000}"/>
    <cellStyle name="Normal 19 2 5 2" xfId="17768" xr:uid="{00000000-0005-0000-0000-000027520000}"/>
    <cellStyle name="Normal 19 2 6" xfId="15774" xr:uid="{00000000-0005-0000-0000-000028520000}"/>
    <cellStyle name="Normal 19 2 7" xfId="29055" xr:uid="{00000000-0005-0000-0000-0000C9530000}"/>
    <cellStyle name="Normal 19 3" xfId="11465" xr:uid="{00000000-0005-0000-0000-000029520000}"/>
    <cellStyle name="Normal 19 3 2" xfId="22753" xr:uid="{00000000-0005-0000-0000-00002A520000}"/>
    <cellStyle name="Normal 19 4" xfId="9471" xr:uid="{00000000-0005-0000-0000-00002B520000}"/>
    <cellStyle name="Normal 19 4 2" xfId="20759" xr:uid="{00000000-0005-0000-0000-00002C520000}"/>
    <cellStyle name="Normal 19 5" xfId="7477" xr:uid="{00000000-0005-0000-0000-00002D520000}"/>
    <cellStyle name="Normal 19 5 2" xfId="18765" xr:uid="{00000000-0005-0000-0000-00002E520000}"/>
    <cellStyle name="Normal 19 6" xfId="5483" xr:uid="{00000000-0005-0000-0000-00002F520000}"/>
    <cellStyle name="Normal 19 6 2" xfId="16771" xr:uid="{00000000-0005-0000-0000-000030520000}"/>
    <cellStyle name="Normal 19 7" xfId="3246" xr:uid="{00000000-0005-0000-0000-000031520000}"/>
    <cellStyle name="Normal 19 7 2" xfId="14777" xr:uid="{00000000-0005-0000-0000-000032520000}"/>
    <cellStyle name="Normal 19 8" xfId="13769" xr:uid="{00000000-0005-0000-0000-000033520000}"/>
    <cellStyle name="Normal 19 8 2" xfId="26666" xr:uid="{00000000-0005-0000-0000-000048520000}"/>
    <cellStyle name="Normal 19 9" xfId="13463" xr:uid="{00000000-0005-0000-0000-000034520000}"/>
    <cellStyle name="Normal 2" xfId="9" xr:uid="{00000000-0005-0000-0000-000035520000}"/>
    <cellStyle name="Normal 2 10" xfId="24139" xr:uid="{00000000-0005-0000-0000-000036520000}"/>
    <cellStyle name="Normal 2 10 2" xfId="29056" xr:uid="{00000000-0005-0000-0000-0000D8530000}"/>
    <cellStyle name="Normal 2 10 3" xfId="28783" xr:uid="{00000000-0005-0000-0000-0000D9530000}"/>
    <cellStyle name="Normal 2 11" xfId="25752" xr:uid="{00000000-0005-0000-0000-000037520000}"/>
    <cellStyle name="Normal 2 11 2" xfId="29057" xr:uid="{00000000-0005-0000-0000-0000DB530000}"/>
    <cellStyle name="Normal 2 12" xfId="28784" xr:uid="{00000000-0005-0000-0000-0000DC530000}"/>
    <cellStyle name="Normal 2 12 2" xfId="29058" xr:uid="{00000000-0005-0000-0000-0000DD530000}"/>
    <cellStyle name="Normal 2 13" xfId="28785" xr:uid="{00000000-0005-0000-0000-0000DE530000}"/>
    <cellStyle name="Normal 2 13 2" xfId="29059" xr:uid="{00000000-0005-0000-0000-0000DF530000}"/>
    <cellStyle name="Normal 2 14" xfId="28786" xr:uid="{00000000-0005-0000-0000-0000E0530000}"/>
    <cellStyle name="Normal 2 15" xfId="28857" xr:uid="{00000000-0005-0000-0000-0000E1530000}"/>
    <cellStyle name="Normal 2 2" xfId="51" xr:uid="{00000000-0005-0000-0000-000038520000}"/>
    <cellStyle name="Normal 2 2 2" xfId="202" xr:uid="{00000000-0005-0000-0000-000039520000}"/>
    <cellStyle name="Normal 2 2 2 2" xfId="348" xr:uid="{00000000-0005-0000-0000-00003A520000}"/>
    <cellStyle name="Normal 2 2 2 2 2" xfId="654" xr:uid="{00000000-0005-0000-0000-00003B520000}"/>
    <cellStyle name="Normal 2 2 2 2 3" xfId="653" xr:uid="{00000000-0005-0000-0000-00003C520000}"/>
    <cellStyle name="Normal 2 2 2 2 4" xfId="25988" xr:uid="{00000000-0005-0000-0000-00004F520000}"/>
    <cellStyle name="Normal 2 2 2 3" xfId="366" xr:uid="{00000000-0005-0000-0000-00003D520000}"/>
    <cellStyle name="Normal 2 2 2 3 2" xfId="448" xr:uid="{00000000-0005-0000-0000-00003E520000}"/>
    <cellStyle name="Normal 2 2 2 3 2 2" xfId="534" xr:uid="{00000000-0005-0000-0000-00003F520000}"/>
    <cellStyle name="Normal 2 2 2 3 2 2 2" xfId="13897" xr:uid="{00000000-0005-0000-0000-000040520000}"/>
    <cellStyle name="Normal 2 2 2 3 2 3" xfId="13820" xr:uid="{00000000-0005-0000-0000-000041520000}"/>
    <cellStyle name="Normal 2 2 2 3 3" xfId="497" xr:uid="{00000000-0005-0000-0000-000042520000}"/>
    <cellStyle name="Normal 2 2 2 3 3 2" xfId="13860" xr:uid="{00000000-0005-0000-0000-000043520000}"/>
    <cellStyle name="Normal 2 2 2 3 4" xfId="13776" xr:uid="{00000000-0005-0000-0000-000044520000}"/>
    <cellStyle name="Normal 2 2 2 4" xfId="428" xr:uid="{00000000-0005-0000-0000-000045520000}"/>
    <cellStyle name="Normal 2 2 2 4 2" xfId="519" xr:uid="{00000000-0005-0000-0000-000046520000}"/>
    <cellStyle name="Normal 2 2 2 4 2 2" xfId="13882" xr:uid="{00000000-0005-0000-0000-000047520000}"/>
    <cellStyle name="Normal 2 2 2 4 3" xfId="13805" xr:uid="{00000000-0005-0000-0000-000048520000}"/>
    <cellStyle name="Normal 2 2 2 5" xfId="482" xr:uid="{00000000-0005-0000-0000-000049520000}"/>
    <cellStyle name="Normal 2 2 2 5 2" xfId="13845" xr:uid="{00000000-0005-0000-0000-00004A520000}"/>
    <cellStyle name="Normal 2 2 2 6" xfId="652" xr:uid="{00000000-0005-0000-0000-00004B520000}"/>
    <cellStyle name="Normal 2 2 2 7" xfId="13702" xr:uid="{00000000-0005-0000-0000-00004C520000}"/>
    <cellStyle name="Normal 2 2 2 8" xfId="29061" xr:uid="{00000000-0005-0000-0000-0000F7530000}"/>
    <cellStyle name="Normal 2 2 3" xfId="406" xr:uid="{00000000-0005-0000-0000-00004D520000}"/>
    <cellStyle name="Normal 2 2 4" xfId="384" xr:uid="{00000000-0005-0000-0000-00004E520000}"/>
    <cellStyle name="Normal 2 3" xfId="165" xr:uid="{00000000-0005-0000-0000-00004F520000}"/>
    <cellStyle name="Normal 2 3 2" xfId="421" xr:uid="{00000000-0005-0000-0000-000050520000}"/>
    <cellStyle name="Normal 2 3 2 2" xfId="25785" xr:uid="{00000000-0005-0000-0000-000051520000}"/>
    <cellStyle name="Normal 2 3 2 3" xfId="29062" xr:uid="{00000000-0005-0000-0000-0000FD530000}"/>
    <cellStyle name="Normal 2 3 3" xfId="385" xr:uid="{00000000-0005-0000-0000-000052520000}"/>
    <cellStyle name="Normal 2 3 3 2" xfId="26001" xr:uid="{00000000-0005-0000-0000-000067520000}"/>
    <cellStyle name="Normal 2 3 4" xfId="655" xr:uid="{00000000-0005-0000-0000-000053520000}"/>
    <cellStyle name="Normal 2 3 4 2" xfId="13910" xr:uid="{00000000-0005-0000-0000-000054520000}"/>
    <cellStyle name="Normal 2 4" xfId="656" xr:uid="{00000000-0005-0000-0000-000055520000}"/>
    <cellStyle name="Normal 2 4 2" xfId="3248" xr:uid="{00000000-0005-0000-0000-000056520000}"/>
    <cellStyle name="Normal 2 4 2 2" xfId="25786" xr:uid="{00000000-0005-0000-0000-000057520000}"/>
    <cellStyle name="Normal 2 4 2 3" xfId="29063" xr:uid="{00000000-0005-0000-0000-000004540000}"/>
    <cellStyle name="Normal 2 4 3" xfId="25772" xr:uid="{00000000-0005-0000-0000-000058520000}"/>
    <cellStyle name="Normal 2 4 4" xfId="26055" xr:uid="{00000000-0005-0000-0000-00006A520000}"/>
    <cellStyle name="Normal 2 5" xfId="657" xr:uid="{00000000-0005-0000-0000-000059520000}"/>
    <cellStyle name="Normal 2 5 2" xfId="11466" xr:uid="{00000000-0005-0000-0000-00005A520000}"/>
    <cellStyle name="Normal 2 5 2 2" xfId="22754" xr:uid="{00000000-0005-0000-0000-00005B520000}"/>
    <cellStyle name="Normal 2 5 2 3" xfId="29064" xr:uid="{00000000-0005-0000-0000-000009540000}"/>
    <cellStyle name="Normal 2 5 3" xfId="9472" xr:uid="{00000000-0005-0000-0000-00005C520000}"/>
    <cellStyle name="Normal 2 5 3 2" xfId="20760" xr:uid="{00000000-0005-0000-0000-00005D520000}"/>
    <cellStyle name="Normal 2 5 4" xfId="7478" xr:uid="{00000000-0005-0000-0000-00005E520000}"/>
    <cellStyle name="Normal 2 5 4 2" xfId="18766" xr:uid="{00000000-0005-0000-0000-00005F520000}"/>
    <cellStyle name="Normal 2 5 5" xfId="5484" xr:uid="{00000000-0005-0000-0000-000060520000}"/>
    <cellStyle name="Normal 2 5 5 2" xfId="16772" xr:uid="{00000000-0005-0000-0000-000061520000}"/>
    <cellStyle name="Normal 2 5 6" xfId="3249" xr:uid="{00000000-0005-0000-0000-000062520000}"/>
    <cellStyle name="Normal 2 5 6 2" xfId="14778" xr:uid="{00000000-0005-0000-0000-000063520000}"/>
    <cellStyle name="Normal 2 5 7" xfId="24140" xr:uid="{00000000-0005-0000-0000-000064520000}"/>
    <cellStyle name="Normal 2 5 7 2" xfId="27078" xr:uid="{00000000-0005-0000-0000-000079520000}"/>
    <cellStyle name="Normal 2 6" xfId="4484" xr:uid="{00000000-0005-0000-0000-000065520000}"/>
    <cellStyle name="Normal 2 6 2" xfId="12463" xr:uid="{00000000-0005-0000-0000-000066520000}"/>
    <cellStyle name="Normal 2 6 2 2" xfId="23751" xr:uid="{00000000-0005-0000-0000-000067520000}"/>
    <cellStyle name="Normal 2 6 2 3" xfId="29065" xr:uid="{00000000-0005-0000-0000-000016540000}"/>
    <cellStyle name="Normal 2 6 3" xfId="10469" xr:uid="{00000000-0005-0000-0000-000068520000}"/>
    <cellStyle name="Normal 2 6 3 2" xfId="21757" xr:uid="{00000000-0005-0000-0000-000069520000}"/>
    <cellStyle name="Normal 2 6 4" xfId="8475" xr:uid="{00000000-0005-0000-0000-00006A520000}"/>
    <cellStyle name="Normal 2 6 4 2" xfId="19763" xr:uid="{00000000-0005-0000-0000-00006B520000}"/>
    <cellStyle name="Normal 2 6 5" xfId="6481" xr:uid="{00000000-0005-0000-0000-00006C520000}"/>
    <cellStyle name="Normal 2 6 5 2" xfId="17769" xr:uid="{00000000-0005-0000-0000-00006D520000}"/>
    <cellStyle name="Normal 2 6 6" xfId="15775" xr:uid="{00000000-0005-0000-0000-00006E520000}"/>
    <cellStyle name="Normal 2 6 7" xfId="24141" xr:uid="{00000000-0005-0000-0000-00006F520000}"/>
    <cellStyle name="Normal 2 6 7 2" xfId="27079" xr:uid="{00000000-0005-0000-0000-000084520000}"/>
    <cellStyle name="Normal 2 6 8" xfId="25780" xr:uid="{00000000-0005-0000-0000-000070520000}"/>
    <cellStyle name="Normal 2 7" xfId="3247" xr:uid="{00000000-0005-0000-0000-000071520000}"/>
    <cellStyle name="Normal 2 7 2" xfId="24142" xr:uid="{00000000-0005-0000-0000-000072520000}"/>
    <cellStyle name="Normal 2 7 2 2" xfId="27080" xr:uid="{00000000-0005-0000-0000-000087520000}"/>
    <cellStyle name="Normal 2 7 2 2 2" xfId="29066" xr:uid="{00000000-0005-0000-0000-000022540000}"/>
    <cellStyle name="Normal 2 8" xfId="13604" xr:uid="{00000000-0005-0000-0000-000073520000}"/>
    <cellStyle name="Normal 2 8 2" xfId="26559" xr:uid="{00000000-0005-0000-0000-000088520000}"/>
    <cellStyle name="Normal 2 8 2 2" xfId="29067" xr:uid="{00000000-0005-0000-0000-000024540000}"/>
    <cellStyle name="Normal 2 9" xfId="23906" xr:uid="{00000000-0005-0000-0000-000074520000}"/>
    <cellStyle name="Normal 2 9 2" xfId="29068" xr:uid="{00000000-0005-0000-0000-000026540000}"/>
    <cellStyle name="Normal 2 9 3" xfId="28787" xr:uid="{00000000-0005-0000-0000-000027540000}"/>
    <cellStyle name="Normal 20" xfId="393" xr:uid="{00000000-0005-0000-0000-000075520000}"/>
    <cellStyle name="Normal 20 10" xfId="27906" xr:uid="{00000000-0005-0000-0000-00008B520000}"/>
    <cellStyle name="Normal 20 11" xfId="26005" xr:uid="{00000000-0005-0000-0000-00008A520000}"/>
    <cellStyle name="Normal 20 2" xfId="4485" xr:uid="{00000000-0005-0000-0000-000076520000}"/>
    <cellStyle name="Normal 20 2 2" xfId="12464" xr:uid="{00000000-0005-0000-0000-000077520000}"/>
    <cellStyle name="Normal 20 2 2 2" xfId="23752" xr:uid="{00000000-0005-0000-0000-000078520000}"/>
    <cellStyle name="Normal 20 2 3" xfId="10470" xr:uid="{00000000-0005-0000-0000-000079520000}"/>
    <cellStyle name="Normal 20 2 3 2" xfId="21758" xr:uid="{00000000-0005-0000-0000-00007A520000}"/>
    <cellStyle name="Normal 20 2 4" xfId="8476" xr:uid="{00000000-0005-0000-0000-00007B520000}"/>
    <cellStyle name="Normal 20 2 4 2" xfId="19764" xr:uid="{00000000-0005-0000-0000-00007C520000}"/>
    <cellStyle name="Normal 20 2 5" xfId="6482" xr:uid="{00000000-0005-0000-0000-00007D520000}"/>
    <cellStyle name="Normal 20 2 5 2" xfId="17770" xr:uid="{00000000-0005-0000-0000-00007E520000}"/>
    <cellStyle name="Normal 20 2 6" xfId="15776" xr:uid="{00000000-0005-0000-0000-00007F520000}"/>
    <cellStyle name="Normal 20 2 7" xfId="29069" xr:uid="{00000000-0005-0000-0000-000033540000}"/>
    <cellStyle name="Normal 20 3" xfId="11467" xr:uid="{00000000-0005-0000-0000-000080520000}"/>
    <cellStyle name="Normal 20 3 2" xfId="22755" xr:uid="{00000000-0005-0000-0000-000081520000}"/>
    <cellStyle name="Normal 20 4" xfId="9473" xr:uid="{00000000-0005-0000-0000-000082520000}"/>
    <cellStyle name="Normal 20 4 2" xfId="20761" xr:uid="{00000000-0005-0000-0000-000083520000}"/>
    <cellStyle name="Normal 20 5" xfId="7479" xr:uid="{00000000-0005-0000-0000-000084520000}"/>
    <cellStyle name="Normal 20 5 2" xfId="18767" xr:uid="{00000000-0005-0000-0000-000085520000}"/>
    <cellStyle name="Normal 20 6" xfId="5485" xr:uid="{00000000-0005-0000-0000-000086520000}"/>
    <cellStyle name="Normal 20 6 2" xfId="16773" xr:uid="{00000000-0005-0000-0000-000087520000}"/>
    <cellStyle name="Normal 20 7" xfId="3250" xr:uid="{00000000-0005-0000-0000-000088520000}"/>
    <cellStyle name="Normal 20 7 2" xfId="14779" xr:uid="{00000000-0005-0000-0000-000089520000}"/>
    <cellStyle name="Normal 20 8" xfId="13787" xr:uid="{00000000-0005-0000-0000-00008A520000}"/>
    <cellStyle name="Normal 20 8 2" xfId="26669" xr:uid="{00000000-0005-0000-0000-0000A0520000}"/>
    <cellStyle name="Normal 20 9" xfId="13464" xr:uid="{00000000-0005-0000-0000-00008B520000}"/>
    <cellStyle name="Normal 21" xfId="370" xr:uid="{00000000-0005-0000-0000-00008C520000}"/>
    <cellStyle name="Normal 21 10" xfId="24130" xr:uid="{00000000-0005-0000-0000-00008D520000}"/>
    <cellStyle name="Normal 21 10 2" xfId="27074" xr:uid="{00000000-0005-0000-0000-0000A3520000}"/>
    <cellStyle name="Normal 21 2" xfId="500" xr:uid="{00000000-0005-0000-0000-00008E520000}"/>
    <cellStyle name="Normal 21 2 2" xfId="12465" xr:uid="{00000000-0005-0000-0000-00008F520000}"/>
    <cellStyle name="Normal 21 2 2 2" xfId="23753" xr:uid="{00000000-0005-0000-0000-000090520000}"/>
    <cellStyle name="Normal 21 2 3" xfId="10471" xr:uid="{00000000-0005-0000-0000-000091520000}"/>
    <cellStyle name="Normal 21 2 3 2" xfId="21759" xr:uid="{00000000-0005-0000-0000-000092520000}"/>
    <cellStyle name="Normal 21 2 4" xfId="8477" xr:uid="{00000000-0005-0000-0000-000093520000}"/>
    <cellStyle name="Normal 21 2 4 2" xfId="19765" xr:uid="{00000000-0005-0000-0000-000094520000}"/>
    <cellStyle name="Normal 21 2 5" xfId="6483" xr:uid="{00000000-0005-0000-0000-000095520000}"/>
    <cellStyle name="Normal 21 2 5 2" xfId="17771" xr:uid="{00000000-0005-0000-0000-000096520000}"/>
    <cellStyle name="Normal 21 2 6" xfId="4486" xr:uid="{00000000-0005-0000-0000-000097520000}"/>
    <cellStyle name="Normal 21 2 6 2" xfId="15777" xr:uid="{00000000-0005-0000-0000-000098520000}"/>
    <cellStyle name="Normal 21 2 7" xfId="13863" xr:uid="{00000000-0005-0000-0000-000099520000}"/>
    <cellStyle name="Normal 21 2 8" xfId="29070" xr:uid="{00000000-0005-0000-0000-00004E540000}"/>
    <cellStyle name="Normal 21 3" xfId="11468" xr:uid="{00000000-0005-0000-0000-00009A520000}"/>
    <cellStyle name="Normal 21 3 2" xfId="22756" xr:uid="{00000000-0005-0000-0000-00009B520000}"/>
    <cellStyle name="Normal 21 4" xfId="9474" xr:uid="{00000000-0005-0000-0000-00009C520000}"/>
    <cellStyle name="Normal 21 4 2" xfId="20762" xr:uid="{00000000-0005-0000-0000-00009D520000}"/>
    <cellStyle name="Normal 21 5" xfId="7480" xr:uid="{00000000-0005-0000-0000-00009E520000}"/>
    <cellStyle name="Normal 21 5 2" xfId="18768" xr:uid="{00000000-0005-0000-0000-00009F520000}"/>
    <cellStyle name="Normal 21 6" xfId="5486" xr:uid="{00000000-0005-0000-0000-0000A0520000}"/>
    <cellStyle name="Normal 21 6 2" xfId="16774" xr:uid="{00000000-0005-0000-0000-0000A1520000}"/>
    <cellStyle name="Normal 21 7" xfId="3251" xr:uid="{00000000-0005-0000-0000-0000A2520000}"/>
    <cellStyle name="Normal 21 7 2" xfId="14780" xr:uid="{00000000-0005-0000-0000-0000A3520000}"/>
    <cellStyle name="Normal 21 8" xfId="13779" xr:uid="{00000000-0005-0000-0000-0000A4520000}"/>
    <cellStyle name="Normal 21 9" xfId="13465" xr:uid="{00000000-0005-0000-0000-0000A5520000}"/>
    <cellStyle name="Normal 22" xfId="419" xr:uid="{00000000-0005-0000-0000-0000A6520000}"/>
    <cellStyle name="Normal 22 10" xfId="24314" xr:uid="{00000000-0005-0000-0000-0000A7520000}"/>
    <cellStyle name="Normal 22 10 2" xfId="27147" xr:uid="{00000000-0005-0000-0000-0000BD520000}"/>
    <cellStyle name="Normal 22 2" xfId="512" xr:uid="{00000000-0005-0000-0000-0000A8520000}"/>
    <cellStyle name="Normal 22 2 2" xfId="12466" xr:uid="{00000000-0005-0000-0000-0000A9520000}"/>
    <cellStyle name="Normal 22 2 2 2" xfId="23754" xr:uid="{00000000-0005-0000-0000-0000AA520000}"/>
    <cellStyle name="Normal 22 2 3" xfId="10472" xr:uid="{00000000-0005-0000-0000-0000AB520000}"/>
    <cellStyle name="Normal 22 2 3 2" xfId="21760" xr:uid="{00000000-0005-0000-0000-0000AC520000}"/>
    <cellStyle name="Normal 22 2 4" xfId="8478" xr:uid="{00000000-0005-0000-0000-0000AD520000}"/>
    <cellStyle name="Normal 22 2 4 2" xfId="19766" xr:uid="{00000000-0005-0000-0000-0000AE520000}"/>
    <cellStyle name="Normal 22 2 5" xfId="6484" xr:uid="{00000000-0005-0000-0000-0000AF520000}"/>
    <cellStyle name="Normal 22 2 5 2" xfId="17772" xr:uid="{00000000-0005-0000-0000-0000B0520000}"/>
    <cellStyle name="Normal 22 2 6" xfId="4487" xr:uid="{00000000-0005-0000-0000-0000B1520000}"/>
    <cellStyle name="Normal 22 2 6 2" xfId="15778" xr:uid="{00000000-0005-0000-0000-0000B2520000}"/>
    <cellStyle name="Normal 22 2 7" xfId="13875" xr:uid="{00000000-0005-0000-0000-0000B3520000}"/>
    <cellStyle name="Normal 22 2 8" xfId="29071" xr:uid="{00000000-0005-0000-0000-000069540000}"/>
    <cellStyle name="Normal 22 3" xfId="11469" xr:uid="{00000000-0005-0000-0000-0000B4520000}"/>
    <cellStyle name="Normal 22 3 2" xfId="22757" xr:uid="{00000000-0005-0000-0000-0000B5520000}"/>
    <cellStyle name="Normal 22 4" xfId="9475" xr:uid="{00000000-0005-0000-0000-0000B6520000}"/>
    <cellStyle name="Normal 22 4 2" xfId="20763" xr:uid="{00000000-0005-0000-0000-0000B7520000}"/>
    <cellStyle name="Normal 22 5" xfId="7481" xr:uid="{00000000-0005-0000-0000-0000B8520000}"/>
    <cellStyle name="Normal 22 5 2" xfId="18769" xr:uid="{00000000-0005-0000-0000-0000B9520000}"/>
    <cellStyle name="Normal 22 6" xfId="5487" xr:uid="{00000000-0005-0000-0000-0000BA520000}"/>
    <cellStyle name="Normal 22 6 2" xfId="16775" xr:uid="{00000000-0005-0000-0000-0000BB520000}"/>
    <cellStyle name="Normal 22 7" xfId="3252" xr:uid="{00000000-0005-0000-0000-0000BC520000}"/>
    <cellStyle name="Normal 22 7 2" xfId="14781" xr:uid="{00000000-0005-0000-0000-0000BD520000}"/>
    <cellStyle name="Normal 22 8" xfId="13798" xr:uid="{00000000-0005-0000-0000-0000BE520000}"/>
    <cellStyle name="Normal 22 9" xfId="13466" xr:uid="{00000000-0005-0000-0000-0000BF520000}"/>
    <cellStyle name="Normal 23" xfId="52" xr:uid="{00000000-0005-0000-0000-0000C0520000}"/>
    <cellStyle name="Normal 23 10" xfId="24478" xr:uid="{00000000-0005-0000-0000-0000C1520000}"/>
    <cellStyle name="Normal 23 10 2" xfId="27175" xr:uid="{00000000-0005-0000-0000-0000D7520000}"/>
    <cellStyle name="Normal 23 2" xfId="4488" xr:uid="{00000000-0005-0000-0000-0000C2520000}"/>
    <cellStyle name="Normal 23 2 2" xfId="12467" xr:uid="{00000000-0005-0000-0000-0000C3520000}"/>
    <cellStyle name="Normal 23 2 2 2" xfId="23755" xr:uid="{00000000-0005-0000-0000-0000C4520000}"/>
    <cellStyle name="Normal 23 2 3" xfId="10473" xr:uid="{00000000-0005-0000-0000-0000C5520000}"/>
    <cellStyle name="Normal 23 2 3 2" xfId="21761" xr:uid="{00000000-0005-0000-0000-0000C6520000}"/>
    <cellStyle name="Normal 23 2 4" xfId="8479" xr:uid="{00000000-0005-0000-0000-0000C7520000}"/>
    <cellStyle name="Normal 23 2 4 2" xfId="19767" xr:uid="{00000000-0005-0000-0000-0000C8520000}"/>
    <cellStyle name="Normal 23 2 5" xfId="6485" xr:uid="{00000000-0005-0000-0000-0000C9520000}"/>
    <cellStyle name="Normal 23 2 5 2" xfId="17773" xr:uid="{00000000-0005-0000-0000-0000CA520000}"/>
    <cellStyle name="Normal 23 2 6" xfId="15779" xr:uid="{00000000-0005-0000-0000-0000CB520000}"/>
    <cellStyle name="Normal 23 2 7" xfId="29072" xr:uid="{00000000-0005-0000-0000-000082540000}"/>
    <cellStyle name="Normal 23 3" xfId="4619" xr:uid="{00000000-0005-0000-0000-0000CC520000}"/>
    <cellStyle name="Normal 23 3 2" xfId="11470" xr:uid="{00000000-0005-0000-0000-0000CD520000}"/>
    <cellStyle name="Normal 23 3 2 2" xfId="22758" xr:uid="{00000000-0005-0000-0000-0000CE520000}"/>
    <cellStyle name="Normal 23 4" xfId="9476" xr:uid="{00000000-0005-0000-0000-0000CF520000}"/>
    <cellStyle name="Normal 23 4 2" xfId="20764" xr:uid="{00000000-0005-0000-0000-0000D0520000}"/>
    <cellStyle name="Normal 23 5" xfId="7482" xr:uid="{00000000-0005-0000-0000-0000D1520000}"/>
    <cellStyle name="Normal 23 5 2" xfId="18770" xr:uid="{00000000-0005-0000-0000-0000D2520000}"/>
    <cellStyle name="Normal 23 6" xfId="5488" xr:uid="{00000000-0005-0000-0000-0000D3520000}"/>
    <cellStyle name="Normal 23 6 2" xfId="16776" xr:uid="{00000000-0005-0000-0000-0000D4520000}"/>
    <cellStyle name="Normal 23 7" xfId="3253" xr:uid="{00000000-0005-0000-0000-0000D5520000}"/>
    <cellStyle name="Normal 23 7 2" xfId="14782" xr:uid="{00000000-0005-0000-0000-0000D6520000}"/>
    <cellStyle name="Normal 23 8" xfId="13611" xr:uid="{00000000-0005-0000-0000-0000D7520000}"/>
    <cellStyle name="Normal 23 9" xfId="13467" xr:uid="{00000000-0005-0000-0000-0000D8520000}"/>
    <cellStyle name="Normal 24" xfId="409" xr:uid="{00000000-0005-0000-0000-0000D9520000}"/>
    <cellStyle name="Normal 24 10" xfId="24500" xr:uid="{00000000-0005-0000-0000-0000DA520000}"/>
    <cellStyle name="Normal 24 10 2" xfId="27190" xr:uid="{00000000-0005-0000-0000-0000F0520000}"/>
    <cellStyle name="Normal 24 2" xfId="509" xr:uid="{00000000-0005-0000-0000-0000DB520000}"/>
    <cellStyle name="Normal 24 2 2" xfId="12468" xr:uid="{00000000-0005-0000-0000-0000DC520000}"/>
    <cellStyle name="Normal 24 2 2 2" xfId="23756" xr:uid="{00000000-0005-0000-0000-0000DD520000}"/>
    <cellStyle name="Normal 24 2 3" xfId="10474" xr:uid="{00000000-0005-0000-0000-0000DE520000}"/>
    <cellStyle name="Normal 24 2 3 2" xfId="21762" xr:uid="{00000000-0005-0000-0000-0000DF520000}"/>
    <cellStyle name="Normal 24 2 4" xfId="8480" xr:uid="{00000000-0005-0000-0000-0000E0520000}"/>
    <cellStyle name="Normal 24 2 4 2" xfId="19768" xr:uid="{00000000-0005-0000-0000-0000E1520000}"/>
    <cellStyle name="Normal 24 2 5" xfId="6486" xr:uid="{00000000-0005-0000-0000-0000E2520000}"/>
    <cellStyle name="Normal 24 2 5 2" xfId="17774" xr:uid="{00000000-0005-0000-0000-0000E3520000}"/>
    <cellStyle name="Normal 24 2 6" xfId="4489" xr:uid="{00000000-0005-0000-0000-0000E4520000}"/>
    <cellStyle name="Normal 24 2 6 2" xfId="15780" xr:uid="{00000000-0005-0000-0000-0000E5520000}"/>
    <cellStyle name="Normal 24 2 7" xfId="13872" xr:uid="{00000000-0005-0000-0000-0000E6520000}"/>
    <cellStyle name="Normal 24 2 8" xfId="29073" xr:uid="{00000000-0005-0000-0000-00009E540000}"/>
    <cellStyle name="Normal 24 3" xfId="11471" xr:uid="{00000000-0005-0000-0000-0000E7520000}"/>
    <cellStyle name="Normal 24 3 2" xfId="22759" xr:uid="{00000000-0005-0000-0000-0000E8520000}"/>
    <cellStyle name="Normal 24 4" xfId="9477" xr:uid="{00000000-0005-0000-0000-0000E9520000}"/>
    <cellStyle name="Normal 24 4 2" xfId="20765" xr:uid="{00000000-0005-0000-0000-0000EA520000}"/>
    <cellStyle name="Normal 24 5" xfId="7483" xr:uid="{00000000-0005-0000-0000-0000EB520000}"/>
    <cellStyle name="Normal 24 5 2" xfId="18771" xr:uid="{00000000-0005-0000-0000-0000EC520000}"/>
    <cellStyle name="Normal 24 6" xfId="5489" xr:uid="{00000000-0005-0000-0000-0000ED520000}"/>
    <cellStyle name="Normal 24 6 2" xfId="16777" xr:uid="{00000000-0005-0000-0000-0000EE520000}"/>
    <cellStyle name="Normal 24 7" xfId="3254" xr:uid="{00000000-0005-0000-0000-0000EF520000}"/>
    <cellStyle name="Normal 24 7 2" xfId="14783" xr:uid="{00000000-0005-0000-0000-0000F0520000}"/>
    <cellStyle name="Normal 24 8" xfId="13791" xr:uid="{00000000-0005-0000-0000-0000F1520000}"/>
    <cellStyle name="Normal 24 9" xfId="13468" xr:uid="{00000000-0005-0000-0000-0000F2520000}"/>
    <cellStyle name="Normal 25" xfId="451" xr:uid="{00000000-0005-0000-0000-0000F3520000}"/>
    <cellStyle name="Normal 25 10" xfId="24476" xr:uid="{00000000-0005-0000-0000-0000F4520000}"/>
    <cellStyle name="Normal 25 10 2" xfId="27173" xr:uid="{00000000-0005-0000-0000-00000A530000}"/>
    <cellStyle name="Normal 25 2" xfId="537" xr:uid="{00000000-0005-0000-0000-0000F5520000}"/>
    <cellStyle name="Normal 25 2 2" xfId="12469" xr:uid="{00000000-0005-0000-0000-0000F6520000}"/>
    <cellStyle name="Normal 25 2 2 2" xfId="23757" xr:uid="{00000000-0005-0000-0000-0000F7520000}"/>
    <cellStyle name="Normal 25 2 3" xfId="10475" xr:uid="{00000000-0005-0000-0000-0000F8520000}"/>
    <cellStyle name="Normal 25 2 3 2" xfId="21763" xr:uid="{00000000-0005-0000-0000-0000F9520000}"/>
    <cellStyle name="Normal 25 2 4" xfId="8481" xr:uid="{00000000-0005-0000-0000-0000FA520000}"/>
    <cellStyle name="Normal 25 2 4 2" xfId="19769" xr:uid="{00000000-0005-0000-0000-0000FB520000}"/>
    <cellStyle name="Normal 25 2 5" xfId="6487" xr:uid="{00000000-0005-0000-0000-0000FC520000}"/>
    <cellStyle name="Normal 25 2 5 2" xfId="17775" xr:uid="{00000000-0005-0000-0000-0000FD520000}"/>
    <cellStyle name="Normal 25 2 6" xfId="4490" xr:uid="{00000000-0005-0000-0000-0000FE520000}"/>
    <cellStyle name="Normal 25 2 6 2" xfId="15781" xr:uid="{00000000-0005-0000-0000-0000FF520000}"/>
    <cellStyle name="Normal 25 2 7" xfId="13900" xr:uid="{00000000-0005-0000-0000-000000530000}"/>
    <cellStyle name="Normal 25 2 8" xfId="29074" xr:uid="{00000000-0005-0000-0000-0000B9540000}"/>
    <cellStyle name="Normal 25 3" xfId="11472" xr:uid="{00000000-0005-0000-0000-000001530000}"/>
    <cellStyle name="Normal 25 3 2" xfId="22760" xr:uid="{00000000-0005-0000-0000-000002530000}"/>
    <cellStyle name="Normal 25 4" xfId="9478" xr:uid="{00000000-0005-0000-0000-000003530000}"/>
    <cellStyle name="Normal 25 4 2" xfId="20766" xr:uid="{00000000-0005-0000-0000-000004530000}"/>
    <cellStyle name="Normal 25 5" xfId="7484" xr:uid="{00000000-0005-0000-0000-000005530000}"/>
    <cellStyle name="Normal 25 5 2" xfId="18772" xr:uid="{00000000-0005-0000-0000-000006530000}"/>
    <cellStyle name="Normal 25 6" xfId="5490" xr:uid="{00000000-0005-0000-0000-000007530000}"/>
    <cellStyle name="Normal 25 6 2" xfId="16778" xr:uid="{00000000-0005-0000-0000-000008530000}"/>
    <cellStyle name="Normal 25 7" xfId="3255" xr:uid="{00000000-0005-0000-0000-000009530000}"/>
    <cellStyle name="Normal 25 7 2" xfId="14784" xr:uid="{00000000-0005-0000-0000-00000A530000}"/>
    <cellStyle name="Normal 25 8" xfId="13823" xr:uid="{00000000-0005-0000-0000-00000B530000}"/>
    <cellStyle name="Normal 25 9" xfId="13469" xr:uid="{00000000-0005-0000-0000-00000C530000}"/>
    <cellStyle name="Normal 26" xfId="454" xr:uid="{00000000-0005-0000-0000-00000D530000}"/>
    <cellStyle name="Normal 26 10" xfId="26021" xr:uid="{00000000-0005-0000-0000-000023530000}"/>
    <cellStyle name="Normal 26 2" xfId="4491" xr:uid="{00000000-0005-0000-0000-00000E530000}"/>
    <cellStyle name="Normal 26 2 2" xfId="12470" xr:uid="{00000000-0005-0000-0000-00000F530000}"/>
    <cellStyle name="Normal 26 2 2 2" xfId="23758" xr:uid="{00000000-0005-0000-0000-000010530000}"/>
    <cellStyle name="Normal 26 2 3" xfId="10476" xr:uid="{00000000-0005-0000-0000-000011530000}"/>
    <cellStyle name="Normal 26 2 3 2" xfId="21764" xr:uid="{00000000-0005-0000-0000-000012530000}"/>
    <cellStyle name="Normal 26 2 4" xfId="8482" xr:uid="{00000000-0005-0000-0000-000013530000}"/>
    <cellStyle name="Normal 26 2 4 2" xfId="19770" xr:uid="{00000000-0005-0000-0000-000014530000}"/>
    <cellStyle name="Normal 26 2 5" xfId="6488" xr:uid="{00000000-0005-0000-0000-000015530000}"/>
    <cellStyle name="Normal 26 2 5 2" xfId="17776" xr:uid="{00000000-0005-0000-0000-000016530000}"/>
    <cellStyle name="Normal 26 2 6" xfId="15782" xr:uid="{00000000-0005-0000-0000-000017530000}"/>
    <cellStyle name="Normal 26 3" xfId="11473" xr:uid="{00000000-0005-0000-0000-000018530000}"/>
    <cellStyle name="Normal 26 3 2" xfId="22761" xr:uid="{00000000-0005-0000-0000-000019530000}"/>
    <cellStyle name="Normal 26 4" xfId="9479" xr:uid="{00000000-0005-0000-0000-00001A530000}"/>
    <cellStyle name="Normal 26 4 2" xfId="20767" xr:uid="{00000000-0005-0000-0000-00001B530000}"/>
    <cellStyle name="Normal 26 5" xfId="7485" xr:uid="{00000000-0005-0000-0000-00001C530000}"/>
    <cellStyle name="Normal 26 5 2" xfId="18773" xr:uid="{00000000-0005-0000-0000-00001D530000}"/>
    <cellStyle name="Normal 26 6" xfId="5491" xr:uid="{00000000-0005-0000-0000-00001E530000}"/>
    <cellStyle name="Normal 26 6 2" xfId="16779" xr:uid="{00000000-0005-0000-0000-00001F530000}"/>
    <cellStyle name="Normal 26 7" xfId="3256" xr:uid="{00000000-0005-0000-0000-000020530000}"/>
    <cellStyle name="Normal 26 7 2" xfId="14785" xr:uid="{00000000-0005-0000-0000-000021530000}"/>
    <cellStyle name="Normal 26 8" xfId="13826" xr:uid="{00000000-0005-0000-0000-000022530000}"/>
    <cellStyle name="Normal 26 8 2" xfId="26677" xr:uid="{00000000-0005-0000-0000-000038530000}"/>
    <cellStyle name="Normal 26 9" xfId="13470" xr:uid="{00000000-0005-0000-0000-000023530000}"/>
    <cellStyle name="Normal 27" xfId="465" xr:uid="{00000000-0005-0000-0000-000024530000}"/>
    <cellStyle name="Normal 27 10" xfId="26032" xr:uid="{00000000-0005-0000-0000-00003A530000}"/>
    <cellStyle name="Normal 27 2" xfId="4492" xr:uid="{00000000-0005-0000-0000-000025530000}"/>
    <cellStyle name="Normal 27 2 2" xfId="12471" xr:uid="{00000000-0005-0000-0000-000026530000}"/>
    <cellStyle name="Normal 27 2 2 2" xfId="23759" xr:uid="{00000000-0005-0000-0000-000027530000}"/>
    <cellStyle name="Normal 27 2 3" xfId="10477" xr:uid="{00000000-0005-0000-0000-000028530000}"/>
    <cellStyle name="Normal 27 2 3 2" xfId="21765" xr:uid="{00000000-0005-0000-0000-000029530000}"/>
    <cellStyle name="Normal 27 2 4" xfId="8483" xr:uid="{00000000-0005-0000-0000-00002A530000}"/>
    <cellStyle name="Normal 27 2 4 2" xfId="19771" xr:uid="{00000000-0005-0000-0000-00002B530000}"/>
    <cellStyle name="Normal 27 2 5" xfId="6489" xr:uid="{00000000-0005-0000-0000-00002C530000}"/>
    <cellStyle name="Normal 27 2 5 2" xfId="17777" xr:uid="{00000000-0005-0000-0000-00002D530000}"/>
    <cellStyle name="Normal 27 2 6" xfId="15783" xr:uid="{00000000-0005-0000-0000-00002E530000}"/>
    <cellStyle name="Normal 27 2 7" xfId="29075" xr:uid="{00000000-0005-0000-0000-0000E8540000}"/>
    <cellStyle name="Normal 27 3" xfId="11474" xr:uid="{00000000-0005-0000-0000-00002F530000}"/>
    <cellStyle name="Normal 27 3 2" xfId="22762" xr:uid="{00000000-0005-0000-0000-000030530000}"/>
    <cellStyle name="Normal 27 4" xfId="9480" xr:uid="{00000000-0005-0000-0000-000031530000}"/>
    <cellStyle name="Normal 27 4 2" xfId="20768" xr:uid="{00000000-0005-0000-0000-000032530000}"/>
    <cellStyle name="Normal 27 5" xfId="7486" xr:uid="{00000000-0005-0000-0000-000033530000}"/>
    <cellStyle name="Normal 27 5 2" xfId="18774" xr:uid="{00000000-0005-0000-0000-000034530000}"/>
    <cellStyle name="Normal 27 6" xfId="5492" xr:uid="{00000000-0005-0000-0000-000035530000}"/>
    <cellStyle name="Normal 27 6 2" xfId="16780" xr:uid="{00000000-0005-0000-0000-000036530000}"/>
    <cellStyle name="Normal 27 7" xfId="3257" xr:uid="{00000000-0005-0000-0000-000037530000}"/>
    <cellStyle name="Normal 27 7 2" xfId="14786" xr:uid="{00000000-0005-0000-0000-000038530000}"/>
    <cellStyle name="Normal 27 8" xfId="13829" xr:uid="{00000000-0005-0000-0000-000039530000}"/>
    <cellStyle name="Normal 27 8 2" xfId="26680" xr:uid="{00000000-0005-0000-0000-00004F530000}"/>
    <cellStyle name="Normal 27 9" xfId="13471" xr:uid="{00000000-0005-0000-0000-00003A530000}"/>
    <cellStyle name="Normal 28" xfId="469" xr:uid="{00000000-0005-0000-0000-00003B530000}"/>
    <cellStyle name="Normal 28 10" xfId="26034" xr:uid="{00000000-0005-0000-0000-000051530000}"/>
    <cellStyle name="Normal 28 2" xfId="4493" xr:uid="{00000000-0005-0000-0000-00003C530000}"/>
    <cellStyle name="Normal 28 2 2" xfId="12472" xr:uid="{00000000-0005-0000-0000-00003D530000}"/>
    <cellStyle name="Normal 28 2 2 2" xfId="23760" xr:uid="{00000000-0005-0000-0000-00003E530000}"/>
    <cellStyle name="Normal 28 2 3" xfId="10478" xr:uid="{00000000-0005-0000-0000-00003F530000}"/>
    <cellStyle name="Normal 28 2 3 2" xfId="21766" xr:uid="{00000000-0005-0000-0000-000040530000}"/>
    <cellStyle name="Normal 28 2 4" xfId="8484" xr:uid="{00000000-0005-0000-0000-000041530000}"/>
    <cellStyle name="Normal 28 2 4 2" xfId="19772" xr:uid="{00000000-0005-0000-0000-000042530000}"/>
    <cellStyle name="Normal 28 2 5" xfId="6490" xr:uid="{00000000-0005-0000-0000-000043530000}"/>
    <cellStyle name="Normal 28 2 5 2" xfId="17778" xr:uid="{00000000-0005-0000-0000-000044530000}"/>
    <cellStyle name="Normal 28 2 6" xfId="15784" xr:uid="{00000000-0005-0000-0000-000045530000}"/>
    <cellStyle name="Normal 28 3" xfId="11475" xr:uid="{00000000-0005-0000-0000-000046530000}"/>
    <cellStyle name="Normal 28 3 2" xfId="22763" xr:uid="{00000000-0005-0000-0000-000047530000}"/>
    <cellStyle name="Normal 28 4" xfId="9481" xr:uid="{00000000-0005-0000-0000-000048530000}"/>
    <cellStyle name="Normal 28 4 2" xfId="20769" xr:uid="{00000000-0005-0000-0000-000049530000}"/>
    <cellStyle name="Normal 28 5" xfId="7487" xr:uid="{00000000-0005-0000-0000-00004A530000}"/>
    <cellStyle name="Normal 28 5 2" xfId="18775" xr:uid="{00000000-0005-0000-0000-00004B530000}"/>
    <cellStyle name="Normal 28 6" xfId="5493" xr:uid="{00000000-0005-0000-0000-00004C530000}"/>
    <cellStyle name="Normal 28 6 2" xfId="16781" xr:uid="{00000000-0005-0000-0000-00004D530000}"/>
    <cellStyle name="Normal 28 7" xfId="3258" xr:uid="{00000000-0005-0000-0000-00004E530000}"/>
    <cellStyle name="Normal 28 7 2" xfId="14787" xr:uid="{00000000-0005-0000-0000-00004F530000}"/>
    <cellStyle name="Normal 28 8" xfId="13832" xr:uid="{00000000-0005-0000-0000-000050530000}"/>
    <cellStyle name="Normal 28 8 2" xfId="26681" xr:uid="{00000000-0005-0000-0000-000066530000}"/>
    <cellStyle name="Normal 28 9" xfId="13472" xr:uid="{00000000-0005-0000-0000-000051530000}"/>
    <cellStyle name="Normal 29" xfId="464" xr:uid="{00000000-0005-0000-0000-000052530000}"/>
    <cellStyle name="Normal 29 10" xfId="26031" xr:uid="{00000000-0005-0000-0000-000068530000}"/>
    <cellStyle name="Normal 29 2" xfId="4494" xr:uid="{00000000-0005-0000-0000-000053530000}"/>
    <cellStyle name="Normal 29 2 2" xfId="12473" xr:uid="{00000000-0005-0000-0000-000054530000}"/>
    <cellStyle name="Normal 29 2 2 2" xfId="23761" xr:uid="{00000000-0005-0000-0000-000055530000}"/>
    <cellStyle name="Normal 29 2 3" xfId="10479" xr:uid="{00000000-0005-0000-0000-000056530000}"/>
    <cellStyle name="Normal 29 2 3 2" xfId="21767" xr:uid="{00000000-0005-0000-0000-000057530000}"/>
    <cellStyle name="Normal 29 2 4" xfId="8485" xr:uid="{00000000-0005-0000-0000-000058530000}"/>
    <cellStyle name="Normal 29 2 4 2" xfId="19773" xr:uid="{00000000-0005-0000-0000-000059530000}"/>
    <cellStyle name="Normal 29 2 5" xfId="6491" xr:uid="{00000000-0005-0000-0000-00005A530000}"/>
    <cellStyle name="Normal 29 2 5 2" xfId="17779" xr:uid="{00000000-0005-0000-0000-00005B530000}"/>
    <cellStyle name="Normal 29 2 6" xfId="15785" xr:uid="{00000000-0005-0000-0000-00005C530000}"/>
    <cellStyle name="Normal 29 3" xfId="11476" xr:uid="{00000000-0005-0000-0000-00005D530000}"/>
    <cellStyle name="Normal 29 3 2" xfId="22764" xr:uid="{00000000-0005-0000-0000-00005E530000}"/>
    <cellStyle name="Normal 29 4" xfId="9482" xr:uid="{00000000-0005-0000-0000-00005F530000}"/>
    <cellStyle name="Normal 29 4 2" xfId="20770" xr:uid="{00000000-0005-0000-0000-000060530000}"/>
    <cellStyle name="Normal 29 5" xfId="7488" xr:uid="{00000000-0005-0000-0000-000061530000}"/>
    <cellStyle name="Normal 29 5 2" xfId="18776" xr:uid="{00000000-0005-0000-0000-000062530000}"/>
    <cellStyle name="Normal 29 6" xfId="5494" xr:uid="{00000000-0005-0000-0000-000063530000}"/>
    <cellStyle name="Normal 29 6 2" xfId="16782" xr:uid="{00000000-0005-0000-0000-000064530000}"/>
    <cellStyle name="Normal 29 7" xfId="3259" xr:uid="{00000000-0005-0000-0000-000065530000}"/>
    <cellStyle name="Normal 29 7 2" xfId="14788" xr:uid="{00000000-0005-0000-0000-000066530000}"/>
    <cellStyle name="Normal 29 8" xfId="13828" xr:uid="{00000000-0005-0000-0000-000067530000}"/>
    <cellStyle name="Normal 29 8 2" xfId="26679" xr:uid="{00000000-0005-0000-0000-00007D530000}"/>
    <cellStyle name="Normal 29 9" xfId="13473" xr:uid="{00000000-0005-0000-0000-000068530000}"/>
    <cellStyle name="Normal 3" xfId="53" xr:uid="{00000000-0005-0000-0000-000069530000}"/>
    <cellStyle name="Normal 3 10" xfId="24143" xr:uid="{00000000-0005-0000-0000-00006A530000}"/>
    <cellStyle name="Normal 3 10 2" xfId="29076" xr:uid="{00000000-0005-0000-0000-000025550000}"/>
    <cellStyle name="Normal 3 10 3" xfId="28788" xr:uid="{00000000-0005-0000-0000-000026550000}"/>
    <cellStyle name="Normal 3 11" xfId="25773" xr:uid="{00000000-0005-0000-0000-00006B530000}"/>
    <cellStyle name="Normal 3 11 2" xfId="29077" xr:uid="{00000000-0005-0000-0000-000028550000}"/>
    <cellStyle name="Normal 3 12" xfId="28789" xr:uid="{00000000-0005-0000-0000-000029550000}"/>
    <cellStyle name="Normal 3 12 2" xfId="29078" xr:uid="{00000000-0005-0000-0000-00002A550000}"/>
    <cellStyle name="Normal 3 13" xfId="28790" xr:uid="{00000000-0005-0000-0000-00002B550000}"/>
    <cellStyle name="Normal 3 13 2" xfId="29079" xr:uid="{00000000-0005-0000-0000-00002C550000}"/>
    <cellStyle name="Normal 3 14" xfId="29060" xr:uid="{00000000-0005-0000-0000-00002D550000}"/>
    <cellStyle name="Normal 3 2" xfId="54" xr:uid="{00000000-0005-0000-0000-00006C530000}"/>
    <cellStyle name="Normal 3 2 2" xfId="11477" xr:uid="{00000000-0005-0000-0000-00006D530000}"/>
    <cellStyle name="Normal 3 2 2 2" xfId="22765" xr:uid="{00000000-0005-0000-0000-00006E530000}"/>
    <cellStyle name="Normal 3 2 2 3" xfId="29080" xr:uid="{00000000-0005-0000-0000-000031550000}"/>
    <cellStyle name="Normal 3 2 3" xfId="9483" xr:uid="{00000000-0005-0000-0000-00006F530000}"/>
    <cellStyle name="Normal 3 2 3 2" xfId="20771" xr:uid="{00000000-0005-0000-0000-000070530000}"/>
    <cellStyle name="Normal 3 2 4" xfId="7489" xr:uid="{00000000-0005-0000-0000-000071530000}"/>
    <cellStyle name="Normal 3 2 4 2" xfId="18777" xr:uid="{00000000-0005-0000-0000-000072530000}"/>
    <cellStyle name="Normal 3 2 5" xfId="5495" xr:uid="{00000000-0005-0000-0000-000073530000}"/>
    <cellStyle name="Normal 3 2 5 2" xfId="16783" xr:uid="{00000000-0005-0000-0000-000074530000}"/>
    <cellStyle name="Normal 3 2 6" xfId="3260" xr:uid="{00000000-0005-0000-0000-000075530000}"/>
    <cellStyle name="Normal 3 2 6 2" xfId="14789" xr:uid="{00000000-0005-0000-0000-000076530000}"/>
    <cellStyle name="Normal 3 2 7" xfId="25787" xr:uid="{00000000-0005-0000-0000-000077530000}"/>
    <cellStyle name="Normal 3 3" xfId="355" xr:uid="{00000000-0005-0000-0000-000078530000}"/>
    <cellStyle name="Normal 3 3 2" xfId="438" xr:uid="{00000000-0005-0000-0000-000079530000}"/>
    <cellStyle name="Normal 3 3 2 2" xfId="524" xr:uid="{00000000-0005-0000-0000-00007A530000}"/>
    <cellStyle name="Normal 3 3 2 2 2" xfId="13887" xr:uid="{00000000-0005-0000-0000-00007B530000}"/>
    <cellStyle name="Normal 3 3 2 3" xfId="12474" xr:uid="{00000000-0005-0000-0000-00007C530000}"/>
    <cellStyle name="Normal 3 3 2 3 2" xfId="23762" xr:uid="{00000000-0005-0000-0000-00007D530000}"/>
    <cellStyle name="Normal 3 3 2 4" xfId="13810" xr:uid="{00000000-0005-0000-0000-00007E530000}"/>
    <cellStyle name="Normal 3 3 2 5" xfId="29081" xr:uid="{00000000-0005-0000-0000-000042550000}"/>
    <cellStyle name="Normal 3 3 3" xfId="487" xr:uid="{00000000-0005-0000-0000-00007F530000}"/>
    <cellStyle name="Normal 3 3 3 2" xfId="10480" xr:uid="{00000000-0005-0000-0000-000080530000}"/>
    <cellStyle name="Normal 3 3 3 2 2" xfId="21768" xr:uid="{00000000-0005-0000-0000-000081530000}"/>
    <cellStyle name="Normal 3 3 3 3" xfId="13850" xr:uid="{00000000-0005-0000-0000-000082530000}"/>
    <cellStyle name="Normal 3 3 4" xfId="8486" xr:uid="{00000000-0005-0000-0000-000083530000}"/>
    <cellStyle name="Normal 3 3 4 2" xfId="19774" xr:uid="{00000000-0005-0000-0000-000084530000}"/>
    <cellStyle name="Normal 3 3 5" xfId="6492" xr:uid="{00000000-0005-0000-0000-000085530000}"/>
    <cellStyle name="Normal 3 3 5 2" xfId="17780" xr:uid="{00000000-0005-0000-0000-000086530000}"/>
    <cellStyle name="Normal 3 3 6" xfId="4495" xr:uid="{00000000-0005-0000-0000-000087530000}"/>
    <cellStyle name="Normal 3 3 6 2" xfId="15786" xr:uid="{00000000-0005-0000-0000-000088530000}"/>
    <cellStyle name="Normal 3 3 7" xfId="13765" xr:uid="{00000000-0005-0000-0000-000089530000}"/>
    <cellStyle name="Normal 3 3 8" xfId="24144" xr:uid="{00000000-0005-0000-0000-00008A530000}"/>
    <cellStyle name="Normal 3 3 8 2" xfId="27081" xr:uid="{00000000-0005-0000-0000-0000A0530000}"/>
    <cellStyle name="Normal 3 4" xfId="407" xr:uid="{00000000-0005-0000-0000-00008B530000}"/>
    <cellStyle name="Normal 3 4 2" xfId="507" xr:uid="{00000000-0005-0000-0000-00008C530000}"/>
    <cellStyle name="Normal 3 4 2 2" xfId="13870" xr:uid="{00000000-0005-0000-0000-00008D530000}"/>
    <cellStyle name="Normal 3 4 2 3" xfId="24419" xr:uid="{00000000-0005-0000-0000-00008E530000}"/>
    <cellStyle name="Normal 3 4 2 4" xfId="24863" xr:uid="{00000000-0005-0000-0000-00008F530000}"/>
    <cellStyle name="Normal 3 4 2 5" xfId="25226" xr:uid="{00000000-0005-0000-0000-000090530000}"/>
    <cellStyle name="Normal 3 4 2 6" xfId="29082" xr:uid="{00000000-0005-0000-0000-000055550000}"/>
    <cellStyle name="Normal 3 4 3" xfId="13789" xr:uid="{00000000-0005-0000-0000-000091530000}"/>
    <cellStyle name="Normal 3 4 4" xfId="24145" xr:uid="{00000000-0005-0000-0000-000092530000}"/>
    <cellStyle name="Normal 3 4 5" xfId="24716" xr:uid="{00000000-0005-0000-0000-000093530000}"/>
    <cellStyle name="Normal 3 4 6" xfId="25032" xr:uid="{00000000-0005-0000-0000-000094530000}"/>
    <cellStyle name="Normal 3 4 7" xfId="28791" xr:uid="{00000000-0005-0000-0000-00005A550000}"/>
    <cellStyle name="Normal 3 5" xfId="386" xr:uid="{00000000-0005-0000-0000-000095530000}"/>
    <cellStyle name="Normal 3 5 2" xfId="29083" xr:uid="{00000000-0005-0000-0000-00005C550000}"/>
    <cellStyle name="Normal 3 5 3" xfId="28792" xr:uid="{00000000-0005-0000-0000-00005D550000}"/>
    <cellStyle name="Normal 3 6" xfId="472" xr:uid="{00000000-0005-0000-0000-000096530000}"/>
    <cellStyle name="Normal 3 6 2" xfId="13835" xr:uid="{00000000-0005-0000-0000-000097530000}"/>
    <cellStyle name="Normal 3 6 2 2" xfId="29084" xr:uid="{00000000-0005-0000-0000-000060550000}"/>
    <cellStyle name="Normal 3 6 3" xfId="28793" xr:uid="{00000000-0005-0000-0000-000061550000}"/>
    <cellStyle name="Normal 3 7" xfId="658" xr:uid="{00000000-0005-0000-0000-000098530000}"/>
    <cellStyle name="Normal 3 7 2" xfId="13911" xr:uid="{00000000-0005-0000-0000-000099530000}"/>
    <cellStyle name="Normal 3 7 2 2" xfId="29085" xr:uid="{00000000-0005-0000-0000-000064550000}"/>
    <cellStyle name="Normal 3 7 3" xfId="28794" xr:uid="{00000000-0005-0000-0000-000065550000}"/>
    <cellStyle name="Normal 3 8" xfId="13612" xr:uid="{00000000-0005-0000-0000-00009A530000}"/>
    <cellStyle name="Normal 3 8 2" xfId="29086" xr:uid="{00000000-0005-0000-0000-000067550000}"/>
    <cellStyle name="Normal 3 8 3" xfId="28795" xr:uid="{00000000-0005-0000-0000-000068550000}"/>
    <cellStyle name="Normal 3 9" xfId="12599" xr:uid="{00000000-0005-0000-0000-00009B530000}"/>
    <cellStyle name="Normal 3 9 2" xfId="29087" xr:uid="{00000000-0005-0000-0000-00006A550000}"/>
    <cellStyle name="Normal 3 9 3" xfId="28796" xr:uid="{00000000-0005-0000-0000-00006B550000}"/>
    <cellStyle name="Normal 30" xfId="470" xr:uid="{00000000-0005-0000-0000-00009C530000}"/>
    <cellStyle name="Normal 30 10" xfId="27909" xr:uid="{00000000-0005-0000-0000-0000B3530000}"/>
    <cellStyle name="Normal 30 11" xfId="26035" xr:uid="{00000000-0005-0000-0000-0000B2530000}"/>
    <cellStyle name="Normal 30 2" xfId="4496" xr:uid="{00000000-0005-0000-0000-00009D530000}"/>
    <cellStyle name="Normal 30 2 2" xfId="12475" xr:uid="{00000000-0005-0000-0000-00009E530000}"/>
    <cellStyle name="Normal 30 2 2 2" xfId="23763" xr:uid="{00000000-0005-0000-0000-00009F530000}"/>
    <cellStyle name="Normal 30 2 3" xfId="10481" xr:uid="{00000000-0005-0000-0000-0000A0530000}"/>
    <cellStyle name="Normal 30 2 3 2" xfId="21769" xr:uid="{00000000-0005-0000-0000-0000A1530000}"/>
    <cellStyle name="Normal 30 2 4" xfId="8487" xr:uid="{00000000-0005-0000-0000-0000A2530000}"/>
    <cellStyle name="Normal 30 2 4 2" xfId="19775" xr:uid="{00000000-0005-0000-0000-0000A3530000}"/>
    <cellStyle name="Normal 30 2 5" xfId="6493" xr:uid="{00000000-0005-0000-0000-0000A4530000}"/>
    <cellStyle name="Normal 30 2 5 2" xfId="17781" xr:uid="{00000000-0005-0000-0000-0000A5530000}"/>
    <cellStyle name="Normal 30 2 6" xfId="15787" xr:uid="{00000000-0005-0000-0000-0000A6530000}"/>
    <cellStyle name="Normal 30 2 7" xfId="29088" xr:uid="{00000000-0005-0000-0000-000077550000}"/>
    <cellStyle name="Normal 30 3" xfId="11478" xr:uid="{00000000-0005-0000-0000-0000A7530000}"/>
    <cellStyle name="Normal 30 3 2" xfId="22766" xr:uid="{00000000-0005-0000-0000-0000A8530000}"/>
    <cellStyle name="Normal 30 4" xfId="9484" xr:uid="{00000000-0005-0000-0000-0000A9530000}"/>
    <cellStyle name="Normal 30 4 2" xfId="20772" xr:uid="{00000000-0005-0000-0000-0000AA530000}"/>
    <cellStyle name="Normal 30 5" xfId="7490" xr:uid="{00000000-0005-0000-0000-0000AB530000}"/>
    <cellStyle name="Normal 30 5 2" xfId="18778" xr:uid="{00000000-0005-0000-0000-0000AC530000}"/>
    <cellStyle name="Normal 30 6" xfId="5496" xr:uid="{00000000-0005-0000-0000-0000AD530000}"/>
    <cellStyle name="Normal 30 6 2" xfId="16784" xr:uid="{00000000-0005-0000-0000-0000AE530000}"/>
    <cellStyle name="Normal 30 7" xfId="3261" xr:uid="{00000000-0005-0000-0000-0000AF530000}"/>
    <cellStyle name="Normal 30 7 2" xfId="14790" xr:uid="{00000000-0005-0000-0000-0000B0530000}"/>
    <cellStyle name="Normal 30 8" xfId="13833" xr:uid="{00000000-0005-0000-0000-0000B1530000}"/>
    <cellStyle name="Normal 30 8 2" xfId="26682" xr:uid="{00000000-0005-0000-0000-0000C8530000}"/>
    <cellStyle name="Normal 30 9" xfId="13474" xr:uid="{00000000-0005-0000-0000-0000B2530000}"/>
    <cellStyle name="Normal 31" xfId="3262" xr:uid="{00000000-0005-0000-0000-0000B3530000}"/>
    <cellStyle name="Normal 31 2" xfId="4497" xr:uid="{00000000-0005-0000-0000-0000B4530000}"/>
    <cellStyle name="Normal 31 2 2" xfId="12476" xr:uid="{00000000-0005-0000-0000-0000B5530000}"/>
    <cellStyle name="Normal 31 2 2 2" xfId="23764" xr:uid="{00000000-0005-0000-0000-0000B6530000}"/>
    <cellStyle name="Normal 31 2 3" xfId="10482" xr:uid="{00000000-0005-0000-0000-0000B7530000}"/>
    <cellStyle name="Normal 31 2 3 2" xfId="21770" xr:uid="{00000000-0005-0000-0000-0000B8530000}"/>
    <cellStyle name="Normal 31 2 4" xfId="8488" xr:uid="{00000000-0005-0000-0000-0000B9530000}"/>
    <cellStyle name="Normal 31 2 4 2" xfId="19776" xr:uid="{00000000-0005-0000-0000-0000BA530000}"/>
    <cellStyle name="Normal 31 2 5" xfId="6494" xr:uid="{00000000-0005-0000-0000-0000BB530000}"/>
    <cellStyle name="Normal 31 2 5 2" xfId="17782" xr:uid="{00000000-0005-0000-0000-0000BC530000}"/>
    <cellStyle name="Normal 31 2 6" xfId="15788" xr:uid="{00000000-0005-0000-0000-0000BD530000}"/>
    <cellStyle name="Normal 31 2 7" xfId="29089" xr:uid="{00000000-0005-0000-0000-00008F550000}"/>
    <cellStyle name="Normal 31 3" xfId="11479" xr:uid="{00000000-0005-0000-0000-0000BE530000}"/>
    <cellStyle name="Normal 31 3 2" xfId="22767" xr:uid="{00000000-0005-0000-0000-0000BF530000}"/>
    <cellStyle name="Normal 31 4" xfId="9485" xr:uid="{00000000-0005-0000-0000-0000C0530000}"/>
    <cellStyle name="Normal 31 4 2" xfId="20773" xr:uid="{00000000-0005-0000-0000-0000C1530000}"/>
    <cellStyle name="Normal 31 5" xfId="7491" xr:uid="{00000000-0005-0000-0000-0000C2530000}"/>
    <cellStyle name="Normal 31 5 2" xfId="18779" xr:uid="{00000000-0005-0000-0000-0000C3530000}"/>
    <cellStyle name="Normal 31 6" xfId="5497" xr:uid="{00000000-0005-0000-0000-0000C4530000}"/>
    <cellStyle name="Normal 31 6 2" xfId="16785" xr:uid="{00000000-0005-0000-0000-0000C5530000}"/>
    <cellStyle name="Normal 31 7" xfId="14791" xr:uid="{00000000-0005-0000-0000-0000C6530000}"/>
    <cellStyle name="Normal 31 8" xfId="13475" xr:uid="{00000000-0005-0000-0000-0000C7530000}"/>
    <cellStyle name="Normal 31 9" xfId="24471" xr:uid="{00000000-0005-0000-0000-0000C8530000}"/>
    <cellStyle name="Normal 31 9 2" xfId="27171" xr:uid="{00000000-0005-0000-0000-0000DF530000}"/>
    <cellStyle name="Normal 32" xfId="3263" xr:uid="{00000000-0005-0000-0000-0000C9530000}"/>
    <cellStyle name="Normal 32 2" xfId="4498" xr:uid="{00000000-0005-0000-0000-0000CA530000}"/>
    <cellStyle name="Normal 32 2 2" xfId="12477" xr:uid="{00000000-0005-0000-0000-0000CB530000}"/>
    <cellStyle name="Normal 32 2 2 2" xfId="23765" xr:uid="{00000000-0005-0000-0000-0000CC530000}"/>
    <cellStyle name="Normal 32 2 3" xfId="10483" xr:uid="{00000000-0005-0000-0000-0000CD530000}"/>
    <cellStyle name="Normal 32 2 3 2" xfId="21771" xr:uid="{00000000-0005-0000-0000-0000CE530000}"/>
    <cellStyle name="Normal 32 2 4" xfId="8489" xr:uid="{00000000-0005-0000-0000-0000CF530000}"/>
    <cellStyle name="Normal 32 2 4 2" xfId="19777" xr:uid="{00000000-0005-0000-0000-0000D0530000}"/>
    <cellStyle name="Normal 32 2 5" xfId="6495" xr:uid="{00000000-0005-0000-0000-0000D1530000}"/>
    <cellStyle name="Normal 32 2 5 2" xfId="17783" xr:uid="{00000000-0005-0000-0000-0000D2530000}"/>
    <cellStyle name="Normal 32 2 6" xfId="15789" xr:uid="{00000000-0005-0000-0000-0000D3530000}"/>
    <cellStyle name="Normal 32 2 7" xfId="29090" xr:uid="{00000000-0005-0000-0000-0000A6550000}"/>
    <cellStyle name="Normal 32 3" xfId="11480" xr:uid="{00000000-0005-0000-0000-0000D4530000}"/>
    <cellStyle name="Normal 32 3 2" xfId="22768" xr:uid="{00000000-0005-0000-0000-0000D5530000}"/>
    <cellStyle name="Normal 32 4" xfId="9486" xr:uid="{00000000-0005-0000-0000-0000D6530000}"/>
    <cellStyle name="Normal 32 4 2" xfId="20774" xr:uid="{00000000-0005-0000-0000-0000D7530000}"/>
    <cellStyle name="Normal 32 5" xfId="7492" xr:uid="{00000000-0005-0000-0000-0000D8530000}"/>
    <cellStyle name="Normal 32 5 2" xfId="18780" xr:uid="{00000000-0005-0000-0000-0000D9530000}"/>
    <cellStyle name="Normal 32 6" xfId="5498" xr:uid="{00000000-0005-0000-0000-0000DA530000}"/>
    <cellStyle name="Normal 32 6 2" xfId="16786" xr:uid="{00000000-0005-0000-0000-0000DB530000}"/>
    <cellStyle name="Normal 32 7" xfId="14792" xr:uid="{00000000-0005-0000-0000-0000DC530000}"/>
    <cellStyle name="Normal 32 8" xfId="13476" xr:uid="{00000000-0005-0000-0000-0000DD530000}"/>
    <cellStyle name="Normal 32 9" xfId="24392" xr:uid="{00000000-0005-0000-0000-0000DE530000}"/>
    <cellStyle name="Normal 32 9 2" xfId="27152" xr:uid="{00000000-0005-0000-0000-0000F5530000}"/>
    <cellStyle name="Normal 33" xfId="3264" xr:uid="{00000000-0005-0000-0000-0000DF530000}"/>
    <cellStyle name="Normal 33 2" xfId="4499" xr:uid="{00000000-0005-0000-0000-0000E0530000}"/>
    <cellStyle name="Normal 33 2 2" xfId="12478" xr:uid="{00000000-0005-0000-0000-0000E1530000}"/>
    <cellStyle name="Normal 33 2 2 2" xfId="23766" xr:uid="{00000000-0005-0000-0000-0000E2530000}"/>
    <cellStyle name="Normal 33 2 3" xfId="10484" xr:uid="{00000000-0005-0000-0000-0000E3530000}"/>
    <cellStyle name="Normal 33 2 3 2" xfId="21772" xr:uid="{00000000-0005-0000-0000-0000E4530000}"/>
    <cellStyle name="Normal 33 2 4" xfId="8490" xr:uid="{00000000-0005-0000-0000-0000E5530000}"/>
    <cellStyle name="Normal 33 2 4 2" xfId="19778" xr:uid="{00000000-0005-0000-0000-0000E6530000}"/>
    <cellStyle name="Normal 33 2 5" xfId="6496" xr:uid="{00000000-0005-0000-0000-0000E7530000}"/>
    <cellStyle name="Normal 33 2 5 2" xfId="17784" xr:uid="{00000000-0005-0000-0000-0000E8530000}"/>
    <cellStyle name="Normal 33 2 6" xfId="15790" xr:uid="{00000000-0005-0000-0000-0000E9530000}"/>
    <cellStyle name="Normal 33 2 7" xfId="29091" xr:uid="{00000000-0005-0000-0000-0000BD550000}"/>
    <cellStyle name="Normal 33 3" xfId="11481" xr:uid="{00000000-0005-0000-0000-0000EA530000}"/>
    <cellStyle name="Normal 33 3 2" xfId="22769" xr:uid="{00000000-0005-0000-0000-0000EB530000}"/>
    <cellStyle name="Normal 33 4" xfId="9487" xr:uid="{00000000-0005-0000-0000-0000EC530000}"/>
    <cellStyle name="Normal 33 4 2" xfId="20775" xr:uid="{00000000-0005-0000-0000-0000ED530000}"/>
    <cellStyle name="Normal 33 5" xfId="7493" xr:uid="{00000000-0005-0000-0000-0000EE530000}"/>
    <cellStyle name="Normal 33 5 2" xfId="18781" xr:uid="{00000000-0005-0000-0000-0000EF530000}"/>
    <cellStyle name="Normal 33 6" xfId="5499" xr:uid="{00000000-0005-0000-0000-0000F0530000}"/>
    <cellStyle name="Normal 33 6 2" xfId="16787" xr:uid="{00000000-0005-0000-0000-0000F1530000}"/>
    <cellStyle name="Normal 33 7" xfId="14793" xr:uid="{00000000-0005-0000-0000-0000F2530000}"/>
    <cellStyle name="Normal 33 8" xfId="13477" xr:uid="{00000000-0005-0000-0000-0000F3530000}"/>
    <cellStyle name="Normal 33 9" xfId="24487" xr:uid="{00000000-0005-0000-0000-0000F4530000}"/>
    <cellStyle name="Normal 33 9 2" xfId="27179" xr:uid="{00000000-0005-0000-0000-00000B540000}"/>
    <cellStyle name="Normal 34" xfId="3265" xr:uid="{00000000-0005-0000-0000-0000F5530000}"/>
    <cellStyle name="Normal 34 2" xfId="4500" xr:uid="{00000000-0005-0000-0000-0000F6530000}"/>
    <cellStyle name="Normal 34 2 2" xfId="12479" xr:uid="{00000000-0005-0000-0000-0000F7530000}"/>
    <cellStyle name="Normal 34 2 2 2" xfId="23767" xr:uid="{00000000-0005-0000-0000-0000F8530000}"/>
    <cellStyle name="Normal 34 2 3" xfId="10485" xr:uid="{00000000-0005-0000-0000-0000F9530000}"/>
    <cellStyle name="Normal 34 2 3 2" xfId="21773" xr:uid="{00000000-0005-0000-0000-0000FA530000}"/>
    <cellStyle name="Normal 34 2 4" xfId="8491" xr:uid="{00000000-0005-0000-0000-0000FB530000}"/>
    <cellStyle name="Normal 34 2 4 2" xfId="19779" xr:uid="{00000000-0005-0000-0000-0000FC530000}"/>
    <cellStyle name="Normal 34 2 5" xfId="6497" xr:uid="{00000000-0005-0000-0000-0000FD530000}"/>
    <cellStyle name="Normal 34 2 5 2" xfId="17785" xr:uid="{00000000-0005-0000-0000-0000FE530000}"/>
    <cellStyle name="Normal 34 2 6" xfId="15791" xr:uid="{00000000-0005-0000-0000-0000FF530000}"/>
    <cellStyle name="Normal 34 2 7" xfId="29092" xr:uid="{00000000-0005-0000-0000-0000D4550000}"/>
    <cellStyle name="Normal 34 3" xfId="11482" xr:uid="{00000000-0005-0000-0000-000000540000}"/>
    <cellStyle name="Normal 34 3 2" xfId="22770" xr:uid="{00000000-0005-0000-0000-000001540000}"/>
    <cellStyle name="Normal 34 4" xfId="9488" xr:uid="{00000000-0005-0000-0000-000002540000}"/>
    <cellStyle name="Normal 34 4 2" xfId="20776" xr:uid="{00000000-0005-0000-0000-000003540000}"/>
    <cellStyle name="Normal 34 5" xfId="7494" xr:uid="{00000000-0005-0000-0000-000004540000}"/>
    <cellStyle name="Normal 34 5 2" xfId="18782" xr:uid="{00000000-0005-0000-0000-000005540000}"/>
    <cellStyle name="Normal 34 6" xfId="5500" xr:uid="{00000000-0005-0000-0000-000006540000}"/>
    <cellStyle name="Normal 34 6 2" xfId="16788" xr:uid="{00000000-0005-0000-0000-000007540000}"/>
    <cellStyle name="Normal 34 7" xfId="14794" xr:uid="{00000000-0005-0000-0000-000008540000}"/>
    <cellStyle name="Normal 34 8" xfId="13478" xr:uid="{00000000-0005-0000-0000-000009540000}"/>
    <cellStyle name="Normal 34 9" xfId="24470" xr:uid="{00000000-0005-0000-0000-00000A540000}"/>
    <cellStyle name="Normal 34 9 2" xfId="27170" xr:uid="{00000000-0005-0000-0000-000021540000}"/>
    <cellStyle name="Normal 35" xfId="3266" xr:uid="{00000000-0005-0000-0000-00000B540000}"/>
    <cellStyle name="Normal 35 2" xfId="4501" xr:uid="{00000000-0005-0000-0000-00000C540000}"/>
    <cellStyle name="Normal 35 2 2" xfId="12480" xr:uid="{00000000-0005-0000-0000-00000D540000}"/>
    <cellStyle name="Normal 35 2 2 2" xfId="23768" xr:uid="{00000000-0005-0000-0000-00000E540000}"/>
    <cellStyle name="Normal 35 2 3" xfId="10486" xr:uid="{00000000-0005-0000-0000-00000F540000}"/>
    <cellStyle name="Normal 35 2 3 2" xfId="21774" xr:uid="{00000000-0005-0000-0000-000010540000}"/>
    <cellStyle name="Normal 35 2 4" xfId="8492" xr:uid="{00000000-0005-0000-0000-000011540000}"/>
    <cellStyle name="Normal 35 2 4 2" xfId="19780" xr:uid="{00000000-0005-0000-0000-000012540000}"/>
    <cellStyle name="Normal 35 2 5" xfId="6498" xr:uid="{00000000-0005-0000-0000-000013540000}"/>
    <cellStyle name="Normal 35 2 5 2" xfId="17786" xr:uid="{00000000-0005-0000-0000-000014540000}"/>
    <cellStyle name="Normal 35 2 6" xfId="15792" xr:uid="{00000000-0005-0000-0000-000015540000}"/>
    <cellStyle name="Normal 35 2 7" xfId="29093" xr:uid="{00000000-0005-0000-0000-0000EB550000}"/>
    <cellStyle name="Normal 35 3" xfId="11483" xr:uid="{00000000-0005-0000-0000-000016540000}"/>
    <cellStyle name="Normal 35 3 2" xfId="22771" xr:uid="{00000000-0005-0000-0000-000017540000}"/>
    <cellStyle name="Normal 35 4" xfId="9489" xr:uid="{00000000-0005-0000-0000-000018540000}"/>
    <cellStyle name="Normal 35 4 2" xfId="20777" xr:uid="{00000000-0005-0000-0000-000019540000}"/>
    <cellStyle name="Normal 35 5" xfId="7495" xr:uid="{00000000-0005-0000-0000-00001A540000}"/>
    <cellStyle name="Normal 35 5 2" xfId="18783" xr:uid="{00000000-0005-0000-0000-00001B540000}"/>
    <cellStyle name="Normal 35 6" xfId="5501" xr:uid="{00000000-0005-0000-0000-00001C540000}"/>
    <cellStyle name="Normal 35 6 2" xfId="16789" xr:uid="{00000000-0005-0000-0000-00001D540000}"/>
    <cellStyle name="Normal 35 7" xfId="14795" xr:uid="{00000000-0005-0000-0000-00001E540000}"/>
    <cellStyle name="Normal 35 8" xfId="13479" xr:uid="{00000000-0005-0000-0000-00001F540000}"/>
    <cellStyle name="Normal 35 9" xfId="24501" xr:uid="{00000000-0005-0000-0000-000020540000}"/>
    <cellStyle name="Normal 35 9 2" xfId="27191" xr:uid="{00000000-0005-0000-0000-000037540000}"/>
    <cellStyle name="Normal 36" xfId="3267" xr:uid="{00000000-0005-0000-0000-000021540000}"/>
    <cellStyle name="Normal 36 10" xfId="28797" xr:uid="{00000000-0005-0000-0000-0000F8550000}"/>
    <cellStyle name="Normal 36 2" xfId="4502" xr:uid="{00000000-0005-0000-0000-000022540000}"/>
    <cellStyle name="Normal 36 2 2" xfId="12481" xr:uid="{00000000-0005-0000-0000-000023540000}"/>
    <cellStyle name="Normal 36 2 2 2" xfId="23769" xr:uid="{00000000-0005-0000-0000-000024540000}"/>
    <cellStyle name="Normal 36 2 3" xfId="10487" xr:uid="{00000000-0005-0000-0000-000025540000}"/>
    <cellStyle name="Normal 36 2 3 2" xfId="21775" xr:uid="{00000000-0005-0000-0000-000026540000}"/>
    <cellStyle name="Normal 36 2 4" xfId="8493" xr:uid="{00000000-0005-0000-0000-000027540000}"/>
    <cellStyle name="Normal 36 2 4 2" xfId="19781" xr:uid="{00000000-0005-0000-0000-000028540000}"/>
    <cellStyle name="Normal 36 2 5" xfId="6499" xr:uid="{00000000-0005-0000-0000-000029540000}"/>
    <cellStyle name="Normal 36 2 5 2" xfId="17787" xr:uid="{00000000-0005-0000-0000-00002A540000}"/>
    <cellStyle name="Normal 36 2 6" xfId="15793" xr:uid="{00000000-0005-0000-0000-00002B540000}"/>
    <cellStyle name="Normal 36 3" xfId="11484" xr:uid="{00000000-0005-0000-0000-00002C540000}"/>
    <cellStyle name="Normal 36 3 2" xfId="22772" xr:uid="{00000000-0005-0000-0000-00002D540000}"/>
    <cellStyle name="Normal 36 4" xfId="9490" xr:uid="{00000000-0005-0000-0000-00002E540000}"/>
    <cellStyle name="Normal 36 4 2" xfId="20778" xr:uid="{00000000-0005-0000-0000-00002F540000}"/>
    <cellStyle name="Normal 36 5" xfId="7496" xr:uid="{00000000-0005-0000-0000-000030540000}"/>
    <cellStyle name="Normal 36 5 2" xfId="18784" xr:uid="{00000000-0005-0000-0000-000031540000}"/>
    <cellStyle name="Normal 36 6" xfId="5502" xr:uid="{00000000-0005-0000-0000-000032540000}"/>
    <cellStyle name="Normal 36 6 2" xfId="16790" xr:uid="{00000000-0005-0000-0000-000033540000}"/>
    <cellStyle name="Normal 36 7" xfId="14796" xr:uid="{00000000-0005-0000-0000-000034540000}"/>
    <cellStyle name="Normal 36 8" xfId="13480" xr:uid="{00000000-0005-0000-0000-000035540000}"/>
    <cellStyle name="Normal 36 9" xfId="24485" xr:uid="{00000000-0005-0000-0000-000036540000}"/>
    <cellStyle name="Normal 36 9 2" xfId="27178" xr:uid="{00000000-0005-0000-0000-00004D540000}"/>
    <cellStyle name="Normal 37" xfId="3268" xr:uid="{00000000-0005-0000-0000-000037540000}"/>
    <cellStyle name="Normal 37 2" xfId="4503" xr:uid="{00000000-0005-0000-0000-000038540000}"/>
    <cellStyle name="Normal 37 2 2" xfId="12482" xr:uid="{00000000-0005-0000-0000-000039540000}"/>
    <cellStyle name="Normal 37 2 2 2" xfId="23770" xr:uid="{00000000-0005-0000-0000-00003A540000}"/>
    <cellStyle name="Normal 37 2 3" xfId="10488" xr:uid="{00000000-0005-0000-0000-00003B540000}"/>
    <cellStyle name="Normal 37 2 3 2" xfId="21776" xr:uid="{00000000-0005-0000-0000-00003C540000}"/>
    <cellStyle name="Normal 37 2 4" xfId="8494" xr:uid="{00000000-0005-0000-0000-00003D540000}"/>
    <cellStyle name="Normal 37 2 4 2" xfId="19782" xr:uid="{00000000-0005-0000-0000-00003E540000}"/>
    <cellStyle name="Normal 37 2 5" xfId="6500" xr:uid="{00000000-0005-0000-0000-00003F540000}"/>
    <cellStyle name="Normal 37 2 5 2" xfId="17788" xr:uid="{00000000-0005-0000-0000-000040540000}"/>
    <cellStyle name="Normal 37 2 6" xfId="15794" xr:uid="{00000000-0005-0000-0000-000041540000}"/>
    <cellStyle name="Normal 37 3" xfId="11485" xr:uid="{00000000-0005-0000-0000-000042540000}"/>
    <cellStyle name="Normal 37 3 2" xfId="22773" xr:uid="{00000000-0005-0000-0000-000043540000}"/>
    <cellStyle name="Normal 37 4" xfId="9491" xr:uid="{00000000-0005-0000-0000-000044540000}"/>
    <cellStyle name="Normal 37 4 2" xfId="20779" xr:uid="{00000000-0005-0000-0000-000045540000}"/>
    <cellStyle name="Normal 37 5" xfId="7497" xr:uid="{00000000-0005-0000-0000-000046540000}"/>
    <cellStyle name="Normal 37 5 2" xfId="18785" xr:uid="{00000000-0005-0000-0000-000047540000}"/>
    <cellStyle name="Normal 37 6" xfId="5503" xr:uid="{00000000-0005-0000-0000-000048540000}"/>
    <cellStyle name="Normal 37 6 2" xfId="16791" xr:uid="{00000000-0005-0000-0000-000049540000}"/>
    <cellStyle name="Normal 37 7" xfId="14797" xr:uid="{00000000-0005-0000-0000-00004A540000}"/>
    <cellStyle name="Normal 37 8" xfId="13481" xr:uid="{00000000-0005-0000-0000-00004B540000}"/>
    <cellStyle name="Normal 37 9" xfId="24498" xr:uid="{00000000-0005-0000-0000-00004C540000}"/>
    <cellStyle name="Normal 37 9 2" xfId="27189" xr:uid="{00000000-0005-0000-0000-000063540000}"/>
    <cellStyle name="Normal 38" xfId="3269" xr:uid="{00000000-0005-0000-0000-00004D540000}"/>
    <cellStyle name="Normal 38 2" xfId="4504" xr:uid="{00000000-0005-0000-0000-00004E540000}"/>
    <cellStyle name="Normal 38 2 2" xfId="12483" xr:uid="{00000000-0005-0000-0000-00004F540000}"/>
    <cellStyle name="Normal 38 2 2 2" xfId="23771" xr:uid="{00000000-0005-0000-0000-000050540000}"/>
    <cellStyle name="Normal 38 2 3" xfId="10489" xr:uid="{00000000-0005-0000-0000-000051540000}"/>
    <cellStyle name="Normal 38 2 3 2" xfId="21777" xr:uid="{00000000-0005-0000-0000-000052540000}"/>
    <cellStyle name="Normal 38 2 4" xfId="8495" xr:uid="{00000000-0005-0000-0000-000053540000}"/>
    <cellStyle name="Normal 38 2 4 2" xfId="19783" xr:uid="{00000000-0005-0000-0000-000054540000}"/>
    <cellStyle name="Normal 38 2 5" xfId="6501" xr:uid="{00000000-0005-0000-0000-000055540000}"/>
    <cellStyle name="Normal 38 2 5 2" xfId="17789" xr:uid="{00000000-0005-0000-0000-000056540000}"/>
    <cellStyle name="Normal 38 2 6" xfId="15795" xr:uid="{00000000-0005-0000-0000-000057540000}"/>
    <cellStyle name="Normal 38 3" xfId="11486" xr:uid="{00000000-0005-0000-0000-000058540000}"/>
    <cellStyle name="Normal 38 3 2" xfId="22774" xr:uid="{00000000-0005-0000-0000-000059540000}"/>
    <cellStyle name="Normal 38 4" xfId="9492" xr:uid="{00000000-0005-0000-0000-00005A540000}"/>
    <cellStyle name="Normal 38 4 2" xfId="20780" xr:uid="{00000000-0005-0000-0000-00005B540000}"/>
    <cellStyle name="Normal 38 5" xfId="7498" xr:uid="{00000000-0005-0000-0000-00005C540000}"/>
    <cellStyle name="Normal 38 5 2" xfId="18786" xr:uid="{00000000-0005-0000-0000-00005D540000}"/>
    <cellStyle name="Normal 38 6" xfId="5504" xr:uid="{00000000-0005-0000-0000-00005E540000}"/>
    <cellStyle name="Normal 38 6 2" xfId="16792" xr:uid="{00000000-0005-0000-0000-00005F540000}"/>
    <cellStyle name="Normal 38 7" xfId="14798" xr:uid="{00000000-0005-0000-0000-000060540000}"/>
    <cellStyle name="Normal 38 8" xfId="13482" xr:uid="{00000000-0005-0000-0000-000061540000}"/>
    <cellStyle name="Normal 38 9" xfId="24459" xr:uid="{00000000-0005-0000-0000-000062540000}"/>
    <cellStyle name="Normal 38 9 2" xfId="27167" xr:uid="{00000000-0005-0000-0000-000079540000}"/>
    <cellStyle name="Normal 39" xfId="3270" xr:uid="{00000000-0005-0000-0000-000063540000}"/>
    <cellStyle name="Normal 39 2" xfId="4505" xr:uid="{00000000-0005-0000-0000-000064540000}"/>
    <cellStyle name="Normal 39 2 2" xfId="12484" xr:uid="{00000000-0005-0000-0000-000065540000}"/>
    <cellStyle name="Normal 39 2 2 2" xfId="23772" xr:uid="{00000000-0005-0000-0000-000066540000}"/>
    <cellStyle name="Normal 39 2 3" xfId="10490" xr:uid="{00000000-0005-0000-0000-000067540000}"/>
    <cellStyle name="Normal 39 2 3 2" xfId="21778" xr:uid="{00000000-0005-0000-0000-000068540000}"/>
    <cellStyle name="Normal 39 2 4" xfId="8496" xr:uid="{00000000-0005-0000-0000-000069540000}"/>
    <cellStyle name="Normal 39 2 4 2" xfId="19784" xr:uid="{00000000-0005-0000-0000-00006A540000}"/>
    <cellStyle name="Normal 39 2 5" xfId="6502" xr:uid="{00000000-0005-0000-0000-00006B540000}"/>
    <cellStyle name="Normal 39 2 5 2" xfId="17790" xr:uid="{00000000-0005-0000-0000-00006C540000}"/>
    <cellStyle name="Normal 39 2 6" xfId="15796" xr:uid="{00000000-0005-0000-0000-00006D540000}"/>
    <cellStyle name="Normal 39 3" xfId="11487" xr:uid="{00000000-0005-0000-0000-00006E540000}"/>
    <cellStyle name="Normal 39 3 2" xfId="22775" xr:uid="{00000000-0005-0000-0000-00006F540000}"/>
    <cellStyle name="Normal 39 4" xfId="9493" xr:uid="{00000000-0005-0000-0000-000070540000}"/>
    <cellStyle name="Normal 39 4 2" xfId="20781" xr:uid="{00000000-0005-0000-0000-000071540000}"/>
    <cellStyle name="Normal 39 5" xfId="7499" xr:uid="{00000000-0005-0000-0000-000072540000}"/>
    <cellStyle name="Normal 39 5 2" xfId="18787" xr:uid="{00000000-0005-0000-0000-000073540000}"/>
    <cellStyle name="Normal 39 6" xfId="5505" xr:uid="{00000000-0005-0000-0000-000074540000}"/>
    <cellStyle name="Normal 39 6 2" xfId="16793" xr:uid="{00000000-0005-0000-0000-000075540000}"/>
    <cellStyle name="Normal 39 7" xfId="14799" xr:uid="{00000000-0005-0000-0000-000076540000}"/>
    <cellStyle name="Normal 39 8" xfId="13483" xr:uid="{00000000-0005-0000-0000-000077540000}"/>
    <cellStyle name="Normal 39 9" xfId="24494" xr:uid="{00000000-0005-0000-0000-000078540000}"/>
    <cellStyle name="Normal 39 9 2" xfId="27185" xr:uid="{00000000-0005-0000-0000-00008F540000}"/>
    <cellStyle name="Normal 4" xfId="55" xr:uid="{00000000-0005-0000-0000-000079540000}"/>
    <cellStyle name="Normal 4 10" xfId="24146" xr:uid="{00000000-0005-0000-0000-00007A540000}"/>
    <cellStyle name="Normal 4 10 2" xfId="29094" xr:uid="{00000000-0005-0000-0000-000052560000}"/>
    <cellStyle name="Normal 4 10 3" xfId="28798" xr:uid="{00000000-0005-0000-0000-000053560000}"/>
    <cellStyle name="Normal 4 11" xfId="24717" xr:uid="{00000000-0005-0000-0000-00007B540000}"/>
    <cellStyle name="Normal 4 11 2" xfId="29095" xr:uid="{00000000-0005-0000-0000-000055560000}"/>
    <cellStyle name="Normal 4 11 3" xfId="28799" xr:uid="{00000000-0005-0000-0000-000056560000}"/>
    <cellStyle name="Normal 4 12" xfId="25033" xr:uid="{00000000-0005-0000-0000-00007C540000}"/>
    <cellStyle name="Normal 4 12 2" xfId="29096" xr:uid="{00000000-0005-0000-0000-000058560000}"/>
    <cellStyle name="Normal 4 12 3" xfId="28800" xr:uid="{00000000-0005-0000-0000-000059560000}"/>
    <cellStyle name="Normal 4 13" xfId="25774" xr:uid="{00000000-0005-0000-0000-00007D540000}"/>
    <cellStyle name="Normal 4 13 2" xfId="29097" xr:uid="{00000000-0005-0000-0000-00005B560000}"/>
    <cellStyle name="Normal 4 14" xfId="29166" xr:uid="{00000000-0005-0000-0000-00005C560000}"/>
    <cellStyle name="Normal 4 2" xfId="164" xr:uid="{00000000-0005-0000-0000-00007E540000}"/>
    <cellStyle name="Normal 4 2 10" xfId="25788" xr:uid="{00000000-0005-0000-0000-00007F540000}"/>
    <cellStyle name="Normal 4 2 2" xfId="420" xr:uid="{00000000-0005-0000-0000-000080540000}"/>
    <cellStyle name="Normal 4 2 2 2" xfId="12485" xr:uid="{00000000-0005-0000-0000-000081540000}"/>
    <cellStyle name="Normal 4 2 2 2 2" xfId="23773" xr:uid="{00000000-0005-0000-0000-000082540000}"/>
    <cellStyle name="Normal 4 2 2 2 3" xfId="24422" xr:uid="{00000000-0005-0000-0000-000083540000}"/>
    <cellStyle name="Normal 4 2 2 2 4" xfId="24866" xr:uid="{00000000-0005-0000-0000-000084540000}"/>
    <cellStyle name="Normal 4 2 2 2 5" xfId="25229" xr:uid="{00000000-0005-0000-0000-000085540000}"/>
    <cellStyle name="Normal 4 2 2 3" xfId="24148" xr:uid="{00000000-0005-0000-0000-000086540000}"/>
    <cellStyle name="Normal 4 2 2 4" xfId="24719" xr:uid="{00000000-0005-0000-0000-000087540000}"/>
    <cellStyle name="Normal 4 2 2 5" xfId="25035" xr:uid="{00000000-0005-0000-0000-000088540000}"/>
    <cellStyle name="Normal 4 2 2 6" xfId="26015" xr:uid="{00000000-0005-0000-0000-000097540000}"/>
    <cellStyle name="Normal 4 2 2 6 2" xfId="29098" xr:uid="{00000000-0005-0000-0000-000068560000}"/>
    <cellStyle name="Normal 4 2 3" xfId="387" xr:uid="{00000000-0005-0000-0000-000089540000}"/>
    <cellStyle name="Normal 4 2 3 2" xfId="503" xr:uid="{00000000-0005-0000-0000-00008A540000}"/>
    <cellStyle name="Normal 4 2 3 2 2" xfId="13866" xr:uid="{00000000-0005-0000-0000-00008B540000}"/>
    <cellStyle name="Normal 4 2 3 3" xfId="10491" xr:uid="{00000000-0005-0000-0000-00008C540000}"/>
    <cellStyle name="Normal 4 2 3 3 2" xfId="21779" xr:uid="{00000000-0005-0000-0000-00008D540000}"/>
    <cellStyle name="Normal 4 2 3 4" xfId="13783" xr:uid="{00000000-0005-0000-0000-00008E540000}"/>
    <cellStyle name="Normal 4 2 3 5" xfId="24421" xr:uid="{00000000-0005-0000-0000-00008F540000}"/>
    <cellStyle name="Normal 4 2 3 6" xfId="24865" xr:uid="{00000000-0005-0000-0000-000090540000}"/>
    <cellStyle name="Normal 4 2 3 7" xfId="25228" xr:uid="{00000000-0005-0000-0000-000091540000}"/>
    <cellStyle name="Normal 4 2 4" xfId="8497" xr:uid="{00000000-0005-0000-0000-000092540000}"/>
    <cellStyle name="Normal 4 2 4 2" xfId="19785" xr:uid="{00000000-0005-0000-0000-000093540000}"/>
    <cellStyle name="Normal 4 2 5" xfId="6503" xr:uid="{00000000-0005-0000-0000-000094540000}"/>
    <cellStyle name="Normal 4 2 5 2" xfId="17791" xr:uid="{00000000-0005-0000-0000-000095540000}"/>
    <cellStyle name="Normal 4 2 6" xfId="4506" xr:uid="{00000000-0005-0000-0000-000096540000}"/>
    <cellStyle name="Normal 4 2 6 2" xfId="15797" xr:uid="{00000000-0005-0000-0000-000097540000}"/>
    <cellStyle name="Normal 4 2 7" xfId="24147" xr:uid="{00000000-0005-0000-0000-000098540000}"/>
    <cellStyle name="Normal 4 2 8" xfId="24718" xr:uid="{00000000-0005-0000-0000-000099540000}"/>
    <cellStyle name="Normal 4 2 9" xfId="25034" xr:uid="{00000000-0005-0000-0000-00009A540000}"/>
    <cellStyle name="Normal 4 3" xfId="170" xr:uid="{00000000-0005-0000-0000-00009B540000}"/>
    <cellStyle name="Normal 4 3 10" xfId="28801" xr:uid="{00000000-0005-0000-0000-00007C560000}"/>
    <cellStyle name="Normal 4 3 2" xfId="361" xr:uid="{00000000-0005-0000-0000-00009C540000}"/>
    <cellStyle name="Normal 4 3 2 2" xfId="443" xr:uid="{00000000-0005-0000-0000-00009D540000}"/>
    <cellStyle name="Normal 4 3 2 2 2" xfId="529" xr:uid="{00000000-0005-0000-0000-00009E540000}"/>
    <cellStyle name="Normal 4 3 2 2 2 2" xfId="13892" xr:uid="{00000000-0005-0000-0000-00009F540000}"/>
    <cellStyle name="Normal 4 3 2 2 3" xfId="13815" xr:uid="{00000000-0005-0000-0000-0000A0540000}"/>
    <cellStyle name="Normal 4 3 2 2 4" xfId="24424" xr:uid="{00000000-0005-0000-0000-0000A1540000}"/>
    <cellStyle name="Normal 4 3 2 2 5" xfId="24868" xr:uid="{00000000-0005-0000-0000-0000A2540000}"/>
    <cellStyle name="Normal 4 3 2 2 6" xfId="25231" xr:uid="{00000000-0005-0000-0000-0000A3540000}"/>
    <cellStyle name="Normal 4 3 2 3" xfId="492" xr:uid="{00000000-0005-0000-0000-0000A4540000}"/>
    <cellStyle name="Normal 4 3 2 3 2" xfId="13855" xr:uid="{00000000-0005-0000-0000-0000A5540000}"/>
    <cellStyle name="Normal 4 3 2 4" xfId="13771" xr:uid="{00000000-0005-0000-0000-0000A6540000}"/>
    <cellStyle name="Normal 4 3 2 5" xfId="24150" xr:uid="{00000000-0005-0000-0000-0000A7540000}"/>
    <cellStyle name="Normal 4 3 2 6" xfId="24721" xr:uid="{00000000-0005-0000-0000-0000A8540000}"/>
    <cellStyle name="Normal 4 3 2 7" xfId="25037" xr:uid="{00000000-0005-0000-0000-0000A9540000}"/>
    <cellStyle name="Normal 4 3 2 8" xfId="29099" xr:uid="{00000000-0005-0000-0000-00008B560000}"/>
    <cellStyle name="Normal 4 3 3" xfId="423" xr:uid="{00000000-0005-0000-0000-0000AA540000}"/>
    <cellStyle name="Normal 4 3 3 2" xfId="514" xr:uid="{00000000-0005-0000-0000-0000AB540000}"/>
    <cellStyle name="Normal 4 3 3 2 2" xfId="13877" xr:uid="{00000000-0005-0000-0000-0000AC540000}"/>
    <cellStyle name="Normal 4 3 3 3" xfId="13800" xr:uid="{00000000-0005-0000-0000-0000AD540000}"/>
    <cellStyle name="Normal 4 3 3 4" xfId="24423" xr:uid="{00000000-0005-0000-0000-0000AE540000}"/>
    <cellStyle name="Normal 4 3 3 5" xfId="24867" xr:uid="{00000000-0005-0000-0000-0000AF540000}"/>
    <cellStyle name="Normal 4 3 3 6" xfId="25230" xr:uid="{00000000-0005-0000-0000-0000B0540000}"/>
    <cellStyle name="Normal 4 3 4" xfId="477" xr:uid="{00000000-0005-0000-0000-0000B1540000}"/>
    <cellStyle name="Normal 4 3 4 2" xfId="13840" xr:uid="{00000000-0005-0000-0000-0000B2540000}"/>
    <cellStyle name="Normal 4 3 5" xfId="11488" xr:uid="{00000000-0005-0000-0000-0000B3540000}"/>
    <cellStyle name="Normal 4 3 5 2" xfId="22776" xr:uid="{00000000-0005-0000-0000-0000B4540000}"/>
    <cellStyle name="Normal 4 3 6" xfId="13685" xr:uid="{00000000-0005-0000-0000-0000B5540000}"/>
    <cellStyle name="Normal 4 3 7" xfId="24149" xr:uid="{00000000-0005-0000-0000-0000B6540000}"/>
    <cellStyle name="Normal 4 3 8" xfId="24720" xr:uid="{00000000-0005-0000-0000-0000B7540000}"/>
    <cellStyle name="Normal 4 3 9" xfId="25036" xr:uid="{00000000-0005-0000-0000-0000B8540000}"/>
    <cellStyle name="Normal 4 4" xfId="356" xr:uid="{00000000-0005-0000-0000-0000B9540000}"/>
    <cellStyle name="Normal 4 4 2" xfId="439" xr:uid="{00000000-0005-0000-0000-0000BA540000}"/>
    <cellStyle name="Normal 4 4 2 2" xfId="525" xr:uid="{00000000-0005-0000-0000-0000BB540000}"/>
    <cellStyle name="Normal 4 4 2 2 2" xfId="13888" xr:uid="{00000000-0005-0000-0000-0000BC540000}"/>
    <cellStyle name="Normal 4 4 2 3" xfId="13811" xr:uid="{00000000-0005-0000-0000-0000BD540000}"/>
    <cellStyle name="Normal 4 4 2 4" xfId="29100" xr:uid="{00000000-0005-0000-0000-0000A0560000}"/>
    <cellStyle name="Normal 4 4 3" xfId="488" xr:uid="{00000000-0005-0000-0000-0000BE540000}"/>
    <cellStyle name="Normal 4 4 3 2" xfId="13851" xr:uid="{00000000-0005-0000-0000-0000BF540000}"/>
    <cellStyle name="Normal 4 4 4" xfId="9494" xr:uid="{00000000-0005-0000-0000-0000C0540000}"/>
    <cellStyle name="Normal 4 4 4 2" xfId="20782" xr:uid="{00000000-0005-0000-0000-0000C1540000}"/>
    <cellStyle name="Normal 4 4 5" xfId="13766" xr:uid="{00000000-0005-0000-0000-0000C2540000}"/>
    <cellStyle name="Normal 4 4 6" xfId="24151" xr:uid="{00000000-0005-0000-0000-0000C3540000}"/>
    <cellStyle name="Normal 4 4 6 2" xfId="27082" xr:uid="{00000000-0005-0000-0000-0000DA540000}"/>
    <cellStyle name="Normal 4 5" xfId="473" xr:uid="{00000000-0005-0000-0000-0000C4540000}"/>
    <cellStyle name="Normal 4 5 2" xfId="7500" xr:uid="{00000000-0005-0000-0000-0000C5540000}"/>
    <cellStyle name="Normal 4 5 2 2" xfId="18788" xr:uid="{00000000-0005-0000-0000-0000C6540000}"/>
    <cellStyle name="Normal 4 5 2 3" xfId="29101" xr:uid="{00000000-0005-0000-0000-0000AA560000}"/>
    <cellStyle name="Normal 4 5 3" xfId="13836" xr:uid="{00000000-0005-0000-0000-0000C7540000}"/>
    <cellStyle name="Normal 4 5 4" xfId="24152" xr:uid="{00000000-0005-0000-0000-0000C8540000}"/>
    <cellStyle name="Normal 4 5 4 2" xfId="27083" xr:uid="{00000000-0005-0000-0000-0000DF540000}"/>
    <cellStyle name="Normal 4 6" xfId="659" xr:uid="{00000000-0005-0000-0000-0000C9540000}"/>
    <cellStyle name="Normal 4 6 2" xfId="5506" xr:uid="{00000000-0005-0000-0000-0000CA540000}"/>
    <cellStyle name="Normal 4 6 2 2" xfId="16794" xr:uid="{00000000-0005-0000-0000-0000CB540000}"/>
    <cellStyle name="Normal 4 6 2 3" xfId="24425" xr:uid="{00000000-0005-0000-0000-0000CC540000}"/>
    <cellStyle name="Normal 4 6 2 4" xfId="24869" xr:uid="{00000000-0005-0000-0000-0000CD540000}"/>
    <cellStyle name="Normal 4 6 2 5" xfId="25232" xr:uid="{00000000-0005-0000-0000-0000CE540000}"/>
    <cellStyle name="Normal 4 6 2 6" xfId="29102" xr:uid="{00000000-0005-0000-0000-0000B3560000}"/>
    <cellStyle name="Normal 4 6 3" xfId="13912" xr:uid="{00000000-0005-0000-0000-0000CF540000}"/>
    <cellStyle name="Normal 4 6 4" xfId="24153" xr:uid="{00000000-0005-0000-0000-0000D0540000}"/>
    <cellStyle name="Normal 4 6 5" xfId="24722" xr:uid="{00000000-0005-0000-0000-0000D1540000}"/>
    <cellStyle name="Normal 4 6 6" xfId="25038" xr:uid="{00000000-0005-0000-0000-0000D2540000}"/>
    <cellStyle name="Normal 4 6 7" xfId="28802" xr:uid="{00000000-0005-0000-0000-0000B8560000}"/>
    <cellStyle name="Normal 4 7" xfId="3271" xr:uid="{00000000-0005-0000-0000-0000D3540000}"/>
    <cellStyle name="Normal 4 7 2" xfId="14800" xr:uid="{00000000-0005-0000-0000-0000D4540000}"/>
    <cellStyle name="Normal 4 7 2 2" xfId="29103" xr:uid="{00000000-0005-0000-0000-0000BB560000}"/>
    <cellStyle name="Normal 4 7 3" xfId="24420" xr:uid="{00000000-0005-0000-0000-0000D5540000}"/>
    <cellStyle name="Normal 4 7 4" xfId="24864" xr:uid="{00000000-0005-0000-0000-0000D6540000}"/>
    <cellStyle name="Normal 4 7 5" xfId="25227" xr:uid="{00000000-0005-0000-0000-0000D7540000}"/>
    <cellStyle name="Normal 4 7 6" xfId="28803" xr:uid="{00000000-0005-0000-0000-0000BF560000}"/>
    <cellStyle name="Normal 4 8" xfId="13613" xr:uid="{00000000-0005-0000-0000-0000D8540000}"/>
    <cellStyle name="Normal 4 8 2" xfId="29104" xr:uid="{00000000-0005-0000-0000-0000C1560000}"/>
    <cellStyle name="Normal 4 8 3" xfId="28804" xr:uid="{00000000-0005-0000-0000-0000C2560000}"/>
    <cellStyle name="Normal 4 9" xfId="13484" xr:uid="{00000000-0005-0000-0000-0000D9540000}"/>
    <cellStyle name="Normal 4 9 2" xfId="29105" xr:uid="{00000000-0005-0000-0000-0000C4560000}"/>
    <cellStyle name="Normal 4 9 3" xfId="28805" xr:uid="{00000000-0005-0000-0000-0000C5560000}"/>
    <cellStyle name="Normal 40" xfId="3272" xr:uid="{00000000-0005-0000-0000-0000DA540000}"/>
    <cellStyle name="Normal 40 10" xfId="24479" xr:uid="{00000000-0005-0000-0000-0000DB540000}"/>
    <cellStyle name="Normal 40 10 2" xfId="27176" xr:uid="{00000000-0005-0000-0000-0000F2540000}"/>
    <cellStyle name="Normal 40 2" xfId="3273" xr:uid="{00000000-0005-0000-0000-0000DC540000}"/>
    <cellStyle name="Normal 40 2 2" xfId="4508" xr:uid="{00000000-0005-0000-0000-0000DD540000}"/>
    <cellStyle name="Normal 40 2 2 2" xfId="12487" xr:uid="{00000000-0005-0000-0000-0000DE540000}"/>
    <cellStyle name="Normal 40 2 2 2 2" xfId="23775" xr:uid="{00000000-0005-0000-0000-0000DF540000}"/>
    <cellStyle name="Normal 40 2 2 3" xfId="10493" xr:uid="{00000000-0005-0000-0000-0000E0540000}"/>
    <cellStyle name="Normal 40 2 2 3 2" xfId="21781" xr:uid="{00000000-0005-0000-0000-0000E1540000}"/>
    <cellStyle name="Normal 40 2 2 4" xfId="8499" xr:uid="{00000000-0005-0000-0000-0000E2540000}"/>
    <cellStyle name="Normal 40 2 2 4 2" xfId="19787" xr:uid="{00000000-0005-0000-0000-0000E3540000}"/>
    <cellStyle name="Normal 40 2 2 5" xfId="6505" xr:uid="{00000000-0005-0000-0000-0000E4540000}"/>
    <cellStyle name="Normal 40 2 2 5 2" xfId="17793" xr:uid="{00000000-0005-0000-0000-0000E5540000}"/>
    <cellStyle name="Normal 40 2 2 6" xfId="15799" xr:uid="{00000000-0005-0000-0000-0000E6540000}"/>
    <cellStyle name="Normal 40 2 3" xfId="11490" xr:uid="{00000000-0005-0000-0000-0000E7540000}"/>
    <cellStyle name="Normal 40 2 3 2" xfId="22778" xr:uid="{00000000-0005-0000-0000-0000E8540000}"/>
    <cellStyle name="Normal 40 2 4" xfId="9496" xr:uid="{00000000-0005-0000-0000-0000E9540000}"/>
    <cellStyle name="Normal 40 2 4 2" xfId="20784" xr:uid="{00000000-0005-0000-0000-0000EA540000}"/>
    <cellStyle name="Normal 40 2 5" xfId="7502" xr:uid="{00000000-0005-0000-0000-0000EB540000}"/>
    <cellStyle name="Normal 40 2 5 2" xfId="18790" xr:uid="{00000000-0005-0000-0000-0000EC540000}"/>
    <cellStyle name="Normal 40 2 6" xfId="5508" xr:uid="{00000000-0005-0000-0000-0000ED540000}"/>
    <cellStyle name="Normal 40 2 6 2" xfId="16796" xr:uid="{00000000-0005-0000-0000-0000EE540000}"/>
    <cellStyle name="Normal 40 2 7" xfId="14802" xr:uid="{00000000-0005-0000-0000-0000EF540000}"/>
    <cellStyle name="Normal 40 2 8" xfId="13486" xr:uid="{00000000-0005-0000-0000-0000F0540000}"/>
    <cellStyle name="Normal 40 3" xfId="4507" xr:uid="{00000000-0005-0000-0000-0000F1540000}"/>
    <cellStyle name="Normal 40 3 2" xfId="12486" xr:uid="{00000000-0005-0000-0000-0000F2540000}"/>
    <cellStyle name="Normal 40 3 2 2" xfId="23774" xr:uid="{00000000-0005-0000-0000-0000F3540000}"/>
    <cellStyle name="Normal 40 3 3" xfId="10492" xr:uid="{00000000-0005-0000-0000-0000F4540000}"/>
    <cellStyle name="Normal 40 3 3 2" xfId="21780" xr:uid="{00000000-0005-0000-0000-0000F5540000}"/>
    <cellStyle name="Normal 40 3 4" xfId="8498" xr:uid="{00000000-0005-0000-0000-0000F6540000}"/>
    <cellStyle name="Normal 40 3 4 2" xfId="19786" xr:uid="{00000000-0005-0000-0000-0000F7540000}"/>
    <cellStyle name="Normal 40 3 5" xfId="6504" xr:uid="{00000000-0005-0000-0000-0000F8540000}"/>
    <cellStyle name="Normal 40 3 5 2" xfId="17792" xr:uid="{00000000-0005-0000-0000-0000F9540000}"/>
    <cellStyle name="Normal 40 3 6" xfId="15798" xr:uid="{00000000-0005-0000-0000-0000FA540000}"/>
    <cellStyle name="Normal 40 4" xfId="11489" xr:uid="{00000000-0005-0000-0000-0000FB540000}"/>
    <cellStyle name="Normal 40 4 2" xfId="22777" xr:uid="{00000000-0005-0000-0000-0000FC540000}"/>
    <cellStyle name="Normal 40 5" xfId="9495" xr:uid="{00000000-0005-0000-0000-0000FD540000}"/>
    <cellStyle name="Normal 40 5 2" xfId="20783" xr:uid="{00000000-0005-0000-0000-0000FE540000}"/>
    <cellStyle name="Normal 40 6" xfId="7501" xr:uid="{00000000-0005-0000-0000-0000FF540000}"/>
    <cellStyle name="Normal 40 6 2" xfId="18789" xr:uid="{00000000-0005-0000-0000-000000550000}"/>
    <cellStyle name="Normal 40 7" xfId="5507" xr:uid="{00000000-0005-0000-0000-000001550000}"/>
    <cellStyle name="Normal 40 7 2" xfId="16795" xr:uid="{00000000-0005-0000-0000-000002550000}"/>
    <cellStyle name="Normal 40 8" xfId="14801" xr:uid="{00000000-0005-0000-0000-000003550000}"/>
    <cellStyle name="Normal 40 9" xfId="13485" xr:uid="{00000000-0005-0000-0000-000004550000}"/>
    <cellStyle name="Normal 41" xfId="3274" xr:uid="{00000000-0005-0000-0000-000005550000}"/>
    <cellStyle name="Normal 41 2" xfId="4509" xr:uid="{00000000-0005-0000-0000-000006550000}"/>
    <cellStyle name="Normal 41 2 2" xfId="12488" xr:uid="{00000000-0005-0000-0000-000007550000}"/>
    <cellStyle name="Normal 41 2 2 2" xfId="23776" xr:uid="{00000000-0005-0000-0000-000008550000}"/>
    <cellStyle name="Normal 41 2 3" xfId="10494" xr:uid="{00000000-0005-0000-0000-000009550000}"/>
    <cellStyle name="Normal 41 2 3 2" xfId="21782" xr:uid="{00000000-0005-0000-0000-00000A550000}"/>
    <cellStyle name="Normal 41 2 4" xfId="8500" xr:uid="{00000000-0005-0000-0000-00000B550000}"/>
    <cellStyle name="Normal 41 2 4 2" xfId="19788" xr:uid="{00000000-0005-0000-0000-00000C550000}"/>
    <cellStyle name="Normal 41 2 5" xfId="6506" xr:uid="{00000000-0005-0000-0000-00000D550000}"/>
    <cellStyle name="Normal 41 2 5 2" xfId="17794" xr:uid="{00000000-0005-0000-0000-00000E550000}"/>
    <cellStyle name="Normal 41 2 6" xfId="15800" xr:uid="{00000000-0005-0000-0000-00000F550000}"/>
    <cellStyle name="Normal 41 3" xfId="11491" xr:uid="{00000000-0005-0000-0000-000010550000}"/>
    <cellStyle name="Normal 41 3 2" xfId="22779" xr:uid="{00000000-0005-0000-0000-000011550000}"/>
    <cellStyle name="Normal 41 4" xfId="9497" xr:uid="{00000000-0005-0000-0000-000012550000}"/>
    <cellStyle name="Normal 41 4 2" xfId="20785" xr:uid="{00000000-0005-0000-0000-000013550000}"/>
    <cellStyle name="Normal 41 5" xfId="7503" xr:uid="{00000000-0005-0000-0000-000014550000}"/>
    <cellStyle name="Normal 41 5 2" xfId="18791" xr:uid="{00000000-0005-0000-0000-000015550000}"/>
    <cellStyle name="Normal 41 6" xfId="5509" xr:uid="{00000000-0005-0000-0000-000016550000}"/>
    <cellStyle name="Normal 41 6 2" xfId="16797" xr:uid="{00000000-0005-0000-0000-000017550000}"/>
    <cellStyle name="Normal 41 7" xfId="14803" xr:uid="{00000000-0005-0000-0000-000018550000}"/>
    <cellStyle name="Normal 41 8" xfId="13487" xr:uid="{00000000-0005-0000-0000-000019550000}"/>
    <cellStyle name="Normal 41 9" xfId="24490" xr:uid="{00000000-0005-0000-0000-00001A550000}"/>
    <cellStyle name="Normal 41 9 2" xfId="27182" xr:uid="{00000000-0005-0000-0000-000031550000}"/>
    <cellStyle name="Normal 42" xfId="3275" xr:uid="{00000000-0005-0000-0000-00001B550000}"/>
    <cellStyle name="Normal 42 2" xfId="4510" xr:uid="{00000000-0005-0000-0000-00001C550000}"/>
    <cellStyle name="Normal 42 2 2" xfId="12489" xr:uid="{00000000-0005-0000-0000-00001D550000}"/>
    <cellStyle name="Normal 42 2 2 2" xfId="23777" xr:uid="{00000000-0005-0000-0000-00001E550000}"/>
    <cellStyle name="Normal 42 2 3" xfId="10495" xr:uid="{00000000-0005-0000-0000-00001F550000}"/>
    <cellStyle name="Normal 42 2 3 2" xfId="21783" xr:uid="{00000000-0005-0000-0000-000020550000}"/>
    <cellStyle name="Normal 42 2 4" xfId="8501" xr:uid="{00000000-0005-0000-0000-000021550000}"/>
    <cellStyle name="Normal 42 2 4 2" xfId="19789" xr:uid="{00000000-0005-0000-0000-000022550000}"/>
    <cellStyle name="Normal 42 2 5" xfId="6507" xr:uid="{00000000-0005-0000-0000-000023550000}"/>
    <cellStyle name="Normal 42 2 5 2" xfId="17795" xr:uid="{00000000-0005-0000-0000-000024550000}"/>
    <cellStyle name="Normal 42 2 6" xfId="15801" xr:uid="{00000000-0005-0000-0000-000025550000}"/>
    <cellStyle name="Normal 42 3" xfId="11492" xr:uid="{00000000-0005-0000-0000-000026550000}"/>
    <cellStyle name="Normal 42 3 2" xfId="22780" xr:uid="{00000000-0005-0000-0000-000027550000}"/>
    <cellStyle name="Normal 42 4" xfId="9498" xr:uid="{00000000-0005-0000-0000-000028550000}"/>
    <cellStyle name="Normal 42 4 2" xfId="20786" xr:uid="{00000000-0005-0000-0000-000029550000}"/>
    <cellStyle name="Normal 42 5" xfId="7504" xr:uid="{00000000-0005-0000-0000-00002A550000}"/>
    <cellStyle name="Normal 42 5 2" xfId="18792" xr:uid="{00000000-0005-0000-0000-00002B550000}"/>
    <cellStyle name="Normal 42 6" xfId="5510" xr:uid="{00000000-0005-0000-0000-00002C550000}"/>
    <cellStyle name="Normal 42 6 2" xfId="16798" xr:uid="{00000000-0005-0000-0000-00002D550000}"/>
    <cellStyle name="Normal 42 7" xfId="14804" xr:uid="{00000000-0005-0000-0000-00002E550000}"/>
    <cellStyle name="Normal 42 8" xfId="13488" xr:uid="{00000000-0005-0000-0000-00002F550000}"/>
    <cellStyle name="Normal 42 9" xfId="24506" xr:uid="{00000000-0005-0000-0000-000030550000}"/>
    <cellStyle name="Normal 42 9 2" xfId="27194" xr:uid="{00000000-0005-0000-0000-000047550000}"/>
    <cellStyle name="Normal 43" xfId="3276" xr:uid="{00000000-0005-0000-0000-000031550000}"/>
    <cellStyle name="Normal 43 2" xfId="4511" xr:uid="{00000000-0005-0000-0000-000032550000}"/>
    <cellStyle name="Normal 43 2 2" xfId="12490" xr:uid="{00000000-0005-0000-0000-000033550000}"/>
    <cellStyle name="Normal 43 2 2 2" xfId="23778" xr:uid="{00000000-0005-0000-0000-000034550000}"/>
    <cellStyle name="Normal 43 2 3" xfId="10496" xr:uid="{00000000-0005-0000-0000-000035550000}"/>
    <cellStyle name="Normal 43 2 3 2" xfId="21784" xr:uid="{00000000-0005-0000-0000-000036550000}"/>
    <cellStyle name="Normal 43 2 4" xfId="8502" xr:uid="{00000000-0005-0000-0000-000037550000}"/>
    <cellStyle name="Normal 43 2 4 2" xfId="19790" xr:uid="{00000000-0005-0000-0000-000038550000}"/>
    <cellStyle name="Normal 43 2 5" xfId="6508" xr:uid="{00000000-0005-0000-0000-000039550000}"/>
    <cellStyle name="Normal 43 2 5 2" xfId="17796" xr:uid="{00000000-0005-0000-0000-00003A550000}"/>
    <cellStyle name="Normal 43 2 6" xfId="15802" xr:uid="{00000000-0005-0000-0000-00003B550000}"/>
    <cellStyle name="Normal 43 3" xfId="11493" xr:uid="{00000000-0005-0000-0000-00003C550000}"/>
    <cellStyle name="Normal 43 3 2" xfId="22781" xr:uid="{00000000-0005-0000-0000-00003D550000}"/>
    <cellStyle name="Normal 43 4" xfId="9499" xr:uid="{00000000-0005-0000-0000-00003E550000}"/>
    <cellStyle name="Normal 43 4 2" xfId="20787" xr:uid="{00000000-0005-0000-0000-00003F550000}"/>
    <cellStyle name="Normal 43 5" xfId="7505" xr:uid="{00000000-0005-0000-0000-000040550000}"/>
    <cellStyle name="Normal 43 5 2" xfId="18793" xr:uid="{00000000-0005-0000-0000-000041550000}"/>
    <cellStyle name="Normal 43 6" xfId="5511" xr:uid="{00000000-0005-0000-0000-000042550000}"/>
    <cellStyle name="Normal 43 6 2" xfId="16799" xr:uid="{00000000-0005-0000-0000-000043550000}"/>
    <cellStyle name="Normal 43 7" xfId="14805" xr:uid="{00000000-0005-0000-0000-000044550000}"/>
    <cellStyle name="Normal 43 8" xfId="13489" xr:uid="{00000000-0005-0000-0000-000045550000}"/>
    <cellStyle name="Normal 43 9" xfId="24511" xr:uid="{00000000-0005-0000-0000-000046550000}"/>
    <cellStyle name="Normal 43 9 2" xfId="27199" xr:uid="{00000000-0005-0000-0000-00005D550000}"/>
    <cellStyle name="Normal 44" xfId="3277" xr:uid="{00000000-0005-0000-0000-000047550000}"/>
    <cellStyle name="Normal 44 2" xfId="4512" xr:uid="{00000000-0005-0000-0000-000048550000}"/>
    <cellStyle name="Normal 44 2 2" xfId="12491" xr:uid="{00000000-0005-0000-0000-000049550000}"/>
    <cellStyle name="Normal 44 2 2 2" xfId="23779" xr:uid="{00000000-0005-0000-0000-00004A550000}"/>
    <cellStyle name="Normal 44 2 3" xfId="10497" xr:uid="{00000000-0005-0000-0000-00004B550000}"/>
    <cellStyle name="Normal 44 2 3 2" xfId="21785" xr:uid="{00000000-0005-0000-0000-00004C550000}"/>
    <cellStyle name="Normal 44 2 4" xfId="8503" xr:uid="{00000000-0005-0000-0000-00004D550000}"/>
    <cellStyle name="Normal 44 2 4 2" xfId="19791" xr:uid="{00000000-0005-0000-0000-00004E550000}"/>
    <cellStyle name="Normal 44 2 5" xfId="6509" xr:uid="{00000000-0005-0000-0000-00004F550000}"/>
    <cellStyle name="Normal 44 2 5 2" xfId="17797" xr:uid="{00000000-0005-0000-0000-000050550000}"/>
    <cellStyle name="Normal 44 2 6" xfId="15803" xr:uid="{00000000-0005-0000-0000-000051550000}"/>
    <cellStyle name="Normal 44 3" xfId="11494" xr:uid="{00000000-0005-0000-0000-000052550000}"/>
    <cellStyle name="Normal 44 3 2" xfId="22782" xr:uid="{00000000-0005-0000-0000-000053550000}"/>
    <cellStyle name="Normal 44 4" xfId="9500" xr:uid="{00000000-0005-0000-0000-000054550000}"/>
    <cellStyle name="Normal 44 4 2" xfId="20788" xr:uid="{00000000-0005-0000-0000-000055550000}"/>
    <cellStyle name="Normal 44 5" xfId="7506" xr:uid="{00000000-0005-0000-0000-000056550000}"/>
    <cellStyle name="Normal 44 5 2" xfId="18794" xr:uid="{00000000-0005-0000-0000-000057550000}"/>
    <cellStyle name="Normal 44 6" xfId="5512" xr:uid="{00000000-0005-0000-0000-000058550000}"/>
    <cellStyle name="Normal 44 6 2" xfId="16800" xr:uid="{00000000-0005-0000-0000-000059550000}"/>
    <cellStyle name="Normal 44 7" xfId="14806" xr:uid="{00000000-0005-0000-0000-00005A550000}"/>
    <cellStyle name="Normal 44 8" xfId="13490" xr:uid="{00000000-0005-0000-0000-00005B550000}"/>
    <cellStyle name="Normal 45" xfId="3278" xr:uid="{00000000-0005-0000-0000-00005C550000}"/>
    <cellStyle name="Normal 45 2" xfId="4513" xr:uid="{00000000-0005-0000-0000-00005D550000}"/>
    <cellStyle name="Normal 45 2 2" xfId="12492" xr:uid="{00000000-0005-0000-0000-00005E550000}"/>
    <cellStyle name="Normal 45 2 2 2" xfId="23780" xr:uid="{00000000-0005-0000-0000-00005F550000}"/>
    <cellStyle name="Normal 45 2 3" xfId="10498" xr:uid="{00000000-0005-0000-0000-000060550000}"/>
    <cellStyle name="Normal 45 2 3 2" xfId="21786" xr:uid="{00000000-0005-0000-0000-000061550000}"/>
    <cellStyle name="Normal 45 2 4" xfId="8504" xr:uid="{00000000-0005-0000-0000-000062550000}"/>
    <cellStyle name="Normal 45 2 4 2" xfId="19792" xr:uid="{00000000-0005-0000-0000-000063550000}"/>
    <cellStyle name="Normal 45 2 5" xfId="6510" xr:uid="{00000000-0005-0000-0000-000064550000}"/>
    <cellStyle name="Normal 45 2 5 2" xfId="17798" xr:uid="{00000000-0005-0000-0000-000065550000}"/>
    <cellStyle name="Normal 45 2 6" xfId="15804" xr:uid="{00000000-0005-0000-0000-000066550000}"/>
    <cellStyle name="Normal 45 3" xfId="11495" xr:uid="{00000000-0005-0000-0000-000067550000}"/>
    <cellStyle name="Normal 45 3 2" xfId="22783" xr:uid="{00000000-0005-0000-0000-000068550000}"/>
    <cellStyle name="Normal 45 4" xfId="9501" xr:uid="{00000000-0005-0000-0000-000069550000}"/>
    <cellStyle name="Normal 45 4 2" xfId="20789" xr:uid="{00000000-0005-0000-0000-00006A550000}"/>
    <cellStyle name="Normal 45 5" xfId="7507" xr:uid="{00000000-0005-0000-0000-00006B550000}"/>
    <cellStyle name="Normal 45 5 2" xfId="18795" xr:uid="{00000000-0005-0000-0000-00006C550000}"/>
    <cellStyle name="Normal 45 6" xfId="5513" xr:uid="{00000000-0005-0000-0000-00006D550000}"/>
    <cellStyle name="Normal 45 6 2" xfId="16801" xr:uid="{00000000-0005-0000-0000-00006E550000}"/>
    <cellStyle name="Normal 45 7" xfId="14807" xr:uid="{00000000-0005-0000-0000-00006F550000}"/>
    <cellStyle name="Normal 45 8" xfId="13491" xr:uid="{00000000-0005-0000-0000-000070550000}"/>
    <cellStyle name="Normal 46" xfId="3279" xr:uid="{00000000-0005-0000-0000-000071550000}"/>
    <cellStyle name="Normal 46 2" xfId="4514" xr:uid="{00000000-0005-0000-0000-000072550000}"/>
    <cellStyle name="Normal 46 2 2" xfId="12493" xr:uid="{00000000-0005-0000-0000-000073550000}"/>
    <cellStyle name="Normal 46 2 2 2" xfId="23781" xr:uid="{00000000-0005-0000-0000-000074550000}"/>
    <cellStyle name="Normal 46 2 3" xfId="10499" xr:uid="{00000000-0005-0000-0000-000075550000}"/>
    <cellStyle name="Normal 46 2 3 2" xfId="21787" xr:uid="{00000000-0005-0000-0000-000076550000}"/>
    <cellStyle name="Normal 46 2 4" xfId="8505" xr:uid="{00000000-0005-0000-0000-000077550000}"/>
    <cellStyle name="Normal 46 2 4 2" xfId="19793" xr:uid="{00000000-0005-0000-0000-000078550000}"/>
    <cellStyle name="Normal 46 2 5" xfId="6511" xr:uid="{00000000-0005-0000-0000-000079550000}"/>
    <cellStyle name="Normal 46 2 5 2" xfId="17799" xr:uid="{00000000-0005-0000-0000-00007A550000}"/>
    <cellStyle name="Normal 46 2 6" xfId="15805" xr:uid="{00000000-0005-0000-0000-00007B550000}"/>
    <cellStyle name="Normal 46 3" xfId="11496" xr:uid="{00000000-0005-0000-0000-00007C550000}"/>
    <cellStyle name="Normal 46 3 2" xfId="22784" xr:uid="{00000000-0005-0000-0000-00007D550000}"/>
    <cellStyle name="Normal 46 4" xfId="9502" xr:uid="{00000000-0005-0000-0000-00007E550000}"/>
    <cellStyle name="Normal 46 4 2" xfId="20790" xr:uid="{00000000-0005-0000-0000-00007F550000}"/>
    <cellStyle name="Normal 46 5" xfId="7508" xr:uid="{00000000-0005-0000-0000-000080550000}"/>
    <cellStyle name="Normal 46 5 2" xfId="18796" xr:uid="{00000000-0005-0000-0000-000081550000}"/>
    <cellStyle name="Normal 46 6" xfId="5514" xr:uid="{00000000-0005-0000-0000-000082550000}"/>
    <cellStyle name="Normal 46 6 2" xfId="16802" xr:uid="{00000000-0005-0000-0000-000083550000}"/>
    <cellStyle name="Normal 46 7" xfId="14808" xr:uid="{00000000-0005-0000-0000-000084550000}"/>
    <cellStyle name="Normal 46 8" xfId="13492" xr:uid="{00000000-0005-0000-0000-000085550000}"/>
    <cellStyle name="Normal 47" xfId="3280" xr:uid="{00000000-0005-0000-0000-000086550000}"/>
    <cellStyle name="Normal 47 2" xfId="4515" xr:uid="{00000000-0005-0000-0000-000087550000}"/>
    <cellStyle name="Normal 47 2 2" xfId="12494" xr:uid="{00000000-0005-0000-0000-000088550000}"/>
    <cellStyle name="Normal 47 2 2 2" xfId="23782" xr:uid="{00000000-0005-0000-0000-000089550000}"/>
    <cellStyle name="Normal 47 2 3" xfId="10500" xr:uid="{00000000-0005-0000-0000-00008A550000}"/>
    <cellStyle name="Normal 47 2 3 2" xfId="21788" xr:uid="{00000000-0005-0000-0000-00008B550000}"/>
    <cellStyle name="Normal 47 2 4" xfId="8506" xr:uid="{00000000-0005-0000-0000-00008C550000}"/>
    <cellStyle name="Normal 47 2 4 2" xfId="19794" xr:uid="{00000000-0005-0000-0000-00008D550000}"/>
    <cellStyle name="Normal 47 2 5" xfId="6512" xr:uid="{00000000-0005-0000-0000-00008E550000}"/>
    <cellStyle name="Normal 47 2 5 2" xfId="17800" xr:uid="{00000000-0005-0000-0000-00008F550000}"/>
    <cellStyle name="Normal 47 2 6" xfId="15806" xr:uid="{00000000-0005-0000-0000-000090550000}"/>
    <cellStyle name="Normal 47 3" xfId="11497" xr:uid="{00000000-0005-0000-0000-000091550000}"/>
    <cellStyle name="Normal 47 3 2" xfId="22785" xr:uid="{00000000-0005-0000-0000-000092550000}"/>
    <cellStyle name="Normal 47 4" xfId="9503" xr:uid="{00000000-0005-0000-0000-000093550000}"/>
    <cellStyle name="Normal 47 4 2" xfId="20791" xr:uid="{00000000-0005-0000-0000-000094550000}"/>
    <cellStyle name="Normal 47 5" xfId="7509" xr:uid="{00000000-0005-0000-0000-000095550000}"/>
    <cellStyle name="Normal 47 5 2" xfId="18797" xr:uid="{00000000-0005-0000-0000-000096550000}"/>
    <cellStyle name="Normal 47 6" xfId="5515" xr:uid="{00000000-0005-0000-0000-000097550000}"/>
    <cellStyle name="Normal 47 6 2" xfId="16803" xr:uid="{00000000-0005-0000-0000-000098550000}"/>
    <cellStyle name="Normal 47 7" xfId="14809" xr:uid="{00000000-0005-0000-0000-000099550000}"/>
    <cellStyle name="Normal 47 8" xfId="13493" xr:uid="{00000000-0005-0000-0000-00009A550000}"/>
    <cellStyle name="Normal 48" xfId="3281" xr:uid="{00000000-0005-0000-0000-00009B550000}"/>
    <cellStyle name="Normal 48 2" xfId="4516" xr:uid="{00000000-0005-0000-0000-00009C550000}"/>
    <cellStyle name="Normal 48 2 2" xfId="12495" xr:uid="{00000000-0005-0000-0000-00009D550000}"/>
    <cellStyle name="Normal 48 2 2 2" xfId="23783" xr:uid="{00000000-0005-0000-0000-00009E550000}"/>
    <cellStyle name="Normal 48 2 3" xfId="10501" xr:uid="{00000000-0005-0000-0000-00009F550000}"/>
    <cellStyle name="Normal 48 2 3 2" xfId="21789" xr:uid="{00000000-0005-0000-0000-0000A0550000}"/>
    <cellStyle name="Normal 48 2 4" xfId="8507" xr:uid="{00000000-0005-0000-0000-0000A1550000}"/>
    <cellStyle name="Normal 48 2 4 2" xfId="19795" xr:uid="{00000000-0005-0000-0000-0000A2550000}"/>
    <cellStyle name="Normal 48 2 5" xfId="6513" xr:uid="{00000000-0005-0000-0000-0000A3550000}"/>
    <cellStyle name="Normal 48 2 5 2" xfId="17801" xr:uid="{00000000-0005-0000-0000-0000A4550000}"/>
    <cellStyle name="Normal 48 2 6" xfId="15807" xr:uid="{00000000-0005-0000-0000-0000A5550000}"/>
    <cellStyle name="Normal 48 3" xfId="11498" xr:uid="{00000000-0005-0000-0000-0000A6550000}"/>
    <cellStyle name="Normal 48 3 2" xfId="22786" xr:uid="{00000000-0005-0000-0000-0000A7550000}"/>
    <cellStyle name="Normal 48 4" xfId="9504" xr:uid="{00000000-0005-0000-0000-0000A8550000}"/>
    <cellStyle name="Normal 48 4 2" xfId="20792" xr:uid="{00000000-0005-0000-0000-0000A9550000}"/>
    <cellStyle name="Normal 48 5" xfId="7510" xr:uid="{00000000-0005-0000-0000-0000AA550000}"/>
    <cellStyle name="Normal 48 5 2" xfId="18798" xr:uid="{00000000-0005-0000-0000-0000AB550000}"/>
    <cellStyle name="Normal 48 6" xfId="5516" xr:uid="{00000000-0005-0000-0000-0000AC550000}"/>
    <cellStyle name="Normal 48 6 2" xfId="16804" xr:uid="{00000000-0005-0000-0000-0000AD550000}"/>
    <cellStyle name="Normal 48 7" xfId="14810" xr:uid="{00000000-0005-0000-0000-0000AE550000}"/>
    <cellStyle name="Normal 48 8" xfId="13494" xr:uid="{00000000-0005-0000-0000-0000AF550000}"/>
    <cellStyle name="Normal 49" xfId="3282" xr:uid="{00000000-0005-0000-0000-0000B0550000}"/>
    <cellStyle name="Normal 49 2" xfId="4517" xr:uid="{00000000-0005-0000-0000-0000B1550000}"/>
    <cellStyle name="Normal 49 2 2" xfId="12496" xr:uid="{00000000-0005-0000-0000-0000B2550000}"/>
    <cellStyle name="Normal 49 2 2 2" xfId="23784" xr:uid="{00000000-0005-0000-0000-0000B3550000}"/>
    <cellStyle name="Normal 49 2 3" xfId="10502" xr:uid="{00000000-0005-0000-0000-0000B4550000}"/>
    <cellStyle name="Normal 49 2 3 2" xfId="21790" xr:uid="{00000000-0005-0000-0000-0000B5550000}"/>
    <cellStyle name="Normal 49 2 4" xfId="8508" xr:uid="{00000000-0005-0000-0000-0000B6550000}"/>
    <cellStyle name="Normal 49 2 4 2" xfId="19796" xr:uid="{00000000-0005-0000-0000-0000B7550000}"/>
    <cellStyle name="Normal 49 2 5" xfId="6514" xr:uid="{00000000-0005-0000-0000-0000B8550000}"/>
    <cellStyle name="Normal 49 2 5 2" xfId="17802" xr:uid="{00000000-0005-0000-0000-0000B9550000}"/>
    <cellStyle name="Normal 49 2 6" xfId="15808" xr:uid="{00000000-0005-0000-0000-0000BA550000}"/>
    <cellStyle name="Normal 49 3" xfId="11499" xr:uid="{00000000-0005-0000-0000-0000BB550000}"/>
    <cellStyle name="Normal 49 3 2" xfId="22787" xr:uid="{00000000-0005-0000-0000-0000BC550000}"/>
    <cellStyle name="Normal 49 4" xfId="9505" xr:uid="{00000000-0005-0000-0000-0000BD550000}"/>
    <cellStyle name="Normal 49 4 2" xfId="20793" xr:uid="{00000000-0005-0000-0000-0000BE550000}"/>
    <cellStyle name="Normal 49 5" xfId="7511" xr:uid="{00000000-0005-0000-0000-0000BF550000}"/>
    <cellStyle name="Normal 49 5 2" xfId="18799" xr:uid="{00000000-0005-0000-0000-0000C0550000}"/>
    <cellStyle name="Normal 49 6" xfId="5517" xr:uid="{00000000-0005-0000-0000-0000C1550000}"/>
    <cellStyle name="Normal 49 6 2" xfId="16805" xr:uid="{00000000-0005-0000-0000-0000C2550000}"/>
    <cellStyle name="Normal 49 7" xfId="14811" xr:uid="{00000000-0005-0000-0000-0000C3550000}"/>
    <cellStyle name="Normal 49 8" xfId="13495" xr:uid="{00000000-0005-0000-0000-0000C4550000}"/>
    <cellStyle name="Normal 5" xfId="56" xr:uid="{00000000-0005-0000-0000-0000C5550000}"/>
    <cellStyle name="Normal 5 10" xfId="13496" xr:uid="{00000000-0005-0000-0000-0000C6550000}"/>
    <cellStyle name="Normal 5 10 2" xfId="29106" xr:uid="{00000000-0005-0000-0000-0000B3570000}"/>
    <cellStyle name="Normal 5 10 3" xfId="28806" xr:uid="{00000000-0005-0000-0000-0000B4570000}"/>
    <cellStyle name="Normal 5 11" xfId="24154" xr:uid="{00000000-0005-0000-0000-0000C7550000}"/>
    <cellStyle name="Normal 5 11 2" xfId="29107" xr:uid="{00000000-0005-0000-0000-0000B6570000}"/>
    <cellStyle name="Normal 5 11 3" xfId="28807" xr:uid="{00000000-0005-0000-0000-0000B7570000}"/>
    <cellStyle name="Normal 5 12" xfId="24723" xr:uid="{00000000-0005-0000-0000-0000C8550000}"/>
    <cellStyle name="Normal 5 12 2" xfId="29108" xr:uid="{00000000-0005-0000-0000-0000B9570000}"/>
    <cellStyle name="Normal 5 12 3" xfId="28808" xr:uid="{00000000-0005-0000-0000-0000BA570000}"/>
    <cellStyle name="Normal 5 13" xfId="25039" xr:uid="{00000000-0005-0000-0000-0000C9550000}"/>
    <cellStyle name="Normal 5 13 2" xfId="29109" xr:uid="{00000000-0005-0000-0000-0000BC570000}"/>
    <cellStyle name="Normal 5 13 3" xfId="28809" xr:uid="{00000000-0005-0000-0000-0000BD570000}"/>
    <cellStyle name="Normal 5 14" xfId="25775" xr:uid="{00000000-0005-0000-0000-0000CA550000}"/>
    <cellStyle name="Normal 5 15" xfId="29167" xr:uid="{00000000-0005-0000-0000-0000BF570000}"/>
    <cellStyle name="Normal 5 2" xfId="203" xr:uid="{00000000-0005-0000-0000-0000CB550000}"/>
    <cellStyle name="Normal 5 2 10" xfId="25789" xr:uid="{00000000-0005-0000-0000-0000CC550000}"/>
    <cellStyle name="Normal 5 2 2" xfId="661" xr:uid="{00000000-0005-0000-0000-0000CD550000}"/>
    <cellStyle name="Normal 5 2 2 2" xfId="12497" xr:uid="{00000000-0005-0000-0000-0000CE550000}"/>
    <cellStyle name="Normal 5 2 2 2 2" xfId="23785" xr:uid="{00000000-0005-0000-0000-0000CF550000}"/>
    <cellStyle name="Normal 5 2 2 2 3" xfId="24428" xr:uid="{00000000-0005-0000-0000-0000D0550000}"/>
    <cellStyle name="Normal 5 2 2 2 4" xfId="24872" xr:uid="{00000000-0005-0000-0000-0000D1550000}"/>
    <cellStyle name="Normal 5 2 2 2 5" xfId="25235" xr:uid="{00000000-0005-0000-0000-0000D2550000}"/>
    <cellStyle name="Normal 5 2 2 3" xfId="24156" xr:uid="{00000000-0005-0000-0000-0000D3550000}"/>
    <cellStyle name="Normal 5 2 2 4" xfId="24725" xr:uid="{00000000-0005-0000-0000-0000D4550000}"/>
    <cellStyle name="Normal 5 2 2 5" xfId="25041" xr:uid="{00000000-0005-0000-0000-0000D5550000}"/>
    <cellStyle name="Normal 5 2 2 6" xfId="29110" xr:uid="{00000000-0005-0000-0000-0000CB570000}"/>
    <cellStyle name="Normal 5 2 3" xfId="10503" xr:uid="{00000000-0005-0000-0000-0000D6550000}"/>
    <cellStyle name="Normal 5 2 3 2" xfId="21791" xr:uid="{00000000-0005-0000-0000-0000D7550000}"/>
    <cellStyle name="Normal 5 2 3 3" xfId="24427" xr:uid="{00000000-0005-0000-0000-0000D8550000}"/>
    <cellStyle name="Normal 5 2 3 4" xfId="24871" xr:uid="{00000000-0005-0000-0000-0000D9550000}"/>
    <cellStyle name="Normal 5 2 3 5" xfId="25234" xr:uid="{00000000-0005-0000-0000-0000DA550000}"/>
    <cellStyle name="Normal 5 2 4" xfId="8509" xr:uid="{00000000-0005-0000-0000-0000DB550000}"/>
    <cellStyle name="Normal 5 2 4 2" xfId="19797" xr:uid="{00000000-0005-0000-0000-0000DC550000}"/>
    <cellStyle name="Normal 5 2 5" xfId="6515" xr:uid="{00000000-0005-0000-0000-0000DD550000}"/>
    <cellStyle name="Normal 5 2 5 2" xfId="17803" xr:uid="{00000000-0005-0000-0000-0000DE550000}"/>
    <cellStyle name="Normal 5 2 6" xfId="4518" xr:uid="{00000000-0005-0000-0000-0000DF550000}"/>
    <cellStyle name="Normal 5 2 6 2" xfId="15809" xr:uid="{00000000-0005-0000-0000-0000E0550000}"/>
    <cellStyle name="Normal 5 2 7" xfId="24155" xr:uid="{00000000-0005-0000-0000-0000E1550000}"/>
    <cellStyle name="Normal 5 2 8" xfId="24724" xr:uid="{00000000-0005-0000-0000-0000E2550000}"/>
    <cellStyle name="Normal 5 2 9" xfId="25040" xr:uid="{00000000-0005-0000-0000-0000E3550000}"/>
    <cellStyle name="Normal 5 3" xfId="357" xr:uid="{00000000-0005-0000-0000-0000E4550000}"/>
    <cellStyle name="Normal 5 3 2" xfId="440" xr:uid="{00000000-0005-0000-0000-0000E5550000}"/>
    <cellStyle name="Normal 5 3 2 2" xfId="526" xr:uid="{00000000-0005-0000-0000-0000E6550000}"/>
    <cellStyle name="Normal 5 3 2 2 2" xfId="13889" xr:uid="{00000000-0005-0000-0000-0000E7550000}"/>
    <cellStyle name="Normal 5 3 2 2 3" xfId="24430" xr:uid="{00000000-0005-0000-0000-0000E8550000}"/>
    <cellStyle name="Normal 5 3 2 2 4" xfId="24874" xr:uid="{00000000-0005-0000-0000-0000E9550000}"/>
    <cellStyle name="Normal 5 3 2 2 5" xfId="25237" xr:uid="{00000000-0005-0000-0000-0000EA550000}"/>
    <cellStyle name="Normal 5 3 2 3" xfId="13812" xr:uid="{00000000-0005-0000-0000-0000EB550000}"/>
    <cellStyle name="Normal 5 3 2 4" xfId="24158" xr:uid="{00000000-0005-0000-0000-0000EC550000}"/>
    <cellStyle name="Normal 5 3 2 5" xfId="24727" xr:uid="{00000000-0005-0000-0000-0000ED550000}"/>
    <cellStyle name="Normal 5 3 2 6" xfId="25043" xr:uid="{00000000-0005-0000-0000-0000EE550000}"/>
    <cellStyle name="Normal 5 3 2 7" xfId="29111" xr:uid="{00000000-0005-0000-0000-0000E5570000}"/>
    <cellStyle name="Normal 5 3 3" xfId="489" xr:uid="{00000000-0005-0000-0000-0000EF550000}"/>
    <cellStyle name="Normal 5 3 3 2" xfId="13852" xr:uid="{00000000-0005-0000-0000-0000F0550000}"/>
    <cellStyle name="Normal 5 3 3 3" xfId="24429" xr:uid="{00000000-0005-0000-0000-0000F1550000}"/>
    <cellStyle name="Normal 5 3 3 4" xfId="24873" xr:uid="{00000000-0005-0000-0000-0000F2550000}"/>
    <cellStyle name="Normal 5 3 3 5" xfId="25236" xr:uid="{00000000-0005-0000-0000-0000F3550000}"/>
    <cellStyle name="Normal 5 3 4" xfId="11500" xr:uid="{00000000-0005-0000-0000-0000F4550000}"/>
    <cellStyle name="Normal 5 3 4 2" xfId="22788" xr:uid="{00000000-0005-0000-0000-0000F5550000}"/>
    <cellStyle name="Normal 5 3 5" xfId="13767" xr:uid="{00000000-0005-0000-0000-0000F6550000}"/>
    <cellStyle name="Normal 5 3 6" xfId="24157" xr:uid="{00000000-0005-0000-0000-0000F7550000}"/>
    <cellStyle name="Normal 5 3 7" xfId="24726" xr:uid="{00000000-0005-0000-0000-0000F8550000}"/>
    <cellStyle name="Normal 5 3 8" xfId="25042" xr:uid="{00000000-0005-0000-0000-0000F9550000}"/>
    <cellStyle name="Normal 5 3 9" xfId="28810" xr:uid="{00000000-0005-0000-0000-0000F1570000}"/>
    <cellStyle name="Normal 5 4" xfId="408" xr:uid="{00000000-0005-0000-0000-0000FA550000}"/>
    <cellStyle name="Normal 5 4 2" xfId="508" xr:uid="{00000000-0005-0000-0000-0000FB550000}"/>
    <cellStyle name="Normal 5 4 2 2" xfId="13871" xr:uid="{00000000-0005-0000-0000-0000FC550000}"/>
    <cellStyle name="Normal 5 4 2 3" xfId="24431" xr:uid="{00000000-0005-0000-0000-0000FD550000}"/>
    <cellStyle name="Normal 5 4 2 4" xfId="24875" xr:uid="{00000000-0005-0000-0000-0000FE550000}"/>
    <cellStyle name="Normal 5 4 2 5" xfId="25238" xr:uid="{00000000-0005-0000-0000-0000FF550000}"/>
    <cellStyle name="Normal 5 4 2 6" xfId="29112" xr:uid="{00000000-0005-0000-0000-0000F8570000}"/>
    <cellStyle name="Normal 5 4 3" xfId="9506" xr:uid="{00000000-0005-0000-0000-000000560000}"/>
    <cellStyle name="Normal 5 4 3 2" xfId="20794" xr:uid="{00000000-0005-0000-0000-000001560000}"/>
    <cellStyle name="Normal 5 4 4" xfId="13790" xr:uid="{00000000-0005-0000-0000-000002560000}"/>
    <cellStyle name="Normal 5 4 5" xfId="24159" xr:uid="{00000000-0005-0000-0000-000003560000}"/>
    <cellStyle name="Normal 5 4 6" xfId="24728" xr:uid="{00000000-0005-0000-0000-000004560000}"/>
    <cellStyle name="Normal 5 4 7" xfId="25044" xr:uid="{00000000-0005-0000-0000-000005560000}"/>
    <cellStyle name="Normal 5 4 8" xfId="28811" xr:uid="{00000000-0005-0000-0000-0000FF570000}"/>
    <cellStyle name="Normal 5 5" xfId="392" xr:uid="{00000000-0005-0000-0000-000006560000}"/>
    <cellStyle name="Normal 5 5 2" xfId="7512" xr:uid="{00000000-0005-0000-0000-000007560000}"/>
    <cellStyle name="Normal 5 5 2 2" xfId="18800" xr:uid="{00000000-0005-0000-0000-000008560000}"/>
    <cellStyle name="Normal 5 5 2 3" xfId="29113" xr:uid="{00000000-0005-0000-0000-000003580000}"/>
    <cellStyle name="Normal 5 5 3" xfId="24426" xr:uid="{00000000-0005-0000-0000-000009560000}"/>
    <cellStyle name="Normal 5 5 4" xfId="24870" xr:uid="{00000000-0005-0000-0000-00000A560000}"/>
    <cellStyle name="Normal 5 5 5" xfId="25233" xr:uid="{00000000-0005-0000-0000-00000B560000}"/>
    <cellStyle name="Normal 5 5 6" xfId="26004" xr:uid="{00000000-0005-0000-0000-00001D560000}"/>
    <cellStyle name="Normal 5 6" xfId="474" xr:uid="{00000000-0005-0000-0000-00000C560000}"/>
    <cellStyle name="Normal 5 6 2" xfId="5518" xr:uid="{00000000-0005-0000-0000-00000D560000}"/>
    <cellStyle name="Normal 5 6 2 2" xfId="16806" xr:uid="{00000000-0005-0000-0000-00000E560000}"/>
    <cellStyle name="Normal 5 6 2 3" xfId="29114" xr:uid="{00000000-0005-0000-0000-00000A580000}"/>
    <cellStyle name="Normal 5 6 3" xfId="13837" xr:uid="{00000000-0005-0000-0000-00000F560000}"/>
    <cellStyle name="Normal 5 6 4" xfId="28812" xr:uid="{00000000-0005-0000-0000-00000C580000}"/>
    <cellStyle name="Normal 5 7" xfId="660" xr:uid="{00000000-0005-0000-0000-000010560000}"/>
    <cellStyle name="Normal 5 7 2" xfId="13913" xr:uid="{00000000-0005-0000-0000-000011560000}"/>
    <cellStyle name="Normal 5 7 2 2" xfId="29115" xr:uid="{00000000-0005-0000-0000-00000F580000}"/>
    <cellStyle name="Normal 5 7 3" xfId="28813" xr:uid="{00000000-0005-0000-0000-000010580000}"/>
    <cellStyle name="Normal 5 8" xfId="3283" xr:uid="{00000000-0005-0000-0000-000012560000}"/>
    <cellStyle name="Normal 5 8 2" xfId="14812" xr:uid="{00000000-0005-0000-0000-000013560000}"/>
    <cellStyle name="Normal 5 8 2 2" xfId="29116" xr:uid="{00000000-0005-0000-0000-000013580000}"/>
    <cellStyle name="Normal 5 8 3" xfId="28814" xr:uid="{00000000-0005-0000-0000-000014580000}"/>
    <cellStyle name="Normal 5 9" xfId="13614" xr:uid="{00000000-0005-0000-0000-000014560000}"/>
    <cellStyle name="Normal 5 9 2" xfId="29117" xr:uid="{00000000-0005-0000-0000-000016580000}"/>
    <cellStyle name="Normal 5 9 3" xfId="28815" xr:uid="{00000000-0005-0000-0000-000017580000}"/>
    <cellStyle name="Normal 50" xfId="3284" xr:uid="{00000000-0005-0000-0000-000015560000}"/>
    <cellStyle name="Normal 50 2" xfId="3285" xr:uid="{00000000-0005-0000-0000-000016560000}"/>
    <cellStyle name="Normal 50 2 2" xfId="4520" xr:uid="{00000000-0005-0000-0000-000017560000}"/>
    <cellStyle name="Normal 50 2 2 2" xfId="12499" xr:uid="{00000000-0005-0000-0000-000018560000}"/>
    <cellStyle name="Normal 50 2 2 2 2" xfId="23787" xr:uid="{00000000-0005-0000-0000-000019560000}"/>
    <cellStyle name="Normal 50 2 2 3" xfId="10505" xr:uid="{00000000-0005-0000-0000-00001A560000}"/>
    <cellStyle name="Normal 50 2 2 3 2" xfId="21793" xr:uid="{00000000-0005-0000-0000-00001B560000}"/>
    <cellStyle name="Normal 50 2 2 4" xfId="8511" xr:uid="{00000000-0005-0000-0000-00001C560000}"/>
    <cellStyle name="Normal 50 2 2 4 2" xfId="19799" xr:uid="{00000000-0005-0000-0000-00001D560000}"/>
    <cellStyle name="Normal 50 2 2 5" xfId="6517" xr:uid="{00000000-0005-0000-0000-00001E560000}"/>
    <cellStyle name="Normal 50 2 2 5 2" xfId="17805" xr:uid="{00000000-0005-0000-0000-00001F560000}"/>
    <cellStyle name="Normal 50 2 2 6" xfId="15811" xr:uid="{00000000-0005-0000-0000-000020560000}"/>
    <cellStyle name="Normal 50 2 3" xfId="11502" xr:uid="{00000000-0005-0000-0000-000021560000}"/>
    <cellStyle name="Normal 50 2 3 2" xfId="22790" xr:uid="{00000000-0005-0000-0000-000022560000}"/>
    <cellStyle name="Normal 50 2 4" xfId="9508" xr:uid="{00000000-0005-0000-0000-000023560000}"/>
    <cellStyle name="Normal 50 2 4 2" xfId="20796" xr:uid="{00000000-0005-0000-0000-000024560000}"/>
    <cellStyle name="Normal 50 2 5" xfId="7514" xr:uid="{00000000-0005-0000-0000-000025560000}"/>
    <cellStyle name="Normal 50 2 5 2" xfId="18802" xr:uid="{00000000-0005-0000-0000-000026560000}"/>
    <cellStyle name="Normal 50 2 6" xfId="5520" xr:uid="{00000000-0005-0000-0000-000027560000}"/>
    <cellStyle name="Normal 50 2 6 2" xfId="16808" xr:uid="{00000000-0005-0000-0000-000028560000}"/>
    <cellStyle name="Normal 50 2 7" xfId="14814" xr:uid="{00000000-0005-0000-0000-000029560000}"/>
    <cellStyle name="Normal 50 2 8" xfId="13498" xr:uid="{00000000-0005-0000-0000-00002A560000}"/>
    <cellStyle name="Normal 50 3" xfId="4519" xr:uid="{00000000-0005-0000-0000-00002B560000}"/>
    <cellStyle name="Normal 50 3 2" xfId="12498" xr:uid="{00000000-0005-0000-0000-00002C560000}"/>
    <cellStyle name="Normal 50 3 2 2" xfId="23786" xr:uid="{00000000-0005-0000-0000-00002D560000}"/>
    <cellStyle name="Normal 50 3 3" xfId="10504" xr:uid="{00000000-0005-0000-0000-00002E560000}"/>
    <cellStyle name="Normal 50 3 3 2" xfId="21792" xr:uid="{00000000-0005-0000-0000-00002F560000}"/>
    <cellStyle name="Normal 50 3 4" xfId="8510" xr:uid="{00000000-0005-0000-0000-000030560000}"/>
    <cellStyle name="Normal 50 3 4 2" xfId="19798" xr:uid="{00000000-0005-0000-0000-000031560000}"/>
    <cellStyle name="Normal 50 3 5" xfId="6516" xr:uid="{00000000-0005-0000-0000-000032560000}"/>
    <cellStyle name="Normal 50 3 5 2" xfId="17804" xr:uid="{00000000-0005-0000-0000-000033560000}"/>
    <cellStyle name="Normal 50 3 6" xfId="15810" xr:uid="{00000000-0005-0000-0000-000034560000}"/>
    <cellStyle name="Normal 50 4" xfId="11501" xr:uid="{00000000-0005-0000-0000-000035560000}"/>
    <cellStyle name="Normal 50 4 2" xfId="22789" xr:uid="{00000000-0005-0000-0000-000036560000}"/>
    <cellStyle name="Normal 50 5" xfId="9507" xr:uid="{00000000-0005-0000-0000-000037560000}"/>
    <cellStyle name="Normal 50 5 2" xfId="20795" xr:uid="{00000000-0005-0000-0000-000038560000}"/>
    <cellStyle name="Normal 50 6" xfId="7513" xr:uid="{00000000-0005-0000-0000-000039560000}"/>
    <cellStyle name="Normal 50 6 2" xfId="18801" xr:uid="{00000000-0005-0000-0000-00003A560000}"/>
    <cellStyle name="Normal 50 7" xfId="5519" xr:uid="{00000000-0005-0000-0000-00003B560000}"/>
    <cellStyle name="Normal 50 7 2" xfId="16807" xr:uid="{00000000-0005-0000-0000-00003C560000}"/>
    <cellStyle name="Normal 50 8" xfId="14813" xr:uid="{00000000-0005-0000-0000-00003D560000}"/>
    <cellStyle name="Normal 50 9" xfId="13497" xr:uid="{00000000-0005-0000-0000-00003E560000}"/>
    <cellStyle name="Normal 51" xfId="3286" xr:uid="{00000000-0005-0000-0000-00003F560000}"/>
    <cellStyle name="Normal 51 2" xfId="4521" xr:uid="{00000000-0005-0000-0000-000040560000}"/>
    <cellStyle name="Normal 51 2 2" xfId="12500" xr:uid="{00000000-0005-0000-0000-000041560000}"/>
    <cellStyle name="Normal 51 2 2 2" xfId="23788" xr:uid="{00000000-0005-0000-0000-000042560000}"/>
    <cellStyle name="Normal 51 2 3" xfId="10506" xr:uid="{00000000-0005-0000-0000-000043560000}"/>
    <cellStyle name="Normal 51 2 3 2" xfId="21794" xr:uid="{00000000-0005-0000-0000-000044560000}"/>
    <cellStyle name="Normal 51 2 4" xfId="8512" xr:uid="{00000000-0005-0000-0000-000045560000}"/>
    <cellStyle name="Normal 51 2 4 2" xfId="19800" xr:uid="{00000000-0005-0000-0000-000046560000}"/>
    <cellStyle name="Normal 51 2 5" xfId="6518" xr:uid="{00000000-0005-0000-0000-000047560000}"/>
    <cellStyle name="Normal 51 2 5 2" xfId="17806" xr:uid="{00000000-0005-0000-0000-000048560000}"/>
    <cellStyle name="Normal 51 2 6" xfId="15812" xr:uid="{00000000-0005-0000-0000-000049560000}"/>
    <cellStyle name="Normal 51 3" xfId="11503" xr:uid="{00000000-0005-0000-0000-00004A560000}"/>
    <cellStyle name="Normal 51 3 2" xfId="22791" xr:uid="{00000000-0005-0000-0000-00004B560000}"/>
    <cellStyle name="Normal 51 4" xfId="9509" xr:uid="{00000000-0005-0000-0000-00004C560000}"/>
    <cellStyle name="Normal 51 4 2" xfId="20797" xr:uid="{00000000-0005-0000-0000-00004D560000}"/>
    <cellStyle name="Normal 51 5" xfId="7515" xr:uid="{00000000-0005-0000-0000-00004E560000}"/>
    <cellStyle name="Normal 51 5 2" xfId="18803" xr:uid="{00000000-0005-0000-0000-00004F560000}"/>
    <cellStyle name="Normal 51 6" xfId="5521" xr:uid="{00000000-0005-0000-0000-000050560000}"/>
    <cellStyle name="Normal 51 6 2" xfId="16809" xr:uid="{00000000-0005-0000-0000-000051560000}"/>
    <cellStyle name="Normal 51 7" xfId="14815" xr:uid="{00000000-0005-0000-0000-000052560000}"/>
    <cellStyle name="Normal 51 8" xfId="13499" xr:uid="{00000000-0005-0000-0000-000053560000}"/>
    <cellStyle name="Normal 52" xfId="3287" xr:uid="{00000000-0005-0000-0000-000054560000}"/>
    <cellStyle name="Normal 52 2" xfId="4522" xr:uid="{00000000-0005-0000-0000-000055560000}"/>
    <cellStyle name="Normal 52 2 2" xfId="12501" xr:uid="{00000000-0005-0000-0000-000056560000}"/>
    <cellStyle name="Normal 52 2 2 2" xfId="23789" xr:uid="{00000000-0005-0000-0000-000057560000}"/>
    <cellStyle name="Normal 52 2 3" xfId="10507" xr:uid="{00000000-0005-0000-0000-000058560000}"/>
    <cellStyle name="Normal 52 2 3 2" xfId="21795" xr:uid="{00000000-0005-0000-0000-000059560000}"/>
    <cellStyle name="Normal 52 2 4" xfId="8513" xr:uid="{00000000-0005-0000-0000-00005A560000}"/>
    <cellStyle name="Normal 52 2 4 2" xfId="19801" xr:uid="{00000000-0005-0000-0000-00005B560000}"/>
    <cellStyle name="Normal 52 2 5" xfId="6519" xr:uid="{00000000-0005-0000-0000-00005C560000}"/>
    <cellStyle name="Normal 52 2 5 2" xfId="17807" xr:uid="{00000000-0005-0000-0000-00005D560000}"/>
    <cellStyle name="Normal 52 2 6" xfId="15813" xr:uid="{00000000-0005-0000-0000-00005E560000}"/>
    <cellStyle name="Normal 52 3" xfId="11504" xr:uid="{00000000-0005-0000-0000-00005F560000}"/>
    <cellStyle name="Normal 52 3 2" xfId="22792" xr:uid="{00000000-0005-0000-0000-000060560000}"/>
    <cellStyle name="Normal 52 4" xfId="9510" xr:uid="{00000000-0005-0000-0000-000061560000}"/>
    <cellStyle name="Normal 52 4 2" xfId="20798" xr:uid="{00000000-0005-0000-0000-000062560000}"/>
    <cellStyle name="Normal 52 5" xfId="7516" xr:uid="{00000000-0005-0000-0000-000063560000}"/>
    <cellStyle name="Normal 52 5 2" xfId="18804" xr:uid="{00000000-0005-0000-0000-000064560000}"/>
    <cellStyle name="Normal 52 6" xfId="5522" xr:uid="{00000000-0005-0000-0000-000065560000}"/>
    <cellStyle name="Normal 52 6 2" xfId="16810" xr:uid="{00000000-0005-0000-0000-000066560000}"/>
    <cellStyle name="Normal 52 7" xfId="14816" xr:uid="{00000000-0005-0000-0000-000067560000}"/>
    <cellStyle name="Normal 52 8" xfId="13500" xr:uid="{00000000-0005-0000-0000-000068560000}"/>
    <cellStyle name="Normal 53" xfId="3288" xr:uid="{00000000-0005-0000-0000-000069560000}"/>
    <cellStyle name="Normal 53 2" xfId="4523" xr:uid="{00000000-0005-0000-0000-00006A560000}"/>
    <cellStyle name="Normal 53 2 2" xfId="12502" xr:uid="{00000000-0005-0000-0000-00006B560000}"/>
    <cellStyle name="Normal 53 2 2 2" xfId="23790" xr:uid="{00000000-0005-0000-0000-00006C560000}"/>
    <cellStyle name="Normal 53 2 3" xfId="10508" xr:uid="{00000000-0005-0000-0000-00006D560000}"/>
    <cellStyle name="Normal 53 2 3 2" xfId="21796" xr:uid="{00000000-0005-0000-0000-00006E560000}"/>
    <cellStyle name="Normal 53 2 4" xfId="8514" xr:uid="{00000000-0005-0000-0000-00006F560000}"/>
    <cellStyle name="Normal 53 2 4 2" xfId="19802" xr:uid="{00000000-0005-0000-0000-000070560000}"/>
    <cellStyle name="Normal 53 2 5" xfId="6520" xr:uid="{00000000-0005-0000-0000-000071560000}"/>
    <cellStyle name="Normal 53 2 5 2" xfId="17808" xr:uid="{00000000-0005-0000-0000-000072560000}"/>
    <cellStyle name="Normal 53 2 6" xfId="15814" xr:uid="{00000000-0005-0000-0000-000073560000}"/>
    <cellStyle name="Normal 53 3" xfId="11505" xr:uid="{00000000-0005-0000-0000-000074560000}"/>
    <cellStyle name="Normal 53 3 2" xfId="22793" xr:uid="{00000000-0005-0000-0000-000075560000}"/>
    <cellStyle name="Normal 53 4" xfId="9511" xr:uid="{00000000-0005-0000-0000-000076560000}"/>
    <cellStyle name="Normal 53 4 2" xfId="20799" xr:uid="{00000000-0005-0000-0000-000077560000}"/>
    <cellStyle name="Normal 53 5" xfId="7517" xr:uid="{00000000-0005-0000-0000-000078560000}"/>
    <cellStyle name="Normal 53 5 2" xfId="18805" xr:uid="{00000000-0005-0000-0000-000079560000}"/>
    <cellStyle name="Normal 53 6" xfId="5523" xr:uid="{00000000-0005-0000-0000-00007A560000}"/>
    <cellStyle name="Normal 53 6 2" xfId="16811" xr:uid="{00000000-0005-0000-0000-00007B560000}"/>
    <cellStyle name="Normal 53 7" xfId="14817" xr:uid="{00000000-0005-0000-0000-00007C560000}"/>
    <cellStyle name="Normal 53 8" xfId="13501" xr:uid="{00000000-0005-0000-0000-00007D560000}"/>
    <cellStyle name="Normal 54" xfId="3289" xr:uid="{00000000-0005-0000-0000-00007E560000}"/>
    <cellStyle name="Normal 54 2" xfId="4524" xr:uid="{00000000-0005-0000-0000-00007F560000}"/>
    <cellStyle name="Normal 54 2 2" xfId="12503" xr:uid="{00000000-0005-0000-0000-000080560000}"/>
    <cellStyle name="Normal 54 2 2 2" xfId="23791" xr:uid="{00000000-0005-0000-0000-000081560000}"/>
    <cellStyle name="Normal 54 2 3" xfId="10509" xr:uid="{00000000-0005-0000-0000-000082560000}"/>
    <cellStyle name="Normal 54 2 3 2" xfId="21797" xr:uid="{00000000-0005-0000-0000-000083560000}"/>
    <cellStyle name="Normal 54 2 4" xfId="8515" xr:uid="{00000000-0005-0000-0000-000084560000}"/>
    <cellStyle name="Normal 54 2 4 2" xfId="19803" xr:uid="{00000000-0005-0000-0000-000085560000}"/>
    <cellStyle name="Normal 54 2 5" xfId="6521" xr:uid="{00000000-0005-0000-0000-000086560000}"/>
    <cellStyle name="Normal 54 2 5 2" xfId="17809" xr:uid="{00000000-0005-0000-0000-000087560000}"/>
    <cellStyle name="Normal 54 2 6" xfId="15815" xr:uid="{00000000-0005-0000-0000-000088560000}"/>
    <cellStyle name="Normal 54 3" xfId="11506" xr:uid="{00000000-0005-0000-0000-000089560000}"/>
    <cellStyle name="Normal 54 3 2" xfId="22794" xr:uid="{00000000-0005-0000-0000-00008A560000}"/>
    <cellStyle name="Normal 54 4" xfId="9512" xr:uid="{00000000-0005-0000-0000-00008B560000}"/>
    <cellStyle name="Normal 54 4 2" xfId="20800" xr:uid="{00000000-0005-0000-0000-00008C560000}"/>
    <cellStyle name="Normal 54 5" xfId="7518" xr:uid="{00000000-0005-0000-0000-00008D560000}"/>
    <cellStyle name="Normal 54 5 2" xfId="18806" xr:uid="{00000000-0005-0000-0000-00008E560000}"/>
    <cellStyle name="Normal 54 6" xfId="5524" xr:uid="{00000000-0005-0000-0000-00008F560000}"/>
    <cellStyle name="Normal 54 6 2" xfId="16812" xr:uid="{00000000-0005-0000-0000-000090560000}"/>
    <cellStyle name="Normal 54 7" xfId="14818" xr:uid="{00000000-0005-0000-0000-000091560000}"/>
    <cellStyle name="Normal 54 8" xfId="13502" xr:uid="{00000000-0005-0000-0000-000092560000}"/>
    <cellStyle name="Normal 55" xfId="3290" xr:uid="{00000000-0005-0000-0000-000093560000}"/>
    <cellStyle name="Normal 55 2" xfId="4525" xr:uid="{00000000-0005-0000-0000-000094560000}"/>
    <cellStyle name="Normal 55 2 2" xfId="12504" xr:uid="{00000000-0005-0000-0000-000095560000}"/>
    <cellStyle name="Normal 55 2 2 2" xfId="23792" xr:uid="{00000000-0005-0000-0000-000096560000}"/>
    <cellStyle name="Normal 55 2 3" xfId="10510" xr:uid="{00000000-0005-0000-0000-000097560000}"/>
    <cellStyle name="Normal 55 2 3 2" xfId="21798" xr:uid="{00000000-0005-0000-0000-000098560000}"/>
    <cellStyle name="Normal 55 2 4" xfId="8516" xr:uid="{00000000-0005-0000-0000-000099560000}"/>
    <cellStyle name="Normal 55 2 4 2" xfId="19804" xr:uid="{00000000-0005-0000-0000-00009A560000}"/>
    <cellStyle name="Normal 55 2 5" xfId="6522" xr:uid="{00000000-0005-0000-0000-00009B560000}"/>
    <cellStyle name="Normal 55 2 5 2" xfId="17810" xr:uid="{00000000-0005-0000-0000-00009C560000}"/>
    <cellStyle name="Normal 55 2 6" xfId="15816" xr:uid="{00000000-0005-0000-0000-00009D560000}"/>
    <cellStyle name="Normal 55 3" xfId="11507" xr:uid="{00000000-0005-0000-0000-00009E560000}"/>
    <cellStyle name="Normal 55 3 2" xfId="22795" xr:uid="{00000000-0005-0000-0000-00009F560000}"/>
    <cellStyle name="Normal 55 4" xfId="9513" xr:uid="{00000000-0005-0000-0000-0000A0560000}"/>
    <cellStyle name="Normal 55 4 2" xfId="20801" xr:uid="{00000000-0005-0000-0000-0000A1560000}"/>
    <cellStyle name="Normal 55 5" xfId="7519" xr:uid="{00000000-0005-0000-0000-0000A2560000}"/>
    <cellStyle name="Normal 55 5 2" xfId="18807" xr:uid="{00000000-0005-0000-0000-0000A3560000}"/>
    <cellStyle name="Normal 55 6" xfId="5525" xr:uid="{00000000-0005-0000-0000-0000A4560000}"/>
    <cellStyle name="Normal 55 6 2" xfId="16813" xr:uid="{00000000-0005-0000-0000-0000A5560000}"/>
    <cellStyle name="Normal 55 7" xfId="14819" xr:uid="{00000000-0005-0000-0000-0000A6560000}"/>
    <cellStyle name="Normal 55 8" xfId="13503" xr:uid="{00000000-0005-0000-0000-0000A7560000}"/>
    <cellStyle name="Normal 56" xfId="3291" xr:uid="{00000000-0005-0000-0000-0000A8560000}"/>
    <cellStyle name="Normal 56 2" xfId="4526" xr:uid="{00000000-0005-0000-0000-0000A9560000}"/>
    <cellStyle name="Normal 56 2 2" xfId="12505" xr:uid="{00000000-0005-0000-0000-0000AA560000}"/>
    <cellStyle name="Normal 56 2 2 2" xfId="23793" xr:uid="{00000000-0005-0000-0000-0000AB560000}"/>
    <cellStyle name="Normal 56 2 3" xfId="10511" xr:uid="{00000000-0005-0000-0000-0000AC560000}"/>
    <cellStyle name="Normal 56 2 3 2" xfId="21799" xr:uid="{00000000-0005-0000-0000-0000AD560000}"/>
    <cellStyle name="Normal 56 2 4" xfId="8517" xr:uid="{00000000-0005-0000-0000-0000AE560000}"/>
    <cellStyle name="Normal 56 2 4 2" xfId="19805" xr:uid="{00000000-0005-0000-0000-0000AF560000}"/>
    <cellStyle name="Normal 56 2 5" xfId="6523" xr:uid="{00000000-0005-0000-0000-0000B0560000}"/>
    <cellStyle name="Normal 56 2 5 2" xfId="17811" xr:uid="{00000000-0005-0000-0000-0000B1560000}"/>
    <cellStyle name="Normal 56 2 6" xfId="15817" xr:uid="{00000000-0005-0000-0000-0000B2560000}"/>
    <cellStyle name="Normal 56 3" xfId="11508" xr:uid="{00000000-0005-0000-0000-0000B3560000}"/>
    <cellStyle name="Normal 56 3 2" xfId="22796" xr:uid="{00000000-0005-0000-0000-0000B4560000}"/>
    <cellStyle name="Normal 56 4" xfId="9514" xr:uid="{00000000-0005-0000-0000-0000B5560000}"/>
    <cellStyle name="Normal 56 4 2" xfId="20802" xr:uid="{00000000-0005-0000-0000-0000B6560000}"/>
    <cellStyle name="Normal 56 5" xfId="7520" xr:uid="{00000000-0005-0000-0000-0000B7560000}"/>
    <cellStyle name="Normal 56 5 2" xfId="18808" xr:uid="{00000000-0005-0000-0000-0000B8560000}"/>
    <cellStyle name="Normal 56 6" xfId="5526" xr:uid="{00000000-0005-0000-0000-0000B9560000}"/>
    <cellStyle name="Normal 56 6 2" xfId="16814" xr:uid="{00000000-0005-0000-0000-0000BA560000}"/>
    <cellStyle name="Normal 56 7" xfId="14820" xr:uid="{00000000-0005-0000-0000-0000BB560000}"/>
    <cellStyle name="Normal 56 8" xfId="13504" xr:uid="{00000000-0005-0000-0000-0000BC560000}"/>
    <cellStyle name="Normal 57" xfId="3292" xr:uid="{00000000-0005-0000-0000-0000BD560000}"/>
    <cellStyle name="Normal 57 2" xfId="4527" xr:uid="{00000000-0005-0000-0000-0000BE560000}"/>
    <cellStyle name="Normal 57 2 2" xfId="12506" xr:uid="{00000000-0005-0000-0000-0000BF560000}"/>
    <cellStyle name="Normal 57 2 2 2" xfId="23794" xr:uid="{00000000-0005-0000-0000-0000C0560000}"/>
    <cellStyle name="Normal 57 2 3" xfId="10512" xr:uid="{00000000-0005-0000-0000-0000C1560000}"/>
    <cellStyle name="Normal 57 2 3 2" xfId="21800" xr:uid="{00000000-0005-0000-0000-0000C2560000}"/>
    <cellStyle name="Normal 57 2 4" xfId="8518" xr:uid="{00000000-0005-0000-0000-0000C3560000}"/>
    <cellStyle name="Normal 57 2 4 2" xfId="19806" xr:uid="{00000000-0005-0000-0000-0000C4560000}"/>
    <cellStyle name="Normal 57 2 5" xfId="6524" xr:uid="{00000000-0005-0000-0000-0000C5560000}"/>
    <cellStyle name="Normal 57 2 5 2" xfId="17812" xr:uid="{00000000-0005-0000-0000-0000C6560000}"/>
    <cellStyle name="Normal 57 2 6" xfId="15818" xr:uid="{00000000-0005-0000-0000-0000C7560000}"/>
    <cellStyle name="Normal 57 3" xfId="11509" xr:uid="{00000000-0005-0000-0000-0000C8560000}"/>
    <cellStyle name="Normal 57 3 2" xfId="22797" xr:uid="{00000000-0005-0000-0000-0000C9560000}"/>
    <cellStyle name="Normal 57 4" xfId="9515" xr:uid="{00000000-0005-0000-0000-0000CA560000}"/>
    <cellStyle name="Normal 57 4 2" xfId="20803" xr:uid="{00000000-0005-0000-0000-0000CB560000}"/>
    <cellStyle name="Normal 57 5" xfId="7521" xr:uid="{00000000-0005-0000-0000-0000CC560000}"/>
    <cellStyle name="Normal 57 5 2" xfId="18809" xr:uid="{00000000-0005-0000-0000-0000CD560000}"/>
    <cellStyle name="Normal 57 6" xfId="5527" xr:uid="{00000000-0005-0000-0000-0000CE560000}"/>
    <cellStyle name="Normal 57 6 2" xfId="16815" xr:uid="{00000000-0005-0000-0000-0000CF560000}"/>
    <cellStyle name="Normal 57 7" xfId="14821" xr:uid="{00000000-0005-0000-0000-0000D0560000}"/>
    <cellStyle name="Normal 57 8" xfId="13505" xr:uid="{00000000-0005-0000-0000-0000D1560000}"/>
    <cellStyle name="Normal 58" xfId="3293" xr:uid="{00000000-0005-0000-0000-0000D2560000}"/>
    <cellStyle name="Normal 58 2" xfId="4528" xr:uid="{00000000-0005-0000-0000-0000D3560000}"/>
    <cellStyle name="Normal 58 2 2" xfId="12507" xr:uid="{00000000-0005-0000-0000-0000D4560000}"/>
    <cellStyle name="Normal 58 2 2 2" xfId="23795" xr:uid="{00000000-0005-0000-0000-0000D5560000}"/>
    <cellStyle name="Normal 58 2 3" xfId="10513" xr:uid="{00000000-0005-0000-0000-0000D6560000}"/>
    <cellStyle name="Normal 58 2 3 2" xfId="21801" xr:uid="{00000000-0005-0000-0000-0000D7560000}"/>
    <cellStyle name="Normal 58 2 4" xfId="8519" xr:uid="{00000000-0005-0000-0000-0000D8560000}"/>
    <cellStyle name="Normal 58 2 4 2" xfId="19807" xr:uid="{00000000-0005-0000-0000-0000D9560000}"/>
    <cellStyle name="Normal 58 2 5" xfId="6525" xr:uid="{00000000-0005-0000-0000-0000DA560000}"/>
    <cellStyle name="Normal 58 2 5 2" xfId="17813" xr:uid="{00000000-0005-0000-0000-0000DB560000}"/>
    <cellStyle name="Normal 58 2 6" xfId="15819" xr:uid="{00000000-0005-0000-0000-0000DC560000}"/>
    <cellStyle name="Normal 58 3" xfId="11510" xr:uid="{00000000-0005-0000-0000-0000DD560000}"/>
    <cellStyle name="Normal 58 3 2" xfId="22798" xr:uid="{00000000-0005-0000-0000-0000DE560000}"/>
    <cellStyle name="Normal 58 4" xfId="9516" xr:uid="{00000000-0005-0000-0000-0000DF560000}"/>
    <cellStyle name="Normal 58 4 2" xfId="20804" xr:uid="{00000000-0005-0000-0000-0000E0560000}"/>
    <cellStyle name="Normal 58 5" xfId="7522" xr:uid="{00000000-0005-0000-0000-0000E1560000}"/>
    <cellStyle name="Normal 58 5 2" xfId="18810" xr:uid="{00000000-0005-0000-0000-0000E2560000}"/>
    <cellStyle name="Normal 58 6" xfId="5528" xr:uid="{00000000-0005-0000-0000-0000E3560000}"/>
    <cellStyle name="Normal 58 6 2" xfId="16816" xr:uid="{00000000-0005-0000-0000-0000E4560000}"/>
    <cellStyle name="Normal 58 7" xfId="14822" xr:uid="{00000000-0005-0000-0000-0000E5560000}"/>
    <cellStyle name="Normal 58 8" xfId="13506" xr:uid="{00000000-0005-0000-0000-0000E6560000}"/>
    <cellStyle name="Normal 59" xfId="3294" xr:uid="{00000000-0005-0000-0000-0000E7560000}"/>
    <cellStyle name="Normal 59 2" xfId="4529" xr:uid="{00000000-0005-0000-0000-0000E8560000}"/>
    <cellStyle name="Normal 59 2 2" xfId="12508" xr:uid="{00000000-0005-0000-0000-0000E9560000}"/>
    <cellStyle name="Normal 59 2 2 2" xfId="23796" xr:uid="{00000000-0005-0000-0000-0000EA560000}"/>
    <cellStyle name="Normal 59 2 3" xfId="10514" xr:uid="{00000000-0005-0000-0000-0000EB560000}"/>
    <cellStyle name="Normal 59 2 3 2" xfId="21802" xr:uid="{00000000-0005-0000-0000-0000EC560000}"/>
    <cellStyle name="Normal 59 2 4" xfId="8520" xr:uid="{00000000-0005-0000-0000-0000ED560000}"/>
    <cellStyle name="Normal 59 2 4 2" xfId="19808" xr:uid="{00000000-0005-0000-0000-0000EE560000}"/>
    <cellStyle name="Normal 59 2 5" xfId="6526" xr:uid="{00000000-0005-0000-0000-0000EF560000}"/>
    <cellStyle name="Normal 59 2 5 2" xfId="17814" xr:uid="{00000000-0005-0000-0000-0000F0560000}"/>
    <cellStyle name="Normal 59 2 6" xfId="15820" xr:uid="{00000000-0005-0000-0000-0000F1560000}"/>
    <cellStyle name="Normal 59 3" xfId="11511" xr:uid="{00000000-0005-0000-0000-0000F2560000}"/>
    <cellStyle name="Normal 59 3 2" xfId="22799" xr:uid="{00000000-0005-0000-0000-0000F3560000}"/>
    <cellStyle name="Normal 59 4" xfId="9517" xr:uid="{00000000-0005-0000-0000-0000F4560000}"/>
    <cellStyle name="Normal 59 4 2" xfId="20805" xr:uid="{00000000-0005-0000-0000-0000F5560000}"/>
    <cellStyle name="Normal 59 5" xfId="7523" xr:uid="{00000000-0005-0000-0000-0000F6560000}"/>
    <cellStyle name="Normal 59 5 2" xfId="18811" xr:uid="{00000000-0005-0000-0000-0000F7560000}"/>
    <cellStyle name="Normal 59 6" xfId="5529" xr:uid="{00000000-0005-0000-0000-0000F8560000}"/>
    <cellStyle name="Normal 59 6 2" xfId="16817" xr:uid="{00000000-0005-0000-0000-0000F9560000}"/>
    <cellStyle name="Normal 59 7" xfId="14823" xr:uid="{00000000-0005-0000-0000-0000FA560000}"/>
    <cellStyle name="Normal 59 8" xfId="13507" xr:uid="{00000000-0005-0000-0000-0000FB560000}"/>
    <cellStyle name="Normal 6" xfId="57" xr:uid="{00000000-0005-0000-0000-0000FC560000}"/>
    <cellStyle name="Normal 6 10" xfId="25776" xr:uid="{00000000-0005-0000-0000-0000FD560000}"/>
    <cellStyle name="Normal 6 10 2" xfId="29118" xr:uid="{00000000-0005-0000-0000-000001590000}"/>
    <cellStyle name="Normal 6 11" xfId="28816" xr:uid="{00000000-0005-0000-0000-000002590000}"/>
    <cellStyle name="Normal 6 11 2" xfId="29119" xr:uid="{00000000-0005-0000-0000-000003590000}"/>
    <cellStyle name="Normal 6 12" xfId="28817" xr:uid="{00000000-0005-0000-0000-000004590000}"/>
    <cellStyle name="Normal 6 12 2" xfId="29120" xr:uid="{00000000-0005-0000-0000-000005590000}"/>
    <cellStyle name="Normal 6 13" xfId="28818" xr:uid="{00000000-0005-0000-0000-000006590000}"/>
    <cellStyle name="Normal 6 13 2" xfId="29121" xr:uid="{00000000-0005-0000-0000-000007590000}"/>
    <cellStyle name="Normal 6 14" xfId="29168" xr:uid="{00000000-0005-0000-0000-000008590000}"/>
    <cellStyle name="Normal 6 2" xfId="204" xr:uid="{00000000-0005-0000-0000-0000FE560000}"/>
    <cellStyle name="Normal 6 2 10" xfId="25046" xr:uid="{00000000-0005-0000-0000-0000FF560000}"/>
    <cellStyle name="Normal 6 2 11" xfId="25790" xr:uid="{00000000-0005-0000-0000-000000570000}"/>
    <cellStyle name="Normal 6 2 2" xfId="367" xr:uid="{00000000-0005-0000-0000-000001570000}"/>
    <cellStyle name="Normal 6 2 2 2" xfId="449" xr:uid="{00000000-0005-0000-0000-000002570000}"/>
    <cellStyle name="Normal 6 2 2 2 2" xfId="535" xr:uid="{00000000-0005-0000-0000-000003570000}"/>
    <cellStyle name="Normal 6 2 2 2 2 2" xfId="13898" xr:uid="{00000000-0005-0000-0000-000004570000}"/>
    <cellStyle name="Normal 6 2 2 2 3" xfId="13821" xr:uid="{00000000-0005-0000-0000-000005570000}"/>
    <cellStyle name="Normal 6 2 2 2 4" xfId="24434" xr:uid="{00000000-0005-0000-0000-000006570000}"/>
    <cellStyle name="Normal 6 2 2 2 5" xfId="24878" xr:uid="{00000000-0005-0000-0000-000007570000}"/>
    <cellStyle name="Normal 6 2 2 2 6" xfId="25241" xr:uid="{00000000-0005-0000-0000-000008570000}"/>
    <cellStyle name="Normal 6 2 2 3" xfId="498" xr:uid="{00000000-0005-0000-0000-000009570000}"/>
    <cellStyle name="Normal 6 2 2 3 2" xfId="13861" xr:uid="{00000000-0005-0000-0000-00000A570000}"/>
    <cellStyle name="Normal 6 2 2 4" xfId="11512" xr:uid="{00000000-0005-0000-0000-00000B570000}"/>
    <cellStyle name="Normal 6 2 2 4 2" xfId="22800" xr:uid="{00000000-0005-0000-0000-00000C570000}"/>
    <cellStyle name="Normal 6 2 2 5" xfId="13777" xr:uid="{00000000-0005-0000-0000-00000D570000}"/>
    <cellStyle name="Normal 6 2 2 6" xfId="24162" xr:uid="{00000000-0005-0000-0000-00000E570000}"/>
    <cellStyle name="Normal 6 2 2 7" xfId="24731" xr:uid="{00000000-0005-0000-0000-00000F570000}"/>
    <cellStyle name="Normal 6 2 2 8" xfId="25047" xr:uid="{00000000-0005-0000-0000-000010570000}"/>
    <cellStyle name="Normal 6 2 2 9" xfId="29122" xr:uid="{00000000-0005-0000-0000-00001C590000}"/>
    <cellStyle name="Normal 6 2 3" xfId="429" xr:uid="{00000000-0005-0000-0000-000011570000}"/>
    <cellStyle name="Normal 6 2 3 2" xfId="520" xr:uid="{00000000-0005-0000-0000-000012570000}"/>
    <cellStyle name="Normal 6 2 3 2 2" xfId="13883" xr:uid="{00000000-0005-0000-0000-000013570000}"/>
    <cellStyle name="Normal 6 2 3 3" xfId="9518" xr:uid="{00000000-0005-0000-0000-000014570000}"/>
    <cellStyle name="Normal 6 2 3 3 2" xfId="20806" xr:uid="{00000000-0005-0000-0000-000015570000}"/>
    <cellStyle name="Normal 6 2 3 4" xfId="13806" xr:uid="{00000000-0005-0000-0000-000016570000}"/>
    <cellStyle name="Normal 6 2 3 5" xfId="24433" xr:uid="{00000000-0005-0000-0000-000017570000}"/>
    <cellStyle name="Normal 6 2 3 6" xfId="24877" xr:uid="{00000000-0005-0000-0000-000018570000}"/>
    <cellStyle name="Normal 6 2 3 7" xfId="25240" xr:uid="{00000000-0005-0000-0000-000019570000}"/>
    <cellStyle name="Normal 6 2 4" xfId="483" xr:uid="{00000000-0005-0000-0000-00001A570000}"/>
    <cellStyle name="Normal 6 2 4 2" xfId="7524" xr:uid="{00000000-0005-0000-0000-00001B570000}"/>
    <cellStyle name="Normal 6 2 4 2 2" xfId="18812" xr:uid="{00000000-0005-0000-0000-00001C570000}"/>
    <cellStyle name="Normal 6 2 4 3" xfId="13846" xr:uid="{00000000-0005-0000-0000-00001D570000}"/>
    <cellStyle name="Normal 6 2 5" xfId="5530" xr:uid="{00000000-0005-0000-0000-00001E570000}"/>
    <cellStyle name="Normal 6 2 5 2" xfId="16818" xr:uid="{00000000-0005-0000-0000-00001F570000}"/>
    <cellStyle name="Normal 6 2 6" xfId="3296" xr:uid="{00000000-0005-0000-0000-000020570000}"/>
    <cellStyle name="Normal 6 2 6 2" xfId="14824" xr:uid="{00000000-0005-0000-0000-000021570000}"/>
    <cellStyle name="Normal 6 2 7" xfId="13703" xr:uid="{00000000-0005-0000-0000-000022570000}"/>
    <cellStyle name="Normal 6 2 8" xfId="24161" xr:uid="{00000000-0005-0000-0000-000023570000}"/>
    <cellStyle name="Normal 6 2 9" xfId="24730" xr:uid="{00000000-0005-0000-0000-000024570000}"/>
    <cellStyle name="Normal 6 3" xfId="4530" xr:uid="{00000000-0005-0000-0000-000025570000}"/>
    <cellStyle name="Normal 6 3 10" xfId="28819" xr:uid="{00000000-0005-0000-0000-000032590000}"/>
    <cellStyle name="Normal 6 3 2" xfId="12509" xr:uid="{00000000-0005-0000-0000-000026570000}"/>
    <cellStyle name="Normal 6 3 2 2" xfId="23797" xr:uid="{00000000-0005-0000-0000-000027570000}"/>
    <cellStyle name="Normal 6 3 2 2 2" xfId="24436" xr:uid="{00000000-0005-0000-0000-000028570000}"/>
    <cellStyle name="Normal 6 3 2 2 3" xfId="24880" xr:uid="{00000000-0005-0000-0000-000029570000}"/>
    <cellStyle name="Normal 6 3 2 2 4" xfId="25243" xr:uid="{00000000-0005-0000-0000-00002A570000}"/>
    <cellStyle name="Normal 6 3 2 3" xfId="24164" xr:uid="{00000000-0005-0000-0000-00002B570000}"/>
    <cellStyle name="Normal 6 3 2 4" xfId="24733" xr:uid="{00000000-0005-0000-0000-00002C570000}"/>
    <cellStyle name="Normal 6 3 2 5" xfId="25049" xr:uid="{00000000-0005-0000-0000-00002D570000}"/>
    <cellStyle name="Normal 6 3 2 6" xfId="29123" xr:uid="{00000000-0005-0000-0000-00003B590000}"/>
    <cellStyle name="Normal 6 3 3" xfId="10515" xr:uid="{00000000-0005-0000-0000-00002E570000}"/>
    <cellStyle name="Normal 6 3 3 2" xfId="21803" xr:uid="{00000000-0005-0000-0000-00002F570000}"/>
    <cellStyle name="Normal 6 3 3 3" xfId="24435" xr:uid="{00000000-0005-0000-0000-000030570000}"/>
    <cellStyle name="Normal 6 3 3 4" xfId="24879" xr:uid="{00000000-0005-0000-0000-000031570000}"/>
    <cellStyle name="Normal 6 3 3 5" xfId="25242" xr:uid="{00000000-0005-0000-0000-000032570000}"/>
    <cellStyle name="Normal 6 3 4" xfId="8521" xr:uid="{00000000-0005-0000-0000-000033570000}"/>
    <cellStyle name="Normal 6 3 4 2" xfId="19809" xr:uid="{00000000-0005-0000-0000-000034570000}"/>
    <cellStyle name="Normal 6 3 5" xfId="6527" xr:uid="{00000000-0005-0000-0000-000035570000}"/>
    <cellStyle name="Normal 6 3 5 2" xfId="17815" xr:uid="{00000000-0005-0000-0000-000036570000}"/>
    <cellStyle name="Normal 6 3 6" xfId="15821" xr:uid="{00000000-0005-0000-0000-000037570000}"/>
    <cellStyle name="Normal 6 3 7" xfId="24163" xr:uid="{00000000-0005-0000-0000-000038570000}"/>
    <cellStyle name="Normal 6 3 8" xfId="24732" xr:uid="{00000000-0005-0000-0000-000039570000}"/>
    <cellStyle name="Normal 6 3 9" xfId="25048" xr:uid="{00000000-0005-0000-0000-00003A570000}"/>
    <cellStyle name="Normal 6 4" xfId="3295" xr:uid="{00000000-0005-0000-0000-00003B570000}"/>
    <cellStyle name="Normal 6 4 2" xfId="24437" xr:uid="{00000000-0005-0000-0000-00003C570000}"/>
    <cellStyle name="Normal 6 4 2 2" xfId="24881" xr:uid="{00000000-0005-0000-0000-00003D570000}"/>
    <cellStyle name="Normal 6 4 2 3" xfId="25244" xr:uid="{00000000-0005-0000-0000-00003E570000}"/>
    <cellStyle name="Normal 6 4 2 4" xfId="29124" xr:uid="{00000000-0005-0000-0000-00004D590000}"/>
    <cellStyle name="Normal 6 4 3" xfId="24165" xr:uid="{00000000-0005-0000-0000-00003F570000}"/>
    <cellStyle name="Normal 6 4 4" xfId="24734" xr:uid="{00000000-0005-0000-0000-000040570000}"/>
    <cellStyle name="Normal 6 4 5" xfId="25050" xr:uid="{00000000-0005-0000-0000-000041570000}"/>
    <cellStyle name="Normal 6 4 6" xfId="26183" xr:uid="{00000000-0005-0000-0000-000052570000}"/>
    <cellStyle name="Normal 6 5" xfId="13615" xr:uid="{00000000-0005-0000-0000-000042570000}"/>
    <cellStyle name="Normal 6 5 2" xfId="24432" xr:uid="{00000000-0005-0000-0000-000043570000}"/>
    <cellStyle name="Normal 6 5 2 2" xfId="29125" xr:uid="{00000000-0005-0000-0000-000053590000}"/>
    <cellStyle name="Normal 6 5 3" xfId="24876" xr:uid="{00000000-0005-0000-0000-000044570000}"/>
    <cellStyle name="Normal 6 5 4" xfId="25239" xr:uid="{00000000-0005-0000-0000-000045570000}"/>
    <cellStyle name="Normal 6 5 5" xfId="28820" xr:uid="{00000000-0005-0000-0000-000056590000}"/>
    <cellStyle name="Normal 6 6" xfId="13508" xr:uid="{00000000-0005-0000-0000-000046570000}"/>
    <cellStyle name="Normal 6 6 2" xfId="29126" xr:uid="{00000000-0005-0000-0000-000058590000}"/>
    <cellStyle name="Normal 6 6 3" xfId="28821" xr:uid="{00000000-0005-0000-0000-000059590000}"/>
    <cellStyle name="Normal 6 7" xfId="24160" xr:uid="{00000000-0005-0000-0000-000047570000}"/>
    <cellStyle name="Normal 6 7 2" xfId="29127" xr:uid="{00000000-0005-0000-0000-00005B590000}"/>
    <cellStyle name="Normal 6 7 3" xfId="28822" xr:uid="{00000000-0005-0000-0000-00005C590000}"/>
    <cellStyle name="Normal 6 8" xfId="24729" xr:uid="{00000000-0005-0000-0000-000048570000}"/>
    <cellStyle name="Normal 6 8 2" xfId="29128" xr:uid="{00000000-0005-0000-0000-00005E590000}"/>
    <cellStyle name="Normal 6 8 3" xfId="28823" xr:uid="{00000000-0005-0000-0000-00005F590000}"/>
    <cellStyle name="Normal 6 9" xfId="25045" xr:uid="{00000000-0005-0000-0000-000049570000}"/>
    <cellStyle name="Normal 6 9 2" xfId="29129" xr:uid="{00000000-0005-0000-0000-000061590000}"/>
    <cellStyle name="Normal 6 9 3" xfId="28824" xr:uid="{00000000-0005-0000-0000-000062590000}"/>
    <cellStyle name="Normal 60" xfId="3297" xr:uid="{00000000-0005-0000-0000-00004A570000}"/>
    <cellStyle name="Normal 60 2" xfId="3298" xr:uid="{00000000-0005-0000-0000-00004B570000}"/>
    <cellStyle name="Normal 60 2 2" xfId="4532" xr:uid="{00000000-0005-0000-0000-00004C570000}"/>
    <cellStyle name="Normal 60 2 2 2" xfId="12511" xr:uid="{00000000-0005-0000-0000-00004D570000}"/>
    <cellStyle name="Normal 60 2 2 2 2" xfId="23799" xr:uid="{00000000-0005-0000-0000-00004E570000}"/>
    <cellStyle name="Normal 60 2 2 3" xfId="10517" xr:uid="{00000000-0005-0000-0000-00004F570000}"/>
    <cellStyle name="Normal 60 2 2 3 2" xfId="21805" xr:uid="{00000000-0005-0000-0000-000050570000}"/>
    <cellStyle name="Normal 60 2 2 4" xfId="8523" xr:uid="{00000000-0005-0000-0000-000051570000}"/>
    <cellStyle name="Normal 60 2 2 4 2" xfId="19811" xr:uid="{00000000-0005-0000-0000-000052570000}"/>
    <cellStyle name="Normal 60 2 2 5" xfId="6529" xr:uid="{00000000-0005-0000-0000-000053570000}"/>
    <cellStyle name="Normal 60 2 2 5 2" xfId="17817" xr:uid="{00000000-0005-0000-0000-000054570000}"/>
    <cellStyle name="Normal 60 2 2 6" xfId="15823" xr:uid="{00000000-0005-0000-0000-000055570000}"/>
    <cellStyle name="Normal 60 2 3" xfId="11514" xr:uid="{00000000-0005-0000-0000-000056570000}"/>
    <cellStyle name="Normal 60 2 3 2" xfId="22802" xr:uid="{00000000-0005-0000-0000-000057570000}"/>
    <cellStyle name="Normal 60 2 4" xfId="9520" xr:uid="{00000000-0005-0000-0000-000058570000}"/>
    <cellStyle name="Normal 60 2 4 2" xfId="20808" xr:uid="{00000000-0005-0000-0000-000059570000}"/>
    <cellStyle name="Normal 60 2 5" xfId="7526" xr:uid="{00000000-0005-0000-0000-00005A570000}"/>
    <cellStyle name="Normal 60 2 5 2" xfId="18814" xr:uid="{00000000-0005-0000-0000-00005B570000}"/>
    <cellStyle name="Normal 60 2 6" xfId="5532" xr:uid="{00000000-0005-0000-0000-00005C570000}"/>
    <cellStyle name="Normal 60 2 6 2" xfId="16820" xr:uid="{00000000-0005-0000-0000-00005D570000}"/>
    <cellStyle name="Normal 60 2 7" xfId="14826" xr:uid="{00000000-0005-0000-0000-00005E570000}"/>
    <cellStyle name="Normal 60 2 8" xfId="13510" xr:uid="{00000000-0005-0000-0000-00005F570000}"/>
    <cellStyle name="Normal 60 3" xfId="4531" xr:uid="{00000000-0005-0000-0000-000060570000}"/>
    <cellStyle name="Normal 60 3 2" xfId="12510" xr:uid="{00000000-0005-0000-0000-000061570000}"/>
    <cellStyle name="Normal 60 3 2 2" xfId="23798" xr:uid="{00000000-0005-0000-0000-000062570000}"/>
    <cellStyle name="Normal 60 3 3" xfId="10516" xr:uid="{00000000-0005-0000-0000-000063570000}"/>
    <cellStyle name="Normal 60 3 3 2" xfId="21804" xr:uid="{00000000-0005-0000-0000-000064570000}"/>
    <cellStyle name="Normal 60 3 4" xfId="8522" xr:uid="{00000000-0005-0000-0000-000065570000}"/>
    <cellStyle name="Normal 60 3 4 2" xfId="19810" xr:uid="{00000000-0005-0000-0000-000066570000}"/>
    <cellStyle name="Normal 60 3 5" xfId="6528" xr:uid="{00000000-0005-0000-0000-000067570000}"/>
    <cellStyle name="Normal 60 3 5 2" xfId="17816" xr:uid="{00000000-0005-0000-0000-000068570000}"/>
    <cellStyle name="Normal 60 3 6" xfId="15822" xr:uid="{00000000-0005-0000-0000-000069570000}"/>
    <cellStyle name="Normal 60 4" xfId="11513" xr:uid="{00000000-0005-0000-0000-00006A570000}"/>
    <cellStyle name="Normal 60 4 2" xfId="22801" xr:uid="{00000000-0005-0000-0000-00006B570000}"/>
    <cellStyle name="Normal 60 5" xfId="9519" xr:uid="{00000000-0005-0000-0000-00006C570000}"/>
    <cellStyle name="Normal 60 5 2" xfId="20807" xr:uid="{00000000-0005-0000-0000-00006D570000}"/>
    <cellStyle name="Normal 60 6" xfId="7525" xr:uid="{00000000-0005-0000-0000-00006E570000}"/>
    <cellStyle name="Normal 60 6 2" xfId="18813" xr:uid="{00000000-0005-0000-0000-00006F570000}"/>
    <cellStyle name="Normal 60 7" xfId="5531" xr:uid="{00000000-0005-0000-0000-000070570000}"/>
    <cellStyle name="Normal 60 7 2" xfId="16819" xr:uid="{00000000-0005-0000-0000-000071570000}"/>
    <cellStyle name="Normal 60 8" xfId="14825" xr:uid="{00000000-0005-0000-0000-000072570000}"/>
    <cellStyle name="Normal 60 9" xfId="13509" xr:uid="{00000000-0005-0000-0000-000073570000}"/>
    <cellStyle name="Normal 604" xfId="25796" xr:uid="{00000000-0005-0000-0000-000074570000}"/>
    <cellStyle name="Normal 61" xfId="3299" xr:uid="{00000000-0005-0000-0000-000075570000}"/>
    <cellStyle name="Normal 61 2" xfId="4533" xr:uid="{00000000-0005-0000-0000-000076570000}"/>
    <cellStyle name="Normal 61 2 2" xfId="12512" xr:uid="{00000000-0005-0000-0000-000077570000}"/>
    <cellStyle name="Normal 61 2 2 2" xfId="23800" xr:uid="{00000000-0005-0000-0000-000078570000}"/>
    <cellStyle name="Normal 61 2 3" xfId="10518" xr:uid="{00000000-0005-0000-0000-000079570000}"/>
    <cellStyle name="Normal 61 2 3 2" xfId="21806" xr:uid="{00000000-0005-0000-0000-00007A570000}"/>
    <cellStyle name="Normal 61 2 4" xfId="8524" xr:uid="{00000000-0005-0000-0000-00007B570000}"/>
    <cellStyle name="Normal 61 2 4 2" xfId="19812" xr:uid="{00000000-0005-0000-0000-00007C570000}"/>
    <cellStyle name="Normal 61 2 5" xfId="6530" xr:uid="{00000000-0005-0000-0000-00007D570000}"/>
    <cellStyle name="Normal 61 2 5 2" xfId="17818" xr:uid="{00000000-0005-0000-0000-00007E570000}"/>
    <cellStyle name="Normal 61 2 6" xfId="15824" xr:uid="{00000000-0005-0000-0000-00007F570000}"/>
    <cellStyle name="Normal 61 3" xfId="11515" xr:uid="{00000000-0005-0000-0000-000080570000}"/>
    <cellStyle name="Normal 61 3 2" xfId="22803" xr:uid="{00000000-0005-0000-0000-000081570000}"/>
    <cellStyle name="Normal 61 4" xfId="9521" xr:uid="{00000000-0005-0000-0000-000082570000}"/>
    <cellStyle name="Normal 61 4 2" xfId="20809" xr:uid="{00000000-0005-0000-0000-000083570000}"/>
    <cellStyle name="Normal 61 5" xfId="7527" xr:uid="{00000000-0005-0000-0000-000084570000}"/>
    <cellStyle name="Normal 61 5 2" xfId="18815" xr:uid="{00000000-0005-0000-0000-000085570000}"/>
    <cellStyle name="Normal 61 6" xfId="5533" xr:uid="{00000000-0005-0000-0000-000086570000}"/>
    <cellStyle name="Normal 61 6 2" xfId="16821" xr:uid="{00000000-0005-0000-0000-000087570000}"/>
    <cellStyle name="Normal 61 7" xfId="14827" xr:uid="{00000000-0005-0000-0000-000088570000}"/>
    <cellStyle name="Normal 61 8" xfId="13511" xr:uid="{00000000-0005-0000-0000-000089570000}"/>
    <cellStyle name="Normal 62" xfId="3300" xr:uid="{00000000-0005-0000-0000-00008A570000}"/>
    <cellStyle name="Normal 62 2" xfId="4534" xr:uid="{00000000-0005-0000-0000-00008B570000}"/>
    <cellStyle name="Normal 62 2 2" xfId="12513" xr:uid="{00000000-0005-0000-0000-00008C570000}"/>
    <cellStyle name="Normal 62 2 2 2" xfId="23801" xr:uid="{00000000-0005-0000-0000-00008D570000}"/>
    <cellStyle name="Normal 62 2 3" xfId="10519" xr:uid="{00000000-0005-0000-0000-00008E570000}"/>
    <cellStyle name="Normal 62 2 3 2" xfId="21807" xr:uid="{00000000-0005-0000-0000-00008F570000}"/>
    <cellStyle name="Normal 62 2 4" xfId="8525" xr:uid="{00000000-0005-0000-0000-000090570000}"/>
    <cellStyle name="Normal 62 2 4 2" xfId="19813" xr:uid="{00000000-0005-0000-0000-000091570000}"/>
    <cellStyle name="Normal 62 2 5" xfId="6531" xr:uid="{00000000-0005-0000-0000-000092570000}"/>
    <cellStyle name="Normal 62 2 5 2" xfId="17819" xr:uid="{00000000-0005-0000-0000-000093570000}"/>
    <cellStyle name="Normal 62 2 6" xfId="15825" xr:uid="{00000000-0005-0000-0000-000094570000}"/>
    <cellStyle name="Normal 62 3" xfId="11516" xr:uid="{00000000-0005-0000-0000-000095570000}"/>
    <cellStyle name="Normal 62 3 2" xfId="22804" xr:uid="{00000000-0005-0000-0000-000096570000}"/>
    <cellStyle name="Normal 62 4" xfId="9522" xr:uid="{00000000-0005-0000-0000-000097570000}"/>
    <cellStyle name="Normal 62 4 2" xfId="20810" xr:uid="{00000000-0005-0000-0000-000098570000}"/>
    <cellStyle name="Normal 62 5" xfId="7528" xr:uid="{00000000-0005-0000-0000-000099570000}"/>
    <cellStyle name="Normal 62 5 2" xfId="18816" xr:uid="{00000000-0005-0000-0000-00009A570000}"/>
    <cellStyle name="Normal 62 6" xfId="5534" xr:uid="{00000000-0005-0000-0000-00009B570000}"/>
    <cellStyle name="Normal 62 6 2" xfId="16822" xr:uid="{00000000-0005-0000-0000-00009C570000}"/>
    <cellStyle name="Normal 62 7" xfId="14828" xr:uid="{00000000-0005-0000-0000-00009D570000}"/>
    <cellStyle name="Normal 62 8" xfId="13512" xr:uid="{00000000-0005-0000-0000-00009E570000}"/>
    <cellStyle name="Normal 63" xfId="3301" xr:uid="{00000000-0005-0000-0000-00009F570000}"/>
    <cellStyle name="Normal 63 2" xfId="4535" xr:uid="{00000000-0005-0000-0000-0000A0570000}"/>
    <cellStyle name="Normal 63 2 2" xfId="12514" xr:uid="{00000000-0005-0000-0000-0000A1570000}"/>
    <cellStyle name="Normal 63 2 2 2" xfId="23802" xr:uid="{00000000-0005-0000-0000-0000A2570000}"/>
    <cellStyle name="Normal 63 2 3" xfId="10520" xr:uid="{00000000-0005-0000-0000-0000A3570000}"/>
    <cellStyle name="Normal 63 2 3 2" xfId="21808" xr:uid="{00000000-0005-0000-0000-0000A4570000}"/>
    <cellStyle name="Normal 63 2 4" xfId="8526" xr:uid="{00000000-0005-0000-0000-0000A5570000}"/>
    <cellStyle name="Normal 63 2 4 2" xfId="19814" xr:uid="{00000000-0005-0000-0000-0000A6570000}"/>
    <cellStyle name="Normal 63 2 5" xfId="6532" xr:uid="{00000000-0005-0000-0000-0000A7570000}"/>
    <cellStyle name="Normal 63 2 5 2" xfId="17820" xr:uid="{00000000-0005-0000-0000-0000A8570000}"/>
    <cellStyle name="Normal 63 2 6" xfId="15826" xr:uid="{00000000-0005-0000-0000-0000A9570000}"/>
    <cellStyle name="Normal 63 3" xfId="11517" xr:uid="{00000000-0005-0000-0000-0000AA570000}"/>
    <cellStyle name="Normal 63 3 2" xfId="22805" xr:uid="{00000000-0005-0000-0000-0000AB570000}"/>
    <cellStyle name="Normal 63 4" xfId="9523" xr:uid="{00000000-0005-0000-0000-0000AC570000}"/>
    <cellStyle name="Normal 63 4 2" xfId="20811" xr:uid="{00000000-0005-0000-0000-0000AD570000}"/>
    <cellStyle name="Normal 63 5" xfId="7529" xr:uid="{00000000-0005-0000-0000-0000AE570000}"/>
    <cellStyle name="Normal 63 5 2" xfId="18817" xr:uid="{00000000-0005-0000-0000-0000AF570000}"/>
    <cellStyle name="Normal 63 6" xfId="5535" xr:uid="{00000000-0005-0000-0000-0000B0570000}"/>
    <cellStyle name="Normal 63 6 2" xfId="16823" xr:uid="{00000000-0005-0000-0000-0000B1570000}"/>
    <cellStyle name="Normal 63 7" xfId="14829" xr:uid="{00000000-0005-0000-0000-0000B2570000}"/>
    <cellStyle name="Normal 63 8" xfId="13513" xr:uid="{00000000-0005-0000-0000-0000B3570000}"/>
    <cellStyle name="Normal 64" xfId="3302" xr:uid="{00000000-0005-0000-0000-0000B4570000}"/>
    <cellStyle name="Normal 64 2" xfId="4536" xr:uid="{00000000-0005-0000-0000-0000B5570000}"/>
    <cellStyle name="Normal 64 2 2" xfId="12515" xr:uid="{00000000-0005-0000-0000-0000B6570000}"/>
    <cellStyle name="Normal 64 2 2 2" xfId="23803" xr:uid="{00000000-0005-0000-0000-0000B7570000}"/>
    <cellStyle name="Normal 64 2 3" xfId="10521" xr:uid="{00000000-0005-0000-0000-0000B8570000}"/>
    <cellStyle name="Normal 64 2 3 2" xfId="21809" xr:uid="{00000000-0005-0000-0000-0000B9570000}"/>
    <cellStyle name="Normal 64 2 4" xfId="8527" xr:uid="{00000000-0005-0000-0000-0000BA570000}"/>
    <cellStyle name="Normal 64 2 4 2" xfId="19815" xr:uid="{00000000-0005-0000-0000-0000BB570000}"/>
    <cellStyle name="Normal 64 2 5" xfId="6533" xr:uid="{00000000-0005-0000-0000-0000BC570000}"/>
    <cellStyle name="Normal 64 2 5 2" xfId="17821" xr:uid="{00000000-0005-0000-0000-0000BD570000}"/>
    <cellStyle name="Normal 64 2 6" xfId="15827" xr:uid="{00000000-0005-0000-0000-0000BE570000}"/>
    <cellStyle name="Normal 64 3" xfId="11518" xr:uid="{00000000-0005-0000-0000-0000BF570000}"/>
    <cellStyle name="Normal 64 3 2" xfId="22806" xr:uid="{00000000-0005-0000-0000-0000C0570000}"/>
    <cellStyle name="Normal 64 4" xfId="9524" xr:uid="{00000000-0005-0000-0000-0000C1570000}"/>
    <cellStyle name="Normal 64 4 2" xfId="20812" xr:uid="{00000000-0005-0000-0000-0000C2570000}"/>
    <cellStyle name="Normal 64 5" xfId="7530" xr:uid="{00000000-0005-0000-0000-0000C3570000}"/>
    <cellStyle name="Normal 64 5 2" xfId="18818" xr:uid="{00000000-0005-0000-0000-0000C4570000}"/>
    <cellStyle name="Normal 64 6" xfId="5536" xr:uid="{00000000-0005-0000-0000-0000C5570000}"/>
    <cellStyle name="Normal 64 6 2" xfId="16824" xr:uid="{00000000-0005-0000-0000-0000C6570000}"/>
    <cellStyle name="Normal 64 7" xfId="14830" xr:uid="{00000000-0005-0000-0000-0000C7570000}"/>
    <cellStyle name="Normal 64 8" xfId="13514" xr:uid="{00000000-0005-0000-0000-0000C8570000}"/>
    <cellStyle name="Normal 65" xfId="3303" xr:uid="{00000000-0005-0000-0000-0000C9570000}"/>
    <cellStyle name="Normal 65 2" xfId="4537" xr:uid="{00000000-0005-0000-0000-0000CA570000}"/>
    <cellStyle name="Normal 65 2 2" xfId="12516" xr:uid="{00000000-0005-0000-0000-0000CB570000}"/>
    <cellStyle name="Normal 65 2 2 2" xfId="23804" xr:uid="{00000000-0005-0000-0000-0000CC570000}"/>
    <cellStyle name="Normal 65 2 3" xfId="10522" xr:uid="{00000000-0005-0000-0000-0000CD570000}"/>
    <cellStyle name="Normal 65 2 3 2" xfId="21810" xr:uid="{00000000-0005-0000-0000-0000CE570000}"/>
    <cellStyle name="Normal 65 2 4" xfId="8528" xr:uid="{00000000-0005-0000-0000-0000CF570000}"/>
    <cellStyle name="Normal 65 2 4 2" xfId="19816" xr:uid="{00000000-0005-0000-0000-0000D0570000}"/>
    <cellStyle name="Normal 65 2 5" xfId="6534" xr:uid="{00000000-0005-0000-0000-0000D1570000}"/>
    <cellStyle name="Normal 65 2 5 2" xfId="17822" xr:uid="{00000000-0005-0000-0000-0000D2570000}"/>
    <cellStyle name="Normal 65 2 6" xfId="15828" xr:uid="{00000000-0005-0000-0000-0000D3570000}"/>
    <cellStyle name="Normal 65 3" xfId="11519" xr:uid="{00000000-0005-0000-0000-0000D4570000}"/>
    <cellStyle name="Normal 65 3 2" xfId="22807" xr:uid="{00000000-0005-0000-0000-0000D5570000}"/>
    <cellStyle name="Normal 65 4" xfId="9525" xr:uid="{00000000-0005-0000-0000-0000D6570000}"/>
    <cellStyle name="Normal 65 4 2" xfId="20813" xr:uid="{00000000-0005-0000-0000-0000D7570000}"/>
    <cellStyle name="Normal 65 5" xfId="7531" xr:uid="{00000000-0005-0000-0000-0000D8570000}"/>
    <cellStyle name="Normal 65 5 2" xfId="18819" xr:uid="{00000000-0005-0000-0000-0000D9570000}"/>
    <cellStyle name="Normal 65 6" xfId="5537" xr:uid="{00000000-0005-0000-0000-0000DA570000}"/>
    <cellStyle name="Normal 65 6 2" xfId="16825" xr:uid="{00000000-0005-0000-0000-0000DB570000}"/>
    <cellStyle name="Normal 65 7" xfId="14831" xr:uid="{00000000-0005-0000-0000-0000DC570000}"/>
    <cellStyle name="Normal 65 8" xfId="13515" xr:uid="{00000000-0005-0000-0000-0000DD570000}"/>
    <cellStyle name="Normal 66" xfId="3304" xr:uid="{00000000-0005-0000-0000-0000DE570000}"/>
    <cellStyle name="Normal 66 2" xfId="3305" xr:uid="{00000000-0005-0000-0000-0000DF570000}"/>
    <cellStyle name="Normal 66 2 2" xfId="4539" xr:uid="{00000000-0005-0000-0000-0000E0570000}"/>
    <cellStyle name="Normal 66 2 2 2" xfId="12518" xr:uid="{00000000-0005-0000-0000-0000E1570000}"/>
    <cellStyle name="Normal 66 2 2 2 2" xfId="23806" xr:uid="{00000000-0005-0000-0000-0000E2570000}"/>
    <cellStyle name="Normal 66 2 2 3" xfId="10524" xr:uid="{00000000-0005-0000-0000-0000E3570000}"/>
    <cellStyle name="Normal 66 2 2 3 2" xfId="21812" xr:uid="{00000000-0005-0000-0000-0000E4570000}"/>
    <cellStyle name="Normal 66 2 2 4" xfId="8530" xr:uid="{00000000-0005-0000-0000-0000E5570000}"/>
    <cellStyle name="Normal 66 2 2 4 2" xfId="19818" xr:uid="{00000000-0005-0000-0000-0000E6570000}"/>
    <cellStyle name="Normal 66 2 2 5" xfId="6536" xr:uid="{00000000-0005-0000-0000-0000E7570000}"/>
    <cellStyle name="Normal 66 2 2 5 2" xfId="17824" xr:uid="{00000000-0005-0000-0000-0000E8570000}"/>
    <cellStyle name="Normal 66 2 2 6" xfId="15830" xr:uid="{00000000-0005-0000-0000-0000E9570000}"/>
    <cellStyle name="Normal 66 2 3" xfId="11521" xr:uid="{00000000-0005-0000-0000-0000EA570000}"/>
    <cellStyle name="Normal 66 2 3 2" xfId="22809" xr:uid="{00000000-0005-0000-0000-0000EB570000}"/>
    <cellStyle name="Normal 66 2 4" xfId="9527" xr:uid="{00000000-0005-0000-0000-0000EC570000}"/>
    <cellStyle name="Normal 66 2 4 2" xfId="20815" xr:uid="{00000000-0005-0000-0000-0000ED570000}"/>
    <cellStyle name="Normal 66 2 5" xfId="7533" xr:uid="{00000000-0005-0000-0000-0000EE570000}"/>
    <cellStyle name="Normal 66 2 5 2" xfId="18821" xr:uid="{00000000-0005-0000-0000-0000EF570000}"/>
    <cellStyle name="Normal 66 2 6" xfId="5539" xr:uid="{00000000-0005-0000-0000-0000F0570000}"/>
    <cellStyle name="Normal 66 2 6 2" xfId="16827" xr:uid="{00000000-0005-0000-0000-0000F1570000}"/>
    <cellStyle name="Normal 66 2 7" xfId="14833" xr:uid="{00000000-0005-0000-0000-0000F2570000}"/>
    <cellStyle name="Normal 66 2 8" xfId="13517" xr:uid="{00000000-0005-0000-0000-0000F3570000}"/>
    <cellStyle name="Normal 66 3" xfId="4538" xr:uid="{00000000-0005-0000-0000-0000F4570000}"/>
    <cellStyle name="Normal 66 3 2" xfId="12517" xr:uid="{00000000-0005-0000-0000-0000F5570000}"/>
    <cellStyle name="Normal 66 3 2 2" xfId="23805" xr:uid="{00000000-0005-0000-0000-0000F6570000}"/>
    <cellStyle name="Normal 66 3 3" xfId="10523" xr:uid="{00000000-0005-0000-0000-0000F7570000}"/>
    <cellStyle name="Normal 66 3 3 2" xfId="21811" xr:uid="{00000000-0005-0000-0000-0000F8570000}"/>
    <cellStyle name="Normal 66 3 4" xfId="8529" xr:uid="{00000000-0005-0000-0000-0000F9570000}"/>
    <cellStyle name="Normal 66 3 4 2" xfId="19817" xr:uid="{00000000-0005-0000-0000-0000FA570000}"/>
    <cellStyle name="Normal 66 3 5" xfId="6535" xr:uid="{00000000-0005-0000-0000-0000FB570000}"/>
    <cellStyle name="Normal 66 3 5 2" xfId="17823" xr:uid="{00000000-0005-0000-0000-0000FC570000}"/>
    <cellStyle name="Normal 66 3 6" xfId="15829" xr:uid="{00000000-0005-0000-0000-0000FD570000}"/>
    <cellStyle name="Normal 66 4" xfId="11520" xr:uid="{00000000-0005-0000-0000-0000FE570000}"/>
    <cellStyle name="Normal 66 4 2" xfId="22808" xr:uid="{00000000-0005-0000-0000-0000FF570000}"/>
    <cellStyle name="Normal 66 5" xfId="9526" xr:uid="{00000000-0005-0000-0000-000000580000}"/>
    <cellStyle name="Normal 66 5 2" xfId="20814" xr:uid="{00000000-0005-0000-0000-000001580000}"/>
    <cellStyle name="Normal 66 6" xfId="7532" xr:uid="{00000000-0005-0000-0000-000002580000}"/>
    <cellStyle name="Normal 66 6 2" xfId="18820" xr:uid="{00000000-0005-0000-0000-000003580000}"/>
    <cellStyle name="Normal 66 7" xfId="5538" xr:uid="{00000000-0005-0000-0000-000004580000}"/>
    <cellStyle name="Normal 66 7 2" xfId="16826" xr:uid="{00000000-0005-0000-0000-000005580000}"/>
    <cellStyle name="Normal 66 8" xfId="14832" xr:uid="{00000000-0005-0000-0000-000006580000}"/>
    <cellStyle name="Normal 66 9" xfId="13516" xr:uid="{00000000-0005-0000-0000-000007580000}"/>
    <cellStyle name="Normal 67" xfId="3306" xr:uid="{00000000-0005-0000-0000-000008580000}"/>
    <cellStyle name="Normal 67 2" xfId="4540" xr:uid="{00000000-0005-0000-0000-000009580000}"/>
    <cellStyle name="Normal 67 2 2" xfId="12519" xr:uid="{00000000-0005-0000-0000-00000A580000}"/>
    <cellStyle name="Normal 67 2 2 2" xfId="23807" xr:uid="{00000000-0005-0000-0000-00000B580000}"/>
    <cellStyle name="Normal 67 2 3" xfId="10525" xr:uid="{00000000-0005-0000-0000-00000C580000}"/>
    <cellStyle name="Normal 67 2 3 2" xfId="21813" xr:uid="{00000000-0005-0000-0000-00000D580000}"/>
    <cellStyle name="Normal 67 2 4" xfId="8531" xr:uid="{00000000-0005-0000-0000-00000E580000}"/>
    <cellStyle name="Normal 67 2 4 2" xfId="19819" xr:uid="{00000000-0005-0000-0000-00000F580000}"/>
    <cellStyle name="Normal 67 2 5" xfId="6537" xr:uid="{00000000-0005-0000-0000-000010580000}"/>
    <cellStyle name="Normal 67 2 5 2" xfId="17825" xr:uid="{00000000-0005-0000-0000-000011580000}"/>
    <cellStyle name="Normal 67 2 6" xfId="15831" xr:uid="{00000000-0005-0000-0000-000012580000}"/>
    <cellStyle name="Normal 67 3" xfId="11522" xr:uid="{00000000-0005-0000-0000-000013580000}"/>
    <cellStyle name="Normal 67 3 2" xfId="22810" xr:uid="{00000000-0005-0000-0000-000014580000}"/>
    <cellStyle name="Normal 67 4" xfId="9528" xr:uid="{00000000-0005-0000-0000-000015580000}"/>
    <cellStyle name="Normal 67 4 2" xfId="20816" xr:uid="{00000000-0005-0000-0000-000016580000}"/>
    <cellStyle name="Normal 67 5" xfId="7534" xr:uid="{00000000-0005-0000-0000-000017580000}"/>
    <cellStyle name="Normal 67 5 2" xfId="18822" xr:uid="{00000000-0005-0000-0000-000018580000}"/>
    <cellStyle name="Normal 67 6" xfId="5540" xr:uid="{00000000-0005-0000-0000-000019580000}"/>
    <cellStyle name="Normal 67 6 2" xfId="16828" xr:uid="{00000000-0005-0000-0000-00001A580000}"/>
    <cellStyle name="Normal 67 7" xfId="14834" xr:uid="{00000000-0005-0000-0000-00001B580000}"/>
    <cellStyle name="Normal 67 8" xfId="13518" xr:uid="{00000000-0005-0000-0000-00001C580000}"/>
    <cellStyle name="Normal 68" xfId="3307" xr:uid="{00000000-0005-0000-0000-00001D580000}"/>
    <cellStyle name="Normal 68 2" xfId="4541" xr:uid="{00000000-0005-0000-0000-00001E580000}"/>
    <cellStyle name="Normal 68 2 2" xfId="12520" xr:uid="{00000000-0005-0000-0000-00001F580000}"/>
    <cellStyle name="Normal 68 2 2 2" xfId="23808" xr:uid="{00000000-0005-0000-0000-000020580000}"/>
    <cellStyle name="Normal 68 2 3" xfId="10526" xr:uid="{00000000-0005-0000-0000-000021580000}"/>
    <cellStyle name="Normal 68 2 3 2" xfId="21814" xr:uid="{00000000-0005-0000-0000-000022580000}"/>
    <cellStyle name="Normal 68 2 4" xfId="8532" xr:uid="{00000000-0005-0000-0000-000023580000}"/>
    <cellStyle name="Normal 68 2 4 2" xfId="19820" xr:uid="{00000000-0005-0000-0000-000024580000}"/>
    <cellStyle name="Normal 68 2 5" xfId="6538" xr:uid="{00000000-0005-0000-0000-000025580000}"/>
    <cellStyle name="Normal 68 2 5 2" xfId="17826" xr:uid="{00000000-0005-0000-0000-000026580000}"/>
    <cellStyle name="Normal 68 2 6" xfId="15832" xr:uid="{00000000-0005-0000-0000-000027580000}"/>
    <cellStyle name="Normal 68 3" xfId="11523" xr:uid="{00000000-0005-0000-0000-000028580000}"/>
    <cellStyle name="Normal 68 3 2" xfId="22811" xr:uid="{00000000-0005-0000-0000-000029580000}"/>
    <cellStyle name="Normal 68 4" xfId="9529" xr:uid="{00000000-0005-0000-0000-00002A580000}"/>
    <cellStyle name="Normal 68 4 2" xfId="20817" xr:uid="{00000000-0005-0000-0000-00002B580000}"/>
    <cellStyle name="Normal 68 5" xfId="7535" xr:uid="{00000000-0005-0000-0000-00002C580000}"/>
    <cellStyle name="Normal 68 5 2" xfId="18823" xr:uid="{00000000-0005-0000-0000-00002D580000}"/>
    <cellStyle name="Normal 68 6" xfId="5541" xr:uid="{00000000-0005-0000-0000-00002E580000}"/>
    <cellStyle name="Normal 68 6 2" xfId="16829" xr:uid="{00000000-0005-0000-0000-00002F580000}"/>
    <cellStyle name="Normal 68 7" xfId="14835" xr:uid="{00000000-0005-0000-0000-000030580000}"/>
    <cellStyle name="Normal 68 8" xfId="13519" xr:uid="{00000000-0005-0000-0000-000031580000}"/>
    <cellStyle name="Normal 69" xfId="3308" xr:uid="{00000000-0005-0000-0000-000032580000}"/>
    <cellStyle name="Normal 69 2" xfId="4542" xr:uid="{00000000-0005-0000-0000-000033580000}"/>
    <cellStyle name="Normal 69 2 2" xfId="12521" xr:uid="{00000000-0005-0000-0000-000034580000}"/>
    <cellStyle name="Normal 69 2 2 2" xfId="23809" xr:uid="{00000000-0005-0000-0000-000035580000}"/>
    <cellStyle name="Normal 69 2 3" xfId="10527" xr:uid="{00000000-0005-0000-0000-000036580000}"/>
    <cellStyle name="Normal 69 2 3 2" xfId="21815" xr:uid="{00000000-0005-0000-0000-000037580000}"/>
    <cellStyle name="Normal 69 2 4" xfId="8533" xr:uid="{00000000-0005-0000-0000-000038580000}"/>
    <cellStyle name="Normal 69 2 4 2" xfId="19821" xr:uid="{00000000-0005-0000-0000-000039580000}"/>
    <cellStyle name="Normal 69 2 5" xfId="6539" xr:uid="{00000000-0005-0000-0000-00003A580000}"/>
    <cellStyle name="Normal 69 2 5 2" xfId="17827" xr:uid="{00000000-0005-0000-0000-00003B580000}"/>
    <cellStyle name="Normal 69 2 6" xfId="15833" xr:uid="{00000000-0005-0000-0000-00003C580000}"/>
    <cellStyle name="Normal 69 3" xfId="11524" xr:uid="{00000000-0005-0000-0000-00003D580000}"/>
    <cellStyle name="Normal 69 3 2" xfId="22812" xr:uid="{00000000-0005-0000-0000-00003E580000}"/>
    <cellStyle name="Normal 69 4" xfId="9530" xr:uid="{00000000-0005-0000-0000-00003F580000}"/>
    <cellStyle name="Normal 69 4 2" xfId="20818" xr:uid="{00000000-0005-0000-0000-000040580000}"/>
    <cellStyle name="Normal 69 5" xfId="7536" xr:uid="{00000000-0005-0000-0000-000041580000}"/>
    <cellStyle name="Normal 69 5 2" xfId="18824" xr:uid="{00000000-0005-0000-0000-000042580000}"/>
    <cellStyle name="Normal 69 6" xfId="5542" xr:uid="{00000000-0005-0000-0000-000043580000}"/>
    <cellStyle name="Normal 69 6 2" xfId="16830" xr:uid="{00000000-0005-0000-0000-000044580000}"/>
    <cellStyle name="Normal 69 7" xfId="14836" xr:uid="{00000000-0005-0000-0000-000045580000}"/>
    <cellStyle name="Normal 69 8" xfId="13520" xr:uid="{00000000-0005-0000-0000-000046580000}"/>
    <cellStyle name="Normal 7" xfId="58" xr:uid="{00000000-0005-0000-0000-000047580000}"/>
    <cellStyle name="Normal 7 10" xfId="24166" xr:uid="{00000000-0005-0000-0000-000048580000}"/>
    <cellStyle name="Normal 7 10 2" xfId="29130" xr:uid="{00000000-0005-0000-0000-0000625A0000}"/>
    <cellStyle name="Normal 7 10 3" xfId="28825" xr:uid="{00000000-0005-0000-0000-0000635A0000}"/>
    <cellStyle name="Normal 7 11" xfId="24735" xr:uid="{00000000-0005-0000-0000-000049580000}"/>
    <cellStyle name="Normal 7 11 2" xfId="29131" xr:uid="{00000000-0005-0000-0000-0000655A0000}"/>
    <cellStyle name="Normal 7 11 3" xfId="28826" xr:uid="{00000000-0005-0000-0000-0000665A0000}"/>
    <cellStyle name="Normal 7 12" xfId="25051" xr:uid="{00000000-0005-0000-0000-00004A580000}"/>
    <cellStyle name="Normal 7 12 2" xfId="29132" xr:uid="{00000000-0005-0000-0000-0000685A0000}"/>
    <cellStyle name="Normal 7 12 3" xfId="28827" xr:uid="{00000000-0005-0000-0000-0000695A0000}"/>
    <cellStyle name="Normal 7 13" xfId="25777" xr:uid="{00000000-0005-0000-0000-00004B580000}"/>
    <cellStyle name="Normal 7 13 2" xfId="29133" xr:uid="{00000000-0005-0000-0000-00006B5A0000}"/>
    <cellStyle name="Normal 7 14" xfId="29169" xr:uid="{00000000-0005-0000-0000-00006C5A0000}"/>
    <cellStyle name="Normal 7 2" xfId="4543" xr:uid="{00000000-0005-0000-0000-00004C580000}"/>
    <cellStyle name="Normal 7 2 10" xfId="28828" xr:uid="{00000000-0005-0000-0000-00006E5A0000}"/>
    <cellStyle name="Normal 7 2 2" xfId="12522" xr:uid="{00000000-0005-0000-0000-00004D580000}"/>
    <cellStyle name="Normal 7 2 2 2" xfId="23810" xr:uid="{00000000-0005-0000-0000-00004E580000}"/>
    <cellStyle name="Normal 7 2 2 2 2" xfId="24440" xr:uid="{00000000-0005-0000-0000-00004F580000}"/>
    <cellStyle name="Normal 7 2 2 2 3" xfId="24884" xr:uid="{00000000-0005-0000-0000-000050580000}"/>
    <cellStyle name="Normal 7 2 2 2 4" xfId="25247" xr:uid="{00000000-0005-0000-0000-000051580000}"/>
    <cellStyle name="Normal 7 2 2 3" xfId="24168" xr:uid="{00000000-0005-0000-0000-000052580000}"/>
    <cellStyle name="Normal 7 2 2 4" xfId="24737" xr:uid="{00000000-0005-0000-0000-000053580000}"/>
    <cellStyle name="Normal 7 2 2 5" xfId="25053" xr:uid="{00000000-0005-0000-0000-000054580000}"/>
    <cellStyle name="Normal 7 2 2 6" xfId="29134" xr:uid="{00000000-0005-0000-0000-0000775A0000}"/>
    <cellStyle name="Normal 7 2 3" xfId="10528" xr:uid="{00000000-0005-0000-0000-000055580000}"/>
    <cellStyle name="Normal 7 2 3 2" xfId="21816" xr:uid="{00000000-0005-0000-0000-000056580000}"/>
    <cellStyle name="Normal 7 2 3 3" xfId="24439" xr:uid="{00000000-0005-0000-0000-000057580000}"/>
    <cellStyle name="Normal 7 2 3 4" xfId="24883" xr:uid="{00000000-0005-0000-0000-000058580000}"/>
    <cellStyle name="Normal 7 2 3 5" xfId="25246" xr:uid="{00000000-0005-0000-0000-000059580000}"/>
    <cellStyle name="Normal 7 2 4" xfId="8534" xr:uid="{00000000-0005-0000-0000-00005A580000}"/>
    <cellStyle name="Normal 7 2 4 2" xfId="19822" xr:uid="{00000000-0005-0000-0000-00005B580000}"/>
    <cellStyle name="Normal 7 2 5" xfId="6540" xr:uid="{00000000-0005-0000-0000-00005C580000}"/>
    <cellStyle name="Normal 7 2 5 2" xfId="17828" xr:uid="{00000000-0005-0000-0000-00005D580000}"/>
    <cellStyle name="Normal 7 2 6" xfId="15834" xr:uid="{00000000-0005-0000-0000-00005E580000}"/>
    <cellStyle name="Normal 7 2 7" xfId="24167" xr:uid="{00000000-0005-0000-0000-00005F580000}"/>
    <cellStyle name="Normal 7 2 8" xfId="24736" xr:uid="{00000000-0005-0000-0000-000060580000}"/>
    <cellStyle name="Normal 7 2 9" xfId="25052" xr:uid="{00000000-0005-0000-0000-000061580000}"/>
    <cellStyle name="Normal 7 3" xfId="11525" xr:uid="{00000000-0005-0000-0000-000062580000}"/>
    <cellStyle name="Normal 7 3 2" xfId="22813" xr:uid="{00000000-0005-0000-0000-000063580000}"/>
    <cellStyle name="Normal 7 3 2 2" xfId="24442" xr:uid="{00000000-0005-0000-0000-000064580000}"/>
    <cellStyle name="Normal 7 3 2 2 2" xfId="24886" xr:uid="{00000000-0005-0000-0000-000065580000}"/>
    <cellStyle name="Normal 7 3 2 2 3" xfId="25249" xr:uid="{00000000-0005-0000-0000-000066580000}"/>
    <cellStyle name="Normal 7 3 2 3" xfId="24170" xr:uid="{00000000-0005-0000-0000-000067580000}"/>
    <cellStyle name="Normal 7 3 2 4" xfId="24739" xr:uid="{00000000-0005-0000-0000-000068580000}"/>
    <cellStyle name="Normal 7 3 2 5" xfId="25055" xr:uid="{00000000-0005-0000-0000-000069580000}"/>
    <cellStyle name="Normal 7 3 2 6" xfId="29135" xr:uid="{00000000-0005-0000-0000-00008D5A0000}"/>
    <cellStyle name="Normal 7 3 3" xfId="24441" xr:uid="{00000000-0005-0000-0000-00006A580000}"/>
    <cellStyle name="Normal 7 3 3 2" xfId="24885" xr:uid="{00000000-0005-0000-0000-00006B580000}"/>
    <cellStyle name="Normal 7 3 3 3" xfId="25248" xr:uid="{00000000-0005-0000-0000-00006C580000}"/>
    <cellStyle name="Normal 7 3 4" xfId="24169" xr:uid="{00000000-0005-0000-0000-00006D580000}"/>
    <cellStyle name="Normal 7 3 5" xfId="24738" xr:uid="{00000000-0005-0000-0000-00006E580000}"/>
    <cellStyle name="Normal 7 3 6" xfId="25054" xr:uid="{00000000-0005-0000-0000-00006F580000}"/>
    <cellStyle name="Normal 7 3 7" xfId="28829" xr:uid="{00000000-0005-0000-0000-0000945A0000}"/>
    <cellStyle name="Normal 7 4" xfId="9531" xr:uid="{00000000-0005-0000-0000-000070580000}"/>
    <cellStyle name="Normal 7 4 2" xfId="20819" xr:uid="{00000000-0005-0000-0000-000071580000}"/>
    <cellStyle name="Normal 7 4 2 2" xfId="24443" xr:uid="{00000000-0005-0000-0000-000072580000}"/>
    <cellStyle name="Normal 7 4 2 3" xfId="24887" xr:uid="{00000000-0005-0000-0000-000073580000}"/>
    <cellStyle name="Normal 7 4 2 4" xfId="25250" xr:uid="{00000000-0005-0000-0000-000074580000}"/>
    <cellStyle name="Normal 7 4 2 5" xfId="29136" xr:uid="{00000000-0005-0000-0000-00009A5A0000}"/>
    <cellStyle name="Normal 7 4 3" xfId="24171" xr:uid="{00000000-0005-0000-0000-000075580000}"/>
    <cellStyle name="Normal 7 4 4" xfId="24740" xr:uid="{00000000-0005-0000-0000-000076580000}"/>
    <cellStyle name="Normal 7 4 5" xfId="25056" xr:uid="{00000000-0005-0000-0000-000077580000}"/>
    <cellStyle name="Normal 7 4 6" xfId="28830" xr:uid="{00000000-0005-0000-0000-00009E5A0000}"/>
    <cellStyle name="Normal 7 5" xfId="7537" xr:uid="{00000000-0005-0000-0000-000078580000}"/>
    <cellStyle name="Normal 7 5 2" xfId="18825" xr:uid="{00000000-0005-0000-0000-000079580000}"/>
    <cellStyle name="Normal 7 5 2 2" xfId="29137" xr:uid="{00000000-0005-0000-0000-0000A15A0000}"/>
    <cellStyle name="Normal 7 5 3" xfId="24438" xr:uid="{00000000-0005-0000-0000-00007A580000}"/>
    <cellStyle name="Normal 7 5 4" xfId="24882" xr:uid="{00000000-0005-0000-0000-00007B580000}"/>
    <cellStyle name="Normal 7 5 5" xfId="25245" xr:uid="{00000000-0005-0000-0000-00007C580000}"/>
    <cellStyle name="Normal 7 5 6" xfId="28831" xr:uid="{00000000-0005-0000-0000-0000A55A0000}"/>
    <cellStyle name="Normal 7 6" xfId="5543" xr:uid="{00000000-0005-0000-0000-00007D580000}"/>
    <cellStyle name="Normal 7 6 2" xfId="16831" xr:uid="{00000000-0005-0000-0000-00007E580000}"/>
    <cellStyle name="Normal 7 6 2 2" xfId="29138" xr:uid="{00000000-0005-0000-0000-0000A85A0000}"/>
    <cellStyle name="Normal 7 6 3" xfId="28832" xr:uid="{00000000-0005-0000-0000-0000A95A0000}"/>
    <cellStyle name="Normal 7 7" xfId="3309" xr:uid="{00000000-0005-0000-0000-00007F580000}"/>
    <cellStyle name="Normal 7 7 2" xfId="14837" xr:uid="{00000000-0005-0000-0000-000080580000}"/>
    <cellStyle name="Normal 7 7 2 2" xfId="29139" xr:uid="{00000000-0005-0000-0000-0000AC5A0000}"/>
    <cellStyle name="Normal 7 7 3" xfId="28833" xr:uid="{00000000-0005-0000-0000-0000AD5A0000}"/>
    <cellStyle name="Normal 7 8" xfId="13616" xr:uid="{00000000-0005-0000-0000-000081580000}"/>
    <cellStyle name="Normal 7 8 2" xfId="29140" xr:uid="{00000000-0005-0000-0000-0000AF5A0000}"/>
    <cellStyle name="Normal 7 8 3" xfId="28834" xr:uid="{00000000-0005-0000-0000-0000B05A0000}"/>
    <cellStyle name="Normal 7 9" xfId="13521" xr:uid="{00000000-0005-0000-0000-000082580000}"/>
    <cellStyle name="Normal 7 9 2" xfId="29141" xr:uid="{00000000-0005-0000-0000-0000B25A0000}"/>
    <cellStyle name="Normal 7 9 3" xfId="28835" xr:uid="{00000000-0005-0000-0000-0000B35A0000}"/>
    <cellStyle name="Normal 70" xfId="3310" xr:uid="{00000000-0005-0000-0000-000083580000}"/>
    <cellStyle name="Normal 70 2" xfId="4544" xr:uid="{00000000-0005-0000-0000-000084580000}"/>
    <cellStyle name="Normal 70 2 2" xfId="12523" xr:uid="{00000000-0005-0000-0000-000085580000}"/>
    <cellStyle name="Normal 70 2 2 2" xfId="23811" xr:uid="{00000000-0005-0000-0000-000086580000}"/>
    <cellStyle name="Normal 70 2 3" xfId="10529" xr:uid="{00000000-0005-0000-0000-000087580000}"/>
    <cellStyle name="Normal 70 2 3 2" xfId="21817" xr:uid="{00000000-0005-0000-0000-000088580000}"/>
    <cellStyle name="Normal 70 2 4" xfId="8535" xr:uid="{00000000-0005-0000-0000-000089580000}"/>
    <cellStyle name="Normal 70 2 4 2" xfId="19823" xr:uid="{00000000-0005-0000-0000-00008A580000}"/>
    <cellStyle name="Normal 70 2 5" xfId="6541" xr:uid="{00000000-0005-0000-0000-00008B580000}"/>
    <cellStyle name="Normal 70 2 5 2" xfId="17829" xr:uid="{00000000-0005-0000-0000-00008C580000}"/>
    <cellStyle name="Normal 70 2 6" xfId="15835" xr:uid="{00000000-0005-0000-0000-00008D580000}"/>
    <cellStyle name="Normal 70 3" xfId="11526" xr:uid="{00000000-0005-0000-0000-00008E580000}"/>
    <cellStyle name="Normal 70 3 2" xfId="22814" xr:uid="{00000000-0005-0000-0000-00008F580000}"/>
    <cellStyle name="Normal 70 4" xfId="9532" xr:uid="{00000000-0005-0000-0000-000090580000}"/>
    <cellStyle name="Normal 70 4 2" xfId="20820" xr:uid="{00000000-0005-0000-0000-000091580000}"/>
    <cellStyle name="Normal 70 5" xfId="7538" xr:uid="{00000000-0005-0000-0000-000092580000}"/>
    <cellStyle name="Normal 70 5 2" xfId="18826" xr:uid="{00000000-0005-0000-0000-000093580000}"/>
    <cellStyle name="Normal 70 6" xfId="5544" xr:uid="{00000000-0005-0000-0000-000094580000}"/>
    <cellStyle name="Normal 70 6 2" xfId="16832" xr:uid="{00000000-0005-0000-0000-000095580000}"/>
    <cellStyle name="Normal 70 7" xfId="14838" xr:uid="{00000000-0005-0000-0000-000096580000}"/>
    <cellStyle name="Normal 70 8" xfId="13522" xr:uid="{00000000-0005-0000-0000-000097580000}"/>
    <cellStyle name="Normal 71" xfId="3311" xr:uid="{00000000-0005-0000-0000-000098580000}"/>
    <cellStyle name="Normal 71 2" xfId="4545" xr:uid="{00000000-0005-0000-0000-000099580000}"/>
    <cellStyle name="Normal 71 2 2" xfId="12524" xr:uid="{00000000-0005-0000-0000-00009A580000}"/>
    <cellStyle name="Normal 71 2 2 2" xfId="23812" xr:uid="{00000000-0005-0000-0000-00009B580000}"/>
    <cellStyle name="Normal 71 2 3" xfId="10530" xr:uid="{00000000-0005-0000-0000-00009C580000}"/>
    <cellStyle name="Normal 71 2 3 2" xfId="21818" xr:uid="{00000000-0005-0000-0000-00009D580000}"/>
    <cellStyle name="Normal 71 2 4" xfId="8536" xr:uid="{00000000-0005-0000-0000-00009E580000}"/>
    <cellStyle name="Normal 71 2 4 2" xfId="19824" xr:uid="{00000000-0005-0000-0000-00009F580000}"/>
    <cellStyle name="Normal 71 2 5" xfId="6542" xr:uid="{00000000-0005-0000-0000-0000A0580000}"/>
    <cellStyle name="Normal 71 2 5 2" xfId="17830" xr:uid="{00000000-0005-0000-0000-0000A1580000}"/>
    <cellStyle name="Normal 71 2 6" xfId="15836" xr:uid="{00000000-0005-0000-0000-0000A2580000}"/>
    <cellStyle name="Normal 71 3" xfId="11527" xr:uid="{00000000-0005-0000-0000-0000A3580000}"/>
    <cellStyle name="Normal 71 3 2" xfId="22815" xr:uid="{00000000-0005-0000-0000-0000A4580000}"/>
    <cellStyle name="Normal 71 4" xfId="9533" xr:uid="{00000000-0005-0000-0000-0000A5580000}"/>
    <cellStyle name="Normal 71 4 2" xfId="20821" xr:uid="{00000000-0005-0000-0000-0000A6580000}"/>
    <cellStyle name="Normal 71 5" xfId="7539" xr:uid="{00000000-0005-0000-0000-0000A7580000}"/>
    <cellStyle name="Normal 71 5 2" xfId="18827" xr:uid="{00000000-0005-0000-0000-0000A8580000}"/>
    <cellStyle name="Normal 71 6" xfId="5545" xr:uid="{00000000-0005-0000-0000-0000A9580000}"/>
    <cellStyle name="Normal 71 6 2" xfId="16833" xr:uid="{00000000-0005-0000-0000-0000AA580000}"/>
    <cellStyle name="Normal 71 7" xfId="14839" xr:uid="{00000000-0005-0000-0000-0000AB580000}"/>
    <cellStyle name="Normal 71 8" xfId="13523" xr:uid="{00000000-0005-0000-0000-0000AC580000}"/>
    <cellStyle name="Normal 72" xfId="665" xr:uid="{00000000-0005-0000-0000-0000AD580000}"/>
    <cellStyle name="Normal 72 2" xfId="13915" xr:uid="{00000000-0005-0000-0000-0000AE580000}"/>
    <cellStyle name="Normal 72 2 2" xfId="26686" xr:uid="{00000000-0005-0000-0000-0000C5580000}"/>
    <cellStyle name="Normal 72 3" xfId="13597" xr:uid="{00000000-0005-0000-0000-0000AF580000}"/>
    <cellStyle name="Normal 72 4" xfId="26056" xr:uid="{00000000-0005-0000-0000-0000C4580000}"/>
    <cellStyle name="Normal 73" xfId="23888" xr:uid="{00000000-0005-0000-0000-0000B0580000}"/>
    <cellStyle name="Normal 74" xfId="23893" xr:uid="{00000000-0005-0000-0000-0000B1580000}"/>
    <cellStyle name="Normal 75" xfId="12598" xr:uid="{00000000-0005-0000-0000-0000B2580000}"/>
    <cellStyle name="Normal 75 2" xfId="26521" xr:uid="{00000000-0005-0000-0000-0000C9580000}"/>
    <cellStyle name="Normal 76" xfId="23900" xr:uid="{00000000-0005-0000-0000-0000B3580000}"/>
    <cellStyle name="Normal 76 2" xfId="27031" xr:uid="{00000000-0005-0000-0000-0000CA580000}"/>
    <cellStyle name="Normal 77" xfId="23901" xr:uid="{00000000-0005-0000-0000-0000B4580000}"/>
    <cellStyle name="Normal 77 2" xfId="27032" xr:uid="{00000000-0005-0000-0000-0000CB580000}"/>
    <cellStyle name="Normal 78" xfId="23902" xr:uid="{00000000-0005-0000-0000-0000B5580000}"/>
    <cellStyle name="Normal 78 2" xfId="27033" xr:uid="{00000000-0005-0000-0000-0000CC580000}"/>
    <cellStyle name="Normal 79" xfId="24543" xr:uid="{00000000-0005-0000-0000-0000B6580000}"/>
    <cellStyle name="Normal 79 2" xfId="27219" xr:uid="{00000000-0005-0000-0000-0000CD580000}"/>
    <cellStyle name="Normal 8" xfId="59" xr:uid="{00000000-0005-0000-0000-0000B7580000}"/>
    <cellStyle name="Normal 8 10" xfId="24172" xr:uid="{00000000-0005-0000-0000-0000B8580000}"/>
    <cellStyle name="Normal 8 10 2" xfId="29142" xr:uid="{00000000-0005-0000-0000-0000EA5A0000}"/>
    <cellStyle name="Normal 8 10 3" xfId="28836" xr:uid="{00000000-0005-0000-0000-0000EB5A0000}"/>
    <cellStyle name="Normal 8 11" xfId="24741" xr:uid="{00000000-0005-0000-0000-0000B9580000}"/>
    <cellStyle name="Normal 8 11 2" xfId="29143" xr:uid="{00000000-0005-0000-0000-0000ED5A0000}"/>
    <cellStyle name="Normal 8 11 3" xfId="28837" xr:uid="{00000000-0005-0000-0000-0000EE5A0000}"/>
    <cellStyle name="Normal 8 12" xfId="25057" xr:uid="{00000000-0005-0000-0000-0000BA580000}"/>
    <cellStyle name="Normal 8 12 2" xfId="29144" xr:uid="{00000000-0005-0000-0000-0000F05A0000}"/>
    <cellStyle name="Normal 8 12 3" xfId="28838" xr:uid="{00000000-0005-0000-0000-0000F15A0000}"/>
    <cellStyle name="Normal 8 13" xfId="25778" xr:uid="{00000000-0005-0000-0000-0000BB580000}"/>
    <cellStyle name="Normal 8 13 2" xfId="29145" xr:uid="{00000000-0005-0000-0000-0000F35A0000}"/>
    <cellStyle name="Normal 8 14" xfId="29170" xr:uid="{00000000-0005-0000-0000-0000F45A0000}"/>
    <cellStyle name="Normal 8 2" xfId="4546" xr:uid="{00000000-0005-0000-0000-0000BC580000}"/>
    <cellStyle name="Normal 8 2 10" xfId="28839" xr:uid="{00000000-0005-0000-0000-0000F65A0000}"/>
    <cellStyle name="Normal 8 2 2" xfId="12525" xr:uid="{00000000-0005-0000-0000-0000BD580000}"/>
    <cellStyle name="Normal 8 2 2 2" xfId="23813" xr:uid="{00000000-0005-0000-0000-0000BE580000}"/>
    <cellStyle name="Normal 8 2 2 2 2" xfId="24446" xr:uid="{00000000-0005-0000-0000-0000BF580000}"/>
    <cellStyle name="Normal 8 2 2 2 3" xfId="24890" xr:uid="{00000000-0005-0000-0000-0000C0580000}"/>
    <cellStyle name="Normal 8 2 2 2 4" xfId="25253" xr:uid="{00000000-0005-0000-0000-0000C1580000}"/>
    <cellStyle name="Normal 8 2 2 3" xfId="24174" xr:uid="{00000000-0005-0000-0000-0000C2580000}"/>
    <cellStyle name="Normal 8 2 2 4" xfId="24743" xr:uid="{00000000-0005-0000-0000-0000C3580000}"/>
    <cellStyle name="Normal 8 2 2 5" xfId="25059" xr:uid="{00000000-0005-0000-0000-0000C4580000}"/>
    <cellStyle name="Normal 8 2 2 6" xfId="29146" xr:uid="{00000000-0005-0000-0000-0000FF5A0000}"/>
    <cellStyle name="Normal 8 2 3" xfId="10531" xr:uid="{00000000-0005-0000-0000-0000C5580000}"/>
    <cellStyle name="Normal 8 2 3 2" xfId="21819" xr:uid="{00000000-0005-0000-0000-0000C6580000}"/>
    <cellStyle name="Normal 8 2 3 3" xfId="24445" xr:uid="{00000000-0005-0000-0000-0000C7580000}"/>
    <cellStyle name="Normal 8 2 3 4" xfId="24889" xr:uid="{00000000-0005-0000-0000-0000C8580000}"/>
    <cellStyle name="Normal 8 2 3 5" xfId="25252" xr:uid="{00000000-0005-0000-0000-0000C9580000}"/>
    <cellStyle name="Normal 8 2 4" xfId="8537" xr:uid="{00000000-0005-0000-0000-0000CA580000}"/>
    <cellStyle name="Normal 8 2 4 2" xfId="19825" xr:uid="{00000000-0005-0000-0000-0000CB580000}"/>
    <cellStyle name="Normal 8 2 5" xfId="6543" xr:uid="{00000000-0005-0000-0000-0000CC580000}"/>
    <cellStyle name="Normal 8 2 5 2" xfId="17831" xr:uid="{00000000-0005-0000-0000-0000CD580000}"/>
    <cellStyle name="Normal 8 2 6" xfId="15837" xr:uid="{00000000-0005-0000-0000-0000CE580000}"/>
    <cellStyle name="Normal 8 2 7" xfId="24173" xr:uid="{00000000-0005-0000-0000-0000CF580000}"/>
    <cellStyle name="Normal 8 2 8" xfId="24742" xr:uid="{00000000-0005-0000-0000-0000D0580000}"/>
    <cellStyle name="Normal 8 2 9" xfId="25058" xr:uid="{00000000-0005-0000-0000-0000D1580000}"/>
    <cellStyle name="Normal 8 3" xfId="11528" xr:uid="{00000000-0005-0000-0000-0000D2580000}"/>
    <cellStyle name="Normal 8 3 2" xfId="22816" xr:uid="{00000000-0005-0000-0000-0000D3580000}"/>
    <cellStyle name="Normal 8 3 2 2" xfId="24448" xr:uid="{00000000-0005-0000-0000-0000D4580000}"/>
    <cellStyle name="Normal 8 3 2 2 2" xfId="24892" xr:uid="{00000000-0005-0000-0000-0000D5580000}"/>
    <cellStyle name="Normal 8 3 2 2 3" xfId="25255" xr:uid="{00000000-0005-0000-0000-0000D6580000}"/>
    <cellStyle name="Normal 8 3 2 3" xfId="24176" xr:uid="{00000000-0005-0000-0000-0000D7580000}"/>
    <cellStyle name="Normal 8 3 2 4" xfId="24745" xr:uid="{00000000-0005-0000-0000-0000D8580000}"/>
    <cellStyle name="Normal 8 3 2 5" xfId="25061" xr:uid="{00000000-0005-0000-0000-0000D9580000}"/>
    <cellStyle name="Normal 8 3 2 6" xfId="29147" xr:uid="{00000000-0005-0000-0000-0000155B0000}"/>
    <cellStyle name="Normal 8 3 3" xfId="24447" xr:uid="{00000000-0005-0000-0000-0000DA580000}"/>
    <cellStyle name="Normal 8 3 3 2" xfId="24891" xr:uid="{00000000-0005-0000-0000-0000DB580000}"/>
    <cellStyle name="Normal 8 3 3 3" xfId="25254" xr:uid="{00000000-0005-0000-0000-0000DC580000}"/>
    <cellStyle name="Normal 8 3 4" xfId="24175" xr:uid="{00000000-0005-0000-0000-0000DD580000}"/>
    <cellStyle name="Normal 8 3 5" xfId="24744" xr:uid="{00000000-0005-0000-0000-0000DE580000}"/>
    <cellStyle name="Normal 8 3 6" xfId="25060" xr:uid="{00000000-0005-0000-0000-0000DF580000}"/>
    <cellStyle name="Normal 8 3 7" xfId="28840" xr:uid="{00000000-0005-0000-0000-00001C5B0000}"/>
    <cellStyle name="Normal 8 4" xfId="9534" xr:uid="{00000000-0005-0000-0000-0000E0580000}"/>
    <cellStyle name="Normal 8 4 2" xfId="20822" xr:uid="{00000000-0005-0000-0000-0000E1580000}"/>
    <cellStyle name="Normal 8 4 2 2" xfId="24449" xr:uid="{00000000-0005-0000-0000-0000E2580000}"/>
    <cellStyle name="Normal 8 4 2 3" xfId="24893" xr:uid="{00000000-0005-0000-0000-0000E3580000}"/>
    <cellStyle name="Normal 8 4 2 4" xfId="25256" xr:uid="{00000000-0005-0000-0000-0000E4580000}"/>
    <cellStyle name="Normal 8 4 2 5" xfId="29148" xr:uid="{00000000-0005-0000-0000-0000225B0000}"/>
    <cellStyle name="Normal 8 4 3" xfId="24177" xr:uid="{00000000-0005-0000-0000-0000E5580000}"/>
    <cellStyle name="Normal 8 4 4" xfId="24746" xr:uid="{00000000-0005-0000-0000-0000E6580000}"/>
    <cellStyle name="Normal 8 4 5" xfId="25062" xr:uid="{00000000-0005-0000-0000-0000E7580000}"/>
    <cellStyle name="Normal 8 4 6" xfId="28841" xr:uid="{00000000-0005-0000-0000-0000265B0000}"/>
    <cellStyle name="Normal 8 5" xfId="7540" xr:uid="{00000000-0005-0000-0000-0000E8580000}"/>
    <cellStyle name="Normal 8 5 2" xfId="18828" xr:uid="{00000000-0005-0000-0000-0000E9580000}"/>
    <cellStyle name="Normal 8 5 2 2" xfId="29149" xr:uid="{00000000-0005-0000-0000-0000295B0000}"/>
    <cellStyle name="Normal 8 5 3" xfId="24444" xr:uid="{00000000-0005-0000-0000-0000EA580000}"/>
    <cellStyle name="Normal 8 5 4" xfId="24888" xr:uid="{00000000-0005-0000-0000-0000EB580000}"/>
    <cellStyle name="Normal 8 5 5" xfId="25251" xr:uid="{00000000-0005-0000-0000-0000EC580000}"/>
    <cellStyle name="Normal 8 5 6" xfId="28842" xr:uid="{00000000-0005-0000-0000-00002D5B0000}"/>
    <cellStyle name="Normal 8 6" xfId="5546" xr:uid="{00000000-0005-0000-0000-0000ED580000}"/>
    <cellStyle name="Normal 8 6 2" xfId="16834" xr:uid="{00000000-0005-0000-0000-0000EE580000}"/>
    <cellStyle name="Normal 8 6 2 2" xfId="29150" xr:uid="{00000000-0005-0000-0000-0000305B0000}"/>
    <cellStyle name="Normal 8 6 3" xfId="28843" xr:uid="{00000000-0005-0000-0000-0000315B0000}"/>
    <cellStyle name="Normal 8 7" xfId="3312" xr:uid="{00000000-0005-0000-0000-0000EF580000}"/>
    <cellStyle name="Normal 8 7 2" xfId="14840" xr:uid="{00000000-0005-0000-0000-0000F0580000}"/>
    <cellStyle name="Normal 8 7 2 2" xfId="29151" xr:uid="{00000000-0005-0000-0000-0000345B0000}"/>
    <cellStyle name="Normal 8 7 3" xfId="28844" xr:uid="{00000000-0005-0000-0000-0000355B0000}"/>
    <cellStyle name="Normal 8 8" xfId="13617" xr:uid="{00000000-0005-0000-0000-0000F1580000}"/>
    <cellStyle name="Normal 8 8 2" xfId="26562" xr:uid="{00000000-0005-0000-0000-000008590000}"/>
    <cellStyle name="Normal 8 8 2 2" xfId="29152" xr:uid="{00000000-0005-0000-0000-0000375B0000}"/>
    <cellStyle name="Normal 8 9" xfId="13524" xr:uid="{00000000-0005-0000-0000-0000F2580000}"/>
    <cellStyle name="Normal 8 9 2" xfId="29153" xr:uid="{00000000-0005-0000-0000-0000395B0000}"/>
    <cellStyle name="Normal 8 9 3" xfId="28846" xr:uid="{00000000-0005-0000-0000-00003A5B0000}"/>
    <cellStyle name="Normal 80" xfId="24554" xr:uid="{00000000-0005-0000-0000-0000F3580000}"/>
    <cellStyle name="Normal 80 2" xfId="27224" xr:uid="{00000000-0005-0000-0000-00000A590000}"/>
    <cellStyle name="Normal 81" xfId="24767" xr:uid="{00000000-0005-0000-0000-0000F4580000}"/>
    <cellStyle name="Normal 81 2" xfId="27311" xr:uid="{00000000-0005-0000-0000-00000B590000}"/>
    <cellStyle name="Normal 82" xfId="24903" xr:uid="{00000000-0005-0000-0000-0000F5580000}"/>
    <cellStyle name="Normal 82 2" xfId="27327" xr:uid="{00000000-0005-0000-0000-00000C590000}"/>
    <cellStyle name="Normal 83" xfId="24935" xr:uid="{00000000-0005-0000-0000-0000F6580000}"/>
    <cellStyle name="Normal 83 2" xfId="27344" xr:uid="{00000000-0005-0000-0000-00000D590000}"/>
    <cellStyle name="Normal 84" xfId="24705" xr:uid="{00000000-0005-0000-0000-0000F7580000}"/>
    <cellStyle name="Normal 84 2" xfId="27294" xr:uid="{00000000-0005-0000-0000-00000E590000}"/>
    <cellStyle name="Normal 85" xfId="24926" xr:uid="{00000000-0005-0000-0000-0000F8580000}"/>
    <cellStyle name="Normal 85 2" xfId="27337" xr:uid="{00000000-0005-0000-0000-00000F590000}"/>
    <cellStyle name="Normal 86" xfId="24768" xr:uid="{00000000-0005-0000-0000-0000F9580000}"/>
    <cellStyle name="Normal 86 2" xfId="27312" xr:uid="{00000000-0005-0000-0000-000010590000}"/>
    <cellStyle name="Normal 87" xfId="24933" xr:uid="{00000000-0005-0000-0000-0000FA580000}"/>
    <cellStyle name="Normal 87 2" xfId="27342" xr:uid="{00000000-0005-0000-0000-000011590000}"/>
    <cellStyle name="Normal 88" xfId="24689" xr:uid="{00000000-0005-0000-0000-0000FB580000}"/>
    <cellStyle name="Normal 88 2" xfId="27281" xr:uid="{00000000-0005-0000-0000-000012590000}"/>
    <cellStyle name="Normal 89" xfId="24690" xr:uid="{00000000-0005-0000-0000-0000FC580000}"/>
    <cellStyle name="Normal 89 2" xfId="27282" xr:uid="{00000000-0005-0000-0000-000013590000}"/>
    <cellStyle name="Normal 9" xfId="60" xr:uid="{00000000-0005-0000-0000-0000FD580000}"/>
    <cellStyle name="Normal 9 10" xfId="24178" xr:uid="{00000000-0005-0000-0000-0000FE580000}"/>
    <cellStyle name="Normal 9 10 2" xfId="29154" xr:uid="{00000000-0005-0000-0000-0000475B0000}"/>
    <cellStyle name="Normal 9 10 3" xfId="28847" xr:uid="{00000000-0005-0000-0000-0000485B0000}"/>
    <cellStyle name="Normal 9 11" xfId="24747" xr:uid="{00000000-0005-0000-0000-0000FF580000}"/>
    <cellStyle name="Normal 9 11 2" xfId="29155" xr:uid="{00000000-0005-0000-0000-00004A5B0000}"/>
    <cellStyle name="Normal 9 11 3" xfId="28848" xr:uid="{00000000-0005-0000-0000-00004B5B0000}"/>
    <cellStyle name="Normal 9 12" xfId="25063" xr:uid="{00000000-0005-0000-0000-000000590000}"/>
    <cellStyle name="Normal 9 12 2" xfId="29156" xr:uid="{00000000-0005-0000-0000-00004D5B0000}"/>
    <cellStyle name="Normal 9 12 3" xfId="28849" xr:uid="{00000000-0005-0000-0000-00004E5B0000}"/>
    <cellStyle name="Normal 9 13" xfId="25814" xr:uid="{00000000-0005-0000-0000-000014590000}"/>
    <cellStyle name="Normal 9 13 2" xfId="29157" xr:uid="{00000000-0005-0000-0000-0000505B0000}"/>
    <cellStyle name="Normal 9 14" xfId="25767" xr:uid="{00000000-0005-0000-0000-000001590000}"/>
    <cellStyle name="Normal 9 2" xfId="4547" xr:uid="{00000000-0005-0000-0000-000002590000}"/>
    <cellStyle name="Normal 9 2 10" xfId="28850" xr:uid="{00000000-0005-0000-0000-0000535B0000}"/>
    <cellStyle name="Normal 9 2 2" xfId="12526" xr:uid="{00000000-0005-0000-0000-000003590000}"/>
    <cellStyle name="Normal 9 2 2 2" xfId="23814" xr:uid="{00000000-0005-0000-0000-000004590000}"/>
    <cellStyle name="Normal 9 2 2 2 2" xfId="24452" xr:uid="{00000000-0005-0000-0000-000005590000}"/>
    <cellStyle name="Normal 9 2 2 2 3" xfId="24896" xr:uid="{00000000-0005-0000-0000-000006590000}"/>
    <cellStyle name="Normal 9 2 2 2 4" xfId="25259" xr:uid="{00000000-0005-0000-0000-000007590000}"/>
    <cellStyle name="Normal 9 2 2 3" xfId="24180" xr:uid="{00000000-0005-0000-0000-000008590000}"/>
    <cellStyle name="Normal 9 2 2 4" xfId="24749" xr:uid="{00000000-0005-0000-0000-000009590000}"/>
    <cellStyle name="Normal 9 2 2 5" xfId="25065" xr:uid="{00000000-0005-0000-0000-00000A590000}"/>
    <cellStyle name="Normal 9 2 2 6" xfId="29158" xr:uid="{00000000-0005-0000-0000-00005C5B0000}"/>
    <cellStyle name="Normal 9 2 3" xfId="10532" xr:uid="{00000000-0005-0000-0000-00000B590000}"/>
    <cellStyle name="Normal 9 2 3 2" xfId="21820" xr:uid="{00000000-0005-0000-0000-00000C590000}"/>
    <cellStyle name="Normal 9 2 3 3" xfId="24451" xr:uid="{00000000-0005-0000-0000-00000D590000}"/>
    <cellStyle name="Normal 9 2 3 4" xfId="24895" xr:uid="{00000000-0005-0000-0000-00000E590000}"/>
    <cellStyle name="Normal 9 2 3 5" xfId="25258" xr:uid="{00000000-0005-0000-0000-00000F590000}"/>
    <cellStyle name="Normal 9 2 4" xfId="8538" xr:uid="{00000000-0005-0000-0000-000010590000}"/>
    <cellStyle name="Normal 9 2 4 2" xfId="19826" xr:uid="{00000000-0005-0000-0000-000011590000}"/>
    <cellStyle name="Normal 9 2 5" xfId="6544" xr:uid="{00000000-0005-0000-0000-000012590000}"/>
    <cellStyle name="Normal 9 2 5 2" xfId="17832" xr:uid="{00000000-0005-0000-0000-000013590000}"/>
    <cellStyle name="Normal 9 2 6" xfId="15838" xr:uid="{00000000-0005-0000-0000-000014590000}"/>
    <cellStyle name="Normal 9 2 7" xfId="24179" xr:uid="{00000000-0005-0000-0000-000015590000}"/>
    <cellStyle name="Normal 9 2 8" xfId="24748" xr:uid="{00000000-0005-0000-0000-000016590000}"/>
    <cellStyle name="Normal 9 2 9" xfId="25064" xr:uid="{00000000-0005-0000-0000-000017590000}"/>
    <cellStyle name="Normal 9 3" xfId="11529" xr:uid="{00000000-0005-0000-0000-000018590000}"/>
    <cellStyle name="Normal 9 3 2" xfId="22817" xr:uid="{00000000-0005-0000-0000-000019590000}"/>
    <cellStyle name="Normal 9 3 2 2" xfId="24454" xr:uid="{00000000-0005-0000-0000-00001A590000}"/>
    <cellStyle name="Normal 9 3 2 2 2" xfId="24898" xr:uid="{00000000-0005-0000-0000-00001B590000}"/>
    <cellStyle name="Normal 9 3 2 2 3" xfId="25261" xr:uid="{00000000-0005-0000-0000-00001C590000}"/>
    <cellStyle name="Normal 9 3 2 3" xfId="24182" xr:uid="{00000000-0005-0000-0000-00001D590000}"/>
    <cellStyle name="Normal 9 3 2 4" xfId="24751" xr:uid="{00000000-0005-0000-0000-00001E590000}"/>
    <cellStyle name="Normal 9 3 2 5" xfId="25067" xr:uid="{00000000-0005-0000-0000-00001F590000}"/>
    <cellStyle name="Normal 9 3 2 6" xfId="29159" xr:uid="{00000000-0005-0000-0000-0000725B0000}"/>
    <cellStyle name="Normal 9 3 3" xfId="24453" xr:uid="{00000000-0005-0000-0000-000020590000}"/>
    <cellStyle name="Normal 9 3 3 2" xfId="24897" xr:uid="{00000000-0005-0000-0000-000021590000}"/>
    <cellStyle name="Normal 9 3 3 3" xfId="25260" xr:uid="{00000000-0005-0000-0000-000022590000}"/>
    <cellStyle name="Normal 9 3 4" xfId="24181" xr:uid="{00000000-0005-0000-0000-000023590000}"/>
    <cellStyle name="Normal 9 3 5" xfId="24750" xr:uid="{00000000-0005-0000-0000-000024590000}"/>
    <cellStyle name="Normal 9 3 6" xfId="25066" xr:uid="{00000000-0005-0000-0000-000025590000}"/>
    <cellStyle name="Normal 9 3 7" xfId="28851" xr:uid="{00000000-0005-0000-0000-0000795B0000}"/>
    <cellStyle name="Normal 9 4" xfId="9535" xr:uid="{00000000-0005-0000-0000-000026590000}"/>
    <cellStyle name="Normal 9 4 2" xfId="20823" xr:uid="{00000000-0005-0000-0000-000027590000}"/>
    <cellStyle name="Normal 9 4 2 2" xfId="24455" xr:uid="{00000000-0005-0000-0000-000028590000}"/>
    <cellStyle name="Normal 9 4 2 3" xfId="24899" xr:uid="{00000000-0005-0000-0000-000029590000}"/>
    <cellStyle name="Normal 9 4 2 4" xfId="25262" xr:uid="{00000000-0005-0000-0000-00002A590000}"/>
    <cellStyle name="Normal 9 4 2 5" xfId="29160" xr:uid="{00000000-0005-0000-0000-00007F5B0000}"/>
    <cellStyle name="Normal 9 4 3" xfId="24183" xr:uid="{00000000-0005-0000-0000-00002B590000}"/>
    <cellStyle name="Normal 9 4 4" xfId="24752" xr:uid="{00000000-0005-0000-0000-00002C590000}"/>
    <cellStyle name="Normal 9 4 5" xfId="25068" xr:uid="{00000000-0005-0000-0000-00002D590000}"/>
    <cellStyle name="Normal 9 4 6" xfId="28852" xr:uid="{00000000-0005-0000-0000-0000835B0000}"/>
    <cellStyle name="Normal 9 5" xfId="7541" xr:uid="{00000000-0005-0000-0000-00002E590000}"/>
    <cellStyle name="Normal 9 5 2" xfId="18829" xr:uid="{00000000-0005-0000-0000-00002F590000}"/>
    <cellStyle name="Normal 9 5 2 2" xfId="29161" xr:uid="{00000000-0005-0000-0000-0000865B0000}"/>
    <cellStyle name="Normal 9 5 3" xfId="24450" xr:uid="{00000000-0005-0000-0000-000030590000}"/>
    <cellStyle name="Normal 9 5 4" xfId="24894" xr:uid="{00000000-0005-0000-0000-000031590000}"/>
    <cellStyle name="Normal 9 5 5" xfId="25257" xr:uid="{00000000-0005-0000-0000-000032590000}"/>
    <cellStyle name="Normal 9 5 6" xfId="28853" xr:uid="{00000000-0005-0000-0000-00008A5B0000}"/>
    <cellStyle name="Normal 9 6" xfId="5547" xr:uid="{00000000-0005-0000-0000-000033590000}"/>
    <cellStyle name="Normal 9 6 2" xfId="16835" xr:uid="{00000000-0005-0000-0000-000034590000}"/>
    <cellStyle name="Normal 9 6 2 2" xfId="29162" xr:uid="{00000000-0005-0000-0000-00008D5B0000}"/>
    <cellStyle name="Normal 9 6 3" xfId="28854" xr:uid="{00000000-0005-0000-0000-00008E5B0000}"/>
    <cellStyle name="Normal 9 7" xfId="3313" xr:uid="{00000000-0005-0000-0000-000035590000}"/>
    <cellStyle name="Normal 9 7 2" xfId="14841" xr:uid="{00000000-0005-0000-0000-000036590000}"/>
    <cellStyle name="Normal 9 7 2 2" xfId="29163" xr:uid="{00000000-0005-0000-0000-0000915B0000}"/>
    <cellStyle name="Normal 9 7 3" xfId="28855" xr:uid="{00000000-0005-0000-0000-0000925B0000}"/>
    <cellStyle name="Normal 9 8" xfId="13618" xr:uid="{00000000-0005-0000-0000-000037590000}"/>
    <cellStyle name="Normal 9 8 2" xfId="26563" xr:uid="{00000000-0005-0000-0000-00004E590000}"/>
    <cellStyle name="Normal 9 8 2 2" xfId="29164" xr:uid="{00000000-0005-0000-0000-0000945B0000}"/>
    <cellStyle name="Normal 9 9" xfId="13525" xr:uid="{00000000-0005-0000-0000-000038590000}"/>
    <cellStyle name="Normal 9 9 2" xfId="29165" xr:uid="{00000000-0005-0000-0000-0000965B0000}"/>
    <cellStyle name="Normal 9 9 3" xfId="28856" xr:uid="{00000000-0005-0000-0000-0000975B0000}"/>
    <cellStyle name="Normal 90" xfId="24941" xr:uid="{00000000-0005-0000-0000-000039590000}"/>
    <cellStyle name="Normal 90 2" xfId="27347" xr:uid="{00000000-0005-0000-0000-000050590000}"/>
    <cellStyle name="Normal 91" xfId="24545" xr:uid="{00000000-0005-0000-0000-00003A590000}"/>
    <cellStyle name="Normal 91 2" xfId="27220" xr:uid="{00000000-0005-0000-0000-000051590000}"/>
    <cellStyle name="Normal 92" xfId="1" xr:uid="{00000000-0005-0000-0000-00003B590000}"/>
    <cellStyle name="Normal 93" xfId="25276" xr:uid="{00000000-0005-0000-0000-00003C590000}"/>
    <cellStyle name="Normal 94" xfId="25295" xr:uid="{00000000-0005-0000-0000-00003D590000}"/>
    <cellStyle name="Normal 95" xfId="25455" xr:uid="{00000000-0005-0000-0000-00003E590000}"/>
    <cellStyle name="Normal 96" xfId="25748" xr:uid="{00000000-0005-0000-0000-00003F590000}"/>
    <cellStyle name="Normal 96 2" xfId="27897" xr:uid="{00000000-0005-0000-0000-000056590000}"/>
    <cellStyle name="Normal 97" xfId="25754" xr:uid="{00000000-0005-0000-0000-000040590000}"/>
    <cellStyle name="Normal 97 2" xfId="27898" xr:uid="{00000000-0005-0000-0000-000057590000}"/>
    <cellStyle name="Normal 98" xfId="25757" xr:uid="{00000000-0005-0000-0000-000041590000}"/>
    <cellStyle name="Normal 98 2" xfId="27899" xr:uid="{00000000-0005-0000-0000-000058590000}"/>
    <cellStyle name="Normal 99" xfId="25759" xr:uid="{00000000-0005-0000-0000-000042590000}"/>
    <cellStyle name="Normal 99 2" xfId="27900" xr:uid="{00000000-0005-0000-0000-000059590000}"/>
    <cellStyle name="Normal(0)" xfId="61" xr:uid="{00000000-0005-0000-0000-000043590000}"/>
    <cellStyle name="Normal_Advtise Exp" xfId="25742" xr:uid="{00000000-0005-0000-0000-000044590000}"/>
    <cellStyle name="Normal_Jan 08" xfId="25745" xr:uid="{00000000-0005-0000-0000-000045590000}"/>
    <cellStyle name="Normal_Page 10 - Type I-4 Normalize Uncollectible Exp" xfId="25741" xr:uid="{00000000-0005-0000-0000-000046590000}"/>
    <cellStyle name="Normal_vcap1299" xfId="25743" xr:uid="{00000000-0005-0000-0000-000047590000}"/>
    <cellStyle name="NormalHelv" xfId="577" xr:uid="{00000000-0005-0000-0000-000048590000}"/>
    <cellStyle name="Note 10" xfId="3314" xr:uid="{00000000-0005-0000-0000-000049590000}"/>
    <cellStyle name="Note 10 10" xfId="24753" xr:uid="{00000000-0005-0000-0000-00004A590000}"/>
    <cellStyle name="Note 10 11" xfId="25069" xr:uid="{00000000-0005-0000-0000-00004B590000}"/>
    <cellStyle name="Note 10 2" xfId="4548" xr:uid="{00000000-0005-0000-0000-00004C590000}"/>
    <cellStyle name="Note 10 2 2" xfId="12527" xr:uid="{00000000-0005-0000-0000-00004D590000}"/>
    <cellStyle name="Note 10 2 2 2" xfId="23815" xr:uid="{00000000-0005-0000-0000-00004E590000}"/>
    <cellStyle name="Note 10 2 3" xfId="10533" xr:uid="{00000000-0005-0000-0000-00004F590000}"/>
    <cellStyle name="Note 10 2 3 2" xfId="21821" xr:uid="{00000000-0005-0000-0000-000050590000}"/>
    <cellStyle name="Note 10 2 4" xfId="8539" xr:uid="{00000000-0005-0000-0000-000051590000}"/>
    <cellStyle name="Note 10 2 4 2" xfId="19827" xr:uid="{00000000-0005-0000-0000-000052590000}"/>
    <cellStyle name="Note 10 2 5" xfId="6545" xr:uid="{00000000-0005-0000-0000-000053590000}"/>
    <cellStyle name="Note 10 2 5 2" xfId="17833" xr:uid="{00000000-0005-0000-0000-000054590000}"/>
    <cellStyle name="Note 10 2 6" xfId="15839" xr:uid="{00000000-0005-0000-0000-000055590000}"/>
    <cellStyle name="Note 10 2 7" xfId="24456" xr:uid="{00000000-0005-0000-0000-000056590000}"/>
    <cellStyle name="Note 10 2 8" xfId="24900" xr:uid="{00000000-0005-0000-0000-000057590000}"/>
    <cellStyle name="Note 10 2 9" xfId="25263" xr:uid="{00000000-0005-0000-0000-000058590000}"/>
    <cellStyle name="Note 10 3" xfId="11530" xr:uid="{00000000-0005-0000-0000-000059590000}"/>
    <cellStyle name="Note 10 3 2" xfId="22818" xr:uid="{00000000-0005-0000-0000-00005A590000}"/>
    <cellStyle name="Note 10 4" xfId="9536" xr:uid="{00000000-0005-0000-0000-00005B590000}"/>
    <cellStyle name="Note 10 4 2" xfId="20824" xr:uid="{00000000-0005-0000-0000-00005C590000}"/>
    <cellStyle name="Note 10 5" xfId="7542" xr:uid="{00000000-0005-0000-0000-00005D590000}"/>
    <cellStyle name="Note 10 5 2" xfId="18830" xr:uid="{00000000-0005-0000-0000-00005E590000}"/>
    <cellStyle name="Note 10 6" xfId="5548" xr:uid="{00000000-0005-0000-0000-00005F590000}"/>
    <cellStyle name="Note 10 6 2" xfId="16836" xr:uid="{00000000-0005-0000-0000-000060590000}"/>
    <cellStyle name="Note 10 7" xfId="14842" xr:uid="{00000000-0005-0000-0000-000061590000}"/>
    <cellStyle name="Note 10 8" xfId="13526" xr:uid="{00000000-0005-0000-0000-000062590000}"/>
    <cellStyle name="Note 10 9" xfId="24185" xr:uid="{00000000-0005-0000-0000-000063590000}"/>
    <cellStyle name="Note 11" xfId="3315" xr:uid="{00000000-0005-0000-0000-000064590000}"/>
    <cellStyle name="Note 11 10" xfId="24754" xr:uid="{00000000-0005-0000-0000-000065590000}"/>
    <cellStyle name="Note 11 11" xfId="25070" xr:uid="{00000000-0005-0000-0000-000066590000}"/>
    <cellStyle name="Note 11 2" xfId="4549" xr:uid="{00000000-0005-0000-0000-000067590000}"/>
    <cellStyle name="Note 11 2 2" xfId="12528" xr:uid="{00000000-0005-0000-0000-000068590000}"/>
    <cellStyle name="Note 11 2 2 2" xfId="23816" xr:uid="{00000000-0005-0000-0000-000069590000}"/>
    <cellStyle name="Note 11 2 3" xfId="10534" xr:uid="{00000000-0005-0000-0000-00006A590000}"/>
    <cellStyle name="Note 11 2 3 2" xfId="21822" xr:uid="{00000000-0005-0000-0000-00006B590000}"/>
    <cellStyle name="Note 11 2 4" xfId="8540" xr:uid="{00000000-0005-0000-0000-00006C590000}"/>
    <cellStyle name="Note 11 2 4 2" xfId="19828" xr:uid="{00000000-0005-0000-0000-00006D590000}"/>
    <cellStyle name="Note 11 2 5" xfId="6546" xr:uid="{00000000-0005-0000-0000-00006E590000}"/>
    <cellStyle name="Note 11 2 5 2" xfId="17834" xr:uid="{00000000-0005-0000-0000-00006F590000}"/>
    <cellStyle name="Note 11 2 6" xfId="15840" xr:uid="{00000000-0005-0000-0000-000070590000}"/>
    <cellStyle name="Note 11 2 7" xfId="24457" xr:uid="{00000000-0005-0000-0000-000071590000}"/>
    <cellStyle name="Note 11 2 8" xfId="24901" xr:uid="{00000000-0005-0000-0000-000072590000}"/>
    <cellStyle name="Note 11 2 9" xfId="25264" xr:uid="{00000000-0005-0000-0000-000073590000}"/>
    <cellStyle name="Note 11 3" xfId="11531" xr:uid="{00000000-0005-0000-0000-000074590000}"/>
    <cellStyle name="Note 11 3 2" xfId="22819" xr:uid="{00000000-0005-0000-0000-000075590000}"/>
    <cellStyle name="Note 11 4" xfId="9537" xr:uid="{00000000-0005-0000-0000-000076590000}"/>
    <cellStyle name="Note 11 4 2" xfId="20825" xr:uid="{00000000-0005-0000-0000-000077590000}"/>
    <cellStyle name="Note 11 5" xfId="7543" xr:uid="{00000000-0005-0000-0000-000078590000}"/>
    <cellStyle name="Note 11 5 2" xfId="18831" xr:uid="{00000000-0005-0000-0000-000079590000}"/>
    <cellStyle name="Note 11 6" xfId="5549" xr:uid="{00000000-0005-0000-0000-00007A590000}"/>
    <cellStyle name="Note 11 6 2" xfId="16837" xr:uid="{00000000-0005-0000-0000-00007B590000}"/>
    <cellStyle name="Note 11 7" xfId="14843" xr:uid="{00000000-0005-0000-0000-00007C590000}"/>
    <cellStyle name="Note 11 8" xfId="13527" xr:uid="{00000000-0005-0000-0000-00007D590000}"/>
    <cellStyle name="Note 11 9" xfId="24186" xr:uid="{00000000-0005-0000-0000-00007E590000}"/>
    <cellStyle name="Note 12" xfId="3316" xr:uid="{00000000-0005-0000-0000-00007F590000}"/>
    <cellStyle name="Note 12 10" xfId="24755" xr:uid="{00000000-0005-0000-0000-000080590000}"/>
    <cellStyle name="Note 12 11" xfId="25071" xr:uid="{00000000-0005-0000-0000-000081590000}"/>
    <cellStyle name="Note 12 2" xfId="4550" xr:uid="{00000000-0005-0000-0000-000082590000}"/>
    <cellStyle name="Note 12 2 2" xfId="12529" xr:uid="{00000000-0005-0000-0000-000083590000}"/>
    <cellStyle name="Note 12 2 2 2" xfId="23817" xr:uid="{00000000-0005-0000-0000-000084590000}"/>
    <cellStyle name="Note 12 2 3" xfId="10535" xr:uid="{00000000-0005-0000-0000-000085590000}"/>
    <cellStyle name="Note 12 2 3 2" xfId="21823" xr:uid="{00000000-0005-0000-0000-000086590000}"/>
    <cellStyle name="Note 12 2 4" xfId="8541" xr:uid="{00000000-0005-0000-0000-000087590000}"/>
    <cellStyle name="Note 12 2 4 2" xfId="19829" xr:uid="{00000000-0005-0000-0000-000088590000}"/>
    <cellStyle name="Note 12 2 5" xfId="6547" xr:uid="{00000000-0005-0000-0000-000089590000}"/>
    <cellStyle name="Note 12 2 5 2" xfId="17835" xr:uid="{00000000-0005-0000-0000-00008A590000}"/>
    <cellStyle name="Note 12 2 6" xfId="15841" xr:uid="{00000000-0005-0000-0000-00008B590000}"/>
    <cellStyle name="Note 12 2 7" xfId="24458" xr:uid="{00000000-0005-0000-0000-00008C590000}"/>
    <cellStyle name="Note 12 2 8" xfId="24902" xr:uid="{00000000-0005-0000-0000-00008D590000}"/>
    <cellStyle name="Note 12 2 9" xfId="25265" xr:uid="{00000000-0005-0000-0000-00008E590000}"/>
    <cellStyle name="Note 12 3" xfId="11532" xr:uid="{00000000-0005-0000-0000-00008F590000}"/>
    <cellStyle name="Note 12 3 2" xfId="22820" xr:uid="{00000000-0005-0000-0000-000090590000}"/>
    <cellStyle name="Note 12 4" xfId="9538" xr:uid="{00000000-0005-0000-0000-000091590000}"/>
    <cellStyle name="Note 12 4 2" xfId="20826" xr:uid="{00000000-0005-0000-0000-000092590000}"/>
    <cellStyle name="Note 12 5" xfId="7544" xr:uid="{00000000-0005-0000-0000-000093590000}"/>
    <cellStyle name="Note 12 5 2" xfId="18832" xr:uid="{00000000-0005-0000-0000-000094590000}"/>
    <cellStyle name="Note 12 6" xfId="5550" xr:uid="{00000000-0005-0000-0000-000095590000}"/>
    <cellStyle name="Note 12 6 2" xfId="16838" xr:uid="{00000000-0005-0000-0000-000096590000}"/>
    <cellStyle name="Note 12 7" xfId="14844" xr:uid="{00000000-0005-0000-0000-000097590000}"/>
    <cellStyle name="Note 12 8" xfId="13528" xr:uid="{00000000-0005-0000-0000-000098590000}"/>
    <cellStyle name="Note 12 9" xfId="24187" xr:uid="{00000000-0005-0000-0000-000099590000}"/>
    <cellStyle name="Note 13" xfId="3317" xr:uid="{00000000-0005-0000-0000-00009A590000}"/>
    <cellStyle name="Note 13 2" xfId="4551" xr:uid="{00000000-0005-0000-0000-00009B590000}"/>
    <cellStyle name="Note 13 2 2" xfId="12530" xr:uid="{00000000-0005-0000-0000-00009C590000}"/>
    <cellStyle name="Note 13 2 2 2" xfId="23818" xr:uid="{00000000-0005-0000-0000-00009D590000}"/>
    <cellStyle name="Note 13 2 3" xfId="10536" xr:uid="{00000000-0005-0000-0000-00009E590000}"/>
    <cellStyle name="Note 13 2 3 2" xfId="21824" xr:uid="{00000000-0005-0000-0000-00009F590000}"/>
    <cellStyle name="Note 13 2 4" xfId="8542" xr:uid="{00000000-0005-0000-0000-0000A0590000}"/>
    <cellStyle name="Note 13 2 4 2" xfId="19830" xr:uid="{00000000-0005-0000-0000-0000A1590000}"/>
    <cellStyle name="Note 13 2 5" xfId="6548" xr:uid="{00000000-0005-0000-0000-0000A2590000}"/>
    <cellStyle name="Note 13 2 5 2" xfId="17836" xr:uid="{00000000-0005-0000-0000-0000A3590000}"/>
    <cellStyle name="Note 13 2 6" xfId="15842" xr:uid="{00000000-0005-0000-0000-0000A4590000}"/>
    <cellStyle name="Note 13 3" xfId="11533" xr:uid="{00000000-0005-0000-0000-0000A5590000}"/>
    <cellStyle name="Note 13 3 2" xfId="22821" xr:uid="{00000000-0005-0000-0000-0000A6590000}"/>
    <cellStyle name="Note 13 4" xfId="9539" xr:uid="{00000000-0005-0000-0000-0000A7590000}"/>
    <cellStyle name="Note 13 4 2" xfId="20827" xr:uid="{00000000-0005-0000-0000-0000A8590000}"/>
    <cellStyle name="Note 13 5" xfId="7545" xr:uid="{00000000-0005-0000-0000-0000A9590000}"/>
    <cellStyle name="Note 13 5 2" xfId="18833" xr:uid="{00000000-0005-0000-0000-0000AA590000}"/>
    <cellStyle name="Note 13 6" xfId="5551" xr:uid="{00000000-0005-0000-0000-0000AB590000}"/>
    <cellStyle name="Note 13 6 2" xfId="16839" xr:uid="{00000000-0005-0000-0000-0000AC590000}"/>
    <cellStyle name="Note 13 7" xfId="14845" xr:uid="{00000000-0005-0000-0000-0000AD590000}"/>
    <cellStyle name="Note 13 8" xfId="13529" xr:uid="{00000000-0005-0000-0000-0000AE590000}"/>
    <cellStyle name="Note 14" xfId="3318" xr:uid="{00000000-0005-0000-0000-0000AF590000}"/>
    <cellStyle name="Note 14 2" xfId="4552" xr:uid="{00000000-0005-0000-0000-0000B0590000}"/>
    <cellStyle name="Note 14 2 2" xfId="12531" xr:uid="{00000000-0005-0000-0000-0000B1590000}"/>
    <cellStyle name="Note 14 2 2 2" xfId="23819" xr:uid="{00000000-0005-0000-0000-0000B2590000}"/>
    <cellStyle name="Note 14 2 3" xfId="10537" xr:uid="{00000000-0005-0000-0000-0000B3590000}"/>
    <cellStyle name="Note 14 2 3 2" xfId="21825" xr:uid="{00000000-0005-0000-0000-0000B4590000}"/>
    <cellStyle name="Note 14 2 4" xfId="8543" xr:uid="{00000000-0005-0000-0000-0000B5590000}"/>
    <cellStyle name="Note 14 2 4 2" xfId="19831" xr:uid="{00000000-0005-0000-0000-0000B6590000}"/>
    <cellStyle name="Note 14 2 5" xfId="6549" xr:uid="{00000000-0005-0000-0000-0000B7590000}"/>
    <cellStyle name="Note 14 2 5 2" xfId="17837" xr:uid="{00000000-0005-0000-0000-0000B8590000}"/>
    <cellStyle name="Note 14 2 6" xfId="15843" xr:uid="{00000000-0005-0000-0000-0000B9590000}"/>
    <cellStyle name="Note 14 3" xfId="11534" xr:uid="{00000000-0005-0000-0000-0000BA590000}"/>
    <cellStyle name="Note 14 3 2" xfId="22822" xr:uid="{00000000-0005-0000-0000-0000BB590000}"/>
    <cellStyle name="Note 14 4" xfId="9540" xr:uid="{00000000-0005-0000-0000-0000BC590000}"/>
    <cellStyle name="Note 14 4 2" xfId="20828" xr:uid="{00000000-0005-0000-0000-0000BD590000}"/>
    <cellStyle name="Note 14 5" xfId="7546" xr:uid="{00000000-0005-0000-0000-0000BE590000}"/>
    <cellStyle name="Note 14 5 2" xfId="18834" xr:uid="{00000000-0005-0000-0000-0000BF590000}"/>
    <cellStyle name="Note 14 6" xfId="5552" xr:uid="{00000000-0005-0000-0000-0000C0590000}"/>
    <cellStyle name="Note 14 6 2" xfId="16840" xr:uid="{00000000-0005-0000-0000-0000C1590000}"/>
    <cellStyle name="Note 14 7" xfId="14846" xr:uid="{00000000-0005-0000-0000-0000C2590000}"/>
    <cellStyle name="Note 14 8" xfId="13530" xr:uid="{00000000-0005-0000-0000-0000C3590000}"/>
    <cellStyle name="Note 15" xfId="3319" xr:uid="{00000000-0005-0000-0000-0000C4590000}"/>
    <cellStyle name="Note 15 2" xfId="4553" xr:uid="{00000000-0005-0000-0000-0000C5590000}"/>
    <cellStyle name="Note 15 2 2" xfId="12532" xr:uid="{00000000-0005-0000-0000-0000C6590000}"/>
    <cellStyle name="Note 15 2 2 2" xfId="23820" xr:uid="{00000000-0005-0000-0000-0000C7590000}"/>
    <cellStyle name="Note 15 2 3" xfId="10538" xr:uid="{00000000-0005-0000-0000-0000C8590000}"/>
    <cellStyle name="Note 15 2 3 2" xfId="21826" xr:uid="{00000000-0005-0000-0000-0000C9590000}"/>
    <cellStyle name="Note 15 2 4" xfId="8544" xr:uid="{00000000-0005-0000-0000-0000CA590000}"/>
    <cellStyle name="Note 15 2 4 2" xfId="19832" xr:uid="{00000000-0005-0000-0000-0000CB590000}"/>
    <cellStyle name="Note 15 2 5" xfId="6550" xr:uid="{00000000-0005-0000-0000-0000CC590000}"/>
    <cellStyle name="Note 15 2 5 2" xfId="17838" xr:uid="{00000000-0005-0000-0000-0000CD590000}"/>
    <cellStyle name="Note 15 2 6" xfId="15844" xr:uid="{00000000-0005-0000-0000-0000CE590000}"/>
    <cellStyle name="Note 15 3" xfId="11535" xr:uid="{00000000-0005-0000-0000-0000CF590000}"/>
    <cellStyle name="Note 15 3 2" xfId="22823" xr:uid="{00000000-0005-0000-0000-0000D0590000}"/>
    <cellStyle name="Note 15 4" xfId="9541" xr:uid="{00000000-0005-0000-0000-0000D1590000}"/>
    <cellStyle name="Note 15 4 2" xfId="20829" xr:uid="{00000000-0005-0000-0000-0000D2590000}"/>
    <cellStyle name="Note 15 5" xfId="7547" xr:uid="{00000000-0005-0000-0000-0000D3590000}"/>
    <cellStyle name="Note 15 5 2" xfId="18835" xr:uid="{00000000-0005-0000-0000-0000D4590000}"/>
    <cellStyle name="Note 15 6" xfId="5553" xr:uid="{00000000-0005-0000-0000-0000D5590000}"/>
    <cellStyle name="Note 15 6 2" xfId="16841" xr:uid="{00000000-0005-0000-0000-0000D6590000}"/>
    <cellStyle name="Note 15 7" xfId="14847" xr:uid="{00000000-0005-0000-0000-0000D7590000}"/>
    <cellStyle name="Note 15 8" xfId="13531" xr:uid="{00000000-0005-0000-0000-0000D8590000}"/>
    <cellStyle name="Note 16" xfId="3320" xr:uid="{00000000-0005-0000-0000-0000D9590000}"/>
    <cellStyle name="Note 16 2" xfId="4554" xr:uid="{00000000-0005-0000-0000-0000DA590000}"/>
    <cellStyle name="Note 16 2 2" xfId="12533" xr:uid="{00000000-0005-0000-0000-0000DB590000}"/>
    <cellStyle name="Note 16 2 2 2" xfId="23821" xr:uid="{00000000-0005-0000-0000-0000DC590000}"/>
    <cellStyle name="Note 16 2 3" xfId="10539" xr:uid="{00000000-0005-0000-0000-0000DD590000}"/>
    <cellStyle name="Note 16 2 3 2" xfId="21827" xr:uid="{00000000-0005-0000-0000-0000DE590000}"/>
    <cellStyle name="Note 16 2 4" xfId="8545" xr:uid="{00000000-0005-0000-0000-0000DF590000}"/>
    <cellStyle name="Note 16 2 4 2" xfId="19833" xr:uid="{00000000-0005-0000-0000-0000E0590000}"/>
    <cellStyle name="Note 16 2 5" xfId="6551" xr:uid="{00000000-0005-0000-0000-0000E1590000}"/>
    <cellStyle name="Note 16 2 5 2" xfId="17839" xr:uid="{00000000-0005-0000-0000-0000E2590000}"/>
    <cellStyle name="Note 16 2 6" xfId="15845" xr:uid="{00000000-0005-0000-0000-0000E3590000}"/>
    <cellStyle name="Note 16 3" xfId="11536" xr:uid="{00000000-0005-0000-0000-0000E4590000}"/>
    <cellStyle name="Note 16 3 2" xfId="22824" xr:uid="{00000000-0005-0000-0000-0000E5590000}"/>
    <cellStyle name="Note 16 4" xfId="9542" xr:uid="{00000000-0005-0000-0000-0000E6590000}"/>
    <cellStyle name="Note 16 4 2" xfId="20830" xr:uid="{00000000-0005-0000-0000-0000E7590000}"/>
    <cellStyle name="Note 16 5" xfId="7548" xr:uid="{00000000-0005-0000-0000-0000E8590000}"/>
    <cellStyle name="Note 16 5 2" xfId="18836" xr:uid="{00000000-0005-0000-0000-0000E9590000}"/>
    <cellStyle name="Note 16 6" xfId="5554" xr:uid="{00000000-0005-0000-0000-0000EA590000}"/>
    <cellStyle name="Note 16 6 2" xfId="16842" xr:uid="{00000000-0005-0000-0000-0000EB590000}"/>
    <cellStyle name="Note 16 7" xfId="14848" xr:uid="{00000000-0005-0000-0000-0000EC590000}"/>
    <cellStyle name="Note 16 8" xfId="13532" xr:uid="{00000000-0005-0000-0000-0000ED590000}"/>
    <cellStyle name="Note 17" xfId="3321" xr:uid="{00000000-0005-0000-0000-0000EE590000}"/>
    <cellStyle name="Note 17 2" xfId="4555" xr:uid="{00000000-0005-0000-0000-0000EF590000}"/>
    <cellStyle name="Note 17 2 2" xfId="12534" xr:uid="{00000000-0005-0000-0000-0000F0590000}"/>
    <cellStyle name="Note 17 2 2 2" xfId="23822" xr:uid="{00000000-0005-0000-0000-0000F1590000}"/>
    <cellStyle name="Note 17 2 3" xfId="10540" xr:uid="{00000000-0005-0000-0000-0000F2590000}"/>
    <cellStyle name="Note 17 2 3 2" xfId="21828" xr:uid="{00000000-0005-0000-0000-0000F3590000}"/>
    <cellStyle name="Note 17 2 4" xfId="8546" xr:uid="{00000000-0005-0000-0000-0000F4590000}"/>
    <cellStyle name="Note 17 2 4 2" xfId="19834" xr:uid="{00000000-0005-0000-0000-0000F5590000}"/>
    <cellStyle name="Note 17 2 5" xfId="6552" xr:uid="{00000000-0005-0000-0000-0000F6590000}"/>
    <cellStyle name="Note 17 2 5 2" xfId="17840" xr:uid="{00000000-0005-0000-0000-0000F7590000}"/>
    <cellStyle name="Note 17 2 6" xfId="15846" xr:uid="{00000000-0005-0000-0000-0000F8590000}"/>
    <cellStyle name="Note 17 3" xfId="11537" xr:uid="{00000000-0005-0000-0000-0000F9590000}"/>
    <cellStyle name="Note 17 3 2" xfId="22825" xr:uid="{00000000-0005-0000-0000-0000FA590000}"/>
    <cellStyle name="Note 17 4" xfId="9543" xr:uid="{00000000-0005-0000-0000-0000FB590000}"/>
    <cellStyle name="Note 17 4 2" xfId="20831" xr:uid="{00000000-0005-0000-0000-0000FC590000}"/>
    <cellStyle name="Note 17 5" xfId="7549" xr:uid="{00000000-0005-0000-0000-0000FD590000}"/>
    <cellStyle name="Note 17 5 2" xfId="18837" xr:uid="{00000000-0005-0000-0000-0000FE590000}"/>
    <cellStyle name="Note 17 6" xfId="5555" xr:uid="{00000000-0005-0000-0000-0000FF590000}"/>
    <cellStyle name="Note 17 6 2" xfId="16843" xr:uid="{00000000-0005-0000-0000-0000005A0000}"/>
    <cellStyle name="Note 17 7" xfId="14849" xr:uid="{00000000-0005-0000-0000-0000015A0000}"/>
    <cellStyle name="Note 17 8" xfId="13533" xr:uid="{00000000-0005-0000-0000-0000025A0000}"/>
    <cellStyle name="Note 18" xfId="3322" xr:uid="{00000000-0005-0000-0000-0000035A0000}"/>
    <cellStyle name="Note 18 2" xfId="4556" xr:uid="{00000000-0005-0000-0000-0000045A0000}"/>
    <cellStyle name="Note 18 2 2" xfId="12535" xr:uid="{00000000-0005-0000-0000-0000055A0000}"/>
    <cellStyle name="Note 18 2 2 2" xfId="23823" xr:uid="{00000000-0005-0000-0000-0000065A0000}"/>
    <cellStyle name="Note 18 2 3" xfId="10541" xr:uid="{00000000-0005-0000-0000-0000075A0000}"/>
    <cellStyle name="Note 18 2 3 2" xfId="21829" xr:uid="{00000000-0005-0000-0000-0000085A0000}"/>
    <cellStyle name="Note 18 2 4" xfId="8547" xr:uid="{00000000-0005-0000-0000-0000095A0000}"/>
    <cellStyle name="Note 18 2 4 2" xfId="19835" xr:uid="{00000000-0005-0000-0000-00000A5A0000}"/>
    <cellStyle name="Note 18 2 5" xfId="6553" xr:uid="{00000000-0005-0000-0000-00000B5A0000}"/>
    <cellStyle name="Note 18 2 5 2" xfId="17841" xr:uid="{00000000-0005-0000-0000-00000C5A0000}"/>
    <cellStyle name="Note 18 2 6" xfId="15847" xr:uid="{00000000-0005-0000-0000-00000D5A0000}"/>
    <cellStyle name="Note 18 3" xfId="11538" xr:uid="{00000000-0005-0000-0000-00000E5A0000}"/>
    <cellStyle name="Note 18 3 2" xfId="22826" xr:uid="{00000000-0005-0000-0000-00000F5A0000}"/>
    <cellStyle name="Note 18 4" xfId="9544" xr:uid="{00000000-0005-0000-0000-0000105A0000}"/>
    <cellStyle name="Note 18 4 2" xfId="20832" xr:uid="{00000000-0005-0000-0000-0000115A0000}"/>
    <cellStyle name="Note 18 5" xfId="7550" xr:uid="{00000000-0005-0000-0000-0000125A0000}"/>
    <cellStyle name="Note 18 5 2" xfId="18838" xr:uid="{00000000-0005-0000-0000-0000135A0000}"/>
    <cellStyle name="Note 18 6" xfId="5556" xr:uid="{00000000-0005-0000-0000-0000145A0000}"/>
    <cellStyle name="Note 18 6 2" xfId="16844" xr:uid="{00000000-0005-0000-0000-0000155A0000}"/>
    <cellStyle name="Note 18 7" xfId="14850" xr:uid="{00000000-0005-0000-0000-0000165A0000}"/>
    <cellStyle name="Note 18 8" xfId="13534" xr:uid="{00000000-0005-0000-0000-0000175A0000}"/>
    <cellStyle name="Note 19" xfId="3323" xr:uid="{00000000-0005-0000-0000-0000185A0000}"/>
    <cellStyle name="Note 19 2" xfId="4557" xr:uid="{00000000-0005-0000-0000-0000195A0000}"/>
    <cellStyle name="Note 19 2 2" xfId="12536" xr:uid="{00000000-0005-0000-0000-00001A5A0000}"/>
    <cellStyle name="Note 19 2 2 2" xfId="23824" xr:uid="{00000000-0005-0000-0000-00001B5A0000}"/>
    <cellStyle name="Note 19 2 3" xfId="10542" xr:uid="{00000000-0005-0000-0000-00001C5A0000}"/>
    <cellStyle name="Note 19 2 3 2" xfId="21830" xr:uid="{00000000-0005-0000-0000-00001D5A0000}"/>
    <cellStyle name="Note 19 2 4" xfId="8548" xr:uid="{00000000-0005-0000-0000-00001E5A0000}"/>
    <cellStyle name="Note 19 2 4 2" xfId="19836" xr:uid="{00000000-0005-0000-0000-00001F5A0000}"/>
    <cellStyle name="Note 19 2 5" xfId="6554" xr:uid="{00000000-0005-0000-0000-0000205A0000}"/>
    <cellStyle name="Note 19 2 5 2" xfId="17842" xr:uid="{00000000-0005-0000-0000-0000215A0000}"/>
    <cellStyle name="Note 19 2 6" xfId="15848" xr:uid="{00000000-0005-0000-0000-0000225A0000}"/>
    <cellStyle name="Note 19 3" xfId="11539" xr:uid="{00000000-0005-0000-0000-0000235A0000}"/>
    <cellStyle name="Note 19 3 2" xfId="22827" xr:uid="{00000000-0005-0000-0000-0000245A0000}"/>
    <cellStyle name="Note 19 4" xfId="9545" xr:uid="{00000000-0005-0000-0000-0000255A0000}"/>
    <cellStyle name="Note 19 4 2" xfId="20833" xr:uid="{00000000-0005-0000-0000-0000265A0000}"/>
    <cellStyle name="Note 19 5" xfId="7551" xr:uid="{00000000-0005-0000-0000-0000275A0000}"/>
    <cellStyle name="Note 19 5 2" xfId="18839" xr:uid="{00000000-0005-0000-0000-0000285A0000}"/>
    <cellStyle name="Note 19 6" xfId="5557" xr:uid="{00000000-0005-0000-0000-0000295A0000}"/>
    <cellStyle name="Note 19 6 2" xfId="16845" xr:uid="{00000000-0005-0000-0000-00002A5A0000}"/>
    <cellStyle name="Note 19 7" xfId="14851" xr:uid="{00000000-0005-0000-0000-00002B5A0000}"/>
    <cellStyle name="Note 19 8" xfId="13535" xr:uid="{00000000-0005-0000-0000-00002C5A0000}"/>
    <cellStyle name="Note 2" xfId="3324" xr:uid="{00000000-0005-0000-0000-00002D5A0000}"/>
    <cellStyle name="Note 2 10" xfId="25072" xr:uid="{00000000-0005-0000-0000-00002E5A0000}"/>
    <cellStyle name="Note 2 10 2" xfId="25396" xr:uid="{00000000-0005-0000-0000-00002F5A0000}"/>
    <cellStyle name="Note 2 10 2 2" xfId="27552" xr:uid="{00000000-0005-0000-0000-0000425A0000}"/>
    <cellStyle name="Note 2 10 2 3" xfId="26997" xr:uid="{00000000-0005-0000-0000-00008A5C0000}"/>
    <cellStyle name="Note 2 10 2 4" xfId="27024" xr:uid="{00000000-0005-0000-0000-0000425A0000}"/>
    <cellStyle name="Note 2 10 3" xfId="25676" xr:uid="{00000000-0005-0000-0000-0000305A0000}"/>
    <cellStyle name="Note 2 10 3 2" xfId="27831" xr:uid="{00000000-0005-0000-0000-0000435A0000}"/>
    <cellStyle name="Note 2 10 3 3" xfId="26490" xr:uid="{00000000-0005-0000-0000-00008B5C0000}"/>
    <cellStyle name="Note 2 10 3 4" xfId="26210" xr:uid="{00000000-0005-0000-0000-0000435A0000}"/>
    <cellStyle name="Note 2 10 4" xfId="27365" xr:uid="{00000000-0005-0000-0000-0000415A0000}"/>
    <cellStyle name="Note 2 10 5" xfId="26414" xr:uid="{00000000-0005-0000-0000-0000895C0000}"/>
    <cellStyle name="Note 2 10 6" xfId="26236" xr:uid="{00000000-0005-0000-0000-0000415A0000}"/>
    <cellStyle name="Note 2 2" xfId="4558" xr:uid="{00000000-0005-0000-0000-0000315A0000}"/>
    <cellStyle name="Note 2 2 2" xfId="12537" xr:uid="{00000000-0005-0000-0000-0000325A0000}"/>
    <cellStyle name="Note 2 2 2 2" xfId="23825" xr:uid="{00000000-0005-0000-0000-0000335A0000}"/>
    <cellStyle name="Note 2 2 3" xfId="10543" xr:uid="{00000000-0005-0000-0000-0000345A0000}"/>
    <cellStyle name="Note 2 2 3 2" xfId="21831" xr:uid="{00000000-0005-0000-0000-0000355A0000}"/>
    <cellStyle name="Note 2 2 4" xfId="8549" xr:uid="{00000000-0005-0000-0000-0000365A0000}"/>
    <cellStyle name="Note 2 2 4 2" xfId="19837" xr:uid="{00000000-0005-0000-0000-0000375A0000}"/>
    <cellStyle name="Note 2 2 5" xfId="6555" xr:uid="{00000000-0005-0000-0000-0000385A0000}"/>
    <cellStyle name="Note 2 2 5 2" xfId="17843" xr:uid="{00000000-0005-0000-0000-0000395A0000}"/>
    <cellStyle name="Note 2 2 6" xfId="15849" xr:uid="{00000000-0005-0000-0000-00003A5A0000}"/>
    <cellStyle name="Note 2 2 7" xfId="24189" xr:uid="{00000000-0005-0000-0000-00003B5A0000}"/>
    <cellStyle name="Note 2 2 7 2" xfId="25413" xr:uid="{00000000-0005-0000-0000-00003C5A0000}"/>
    <cellStyle name="Note 2 2 7 2 2" xfId="27569" xr:uid="{00000000-0005-0000-0000-00004F5A0000}"/>
    <cellStyle name="Note 2 2 7 2 3" xfId="26451" xr:uid="{00000000-0005-0000-0000-0000975C0000}"/>
    <cellStyle name="Note 2 2 7 2 4" xfId="26694" xr:uid="{00000000-0005-0000-0000-00004F5A0000}"/>
    <cellStyle name="Note 2 2 7 3" xfId="25564" xr:uid="{00000000-0005-0000-0000-00003D5A0000}"/>
    <cellStyle name="Note 2 2 7 3 2" xfId="27719" xr:uid="{00000000-0005-0000-0000-0000505A0000}"/>
    <cellStyle name="Note 2 2 7 3 3" xfId="26727" xr:uid="{00000000-0005-0000-0000-0000985C0000}"/>
    <cellStyle name="Note 2 2 7 3 4" xfId="26485" xr:uid="{00000000-0005-0000-0000-0000505A0000}"/>
    <cellStyle name="Note 2 2 7 4" xfId="27091" xr:uid="{00000000-0005-0000-0000-00004E5A0000}"/>
    <cellStyle name="Note 2 2 7 5" xfId="26969" xr:uid="{00000000-0005-0000-0000-0000965C0000}"/>
    <cellStyle name="Note 2 2 7 6" xfId="26789" xr:uid="{00000000-0005-0000-0000-00004E5A0000}"/>
    <cellStyle name="Note 2 2 8" xfId="25073" xr:uid="{00000000-0005-0000-0000-00003E5A0000}"/>
    <cellStyle name="Note 2 2 8 2" xfId="25305" xr:uid="{00000000-0005-0000-0000-00003F5A0000}"/>
    <cellStyle name="Note 2 2 8 2 2" xfId="27461" xr:uid="{00000000-0005-0000-0000-0000525A0000}"/>
    <cellStyle name="Note 2 2 8 2 3" xfId="26278" xr:uid="{00000000-0005-0000-0000-00009A5C0000}"/>
    <cellStyle name="Note 2 2 8 2 4" xfId="26503" xr:uid="{00000000-0005-0000-0000-0000525A0000}"/>
    <cellStyle name="Note 2 2 8 3" xfId="25677" xr:uid="{00000000-0005-0000-0000-0000405A0000}"/>
    <cellStyle name="Note 2 2 8 3 2" xfId="27832" xr:uid="{00000000-0005-0000-0000-0000535A0000}"/>
    <cellStyle name="Note 2 2 8 3 3" xfId="26873" xr:uid="{00000000-0005-0000-0000-00009B5C0000}"/>
    <cellStyle name="Note 2 2 8 3 4" xfId="26441" xr:uid="{00000000-0005-0000-0000-0000535A0000}"/>
    <cellStyle name="Note 2 2 8 4" xfId="27366" xr:uid="{00000000-0005-0000-0000-0000515A0000}"/>
    <cellStyle name="Note 2 2 8 5" xfId="26804" xr:uid="{00000000-0005-0000-0000-0000995C0000}"/>
    <cellStyle name="Note 2 2 8 6" xfId="26856" xr:uid="{00000000-0005-0000-0000-0000515A0000}"/>
    <cellStyle name="Note 2 3" xfId="11540" xr:uid="{00000000-0005-0000-0000-0000415A0000}"/>
    <cellStyle name="Note 2 3 2" xfId="22828" xr:uid="{00000000-0005-0000-0000-0000425A0000}"/>
    <cellStyle name="Note 2 4" xfId="9546" xr:uid="{00000000-0005-0000-0000-0000435A0000}"/>
    <cellStyle name="Note 2 4 2" xfId="20834" xr:uid="{00000000-0005-0000-0000-0000445A0000}"/>
    <cellStyle name="Note 2 5" xfId="7552" xr:uid="{00000000-0005-0000-0000-0000455A0000}"/>
    <cellStyle name="Note 2 5 2" xfId="18840" xr:uid="{00000000-0005-0000-0000-0000465A0000}"/>
    <cellStyle name="Note 2 6" xfId="5558" xr:uid="{00000000-0005-0000-0000-0000475A0000}"/>
    <cellStyle name="Note 2 6 2" xfId="16846" xr:uid="{00000000-0005-0000-0000-0000485A0000}"/>
    <cellStyle name="Note 2 7" xfId="14852" xr:uid="{00000000-0005-0000-0000-0000495A0000}"/>
    <cellStyle name="Note 2 8" xfId="13536" xr:uid="{00000000-0005-0000-0000-00004A5A0000}"/>
    <cellStyle name="Note 2 9" xfId="24188" xr:uid="{00000000-0005-0000-0000-00004B5A0000}"/>
    <cellStyle name="Note 2 9 2" xfId="25311" xr:uid="{00000000-0005-0000-0000-00004C5A0000}"/>
    <cellStyle name="Note 2 9 2 2" xfId="27467" xr:uid="{00000000-0005-0000-0000-00005F5A0000}"/>
    <cellStyle name="Note 2 9 2 3" xfId="26839" xr:uid="{00000000-0005-0000-0000-0000A75C0000}"/>
    <cellStyle name="Note 2 9 2 4" xfId="26295" xr:uid="{00000000-0005-0000-0000-00005F5A0000}"/>
    <cellStyle name="Note 2 9 3" xfId="25563" xr:uid="{00000000-0005-0000-0000-00004D5A0000}"/>
    <cellStyle name="Note 2 9 3 2" xfId="27718" xr:uid="{00000000-0005-0000-0000-0000605A0000}"/>
    <cellStyle name="Note 2 9 3 3" xfId="26312" xr:uid="{00000000-0005-0000-0000-0000A85C0000}"/>
    <cellStyle name="Note 2 9 3 4" xfId="26465" xr:uid="{00000000-0005-0000-0000-0000605A0000}"/>
    <cellStyle name="Note 2 9 4" xfId="27090" xr:uid="{00000000-0005-0000-0000-00005E5A0000}"/>
    <cellStyle name="Note 2 9 5" xfId="26238" xr:uid="{00000000-0005-0000-0000-0000A65C0000}"/>
    <cellStyle name="Note 2 9 6" xfId="26330" xr:uid="{00000000-0005-0000-0000-00005E5A0000}"/>
    <cellStyle name="Note 20" xfId="3325" xr:uid="{00000000-0005-0000-0000-00004E5A0000}"/>
    <cellStyle name="Note 20 2" xfId="4559" xr:uid="{00000000-0005-0000-0000-00004F5A0000}"/>
    <cellStyle name="Note 20 2 2" xfId="12538" xr:uid="{00000000-0005-0000-0000-0000505A0000}"/>
    <cellStyle name="Note 20 2 2 2" xfId="23826" xr:uid="{00000000-0005-0000-0000-0000515A0000}"/>
    <cellStyle name="Note 20 2 3" xfId="10544" xr:uid="{00000000-0005-0000-0000-0000525A0000}"/>
    <cellStyle name="Note 20 2 3 2" xfId="21832" xr:uid="{00000000-0005-0000-0000-0000535A0000}"/>
    <cellStyle name="Note 20 2 4" xfId="8550" xr:uid="{00000000-0005-0000-0000-0000545A0000}"/>
    <cellStyle name="Note 20 2 4 2" xfId="19838" xr:uid="{00000000-0005-0000-0000-0000555A0000}"/>
    <cellStyle name="Note 20 2 5" xfId="6556" xr:uid="{00000000-0005-0000-0000-0000565A0000}"/>
    <cellStyle name="Note 20 2 5 2" xfId="17844" xr:uid="{00000000-0005-0000-0000-0000575A0000}"/>
    <cellStyle name="Note 20 2 6" xfId="15850" xr:uid="{00000000-0005-0000-0000-0000585A0000}"/>
    <cellStyle name="Note 20 3" xfId="11541" xr:uid="{00000000-0005-0000-0000-0000595A0000}"/>
    <cellStyle name="Note 20 3 2" xfId="22829" xr:uid="{00000000-0005-0000-0000-00005A5A0000}"/>
    <cellStyle name="Note 20 4" xfId="9547" xr:uid="{00000000-0005-0000-0000-00005B5A0000}"/>
    <cellStyle name="Note 20 4 2" xfId="20835" xr:uid="{00000000-0005-0000-0000-00005C5A0000}"/>
    <cellStyle name="Note 20 5" xfId="7553" xr:uid="{00000000-0005-0000-0000-00005D5A0000}"/>
    <cellStyle name="Note 20 5 2" xfId="18841" xr:uid="{00000000-0005-0000-0000-00005E5A0000}"/>
    <cellStyle name="Note 20 6" xfId="5559" xr:uid="{00000000-0005-0000-0000-00005F5A0000}"/>
    <cellStyle name="Note 20 6 2" xfId="16847" xr:uid="{00000000-0005-0000-0000-0000605A0000}"/>
    <cellStyle name="Note 20 7" xfId="14853" xr:uid="{00000000-0005-0000-0000-0000615A0000}"/>
    <cellStyle name="Note 20 8" xfId="13537" xr:uid="{00000000-0005-0000-0000-0000625A0000}"/>
    <cellStyle name="Note 21" xfId="3326" xr:uid="{00000000-0005-0000-0000-0000635A0000}"/>
    <cellStyle name="Note 21 2" xfId="4560" xr:uid="{00000000-0005-0000-0000-0000645A0000}"/>
    <cellStyle name="Note 21 2 2" xfId="12539" xr:uid="{00000000-0005-0000-0000-0000655A0000}"/>
    <cellStyle name="Note 21 2 2 2" xfId="23827" xr:uid="{00000000-0005-0000-0000-0000665A0000}"/>
    <cellStyle name="Note 21 2 3" xfId="10545" xr:uid="{00000000-0005-0000-0000-0000675A0000}"/>
    <cellStyle name="Note 21 2 3 2" xfId="21833" xr:uid="{00000000-0005-0000-0000-0000685A0000}"/>
    <cellStyle name="Note 21 2 4" xfId="8551" xr:uid="{00000000-0005-0000-0000-0000695A0000}"/>
    <cellStyle name="Note 21 2 4 2" xfId="19839" xr:uid="{00000000-0005-0000-0000-00006A5A0000}"/>
    <cellStyle name="Note 21 2 5" xfId="6557" xr:uid="{00000000-0005-0000-0000-00006B5A0000}"/>
    <cellStyle name="Note 21 2 5 2" xfId="17845" xr:uid="{00000000-0005-0000-0000-00006C5A0000}"/>
    <cellStyle name="Note 21 2 6" xfId="15851" xr:uid="{00000000-0005-0000-0000-00006D5A0000}"/>
    <cellStyle name="Note 21 3" xfId="11542" xr:uid="{00000000-0005-0000-0000-00006E5A0000}"/>
    <cellStyle name="Note 21 3 2" xfId="22830" xr:uid="{00000000-0005-0000-0000-00006F5A0000}"/>
    <cellStyle name="Note 21 4" xfId="9548" xr:uid="{00000000-0005-0000-0000-0000705A0000}"/>
    <cellStyle name="Note 21 4 2" xfId="20836" xr:uid="{00000000-0005-0000-0000-0000715A0000}"/>
    <cellStyle name="Note 21 5" xfId="7554" xr:uid="{00000000-0005-0000-0000-0000725A0000}"/>
    <cellStyle name="Note 21 5 2" xfId="18842" xr:uid="{00000000-0005-0000-0000-0000735A0000}"/>
    <cellStyle name="Note 21 6" xfId="5560" xr:uid="{00000000-0005-0000-0000-0000745A0000}"/>
    <cellStyle name="Note 21 6 2" xfId="16848" xr:uid="{00000000-0005-0000-0000-0000755A0000}"/>
    <cellStyle name="Note 21 7" xfId="14854" xr:uid="{00000000-0005-0000-0000-0000765A0000}"/>
    <cellStyle name="Note 21 8" xfId="13538" xr:uid="{00000000-0005-0000-0000-0000775A0000}"/>
    <cellStyle name="Note 22" xfId="3327" xr:uid="{00000000-0005-0000-0000-0000785A0000}"/>
    <cellStyle name="Note 22 2" xfId="4561" xr:uid="{00000000-0005-0000-0000-0000795A0000}"/>
    <cellStyle name="Note 22 2 2" xfId="12540" xr:uid="{00000000-0005-0000-0000-00007A5A0000}"/>
    <cellStyle name="Note 22 2 2 2" xfId="23828" xr:uid="{00000000-0005-0000-0000-00007B5A0000}"/>
    <cellStyle name="Note 22 2 3" xfId="10546" xr:uid="{00000000-0005-0000-0000-00007C5A0000}"/>
    <cellStyle name="Note 22 2 3 2" xfId="21834" xr:uid="{00000000-0005-0000-0000-00007D5A0000}"/>
    <cellStyle name="Note 22 2 4" xfId="8552" xr:uid="{00000000-0005-0000-0000-00007E5A0000}"/>
    <cellStyle name="Note 22 2 4 2" xfId="19840" xr:uid="{00000000-0005-0000-0000-00007F5A0000}"/>
    <cellStyle name="Note 22 2 5" xfId="6558" xr:uid="{00000000-0005-0000-0000-0000805A0000}"/>
    <cellStyle name="Note 22 2 5 2" xfId="17846" xr:uid="{00000000-0005-0000-0000-0000815A0000}"/>
    <cellStyle name="Note 22 2 6" xfId="15852" xr:uid="{00000000-0005-0000-0000-0000825A0000}"/>
    <cellStyle name="Note 22 3" xfId="11543" xr:uid="{00000000-0005-0000-0000-0000835A0000}"/>
    <cellStyle name="Note 22 3 2" xfId="22831" xr:uid="{00000000-0005-0000-0000-0000845A0000}"/>
    <cellStyle name="Note 22 4" xfId="9549" xr:uid="{00000000-0005-0000-0000-0000855A0000}"/>
    <cellStyle name="Note 22 4 2" xfId="20837" xr:uid="{00000000-0005-0000-0000-0000865A0000}"/>
    <cellStyle name="Note 22 5" xfId="7555" xr:uid="{00000000-0005-0000-0000-0000875A0000}"/>
    <cellStyle name="Note 22 5 2" xfId="18843" xr:uid="{00000000-0005-0000-0000-0000885A0000}"/>
    <cellStyle name="Note 22 6" xfId="5561" xr:uid="{00000000-0005-0000-0000-0000895A0000}"/>
    <cellStyle name="Note 22 6 2" xfId="16849" xr:uid="{00000000-0005-0000-0000-00008A5A0000}"/>
    <cellStyle name="Note 22 7" xfId="14855" xr:uid="{00000000-0005-0000-0000-00008B5A0000}"/>
    <cellStyle name="Note 22 8" xfId="13539" xr:uid="{00000000-0005-0000-0000-00008C5A0000}"/>
    <cellStyle name="Note 23" xfId="3328" xr:uid="{00000000-0005-0000-0000-00008D5A0000}"/>
    <cellStyle name="Note 23 2" xfId="4562" xr:uid="{00000000-0005-0000-0000-00008E5A0000}"/>
    <cellStyle name="Note 23 2 2" xfId="12541" xr:uid="{00000000-0005-0000-0000-00008F5A0000}"/>
    <cellStyle name="Note 23 2 2 2" xfId="23829" xr:uid="{00000000-0005-0000-0000-0000905A0000}"/>
    <cellStyle name="Note 23 2 3" xfId="10547" xr:uid="{00000000-0005-0000-0000-0000915A0000}"/>
    <cellStyle name="Note 23 2 3 2" xfId="21835" xr:uid="{00000000-0005-0000-0000-0000925A0000}"/>
    <cellStyle name="Note 23 2 4" xfId="8553" xr:uid="{00000000-0005-0000-0000-0000935A0000}"/>
    <cellStyle name="Note 23 2 4 2" xfId="19841" xr:uid="{00000000-0005-0000-0000-0000945A0000}"/>
    <cellStyle name="Note 23 2 5" xfId="6559" xr:uid="{00000000-0005-0000-0000-0000955A0000}"/>
    <cellStyle name="Note 23 2 5 2" xfId="17847" xr:uid="{00000000-0005-0000-0000-0000965A0000}"/>
    <cellStyle name="Note 23 2 6" xfId="15853" xr:uid="{00000000-0005-0000-0000-0000975A0000}"/>
    <cellStyle name="Note 23 3" xfId="11544" xr:uid="{00000000-0005-0000-0000-0000985A0000}"/>
    <cellStyle name="Note 23 3 2" xfId="22832" xr:uid="{00000000-0005-0000-0000-0000995A0000}"/>
    <cellStyle name="Note 23 4" xfId="9550" xr:uid="{00000000-0005-0000-0000-00009A5A0000}"/>
    <cellStyle name="Note 23 4 2" xfId="20838" xr:uid="{00000000-0005-0000-0000-00009B5A0000}"/>
    <cellStyle name="Note 23 5" xfId="7556" xr:uid="{00000000-0005-0000-0000-00009C5A0000}"/>
    <cellStyle name="Note 23 5 2" xfId="18844" xr:uid="{00000000-0005-0000-0000-00009D5A0000}"/>
    <cellStyle name="Note 23 6" xfId="5562" xr:uid="{00000000-0005-0000-0000-00009E5A0000}"/>
    <cellStyle name="Note 23 6 2" xfId="16850" xr:uid="{00000000-0005-0000-0000-00009F5A0000}"/>
    <cellStyle name="Note 23 7" xfId="14856" xr:uid="{00000000-0005-0000-0000-0000A05A0000}"/>
    <cellStyle name="Note 23 8" xfId="13540" xr:uid="{00000000-0005-0000-0000-0000A15A0000}"/>
    <cellStyle name="Note 24" xfId="3329" xr:uid="{00000000-0005-0000-0000-0000A25A0000}"/>
    <cellStyle name="Note 24 2" xfId="4563" xr:uid="{00000000-0005-0000-0000-0000A35A0000}"/>
    <cellStyle name="Note 24 2 2" xfId="12542" xr:uid="{00000000-0005-0000-0000-0000A45A0000}"/>
    <cellStyle name="Note 24 2 2 2" xfId="23830" xr:uid="{00000000-0005-0000-0000-0000A55A0000}"/>
    <cellStyle name="Note 24 2 3" xfId="10548" xr:uid="{00000000-0005-0000-0000-0000A65A0000}"/>
    <cellStyle name="Note 24 2 3 2" xfId="21836" xr:uid="{00000000-0005-0000-0000-0000A75A0000}"/>
    <cellStyle name="Note 24 2 4" xfId="8554" xr:uid="{00000000-0005-0000-0000-0000A85A0000}"/>
    <cellStyle name="Note 24 2 4 2" xfId="19842" xr:uid="{00000000-0005-0000-0000-0000A95A0000}"/>
    <cellStyle name="Note 24 2 5" xfId="6560" xr:uid="{00000000-0005-0000-0000-0000AA5A0000}"/>
    <cellStyle name="Note 24 2 5 2" xfId="17848" xr:uid="{00000000-0005-0000-0000-0000AB5A0000}"/>
    <cellStyle name="Note 24 2 6" xfId="15854" xr:uid="{00000000-0005-0000-0000-0000AC5A0000}"/>
    <cellStyle name="Note 24 3" xfId="11545" xr:uid="{00000000-0005-0000-0000-0000AD5A0000}"/>
    <cellStyle name="Note 24 3 2" xfId="22833" xr:uid="{00000000-0005-0000-0000-0000AE5A0000}"/>
    <cellStyle name="Note 24 4" xfId="9551" xr:uid="{00000000-0005-0000-0000-0000AF5A0000}"/>
    <cellStyle name="Note 24 4 2" xfId="20839" xr:uid="{00000000-0005-0000-0000-0000B05A0000}"/>
    <cellStyle name="Note 24 5" xfId="7557" xr:uid="{00000000-0005-0000-0000-0000B15A0000}"/>
    <cellStyle name="Note 24 5 2" xfId="18845" xr:uid="{00000000-0005-0000-0000-0000B25A0000}"/>
    <cellStyle name="Note 24 6" xfId="5563" xr:uid="{00000000-0005-0000-0000-0000B35A0000}"/>
    <cellStyle name="Note 24 6 2" xfId="16851" xr:uid="{00000000-0005-0000-0000-0000B45A0000}"/>
    <cellStyle name="Note 24 7" xfId="14857" xr:uid="{00000000-0005-0000-0000-0000B55A0000}"/>
    <cellStyle name="Note 24 8" xfId="13541" xr:uid="{00000000-0005-0000-0000-0000B65A0000}"/>
    <cellStyle name="Note 25" xfId="3330" xr:uid="{00000000-0005-0000-0000-0000B75A0000}"/>
    <cellStyle name="Note 25 2" xfId="4564" xr:uid="{00000000-0005-0000-0000-0000B85A0000}"/>
    <cellStyle name="Note 25 2 2" xfId="12543" xr:uid="{00000000-0005-0000-0000-0000B95A0000}"/>
    <cellStyle name="Note 25 2 2 2" xfId="23831" xr:uid="{00000000-0005-0000-0000-0000BA5A0000}"/>
    <cellStyle name="Note 25 2 3" xfId="10549" xr:uid="{00000000-0005-0000-0000-0000BB5A0000}"/>
    <cellStyle name="Note 25 2 3 2" xfId="21837" xr:uid="{00000000-0005-0000-0000-0000BC5A0000}"/>
    <cellStyle name="Note 25 2 4" xfId="8555" xr:uid="{00000000-0005-0000-0000-0000BD5A0000}"/>
    <cellStyle name="Note 25 2 4 2" xfId="19843" xr:uid="{00000000-0005-0000-0000-0000BE5A0000}"/>
    <cellStyle name="Note 25 2 5" xfId="6561" xr:uid="{00000000-0005-0000-0000-0000BF5A0000}"/>
    <cellStyle name="Note 25 2 5 2" xfId="17849" xr:uid="{00000000-0005-0000-0000-0000C05A0000}"/>
    <cellStyle name="Note 25 2 6" xfId="15855" xr:uid="{00000000-0005-0000-0000-0000C15A0000}"/>
    <cellStyle name="Note 25 3" xfId="11546" xr:uid="{00000000-0005-0000-0000-0000C25A0000}"/>
    <cellStyle name="Note 25 3 2" xfId="22834" xr:uid="{00000000-0005-0000-0000-0000C35A0000}"/>
    <cellStyle name="Note 25 4" xfId="9552" xr:uid="{00000000-0005-0000-0000-0000C45A0000}"/>
    <cellStyle name="Note 25 4 2" xfId="20840" xr:uid="{00000000-0005-0000-0000-0000C55A0000}"/>
    <cellStyle name="Note 25 5" xfId="7558" xr:uid="{00000000-0005-0000-0000-0000C65A0000}"/>
    <cellStyle name="Note 25 5 2" xfId="18846" xr:uid="{00000000-0005-0000-0000-0000C75A0000}"/>
    <cellStyle name="Note 25 6" xfId="5564" xr:uid="{00000000-0005-0000-0000-0000C85A0000}"/>
    <cellStyle name="Note 25 6 2" xfId="16852" xr:uid="{00000000-0005-0000-0000-0000C95A0000}"/>
    <cellStyle name="Note 25 7" xfId="14858" xr:uid="{00000000-0005-0000-0000-0000CA5A0000}"/>
    <cellStyle name="Note 25 8" xfId="13542" xr:uid="{00000000-0005-0000-0000-0000CB5A0000}"/>
    <cellStyle name="Note 26" xfId="3331" xr:uid="{00000000-0005-0000-0000-0000CC5A0000}"/>
    <cellStyle name="Note 26 2" xfId="4565" xr:uid="{00000000-0005-0000-0000-0000CD5A0000}"/>
    <cellStyle name="Note 26 2 2" xfId="12544" xr:uid="{00000000-0005-0000-0000-0000CE5A0000}"/>
    <cellStyle name="Note 26 2 2 2" xfId="23832" xr:uid="{00000000-0005-0000-0000-0000CF5A0000}"/>
    <cellStyle name="Note 26 2 3" xfId="10550" xr:uid="{00000000-0005-0000-0000-0000D05A0000}"/>
    <cellStyle name="Note 26 2 3 2" xfId="21838" xr:uid="{00000000-0005-0000-0000-0000D15A0000}"/>
    <cellStyle name="Note 26 2 4" xfId="8556" xr:uid="{00000000-0005-0000-0000-0000D25A0000}"/>
    <cellStyle name="Note 26 2 4 2" xfId="19844" xr:uid="{00000000-0005-0000-0000-0000D35A0000}"/>
    <cellStyle name="Note 26 2 5" xfId="6562" xr:uid="{00000000-0005-0000-0000-0000D45A0000}"/>
    <cellStyle name="Note 26 2 5 2" xfId="17850" xr:uid="{00000000-0005-0000-0000-0000D55A0000}"/>
    <cellStyle name="Note 26 2 6" xfId="15856" xr:uid="{00000000-0005-0000-0000-0000D65A0000}"/>
    <cellStyle name="Note 26 3" xfId="11547" xr:uid="{00000000-0005-0000-0000-0000D75A0000}"/>
    <cellStyle name="Note 26 3 2" xfId="22835" xr:uid="{00000000-0005-0000-0000-0000D85A0000}"/>
    <cellStyle name="Note 26 4" xfId="9553" xr:uid="{00000000-0005-0000-0000-0000D95A0000}"/>
    <cellStyle name="Note 26 4 2" xfId="20841" xr:uid="{00000000-0005-0000-0000-0000DA5A0000}"/>
    <cellStyle name="Note 26 5" xfId="7559" xr:uid="{00000000-0005-0000-0000-0000DB5A0000}"/>
    <cellStyle name="Note 26 5 2" xfId="18847" xr:uid="{00000000-0005-0000-0000-0000DC5A0000}"/>
    <cellStyle name="Note 26 6" xfId="5565" xr:uid="{00000000-0005-0000-0000-0000DD5A0000}"/>
    <cellStyle name="Note 26 6 2" xfId="16853" xr:uid="{00000000-0005-0000-0000-0000DE5A0000}"/>
    <cellStyle name="Note 26 7" xfId="14859" xr:uid="{00000000-0005-0000-0000-0000DF5A0000}"/>
    <cellStyle name="Note 26 8" xfId="13543" xr:uid="{00000000-0005-0000-0000-0000E05A0000}"/>
    <cellStyle name="Note 27" xfId="3332" xr:uid="{00000000-0005-0000-0000-0000E15A0000}"/>
    <cellStyle name="Note 27 2" xfId="4566" xr:uid="{00000000-0005-0000-0000-0000E25A0000}"/>
    <cellStyle name="Note 27 2 2" xfId="12545" xr:uid="{00000000-0005-0000-0000-0000E35A0000}"/>
    <cellStyle name="Note 27 2 2 2" xfId="23833" xr:uid="{00000000-0005-0000-0000-0000E45A0000}"/>
    <cellStyle name="Note 27 2 3" xfId="10551" xr:uid="{00000000-0005-0000-0000-0000E55A0000}"/>
    <cellStyle name="Note 27 2 3 2" xfId="21839" xr:uid="{00000000-0005-0000-0000-0000E65A0000}"/>
    <cellStyle name="Note 27 2 4" xfId="8557" xr:uid="{00000000-0005-0000-0000-0000E75A0000}"/>
    <cellStyle name="Note 27 2 4 2" xfId="19845" xr:uid="{00000000-0005-0000-0000-0000E85A0000}"/>
    <cellStyle name="Note 27 2 5" xfId="6563" xr:uid="{00000000-0005-0000-0000-0000E95A0000}"/>
    <cellStyle name="Note 27 2 5 2" xfId="17851" xr:uid="{00000000-0005-0000-0000-0000EA5A0000}"/>
    <cellStyle name="Note 27 2 6" xfId="15857" xr:uid="{00000000-0005-0000-0000-0000EB5A0000}"/>
    <cellStyle name="Note 27 3" xfId="11548" xr:uid="{00000000-0005-0000-0000-0000EC5A0000}"/>
    <cellStyle name="Note 27 3 2" xfId="22836" xr:uid="{00000000-0005-0000-0000-0000ED5A0000}"/>
    <cellStyle name="Note 27 4" xfId="9554" xr:uid="{00000000-0005-0000-0000-0000EE5A0000}"/>
    <cellStyle name="Note 27 4 2" xfId="20842" xr:uid="{00000000-0005-0000-0000-0000EF5A0000}"/>
    <cellStyle name="Note 27 5" xfId="7560" xr:uid="{00000000-0005-0000-0000-0000F05A0000}"/>
    <cellStyle name="Note 27 5 2" xfId="18848" xr:uid="{00000000-0005-0000-0000-0000F15A0000}"/>
    <cellStyle name="Note 27 6" xfId="5566" xr:uid="{00000000-0005-0000-0000-0000F25A0000}"/>
    <cellStyle name="Note 27 6 2" xfId="16854" xr:uid="{00000000-0005-0000-0000-0000F35A0000}"/>
    <cellStyle name="Note 27 7" xfId="14860" xr:uid="{00000000-0005-0000-0000-0000F45A0000}"/>
    <cellStyle name="Note 27 8" xfId="13544" xr:uid="{00000000-0005-0000-0000-0000F55A0000}"/>
    <cellStyle name="Note 28" xfId="3333" xr:uid="{00000000-0005-0000-0000-0000F65A0000}"/>
    <cellStyle name="Note 28 2" xfId="4567" xr:uid="{00000000-0005-0000-0000-0000F75A0000}"/>
    <cellStyle name="Note 28 2 2" xfId="12546" xr:uid="{00000000-0005-0000-0000-0000F85A0000}"/>
    <cellStyle name="Note 28 2 2 2" xfId="23834" xr:uid="{00000000-0005-0000-0000-0000F95A0000}"/>
    <cellStyle name="Note 28 2 3" xfId="10552" xr:uid="{00000000-0005-0000-0000-0000FA5A0000}"/>
    <cellStyle name="Note 28 2 3 2" xfId="21840" xr:uid="{00000000-0005-0000-0000-0000FB5A0000}"/>
    <cellStyle name="Note 28 2 4" xfId="8558" xr:uid="{00000000-0005-0000-0000-0000FC5A0000}"/>
    <cellStyle name="Note 28 2 4 2" xfId="19846" xr:uid="{00000000-0005-0000-0000-0000FD5A0000}"/>
    <cellStyle name="Note 28 2 5" xfId="6564" xr:uid="{00000000-0005-0000-0000-0000FE5A0000}"/>
    <cellStyle name="Note 28 2 5 2" xfId="17852" xr:uid="{00000000-0005-0000-0000-0000FF5A0000}"/>
    <cellStyle name="Note 28 2 6" xfId="15858" xr:uid="{00000000-0005-0000-0000-0000005B0000}"/>
    <cellStyle name="Note 28 3" xfId="11549" xr:uid="{00000000-0005-0000-0000-0000015B0000}"/>
    <cellStyle name="Note 28 3 2" xfId="22837" xr:uid="{00000000-0005-0000-0000-0000025B0000}"/>
    <cellStyle name="Note 28 4" xfId="9555" xr:uid="{00000000-0005-0000-0000-0000035B0000}"/>
    <cellStyle name="Note 28 4 2" xfId="20843" xr:uid="{00000000-0005-0000-0000-0000045B0000}"/>
    <cellStyle name="Note 28 5" xfId="7561" xr:uid="{00000000-0005-0000-0000-0000055B0000}"/>
    <cellStyle name="Note 28 5 2" xfId="18849" xr:uid="{00000000-0005-0000-0000-0000065B0000}"/>
    <cellStyle name="Note 28 6" xfId="5567" xr:uid="{00000000-0005-0000-0000-0000075B0000}"/>
    <cellStyle name="Note 28 6 2" xfId="16855" xr:uid="{00000000-0005-0000-0000-0000085B0000}"/>
    <cellStyle name="Note 28 7" xfId="14861" xr:uid="{00000000-0005-0000-0000-0000095B0000}"/>
    <cellStyle name="Note 28 8" xfId="13545" xr:uid="{00000000-0005-0000-0000-00000A5B0000}"/>
    <cellStyle name="Note 29" xfId="3334" xr:uid="{00000000-0005-0000-0000-00000B5B0000}"/>
    <cellStyle name="Note 29 2" xfId="4568" xr:uid="{00000000-0005-0000-0000-00000C5B0000}"/>
    <cellStyle name="Note 29 2 2" xfId="12547" xr:uid="{00000000-0005-0000-0000-00000D5B0000}"/>
    <cellStyle name="Note 29 2 2 2" xfId="23835" xr:uid="{00000000-0005-0000-0000-00000E5B0000}"/>
    <cellStyle name="Note 29 2 3" xfId="10553" xr:uid="{00000000-0005-0000-0000-00000F5B0000}"/>
    <cellStyle name="Note 29 2 3 2" xfId="21841" xr:uid="{00000000-0005-0000-0000-0000105B0000}"/>
    <cellStyle name="Note 29 2 4" xfId="8559" xr:uid="{00000000-0005-0000-0000-0000115B0000}"/>
    <cellStyle name="Note 29 2 4 2" xfId="19847" xr:uid="{00000000-0005-0000-0000-0000125B0000}"/>
    <cellStyle name="Note 29 2 5" xfId="6565" xr:uid="{00000000-0005-0000-0000-0000135B0000}"/>
    <cellStyle name="Note 29 2 5 2" xfId="17853" xr:uid="{00000000-0005-0000-0000-0000145B0000}"/>
    <cellStyle name="Note 29 2 6" xfId="15859" xr:uid="{00000000-0005-0000-0000-0000155B0000}"/>
    <cellStyle name="Note 29 3" xfId="11550" xr:uid="{00000000-0005-0000-0000-0000165B0000}"/>
    <cellStyle name="Note 29 3 2" xfId="22838" xr:uid="{00000000-0005-0000-0000-0000175B0000}"/>
    <cellStyle name="Note 29 4" xfId="9556" xr:uid="{00000000-0005-0000-0000-0000185B0000}"/>
    <cellStyle name="Note 29 4 2" xfId="20844" xr:uid="{00000000-0005-0000-0000-0000195B0000}"/>
    <cellStyle name="Note 29 5" xfId="7562" xr:uid="{00000000-0005-0000-0000-00001A5B0000}"/>
    <cellStyle name="Note 29 5 2" xfId="18850" xr:uid="{00000000-0005-0000-0000-00001B5B0000}"/>
    <cellStyle name="Note 29 6" xfId="5568" xr:uid="{00000000-0005-0000-0000-00001C5B0000}"/>
    <cellStyle name="Note 29 6 2" xfId="16856" xr:uid="{00000000-0005-0000-0000-00001D5B0000}"/>
    <cellStyle name="Note 29 7" xfId="14862" xr:uid="{00000000-0005-0000-0000-00001E5B0000}"/>
    <cellStyle name="Note 29 8" xfId="13546" xr:uid="{00000000-0005-0000-0000-00001F5B0000}"/>
    <cellStyle name="Note 3" xfId="3335" xr:uid="{00000000-0005-0000-0000-0000205B0000}"/>
    <cellStyle name="Note 3 10" xfId="25074" xr:uid="{00000000-0005-0000-0000-0000215B0000}"/>
    <cellStyle name="Note 3 10 2" xfId="25408" xr:uid="{00000000-0005-0000-0000-0000225B0000}"/>
    <cellStyle name="Note 3 10 2 2" xfId="27564" xr:uid="{00000000-0005-0000-0000-0000355B0000}"/>
    <cellStyle name="Note 3 10 2 3" xfId="26761" xr:uid="{00000000-0005-0000-0000-00007D5D0000}"/>
    <cellStyle name="Note 3 10 2 4" xfId="26425" xr:uid="{00000000-0005-0000-0000-0000355B0000}"/>
    <cellStyle name="Note 3 10 3" xfId="25678" xr:uid="{00000000-0005-0000-0000-0000235B0000}"/>
    <cellStyle name="Note 3 10 3 2" xfId="27833" xr:uid="{00000000-0005-0000-0000-0000365B0000}"/>
    <cellStyle name="Note 3 10 3 3" xfId="26237" xr:uid="{00000000-0005-0000-0000-00007E5D0000}"/>
    <cellStyle name="Note 3 10 3 4" xfId="26946" xr:uid="{00000000-0005-0000-0000-0000365B0000}"/>
    <cellStyle name="Note 3 10 4" xfId="27367" xr:uid="{00000000-0005-0000-0000-0000345B0000}"/>
    <cellStyle name="Note 3 10 5" xfId="26692" xr:uid="{00000000-0005-0000-0000-00007C5D0000}"/>
    <cellStyle name="Note 3 10 6" xfId="26709" xr:uid="{00000000-0005-0000-0000-0000345B0000}"/>
    <cellStyle name="Note 3 2" xfId="4569" xr:uid="{00000000-0005-0000-0000-0000245B0000}"/>
    <cellStyle name="Note 3 2 2" xfId="12548" xr:uid="{00000000-0005-0000-0000-0000255B0000}"/>
    <cellStyle name="Note 3 2 2 2" xfId="23836" xr:uid="{00000000-0005-0000-0000-0000265B0000}"/>
    <cellStyle name="Note 3 2 3" xfId="10554" xr:uid="{00000000-0005-0000-0000-0000275B0000}"/>
    <cellStyle name="Note 3 2 3 2" xfId="21842" xr:uid="{00000000-0005-0000-0000-0000285B0000}"/>
    <cellStyle name="Note 3 2 4" xfId="8560" xr:uid="{00000000-0005-0000-0000-0000295B0000}"/>
    <cellStyle name="Note 3 2 4 2" xfId="19848" xr:uid="{00000000-0005-0000-0000-00002A5B0000}"/>
    <cellStyle name="Note 3 2 5" xfId="6566" xr:uid="{00000000-0005-0000-0000-00002B5B0000}"/>
    <cellStyle name="Note 3 2 5 2" xfId="17854" xr:uid="{00000000-0005-0000-0000-00002C5B0000}"/>
    <cellStyle name="Note 3 2 6" xfId="15860" xr:uid="{00000000-0005-0000-0000-00002D5B0000}"/>
    <cellStyle name="Note 3 2 7" xfId="24191" xr:uid="{00000000-0005-0000-0000-00002E5B0000}"/>
    <cellStyle name="Note 3 2 7 2" xfId="25427" xr:uid="{00000000-0005-0000-0000-00002F5B0000}"/>
    <cellStyle name="Note 3 2 7 2 2" xfId="27583" xr:uid="{00000000-0005-0000-0000-0000425B0000}"/>
    <cellStyle name="Note 3 2 7 2 3" xfId="26939" xr:uid="{00000000-0005-0000-0000-00008A5D0000}"/>
    <cellStyle name="Note 3 2 7 2 4" xfId="26808" xr:uid="{00000000-0005-0000-0000-0000425B0000}"/>
    <cellStyle name="Note 3 2 7 3" xfId="25566" xr:uid="{00000000-0005-0000-0000-0000305B0000}"/>
    <cellStyle name="Note 3 2 7 3 2" xfId="27721" xr:uid="{00000000-0005-0000-0000-0000435B0000}"/>
    <cellStyle name="Note 3 2 7 3 3" xfId="26413" xr:uid="{00000000-0005-0000-0000-00008B5D0000}"/>
    <cellStyle name="Note 3 2 7 3 4" xfId="26972" xr:uid="{00000000-0005-0000-0000-0000435B0000}"/>
    <cellStyle name="Note 3 2 7 4" xfId="27093" xr:uid="{00000000-0005-0000-0000-0000415B0000}"/>
    <cellStyle name="Note 3 2 7 5" xfId="26347" xr:uid="{00000000-0005-0000-0000-0000895D0000}"/>
    <cellStyle name="Note 3 2 7 6" xfId="26211" xr:uid="{00000000-0005-0000-0000-0000415B0000}"/>
    <cellStyle name="Note 3 2 8" xfId="25075" xr:uid="{00000000-0005-0000-0000-0000315B0000}"/>
    <cellStyle name="Note 3 2 8 2" xfId="25321" xr:uid="{00000000-0005-0000-0000-0000325B0000}"/>
    <cellStyle name="Note 3 2 8 2 2" xfId="27477" xr:uid="{00000000-0005-0000-0000-0000455B0000}"/>
    <cellStyle name="Note 3 2 8 2 3" xfId="26489" xr:uid="{00000000-0005-0000-0000-00008D5D0000}"/>
    <cellStyle name="Note 3 2 8 2 4" xfId="26932" xr:uid="{00000000-0005-0000-0000-0000455B0000}"/>
    <cellStyle name="Note 3 2 8 3" xfId="25679" xr:uid="{00000000-0005-0000-0000-0000335B0000}"/>
    <cellStyle name="Note 3 2 8 3 2" xfId="27834" xr:uid="{00000000-0005-0000-0000-0000465B0000}"/>
    <cellStyle name="Note 3 2 8 3 3" xfId="26204" xr:uid="{00000000-0005-0000-0000-00008E5D0000}"/>
    <cellStyle name="Note 3 2 8 3 4" xfId="26133" xr:uid="{00000000-0005-0000-0000-0000465B0000}"/>
    <cellStyle name="Note 3 2 8 4" xfId="27368" xr:uid="{00000000-0005-0000-0000-0000445B0000}"/>
    <cellStyle name="Note 3 2 8 5" xfId="26996" xr:uid="{00000000-0005-0000-0000-00008C5D0000}"/>
    <cellStyle name="Note 3 2 8 6" xfId="26792" xr:uid="{00000000-0005-0000-0000-0000445B0000}"/>
    <cellStyle name="Note 3 3" xfId="11551" xr:uid="{00000000-0005-0000-0000-0000345B0000}"/>
    <cellStyle name="Note 3 3 2" xfId="22839" xr:uid="{00000000-0005-0000-0000-0000355B0000}"/>
    <cellStyle name="Note 3 4" xfId="9557" xr:uid="{00000000-0005-0000-0000-0000365B0000}"/>
    <cellStyle name="Note 3 4 2" xfId="20845" xr:uid="{00000000-0005-0000-0000-0000375B0000}"/>
    <cellStyle name="Note 3 5" xfId="7563" xr:uid="{00000000-0005-0000-0000-0000385B0000}"/>
    <cellStyle name="Note 3 5 2" xfId="18851" xr:uid="{00000000-0005-0000-0000-0000395B0000}"/>
    <cellStyle name="Note 3 6" xfId="5569" xr:uid="{00000000-0005-0000-0000-00003A5B0000}"/>
    <cellStyle name="Note 3 6 2" xfId="16857" xr:uid="{00000000-0005-0000-0000-00003B5B0000}"/>
    <cellStyle name="Note 3 7" xfId="14863" xr:uid="{00000000-0005-0000-0000-00003C5B0000}"/>
    <cellStyle name="Note 3 8" xfId="13547" xr:uid="{00000000-0005-0000-0000-00003D5B0000}"/>
    <cellStyle name="Note 3 9" xfId="24190" xr:uid="{00000000-0005-0000-0000-00003E5B0000}"/>
    <cellStyle name="Note 3 9 2" xfId="25326" xr:uid="{00000000-0005-0000-0000-00003F5B0000}"/>
    <cellStyle name="Note 3 9 2 2" xfId="27482" xr:uid="{00000000-0005-0000-0000-0000525B0000}"/>
    <cellStyle name="Note 3 9 2 3" xfId="26726" xr:uid="{00000000-0005-0000-0000-00009A5D0000}"/>
    <cellStyle name="Note 3 9 2 4" xfId="26219" xr:uid="{00000000-0005-0000-0000-0000525B0000}"/>
    <cellStyle name="Note 3 9 3" xfId="25565" xr:uid="{00000000-0005-0000-0000-0000405B0000}"/>
    <cellStyle name="Note 3 9 3 2" xfId="27720" xr:uid="{00000000-0005-0000-0000-0000535B0000}"/>
    <cellStyle name="Note 3 9 3 3" xfId="26803" xr:uid="{00000000-0005-0000-0000-00009B5D0000}"/>
    <cellStyle name="Note 3 9 3 4" xfId="26744" xr:uid="{00000000-0005-0000-0000-0000535B0000}"/>
    <cellStyle name="Note 3 9 4" xfId="27092" xr:uid="{00000000-0005-0000-0000-0000515B0000}"/>
    <cellStyle name="Note 3 9 5" xfId="26450" xr:uid="{00000000-0005-0000-0000-0000995D0000}"/>
    <cellStyle name="Note 3 9 6" xfId="26265" xr:uid="{00000000-0005-0000-0000-0000515B0000}"/>
    <cellStyle name="Note 30" xfId="3336" xr:uid="{00000000-0005-0000-0000-0000415B0000}"/>
    <cellStyle name="Note 30 2" xfId="4570" xr:uid="{00000000-0005-0000-0000-0000425B0000}"/>
    <cellStyle name="Note 30 2 2" xfId="12549" xr:uid="{00000000-0005-0000-0000-0000435B0000}"/>
    <cellStyle name="Note 30 2 2 2" xfId="23837" xr:uid="{00000000-0005-0000-0000-0000445B0000}"/>
    <cellStyle name="Note 30 2 3" xfId="10555" xr:uid="{00000000-0005-0000-0000-0000455B0000}"/>
    <cellStyle name="Note 30 2 3 2" xfId="21843" xr:uid="{00000000-0005-0000-0000-0000465B0000}"/>
    <cellStyle name="Note 30 2 4" xfId="8561" xr:uid="{00000000-0005-0000-0000-0000475B0000}"/>
    <cellStyle name="Note 30 2 4 2" xfId="19849" xr:uid="{00000000-0005-0000-0000-0000485B0000}"/>
    <cellStyle name="Note 30 2 5" xfId="6567" xr:uid="{00000000-0005-0000-0000-0000495B0000}"/>
    <cellStyle name="Note 30 2 5 2" xfId="17855" xr:uid="{00000000-0005-0000-0000-00004A5B0000}"/>
    <cellStyle name="Note 30 2 6" xfId="15861" xr:uid="{00000000-0005-0000-0000-00004B5B0000}"/>
    <cellStyle name="Note 30 3" xfId="11552" xr:uid="{00000000-0005-0000-0000-00004C5B0000}"/>
    <cellStyle name="Note 30 3 2" xfId="22840" xr:uid="{00000000-0005-0000-0000-00004D5B0000}"/>
    <cellStyle name="Note 30 4" xfId="9558" xr:uid="{00000000-0005-0000-0000-00004E5B0000}"/>
    <cellStyle name="Note 30 4 2" xfId="20846" xr:uid="{00000000-0005-0000-0000-00004F5B0000}"/>
    <cellStyle name="Note 30 5" xfId="7564" xr:uid="{00000000-0005-0000-0000-0000505B0000}"/>
    <cellStyle name="Note 30 5 2" xfId="18852" xr:uid="{00000000-0005-0000-0000-0000515B0000}"/>
    <cellStyle name="Note 30 6" xfId="5570" xr:uid="{00000000-0005-0000-0000-0000525B0000}"/>
    <cellStyle name="Note 30 6 2" xfId="16858" xr:uid="{00000000-0005-0000-0000-0000535B0000}"/>
    <cellStyle name="Note 30 7" xfId="14864" xr:uid="{00000000-0005-0000-0000-0000545B0000}"/>
    <cellStyle name="Note 30 8" xfId="13548" xr:uid="{00000000-0005-0000-0000-0000555B0000}"/>
    <cellStyle name="Note 31" xfId="3337" xr:uid="{00000000-0005-0000-0000-0000565B0000}"/>
    <cellStyle name="Note 31 2" xfId="4571" xr:uid="{00000000-0005-0000-0000-0000575B0000}"/>
    <cellStyle name="Note 31 2 2" xfId="12550" xr:uid="{00000000-0005-0000-0000-0000585B0000}"/>
    <cellStyle name="Note 31 2 2 2" xfId="23838" xr:uid="{00000000-0005-0000-0000-0000595B0000}"/>
    <cellStyle name="Note 31 2 3" xfId="10556" xr:uid="{00000000-0005-0000-0000-00005A5B0000}"/>
    <cellStyle name="Note 31 2 3 2" xfId="21844" xr:uid="{00000000-0005-0000-0000-00005B5B0000}"/>
    <cellStyle name="Note 31 2 4" xfId="8562" xr:uid="{00000000-0005-0000-0000-00005C5B0000}"/>
    <cellStyle name="Note 31 2 4 2" xfId="19850" xr:uid="{00000000-0005-0000-0000-00005D5B0000}"/>
    <cellStyle name="Note 31 2 5" xfId="6568" xr:uid="{00000000-0005-0000-0000-00005E5B0000}"/>
    <cellStyle name="Note 31 2 5 2" xfId="17856" xr:uid="{00000000-0005-0000-0000-00005F5B0000}"/>
    <cellStyle name="Note 31 2 6" xfId="15862" xr:uid="{00000000-0005-0000-0000-0000605B0000}"/>
    <cellStyle name="Note 31 3" xfId="11553" xr:uid="{00000000-0005-0000-0000-0000615B0000}"/>
    <cellStyle name="Note 31 3 2" xfId="22841" xr:uid="{00000000-0005-0000-0000-0000625B0000}"/>
    <cellStyle name="Note 31 4" xfId="9559" xr:uid="{00000000-0005-0000-0000-0000635B0000}"/>
    <cellStyle name="Note 31 4 2" xfId="20847" xr:uid="{00000000-0005-0000-0000-0000645B0000}"/>
    <cellStyle name="Note 31 5" xfId="7565" xr:uid="{00000000-0005-0000-0000-0000655B0000}"/>
    <cellStyle name="Note 31 5 2" xfId="18853" xr:uid="{00000000-0005-0000-0000-0000665B0000}"/>
    <cellStyle name="Note 31 6" xfId="5571" xr:uid="{00000000-0005-0000-0000-0000675B0000}"/>
    <cellStyle name="Note 31 6 2" xfId="16859" xr:uid="{00000000-0005-0000-0000-0000685B0000}"/>
    <cellStyle name="Note 31 7" xfId="14865" xr:uid="{00000000-0005-0000-0000-0000695B0000}"/>
    <cellStyle name="Note 31 8" xfId="13549" xr:uid="{00000000-0005-0000-0000-00006A5B0000}"/>
    <cellStyle name="Note 32" xfId="3338" xr:uid="{00000000-0005-0000-0000-00006B5B0000}"/>
    <cellStyle name="Note 32 2" xfId="4572" xr:uid="{00000000-0005-0000-0000-00006C5B0000}"/>
    <cellStyle name="Note 32 2 2" xfId="12551" xr:uid="{00000000-0005-0000-0000-00006D5B0000}"/>
    <cellStyle name="Note 32 2 2 2" xfId="23839" xr:uid="{00000000-0005-0000-0000-00006E5B0000}"/>
    <cellStyle name="Note 32 2 3" xfId="10557" xr:uid="{00000000-0005-0000-0000-00006F5B0000}"/>
    <cellStyle name="Note 32 2 3 2" xfId="21845" xr:uid="{00000000-0005-0000-0000-0000705B0000}"/>
    <cellStyle name="Note 32 2 4" xfId="8563" xr:uid="{00000000-0005-0000-0000-0000715B0000}"/>
    <cellStyle name="Note 32 2 4 2" xfId="19851" xr:uid="{00000000-0005-0000-0000-0000725B0000}"/>
    <cellStyle name="Note 32 2 5" xfId="6569" xr:uid="{00000000-0005-0000-0000-0000735B0000}"/>
    <cellStyle name="Note 32 2 5 2" xfId="17857" xr:uid="{00000000-0005-0000-0000-0000745B0000}"/>
    <cellStyle name="Note 32 2 6" xfId="15863" xr:uid="{00000000-0005-0000-0000-0000755B0000}"/>
    <cellStyle name="Note 32 3" xfId="11554" xr:uid="{00000000-0005-0000-0000-0000765B0000}"/>
    <cellStyle name="Note 32 3 2" xfId="22842" xr:uid="{00000000-0005-0000-0000-0000775B0000}"/>
    <cellStyle name="Note 32 4" xfId="9560" xr:uid="{00000000-0005-0000-0000-0000785B0000}"/>
    <cellStyle name="Note 32 4 2" xfId="20848" xr:uid="{00000000-0005-0000-0000-0000795B0000}"/>
    <cellStyle name="Note 32 5" xfId="7566" xr:uid="{00000000-0005-0000-0000-00007A5B0000}"/>
    <cellStyle name="Note 32 5 2" xfId="18854" xr:uid="{00000000-0005-0000-0000-00007B5B0000}"/>
    <cellStyle name="Note 32 6" xfId="5572" xr:uid="{00000000-0005-0000-0000-00007C5B0000}"/>
    <cellStyle name="Note 32 6 2" xfId="16860" xr:uid="{00000000-0005-0000-0000-00007D5B0000}"/>
    <cellStyle name="Note 32 7" xfId="14866" xr:uid="{00000000-0005-0000-0000-00007E5B0000}"/>
    <cellStyle name="Note 32 8" xfId="13550" xr:uid="{00000000-0005-0000-0000-00007F5B0000}"/>
    <cellStyle name="Note 33" xfId="3339" xr:uid="{00000000-0005-0000-0000-0000805B0000}"/>
    <cellStyle name="Note 33 2" xfId="4573" xr:uid="{00000000-0005-0000-0000-0000815B0000}"/>
    <cellStyle name="Note 33 2 2" xfId="12552" xr:uid="{00000000-0005-0000-0000-0000825B0000}"/>
    <cellStyle name="Note 33 2 2 2" xfId="23840" xr:uid="{00000000-0005-0000-0000-0000835B0000}"/>
    <cellStyle name="Note 33 2 3" xfId="10558" xr:uid="{00000000-0005-0000-0000-0000845B0000}"/>
    <cellStyle name="Note 33 2 3 2" xfId="21846" xr:uid="{00000000-0005-0000-0000-0000855B0000}"/>
    <cellStyle name="Note 33 2 4" xfId="8564" xr:uid="{00000000-0005-0000-0000-0000865B0000}"/>
    <cellStyle name="Note 33 2 4 2" xfId="19852" xr:uid="{00000000-0005-0000-0000-0000875B0000}"/>
    <cellStyle name="Note 33 2 5" xfId="6570" xr:uid="{00000000-0005-0000-0000-0000885B0000}"/>
    <cellStyle name="Note 33 2 5 2" xfId="17858" xr:uid="{00000000-0005-0000-0000-0000895B0000}"/>
    <cellStyle name="Note 33 2 6" xfId="15864" xr:uid="{00000000-0005-0000-0000-00008A5B0000}"/>
    <cellStyle name="Note 33 3" xfId="11555" xr:uid="{00000000-0005-0000-0000-00008B5B0000}"/>
    <cellStyle name="Note 33 3 2" xfId="22843" xr:uid="{00000000-0005-0000-0000-00008C5B0000}"/>
    <cellStyle name="Note 33 4" xfId="9561" xr:uid="{00000000-0005-0000-0000-00008D5B0000}"/>
    <cellStyle name="Note 33 4 2" xfId="20849" xr:uid="{00000000-0005-0000-0000-00008E5B0000}"/>
    <cellStyle name="Note 33 5" xfId="7567" xr:uid="{00000000-0005-0000-0000-00008F5B0000}"/>
    <cellStyle name="Note 33 5 2" xfId="18855" xr:uid="{00000000-0005-0000-0000-0000905B0000}"/>
    <cellStyle name="Note 33 6" xfId="5573" xr:uid="{00000000-0005-0000-0000-0000915B0000}"/>
    <cellStyle name="Note 33 6 2" xfId="16861" xr:uid="{00000000-0005-0000-0000-0000925B0000}"/>
    <cellStyle name="Note 33 7" xfId="14867" xr:uid="{00000000-0005-0000-0000-0000935B0000}"/>
    <cellStyle name="Note 33 8" xfId="13551" xr:uid="{00000000-0005-0000-0000-0000945B0000}"/>
    <cellStyle name="Note 34" xfId="3340" xr:uid="{00000000-0005-0000-0000-0000955B0000}"/>
    <cellStyle name="Note 34 2" xfId="4574" xr:uid="{00000000-0005-0000-0000-0000965B0000}"/>
    <cellStyle name="Note 34 2 2" xfId="12553" xr:uid="{00000000-0005-0000-0000-0000975B0000}"/>
    <cellStyle name="Note 34 2 2 2" xfId="23841" xr:uid="{00000000-0005-0000-0000-0000985B0000}"/>
    <cellStyle name="Note 34 2 3" xfId="10559" xr:uid="{00000000-0005-0000-0000-0000995B0000}"/>
    <cellStyle name="Note 34 2 3 2" xfId="21847" xr:uid="{00000000-0005-0000-0000-00009A5B0000}"/>
    <cellStyle name="Note 34 2 4" xfId="8565" xr:uid="{00000000-0005-0000-0000-00009B5B0000}"/>
    <cellStyle name="Note 34 2 4 2" xfId="19853" xr:uid="{00000000-0005-0000-0000-00009C5B0000}"/>
    <cellStyle name="Note 34 2 5" xfId="6571" xr:uid="{00000000-0005-0000-0000-00009D5B0000}"/>
    <cellStyle name="Note 34 2 5 2" xfId="17859" xr:uid="{00000000-0005-0000-0000-00009E5B0000}"/>
    <cellStyle name="Note 34 2 6" xfId="15865" xr:uid="{00000000-0005-0000-0000-00009F5B0000}"/>
    <cellStyle name="Note 34 3" xfId="11556" xr:uid="{00000000-0005-0000-0000-0000A05B0000}"/>
    <cellStyle name="Note 34 3 2" xfId="22844" xr:uid="{00000000-0005-0000-0000-0000A15B0000}"/>
    <cellStyle name="Note 34 4" xfId="9562" xr:uid="{00000000-0005-0000-0000-0000A25B0000}"/>
    <cellStyle name="Note 34 4 2" xfId="20850" xr:uid="{00000000-0005-0000-0000-0000A35B0000}"/>
    <cellStyle name="Note 34 5" xfId="7568" xr:uid="{00000000-0005-0000-0000-0000A45B0000}"/>
    <cellStyle name="Note 34 5 2" xfId="18856" xr:uid="{00000000-0005-0000-0000-0000A55B0000}"/>
    <cellStyle name="Note 34 6" xfId="5574" xr:uid="{00000000-0005-0000-0000-0000A65B0000}"/>
    <cellStyle name="Note 34 6 2" xfId="16862" xr:uid="{00000000-0005-0000-0000-0000A75B0000}"/>
    <cellStyle name="Note 34 7" xfId="14868" xr:uid="{00000000-0005-0000-0000-0000A85B0000}"/>
    <cellStyle name="Note 34 8" xfId="13552" xr:uid="{00000000-0005-0000-0000-0000A95B0000}"/>
    <cellStyle name="Note 35" xfId="3341" xr:uid="{00000000-0005-0000-0000-0000AA5B0000}"/>
    <cellStyle name="Note 35 2" xfId="4575" xr:uid="{00000000-0005-0000-0000-0000AB5B0000}"/>
    <cellStyle name="Note 35 2 2" xfId="12554" xr:uid="{00000000-0005-0000-0000-0000AC5B0000}"/>
    <cellStyle name="Note 35 2 2 2" xfId="23842" xr:uid="{00000000-0005-0000-0000-0000AD5B0000}"/>
    <cellStyle name="Note 35 2 3" xfId="10560" xr:uid="{00000000-0005-0000-0000-0000AE5B0000}"/>
    <cellStyle name="Note 35 2 3 2" xfId="21848" xr:uid="{00000000-0005-0000-0000-0000AF5B0000}"/>
    <cellStyle name="Note 35 2 4" xfId="8566" xr:uid="{00000000-0005-0000-0000-0000B05B0000}"/>
    <cellStyle name="Note 35 2 4 2" xfId="19854" xr:uid="{00000000-0005-0000-0000-0000B15B0000}"/>
    <cellStyle name="Note 35 2 5" xfId="6572" xr:uid="{00000000-0005-0000-0000-0000B25B0000}"/>
    <cellStyle name="Note 35 2 5 2" xfId="17860" xr:uid="{00000000-0005-0000-0000-0000B35B0000}"/>
    <cellStyle name="Note 35 2 6" xfId="15866" xr:uid="{00000000-0005-0000-0000-0000B45B0000}"/>
    <cellStyle name="Note 35 3" xfId="11557" xr:uid="{00000000-0005-0000-0000-0000B55B0000}"/>
    <cellStyle name="Note 35 3 2" xfId="22845" xr:uid="{00000000-0005-0000-0000-0000B65B0000}"/>
    <cellStyle name="Note 35 4" xfId="9563" xr:uid="{00000000-0005-0000-0000-0000B75B0000}"/>
    <cellStyle name="Note 35 4 2" xfId="20851" xr:uid="{00000000-0005-0000-0000-0000B85B0000}"/>
    <cellStyle name="Note 35 5" xfId="7569" xr:uid="{00000000-0005-0000-0000-0000B95B0000}"/>
    <cellStyle name="Note 35 5 2" xfId="18857" xr:uid="{00000000-0005-0000-0000-0000BA5B0000}"/>
    <cellStyle name="Note 35 6" xfId="5575" xr:uid="{00000000-0005-0000-0000-0000BB5B0000}"/>
    <cellStyle name="Note 35 6 2" xfId="16863" xr:uid="{00000000-0005-0000-0000-0000BC5B0000}"/>
    <cellStyle name="Note 35 7" xfId="14869" xr:uid="{00000000-0005-0000-0000-0000BD5B0000}"/>
    <cellStyle name="Note 35 8" xfId="13553" xr:uid="{00000000-0005-0000-0000-0000BE5B0000}"/>
    <cellStyle name="Note 36" xfId="3342" xr:uid="{00000000-0005-0000-0000-0000BF5B0000}"/>
    <cellStyle name="Note 36 2" xfId="4576" xr:uid="{00000000-0005-0000-0000-0000C05B0000}"/>
    <cellStyle name="Note 36 2 2" xfId="12555" xr:uid="{00000000-0005-0000-0000-0000C15B0000}"/>
    <cellStyle name="Note 36 2 2 2" xfId="23843" xr:uid="{00000000-0005-0000-0000-0000C25B0000}"/>
    <cellStyle name="Note 36 2 3" xfId="10561" xr:uid="{00000000-0005-0000-0000-0000C35B0000}"/>
    <cellStyle name="Note 36 2 3 2" xfId="21849" xr:uid="{00000000-0005-0000-0000-0000C45B0000}"/>
    <cellStyle name="Note 36 2 4" xfId="8567" xr:uid="{00000000-0005-0000-0000-0000C55B0000}"/>
    <cellStyle name="Note 36 2 4 2" xfId="19855" xr:uid="{00000000-0005-0000-0000-0000C65B0000}"/>
    <cellStyle name="Note 36 2 5" xfId="6573" xr:uid="{00000000-0005-0000-0000-0000C75B0000}"/>
    <cellStyle name="Note 36 2 5 2" xfId="17861" xr:uid="{00000000-0005-0000-0000-0000C85B0000}"/>
    <cellStyle name="Note 36 2 6" xfId="15867" xr:uid="{00000000-0005-0000-0000-0000C95B0000}"/>
    <cellStyle name="Note 36 3" xfId="11558" xr:uid="{00000000-0005-0000-0000-0000CA5B0000}"/>
    <cellStyle name="Note 36 3 2" xfId="22846" xr:uid="{00000000-0005-0000-0000-0000CB5B0000}"/>
    <cellStyle name="Note 36 4" xfId="9564" xr:uid="{00000000-0005-0000-0000-0000CC5B0000}"/>
    <cellStyle name="Note 36 4 2" xfId="20852" xr:uid="{00000000-0005-0000-0000-0000CD5B0000}"/>
    <cellStyle name="Note 36 5" xfId="7570" xr:uid="{00000000-0005-0000-0000-0000CE5B0000}"/>
    <cellStyle name="Note 36 5 2" xfId="18858" xr:uid="{00000000-0005-0000-0000-0000CF5B0000}"/>
    <cellStyle name="Note 36 6" xfId="5576" xr:uid="{00000000-0005-0000-0000-0000D05B0000}"/>
    <cellStyle name="Note 36 6 2" xfId="16864" xr:uid="{00000000-0005-0000-0000-0000D15B0000}"/>
    <cellStyle name="Note 36 7" xfId="14870" xr:uid="{00000000-0005-0000-0000-0000D25B0000}"/>
    <cellStyle name="Note 36 8" xfId="13554" xr:uid="{00000000-0005-0000-0000-0000D35B0000}"/>
    <cellStyle name="Note 37" xfId="3343" xr:uid="{00000000-0005-0000-0000-0000D45B0000}"/>
    <cellStyle name="Note 37 2" xfId="4577" xr:uid="{00000000-0005-0000-0000-0000D55B0000}"/>
    <cellStyle name="Note 37 2 2" xfId="12556" xr:uid="{00000000-0005-0000-0000-0000D65B0000}"/>
    <cellStyle name="Note 37 2 2 2" xfId="23844" xr:uid="{00000000-0005-0000-0000-0000D75B0000}"/>
    <cellStyle name="Note 37 2 3" xfId="10562" xr:uid="{00000000-0005-0000-0000-0000D85B0000}"/>
    <cellStyle name="Note 37 2 3 2" xfId="21850" xr:uid="{00000000-0005-0000-0000-0000D95B0000}"/>
    <cellStyle name="Note 37 2 4" xfId="8568" xr:uid="{00000000-0005-0000-0000-0000DA5B0000}"/>
    <cellStyle name="Note 37 2 4 2" xfId="19856" xr:uid="{00000000-0005-0000-0000-0000DB5B0000}"/>
    <cellStyle name="Note 37 2 5" xfId="6574" xr:uid="{00000000-0005-0000-0000-0000DC5B0000}"/>
    <cellStyle name="Note 37 2 5 2" xfId="17862" xr:uid="{00000000-0005-0000-0000-0000DD5B0000}"/>
    <cellStyle name="Note 37 2 6" xfId="15868" xr:uid="{00000000-0005-0000-0000-0000DE5B0000}"/>
    <cellStyle name="Note 37 3" xfId="11559" xr:uid="{00000000-0005-0000-0000-0000DF5B0000}"/>
    <cellStyle name="Note 37 3 2" xfId="22847" xr:uid="{00000000-0005-0000-0000-0000E05B0000}"/>
    <cellStyle name="Note 37 4" xfId="9565" xr:uid="{00000000-0005-0000-0000-0000E15B0000}"/>
    <cellStyle name="Note 37 4 2" xfId="20853" xr:uid="{00000000-0005-0000-0000-0000E25B0000}"/>
    <cellStyle name="Note 37 5" xfId="7571" xr:uid="{00000000-0005-0000-0000-0000E35B0000}"/>
    <cellStyle name="Note 37 5 2" xfId="18859" xr:uid="{00000000-0005-0000-0000-0000E45B0000}"/>
    <cellStyle name="Note 37 6" xfId="5577" xr:uid="{00000000-0005-0000-0000-0000E55B0000}"/>
    <cellStyle name="Note 37 6 2" xfId="16865" xr:uid="{00000000-0005-0000-0000-0000E65B0000}"/>
    <cellStyle name="Note 37 7" xfId="14871" xr:uid="{00000000-0005-0000-0000-0000E75B0000}"/>
    <cellStyle name="Note 37 8" xfId="13555" xr:uid="{00000000-0005-0000-0000-0000E85B0000}"/>
    <cellStyle name="Note 38" xfId="3344" xr:uid="{00000000-0005-0000-0000-0000E95B0000}"/>
    <cellStyle name="Note 38 2" xfId="4578" xr:uid="{00000000-0005-0000-0000-0000EA5B0000}"/>
    <cellStyle name="Note 38 2 2" xfId="12557" xr:uid="{00000000-0005-0000-0000-0000EB5B0000}"/>
    <cellStyle name="Note 38 2 2 2" xfId="23845" xr:uid="{00000000-0005-0000-0000-0000EC5B0000}"/>
    <cellStyle name="Note 38 2 3" xfId="10563" xr:uid="{00000000-0005-0000-0000-0000ED5B0000}"/>
    <cellStyle name="Note 38 2 3 2" xfId="21851" xr:uid="{00000000-0005-0000-0000-0000EE5B0000}"/>
    <cellStyle name="Note 38 2 4" xfId="8569" xr:uid="{00000000-0005-0000-0000-0000EF5B0000}"/>
    <cellStyle name="Note 38 2 4 2" xfId="19857" xr:uid="{00000000-0005-0000-0000-0000F05B0000}"/>
    <cellStyle name="Note 38 2 5" xfId="6575" xr:uid="{00000000-0005-0000-0000-0000F15B0000}"/>
    <cellStyle name="Note 38 2 5 2" xfId="17863" xr:uid="{00000000-0005-0000-0000-0000F25B0000}"/>
    <cellStyle name="Note 38 2 6" xfId="15869" xr:uid="{00000000-0005-0000-0000-0000F35B0000}"/>
    <cellStyle name="Note 38 3" xfId="11560" xr:uid="{00000000-0005-0000-0000-0000F45B0000}"/>
    <cellStyle name="Note 38 3 2" xfId="22848" xr:uid="{00000000-0005-0000-0000-0000F55B0000}"/>
    <cellStyle name="Note 38 4" xfId="9566" xr:uid="{00000000-0005-0000-0000-0000F65B0000}"/>
    <cellStyle name="Note 38 4 2" xfId="20854" xr:uid="{00000000-0005-0000-0000-0000F75B0000}"/>
    <cellStyle name="Note 38 5" xfId="7572" xr:uid="{00000000-0005-0000-0000-0000F85B0000}"/>
    <cellStyle name="Note 38 5 2" xfId="18860" xr:uid="{00000000-0005-0000-0000-0000F95B0000}"/>
    <cellStyle name="Note 38 6" xfId="5578" xr:uid="{00000000-0005-0000-0000-0000FA5B0000}"/>
    <cellStyle name="Note 38 6 2" xfId="16866" xr:uid="{00000000-0005-0000-0000-0000FB5B0000}"/>
    <cellStyle name="Note 38 7" xfId="14872" xr:uid="{00000000-0005-0000-0000-0000FC5B0000}"/>
    <cellStyle name="Note 38 8" xfId="13556" xr:uid="{00000000-0005-0000-0000-0000FD5B0000}"/>
    <cellStyle name="Note 39" xfId="3345" xr:uid="{00000000-0005-0000-0000-0000FE5B0000}"/>
    <cellStyle name="Note 39 2" xfId="4579" xr:uid="{00000000-0005-0000-0000-0000FF5B0000}"/>
    <cellStyle name="Note 39 2 2" xfId="12558" xr:uid="{00000000-0005-0000-0000-0000005C0000}"/>
    <cellStyle name="Note 39 2 2 2" xfId="23846" xr:uid="{00000000-0005-0000-0000-0000015C0000}"/>
    <cellStyle name="Note 39 2 3" xfId="10564" xr:uid="{00000000-0005-0000-0000-0000025C0000}"/>
    <cellStyle name="Note 39 2 3 2" xfId="21852" xr:uid="{00000000-0005-0000-0000-0000035C0000}"/>
    <cellStyle name="Note 39 2 4" xfId="8570" xr:uid="{00000000-0005-0000-0000-0000045C0000}"/>
    <cellStyle name="Note 39 2 4 2" xfId="19858" xr:uid="{00000000-0005-0000-0000-0000055C0000}"/>
    <cellStyle name="Note 39 2 5" xfId="6576" xr:uid="{00000000-0005-0000-0000-0000065C0000}"/>
    <cellStyle name="Note 39 2 5 2" xfId="17864" xr:uid="{00000000-0005-0000-0000-0000075C0000}"/>
    <cellStyle name="Note 39 2 6" xfId="15870" xr:uid="{00000000-0005-0000-0000-0000085C0000}"/>
    <cellStyle name="Note 39 3" xfId="11561" xr:uid="{00000000-0005-0000-0000-0000095C0000}"/>
    <cellStyle name="Note 39 3 2" xfId="22849" xr:uid="{00000000-0005-0000-0000-00000A5C0000}"/>
    <cellStyle name="Note 39 4" xfId="9567" xr:uid="{00000000-0005-0000-0000-00000B5C0000}"/>
    <cellStyle name="Note 39 4 2" xfId="20855" xr:uid="{00000000-0005-0000-0000-00000C5C0000}"/>
    <cellStyle name="Note 39 5" xfId="7573" xr:uid="{00000000-0005-0000-0000-00000D5C0000}"/>
    <cellStyle name="Note 39 5 2" xfId="18861" xr:uid="{00000000-0005-0000-0000-00000E5C0000}"/>
    <cellStyle name="Note 39 6" xfId="5579" xr:uid="{00000000-0005-0000-0000-00000F5C0000}"/>
    <cellStyle name="Note 39 6 2" xfId="16867" xr:uid="{00000000-0005-0000-0000-0000105C0000}"/>
    <cellStyle name="Note 39 7" xfId="14873" xr:uid="{00000000-0005-0000-0000-0000115C0000}"/>
    <cellStyle name="Note 39 8" xfId="13557" xr:uid="{00000000-0005-0000-0000-0000125C0000}"/>
    <cellStyle name="Note 4" xfId="3346" xr:uid="{00000000-0005-0000-0000-0000135C0000}"/>
    <cellStyle name="Note 4 10" xfId="25076" xr:uid="{00000000-0005-0000-0000-0000145C0000}"/>
    <cellStyle name="Note 4 10 2" xfId="25421" xr:uid="{00000000-0005-0000-0000-0000155C0000}"/>
    <cellStyle name="Note 4 10 2 2" xfId="27577" xr:uid="{00000000-0005-0000-0000-0000285C0000}"/>
    <cellStyle name="Note 4 10 2 3" xfId="26968" xr:uid="{00000000-0005-0000-0000-0000705E0000}"/>
    <cellStyle name="Note 4 10 2 4" xfId="26136" xr:uid="{00000000-0005-0000-0000-0000285C0000}"/>
    <cellStyle name="Note 4 10 3" xfId="25680" xr:uid="{00000000-0005-0000-0000-0000165C0000}"/>
    <cellStyle name="Note 4 10 3 2" xfId="27835" xr:uid="{00000000-0005-0000-0000-0000295C0000}"/>
    <cellStyle name="Note 4 10 3 3" xfId="26449" xr:uid="{00000000-0005-0000-0000-0000715E0000}"/>
    <cellStyle name="Note 4 10 3 4" xfId="26356" xr:uid="{00000000-0005-0000-0000-0000295C0000}"/>
    <cellStyle name="Note 4 10 4" xfId="27369" xr:uid="{00000000-0005-0000-0000-0000275C0000}"/>
    <cellStyle name="Note 4 10 5" xfId="26382" xr:uid="{00000000-0005-0000-0000-00006F5E0000}"/>
    <cellStyle name="Note 4 10 6" xfId="26282" xr:uid="{00000000-0005-0000-0000-0000275C0000}"/>
    <cellStyle name="Note 4 2" xfId="4580" xr:uid="{00000000-0005-0000-0000-0000175C0000}"/>
    <cellStyle name="Note 4 2 2" xfId="12559" xr:uid="{00000000-0005-0000-0000-0000185C0000}"/>
    <cellStyle name="Note 4 2 2 2" xfId="23847" xr:uid="{00000000-0005-0000-0000-0000195C0000}"/>
    <cellStyle name="Note 4 2 3" xfId="10565" xr:uid="{00000000-0005-0000-0000-00001A5C0000}"/>
    <cellStyle name="Note 4 2 3 2" xfId="21853" xr:uid="{00000000-0005-0000-0000-00001B5C0000}"/>
    <cellStyle name="Note 4 2 4" xfId="8571" xr:uid="{00000000-0005-0000-0000-00001C5C0000}"/>
    <cellStyle name="Note 4 2 4 2" xfId="19859" xr:uid="{00000000-0005-0000-0000-00001D5C0000}"/>
    <cellStyle name="Note 4 2 5" xfId="6577" xr:uid="{00000000-0005-0000-0000-00001E5C0000}"/>
    <cellStyle name="Note 4 2 5 2" xfId="17865" xr:uid="{00000000-0005-0000-0000-00001F5C0000}"/>
    <cellStyle name="Note 4 2 6" xfId="15871" xr:uid="{00000000-0005-0000-0000-0000205C0000}"/>
    <cellStyle name="Note 4 3" xfId="11562" xr:uid="{00000000-0005-0000-0000-0000215C0000}"/>
    <cellStyle name="Note 4 3 2" xfId="22850" xr:uid="{00000000-0005-0000-0000-0000225C0000}"/>
    <cellStyle name="Note 4 4" xfId="9568" xr:uid="{00000000-0005-0000-0000-0000235C0000}"/>
    <cellStyle name="Note 4 4 2" xfId="20856" xr:uid="{00000000-0005-0000-0000-0000245C0000}"/>
    <cellStyle name="Note 4 5" xfId="7574" xr:uid="{00000000-0005-0000-0000-0000255C0000}"/>
    <cellStyle name="Note 4 5 2" xfId="18862" xr:uid="{00000000-0005-0000-0000-0000265C0000}"/>
    <cellStyle name="Note 4 6" xfId="5580" xr:uid="{00000000-0005-0000-0000-0000275C0000}"/>
    <cellStyle name="Note 4 6 2" xfId="16868" xr:uid="{00000000-0005-0000-0000-0000285C0000}"/>
    <cellStyle name="Note 4 7" xfId="14874" xr:uid="{00000000-0005-0000-0000-0000295C0000}"/>
    <cellStyle name="Note 4 8" xfId="13558" xr:uid="{00000000-0005-0000-0000-00002A5C0000}"/>
    <cellStyle name="Note 4 9" xfId="24192" xr:uid="{00000000-0005-0000-0000-00002B5C0000}"/>
    <cellStyle name="Note 4 9 2" xfId="25343" xr:uid="{00000000-0005-0000-0000-00002C5C0000}"/>
    <cellStyle name="Note 4 9 2 2" xfId="27499" xr:uid="{00000000-0005-0000-0000-00003F5C0000}"/>
    <cellStyle name="Note 4 9 2 3" xfId="26725" xr:uid="{00000000-0005-0000-0000-0000875E0000}"/>
    <cellStyle name="Note 4 9 2 4" xfId="26388" xr:uid="{00000000-0005-0000-0000-00003F5C0000}"/>
    <cellStyle name="Note 4 9 3" xfId="25567" xr:uid="{00000000-0005-0000-0000-00002D5C0000}"/>
    <cellStyle name="Note 4 9 3 2" xfId="27722" xr:uid="{00000000-0005-0000-0000-0000405C0000}"/>
    <cellStyle name="Note 4 9 3 3" xfId="26802" xr:uid="{00000000-0005-0000-0000-0000885E0000}"/>
    <cellStyle name="Note 4 9 3 4" xfId="26526" xr:uid="{00000000-0005-0000-0000-0000405C0000}"/>
    <cellStyle name="Note 4 9 4" xfId="27094" xr:uid="{00000000-0005-0000-0000-00003E5C0000}"/>
    <cellStyle name="Note 4 9 5" xfId="26448" xr:uid="{00000000-0005-0000-0000-0000865E0000}"/>
    <cellStyle name="Note 4 9 6" xfId="26754" xr:uid="{00000000-0005-0000-0000-00003E5C0000}"/>
    <cellStyle name="Note 40" xfId="3347" xr:uid="{00000000-0005-0000-0000-00002E5C0000}"/>
    <cellStyle name="Note 40 2" xfId="4581" xr:uid="{00000000-0005-0000-0000-00002F5C0000}"/>
    <cellStyle name="Note 40 2 2" xfId="12560" xr:uid="{00000000-0005-0000-0000-0000305C0000}"/>
    <cellStyle name="Note 40 2 2 2" xfId="23848" xr:uid="{00000000-0005-0000-0000-0000315C0000}"/>
    <cellStyle name="Note 40 2 3" xfId="10566" xr:uid="{00000000-0005-0000-0000-0000325C0000}"/>
    <cellStyle name="Note 40 2 3 2" xfId="21854" xr:uid="{00000000-0005-0000-0000-0000335C0000}"/>
    <cellStyle name="Note 40 2 4" xfId="8572" xr:uid="{00000000-0005-0000-0000-0000345C0000}"/>
    <cellStyle name="Note 40 2 4 2" xfId="19860" xr:uid="{00000000-0005-0000-0000-0000355C0000}"/>
    <cellStyle name="Note 40 2 5" xfId="6578" xr:uid="{00000000-0005-0000-0000-0000365C0000}"/>
    <cellStyle name="Note 40 2 5 2" xfId="17866" xr:uid="{00000000-0005-0000-0000-0000375C0000}"/>
    <cellStyle name="Note 40 2 6" xfId="15872" xr:uid="{00000000-0005-0000-0000-0000385C0000}"/>
    <cellStyle name="Note 40 3" xfId="11563" xr:uid="{00000000-0005-0000-0000-0000395C0000}"/>
    <cellStyle name="Note 40 3 2" xfId="22851" xr:uid="{00000000-0005-0000-0000-00003A5C0000}"/>
    <cellStyle name="Note 40 4" xfId="9569" xr:uid="{00000000-0005-0000-0000-00003B5C0000}"/>
    <cellStyle name="Note 40 4 2" xfId="20857" xr:uid="{00000000-0005-0000-0000-00003C5C0000}"/>
    <cellStyle name="Note 40 5" xfId="7575" xr:uid="{00000000-0005-0000-0000-00003D5C0000}"/>
    <cellStyle name="Note 40 5 2" xfId="18863" xr:uid="{00000000-0005-0000-0000-00003E5C0000}"/>
    <cellStyle name="Note 40 6" xfId="5581" xr:uid="{00000000-0005-0000-0000-00003F5C0000}"/>
    <cellStyle name="Note 40 6 2" xfId="16869" xr:uid="{00000000-0005-0000-0000-0000405C0000}"/>
    <cellStyle name="Note 40 7" xfId="14875" xr:uid="{00000000-0005-0000-0000-0000415C0000}"/>
    <cellStyle name="Note 40 8" xfId="13559" xr:uid="{00000000-0005-0000-0000-0000425C0000}"/>
    <cellStyle name="Note 41" xfId="3348" xr:uid="{00000000-0005-0000-0000-0000435C0000}"/>
    <cellStyle name="Note 41 2" xfId="4582" xr:uid="{00000000-0005-0000-0000-0000445C0000}"/>
    <cellStyle name="Note 41 2 2" xfId="12561" xr:uid="{00000000-0005-0000-0000-0000455C0000}"/>
    <cellStyle name="Note 41 2 2 2" xfId="23849" xr:uid="{00000000-0005-0000-0000-0000465C0000}"/>
    <cellStyle name="Note 41 2 3" xfId="10567" xr:uid="{00000000-0005-0000-0000-0000475C0000}"/>
    <cellStyle name="Note 41 2 3 2" xfId="21855" xr:uid="{00000000-0005-0000-0000-0000485C0000}"/>
    <cellStyle name="Note 41 2 4" xfId="8573" xr:uid="{00000000-0005-0000-0000-0000495C0000}"/>
    <cellStyle name="Note 41 2 4 2" xfId="19861" xr:uid="{00000000-0005-0000-0000-00004A5C0000}"/>
    <cellStyle name="Note 41 2 5" xfId="6579" xr:uid="{00000000-0005-0000-0000-00004B5C0000}"/>
    <cellStyle name="Note 41 2 5 2" xfId="17867" xr:uid="{00000000-0005-0000-0000-00004C5C0000}"/>
    <cellStyle name="Note 41 2 6" xfId="15873" xr:uid="{00000000-0005-0000-0000-00004D5C0000}"/>
    <cellStyle name="Note 41 3" xfId="11564" xr:uid="{00000000-0005-0000-0000-00004E5C0000}"/>
    <cellStyle name="Note 41 3 2" xfId="22852" xr:uid="{00000000-0005-0000-0000-00004F5C0000}"/>
    <cellStyle name="Note 41 4" xfId="9570" xr:uid="{00000000-0005-0000-0000-0000505C0000}"/>
    <cellStyle name="Note 41 4 2" xfId="20858" xr:uid="{00000000-0005-0000-0000-0000515C0000}"/>
    <cellStyle name="Note 41 5" xfId="7576" xr:uid="{00000000-0005-0000-0000-0000525C0000}"/>
    <cellStyle name="Note 41 5 2" xfId="18864" xr:uid="{00000000-0005-0000-0000-0000535C0000}"/>
    <cellStyle name="Note 41 6" xfId="5582" xr:uid="{00000000-0005-0000-0000-0000545C0000}"/>
    <cellStyle name="Note 41 6 2" xfId="16870" xr:uid="{00000000-0005-0000-0000-0000555C0000}"/>
    <cellStyle name="Note 41 7" xfId="14876" xr:uid="{00000000-0005-0000-0000-0000565C0000}"/>
    <cellStyle name="Note 41 8" xfId="13560" xr:uid="{00000000-0005-0000-0000-0000575C0000}"/>
    <cellStyle name="Note 42" xfId="3349" xr:uid="{00000000-0005-0000-0000-0000585C0000}"/>
    <cellStyle name="Note 42 2" xfId="4583" xr:uid="{00000000-0005-0000-0000-0000595C0000}"/>
    <cellStyle name="Note 42 2 2" xfId="12562" xr:uid="{00000000-0005-0000-0000-00005A5C0000}"/>
    <cellStyle name="Note 42 2 2 2" xfId="23850" xr:uid="{00000000-0005-0000-0000-00005B5C0000}"/>
    <cellStyle name="Note 42 2 3" xfId="10568" xr:uid="{00000000-0005-0000-0000-00005C5C0000}"/>
    <cellStyle name="Note 42 2 3 2" xfId="21856" xr:uid="{00000000-0005-0000-0000-00005D5C0000}"/>
    <cellStyle name="Note 42 2 4" xfId="8574" xr:uid="{00000000-0005-0000-0000-00005E5C0000}"/>
    <cellStyle name="Note 42 2 4 2" xfId="19862" xr:uid="{00000000-0005-0000-0000-00005F5C0000}"/>
    <cellStyle name="Note 42 2 5" xfId="6580" xr:uid="{00000000-0005-0000-0000-0000605C0000}"/>
    <cellStyle name="Note 42 2 5 2" xfId="17868" xr:uid="{00000000-0005-0000-0000-0000615C0000}"/>
    <cellStyle name="Note 42 2 6" xfId="15874" xr:uid="{00000000-0005-0000-0000-0000625C0000}"/>
    <cellStyle name="Note 42 3" xfId="11565" xr:uid="{00000000-0005-0000-0000-0000635C0000}"/>
    <cellStyle name="Note 42 3 2" xfId="22853" xr:uid="{00000000-0005-0000-0000-0000645C0000}"/>
    <cellStyle name="Note 42 4" xfId="9571" xr:uid="{00000000-0005-0000-0000-0000655C0000}"/>
    <cellStyle name="Note 42 4 2" xfId="20859" xr:uid="{00000000-0005-0000-0000-0000665C0000}"/>
    <cellStyle name="Note 42 5" xfId="7577" xr:uid="{00000000-0005-0000-0000-0000675C0000}"/>
    <cellStyle name="Note 42 5 2" xfId="18865" xr:uid="{00000000-0005-0000-0000-0000685C0000}"/>
    <cellStyle name="Note 42 6" xfId="5583" xr:uid="{00000000-0005-0000-0000-0000695C0000}"/>
    <cellStyle name="Note 42 6 2" xfId="16871" xr:uid="{00000000-0005-0000-0000-00006A5C0000}"/>
    <cellStyle name="Note 42 7" xfId="14877" xr:uid="{00000000-0005-0000-0000-00006B5C0000}"/>
    <cellStyle name="Note 42 8" xfId="13561" xr:uid="{00000000-0005-0000-0000-00006C5C0000}"/>
    <cellStyle name="Note 43" xfId="3350" xr:uid="{00000000-0005-0000-0000-00006D5C0000}"/>
    <cellStyle name="Note 43 2" xfId="4584" xr:uid="{00000000-0005-0000-0000-00006E5C0000}"/>
    <cellStyle name="Note 43 2 2" xfId="12563" xr:uid="{00000000-0005-0000-0000-00006F5C0000}"/>
    <cellStyle name="Note 43 2 2 2" xfId="23851" xr:uid="{00000000-0005-0000-0000-0000705C0000}"/>
    <cellStyle name="Note 43 2 3" xfId="10569" xr:uid="{00000000-0005-0000-0000-0000715C0000}"/>
    <cellStyle name="Note 43 2 3 2" xfId="21857" xr:uid="{00000000-0005-0000-0000-0000725C0000}"/>
    <cellStyle name="Note 43 2 4" xfId="8575" xr:uid="{00000000-0005-0000-0000-0000735C0000}"/>
    <cellStyle name="Note 43 2 4 2" xfId="19863" xr:uid="{00000000-0005-0000-0000-0000745C0000}"/>
    <cellStyle name="Note 43 2 5" xfId="6581" xr:uid="{00000000-0005-0000-0000-0000755C0000}"/>
    <cellStyle name="Note 43 2 5 2" xfId="17869" xr:uid="{00000000-0005-0000-0000-0000765C0000}"/>
    <cellStyle name="Note 43 2 6" xfId="15875" xr:uid="{00000000-0005-0000-0000-0000775C0000}"/>
    <cellStyle name="Note 43 3" xfId="11566" xr:uid="{00000000-0005-0000-0000-0000785C0000}"/>
    <cellStyle name="Note 43 3 2" xfId="22854" xr:uid="{00000000-0005-0000-0000-0000795C0000}"/>
    <cellStyle name="Note 43 4" xfId="9572" xr:uid="{00000000-0005-0000-0000-00007A5C0000}"/>
    <cellStyle name="Note 43 4 2" xfId="20860" xr:uid="{00000000-0005-0000-0000-00007B5C0000}"/>
    <cellStyle name="Note 43 5" xfId="7578" xr:uid="{00000000-0005-0000-0000-00007C5C0000}"/>
    <cellStyle name="Note 43 5 2" xfId="18866" xr:uid="{00000000-0005-0000-0000-00007D5C0000}"/>
    <cellStyle name="Note 43 6" xfId="5584" xr:uid="{00000000-0005-0000-0000-00007E5C0000}"/>
    <cellStyle name="Note 43 6 2" xfId="16872" xr:uid="{00000000-0005-0000-0000-00007F5C0000}"/>
    <cellStyle name="Note 43 7" xfId="14878" xr:uid="{00000000-0005-0000-0000-0000805C0000}"/>
    <cellStyle name="Note 43 8" xfId="13562" xr:uid="{00000000-0005-0000-0000-0000815C0000}"/>
    <cellStyle name="Note 44" xfId="3351" xr:uid="{00000000-0005-0000-0000-0000825C0000}"/>
    <cellStyle name="Note 44 2" xfId="4585" xr:uid="{00000000-0005-0000-0000-0000835C0000}"/>
    <cellStyle name="Note 44 2 2" xfId="12564" xr:uid="{00000000-0005-0000-0000-0000845C0000}"/>
    <cellStyle name="Note 44 2 2 2" xfId="23852" xr:uid="{00000000-0005-0000-0000-0000855C0000}"/>
    <cellStyle name="Note 44 2 3" xfId="10570" xr:uid="{00000000-0005-0000-0000-0000865C0000}"/>
    <cellStyle name="Note 44 2 3 2" xfId="21858" xr:uid="{00000000-0005-0000-0000-0000875C0000}"/>
    <cellStyle name="Note 44 2 4" xfId="8576" xr:uid="{00000000-0005-0000-0000-0000885C0000}"/>
    <cellStyle name="Note 44 2 4 2" xfId="19864" xr:uid="{00000000-0005-0000-0000-0000895C0000}"/>
    <cellStyle name="Note 44 2 5" xfId="6582" xr:uid="{00000000-0005-0000-0000-00008A5C0000}"/>
    <cellStyle name="Note 44 2 5 2" xfId="17870" xr:uid="{00000000-0005-0000-0000-00008B5C0000}"/>
    <cellStyle name="Note 44 2 6" xfId="15876" xr:uid="{00000000-0005-0000-0000-00008C5C0000}"/>
    <cellStyle name="Note 44 3" xfId="11567" xr:uid="{00000000-0005-0000-0000-00008D5C0000}"/>
    <cellStyle name="Note 44 3 2" xfId="22855" xr:uid="{00000000-0005-0000-0000-00008E5C0000}"/>
    <cellStyle name="Note 44 4" xfId="9573" xr:uid="{00000000-0005-0000-0000-00008F5C0000}"/>
    <cellStyle name="Note 44 4 2" xfId="20861" xr:uid="{00000000-0005-0000-0000-0000905C0000}"/>
    <cellStyle name="Note 44 5" xfId="7579" xr:uid="{00000000-0005-0000-0000-0000915C0000}"/>
    <cellStyle name="Note 44 5 2" xfId="18867" xr:uid="{00000000-0005-0000-0000-0000925C0000}"/>
    <cellStyle name="Note 44 6" xfId="5585" xr:uid="{00000000-0005-0000-0000-0000935C0000}"/>
    <cellStyle name="Note 44 6 2" xfId="16873" xr:uid="{00000000-0005-0000-0000-0000945C0000}"/>
    <cellStyle name="Note 44 7" xfId="14879" xr:uid="{00000000-0005-0000-0000-0000955C0000}"/>
    <cellStyle name="Note 44 8" xfId="13563" xr:uid="{00000000-0005-0000-0000-0000965C0000}"/>
    <cellStyle name="Note 45" xfId="3352" xr:uid="{00000000-0005-0000-0000-0000975C0000}"/>
    <cellStyle name="Note 45 2" xfId="4586" xr:uid="{00000000-0005-0000-0000-0000985C0000}"/>
    <cellStyle name="Note 45 2 2" xfId="12565" xr:uid="{00000000-0005-0000-0000-0000995C0000}"/>
    <cellStyle name="Note 45 2 2 2" xfId="23853" xr:uid="{00000000-0005-0000-0000-00009A5C0000}"/>
    <cellStyle name="Note 45 2 3" xfId="10571" xr:uid="{00000000-0005-0000-0000-00009B5C0000}"/>
    <cellStyle name="Note 45 2 3 2" xfId="21859" xr:uid="{00000000-0005-0000-0000-00009C5C0000}"/>
    <cellStyle name="Note 45 2 4" xfId="8577" xr:uid="{00000000-0005-0000-0000-00009D5C0000}"/>
    <cellStyle name="Note 45 2 4 2" xfId="19865" xr:uid="{00000000-0005-0000-0000-00009E5C0000}"/>
    <cellStyle name="Note 45 2 5" xfId="6583" xr:uid="{00000000-0005-0000-0000-00009F5C0000}"/>
    <cellStyle name="Note 45 2 5 2" xfId="17871" xr:uid="{00000000-0005-0000-0000-0000A05C0000}"/>
    <cellStyle name="Note 45 2 6" xfId="15877" xr:uid="{00000000-0005-0000-0000-0000A15C0000}"/>
    <cellStyle name="Note 45 3" xfId="11568" xr:uid="{00000000-0005-0000-0000-0000A25C0000}"/>
    <cellStyle name="Note 45 3 2" xfId="22856" xr:uid="{00000000-0005-0000-0000-0000A35C0000}"/>
    <cellStyle name="Note 45 4" xfId="9574" xr:uid="{00000000-0005-0000-0000-0000A45C0000}"/>
    <cellStyle name="Note 45 4 2" xfId="20862" xr:uid="{00000000-0005-0000-0000-0000A55C0000}"/>
    <cellStyle name="Note 45 5" xfId="7580" xr:uid="{00000000-0005-0000-0000-0000A65C0000}"/>
    <cellStyle name="Note 45 5 2" xfId="18868" xr:uid="{00000000-0005-0000-0000-0000A75C0000}"/>
    <cellStyle name="Note 45 6" xfId="5586" xr:uid="{00000000-0005-0000-0000-0000A85C0000}"/>
    <cellStyle name="Note 45 6 2" xfId="16874" xr:uid="{00000000-0005-0000-0000-0000A95C0000}"/>
    <cellStyle name="Note 45 7" xfId="14880" xr:uid="{00000000-0005-0000-0000-0000AA5C0000}"/>
    <cellStyle name="Note 45 8" xfId="13564" xr:uid="{00000000-0005-0000-0000-0000AB5C0000}"/>
    <cellStyle name="Note 46" xfId="3353" xr:uid="{00000000-0005-0000-0000-0000AC5C0000}"/>
    <cellStyle name="Note 46 2" xfId="4587" xr:uid="{00000000-0005-0000-0000-0000AD5C0000}"/>
    <cellStyle name="Note 46 2 2" xfId="12566" xr:uid="{00000000-0005-0000-0000-0000AE5C0000}"/>
    <cellStyle name="Note 46 2 2 2" xfId="23854" xr:uid="{00000000-0005-0000-0000-0000AF5C0000}"/>
    <cellStyle name="Note 46 2 3" xfId="10572" xr:uid="{00000000-0005-0000-0000-0000B05C0000}"/>
    <cellStyle name="Note 46 2 3 2" xfId="21860" xr:uid="{00000000-0005-0000-0000-0000B15C0000}"/>
    <cellStyle name="Note 46 2 4" xfId="8578" xr:uid="{00000000-0005-0000-0000-0000B25C0000}"/>
    <cellStyle name="Note 46 2 4 2" xfId="19866" xr:uid="{00000000-0005-0000-0000-0000B35C0000}"/>
    <cellStyle name="Note 46 2 5" xfId="6584" xr:uid="{00000000-0005-0000-0000-0000B45C0000}"/>
    <cellStyle name="Note 46 2 5 2" xfId="17872" xr:uid="{00000000-0005-0000-0000-0000B55C0000}"/>
    <cellStyle name="Note 46 2 6" xfId="15878" xr:uid="{00000000-0005-0000-0000-0000B65C0000}"/>
    <cellStyle name="Note 46 3" xfId="11569" xr:uid="{00000000-0005-0000-0000-0000B75C0000}"/>
    <cellStyle name="Note 46 3 2" xfId="22857" xr:uid="{00000000-0005-0000-0000-0000B85C0000}"/>
    <cellStyle name="Note 46 4" xfId="9575" xr:uid="{00000000-0005-0000-0000-0000B95C0000}"/>
    <cellStyle name="Note 46 4 2" xfId="20863" xr:uid="{00000000-0005-0000-0000-0000BA5C0000}"/>
    <cellStyle name="Note 46 5" xfId="7581" xr:uid="{00000000-0005-0000-0000-0000BB5C0000}"/>
    <cellStyle name="Note 46 5 2" xfId="18869" xr:uid="{00000000-0005-0000-0000-0000BC5C0000}"/>
    <cellStyle name="Note 46 6" xfId="5587" xr:uid="{00000000-0005-0000-0000-0000BD5C0000}"/>
    <cellStyle name="Note 46 6 2" xfId="16875" xr:uid="{00000000-0005-0000-0000-0000BE5C0000}"/>
    <cellStyle name="Note 46 7" xfId="14881" xr:uid="{00000000-0005-0000-0000-0000BF5C0000}"/>
    <cellStyle name="Note 46 8" xfId="13565" xr:uid="{00000000-0005-0000-0000-0000C05C0000}"/>
    <cellStyle name="Note 47" xfId="3354" xr:uid="{00000000-0005-0000-0000-0000C15C0000}"/>
    <cellStyle name="Note 47 2" xfId="4588" xr:uid="{00000000-0005-0000-0000-0000C25C0000}"/>
    <cellStyle name="Note 47 2 2" xfId="12567" xr:uid="{00000000-0005-0000-0000-0000C35C0000}"/>
    <cellStyle name="Note 47 2 2 2" xfId="23855" xr:uid="{00000000-0005-0000-0000-0000C45C0000}"/>
    <cellStyle name="Note 47 2 3" xfId="10573" xr:uid="{00000000-0005-0000-0000-0000C55C0000}"/>
    <cellStyle name="Note 47 2 3 2" xfId="21861" xr:uid="{00000000-0005-0000-0000-0000C65C0000}"/>
    <cellStyle name="Note 47 2 4" xfId="8579" xr:uid="{00000000-0005-0000-0000-0000C75C0000}"/>
    <cellStyle name="Note 47 2 4 2" xfId="19867" xr:uid="{00000000-0005-0000-0000-0000C85C0000}"/>
    <cellStyle name="Note 47 2 5" xfId="6585" xr:uid="{00000000-0005-0000-0000-0000C95C0000}"/>
    <cellStyle name="Note 47 2 5 2" xfId="17873" xr:uid="{00000000-0005-0000-0000-0000CA5C0000}"/>
    <cellStyle name="Note 47 2 6" xfId="15879" xr:uid="{00000000-0005-0000-0000-0000CB5C0000}"/>
    <cellStyle name="Note 47 3" xfId="11570" xr:uid="{00000000-0005-0000-0000-0000CC5C0000}"/>
    <cellStyle name="Note 47 3 2" xfId="22858" xr:uid="{00000000-0005-0000-0000-0000CD5C0000}"/>
    <cellStyle name="Note 47 4" xfId="9576" xr:uid="{00000000-0005-0000-0000-0000CE5C0000}"/>
    <cellStyle name="Note 47 4 2" xfId="20864" xr:uid="{00000000-0005-0000-0000-0000CF5C0000}"/>
    <cellStyle name="Note 47 5" xfId="7582" xr:uid="{00000000-0005-0000-0000-0000D05C0000}"/>
    <cellStyle name="Note 47 5 2" xfId="18870" xr:uid="{00000000-0005-0000-0000-0000D15C0000}"/>
    <cellStyle name="Note 47 6" xfId="5588" xr:uid="{00000000-0005-0000-0000-0000D25C0000}"/>
    <cellStyle name="Note 47 6 2" xfId="16876" xr:uid="{00000000-0005-0000-0000-0000D35C0000}"/>
    <cellStyle name="Note 47 7" xfId="14882" xr:uid="{00000000-0005-0000-0000-0000D45C0000}"/>
    <cellStyle name="Note 47 8" xfId="13566" xr:uid="{00000000-0005-0000-0000-0000D55C0000}"/>
    <cellStyle name="Note 48" xfId="3355" xr:uid="{00000000-0005-0000-0000-0000D65C0000}"/>
    <cellStyle name="Note 48 2" xfId="4589" xr:uid="{00000000-0005-0000-0000-0000D75C0000}"/>
    <cellStyle name="Note 48 2 2" xfId="12568" xr:uid="{00000000-0005-0000-0000-0000D85C0000}"/>
    <cellStyle name="Note 48 2 2 2" xfId="23856" xr:uid="{00000000-0005-0000-0000-0000D95C0000}"/>
    <cellStyle name="Note 48 2 3" xfId="10574" xr:uid="{00000000-0005-0000-0000-0000DA5C0000}"/>
    <cellStyle name="Note 48 2 3 2" xfId="21862" xr:uid="{00000000-0005-0000-0000-0000DB5C0000}"/>
    <cellStyle name="Note 48 2 4" xfId="8580" xr:uid="{00000000-0005-0000-0000-0000DC5C0000}"/>
    <cellStyle name="Note 48 2 4 2" xfId="19868" xr:uid="{00000000-0005-0000-0000-0000DD5C0000}"/>
    <cellStyle name="Note 48 2 5" xfId="6586" xr:uid="{00000000-0005-0000-0000-0000DE5C0000}"/>
    <cellStyle name="Note 48 2 5 2" xfId="17874" xr:uid="{00000000-0005-0000-0000-0000DF5C0000}"/>
    <cellStyle name="Note 48 2 6" xfId="15880" xr:uid="{00000000-0005-0000-0000-0000E05C0000}"/>
    <cellStyle name="Note 48 3" xfId="11571" xr:uid="{00000000-0005-0000-0000-0000E15C0000}"/>
    <cellStyle name="Note 48 3 2" xfId="22859" xr:uid="{00000000-0005-0000-0000-0000E25C0000}"/>
    <cellStyle name="Note 48 4" xfId="9577" xr:uid="{00000000-0005-0000-0000-0000E35C0000}"/>
    <cellStyle name="Note 48 4 2" xfId="20865" xr:uid="{00000000-0005-0000-0000-0000E45C0000}"/>
    <cellStyle name="Note 48 5" xfId="7583" xr:uid="{00000000-0005-0000-0000-0000E55C0000}"/>
    <cellStyle name="Note 48 5 2" xfId="18871" xr:uid="{00000000-0005-0000-0000-0000E65C0000}"/>
    <cellStyle name="Note 48 6" xfId="5589" xr:uid="{00000000-0005-0000-0000-0000E75C0000}"/>
    <cellStyle name="Note 48 6 2" xfId="16877" xr:uid="{00000000-0005-0000-0000-0000E85C0000}"/>
    <cellStyle name="Note 48 7" xfId="14883" xr:uid="{00000000-0005-0000-0000-0000E95C0000}"/>
    <cellStyle name="Note 48 8" xfId="13567" xr:uid="{00000000-0005-0000-0000-0000EA5C0000}"/>
    <cellStyle name="Note 49" xfId="3356" xr:uid="{00000000-0005-0000-0000-0000EB5C0000}"/>
    <cellStyle name="Note 49 2" xfId="4590" xr:uid="{00000000-0005-0000-0000-0000EC5C0000}"/>
    <cellStyle name="Note 49 2 2" xfId="12569" xr:uid="{00000000-0005-0000-0000-0000ED5C0000}"/>
    <cellStyle name="Note 49 2 2 2" xfId="23857" xr:uid="{00000000-0005-0000-0000-0000EE5C0000}"/>
    <cellStyle name="Note 49 2 3" xfId="10575" xr:uid="{00000000-0005-0000-0000-0000EF5C0000}"/>
    <cellStyle name="Note 49 2 3 2" xfId="21863" xr:uid="{00000000-0005-0000-0000-0000F05C0000}"/>
    <cellStyle name="Note 49 2 4" xfId="8581" xr:uid="{00000000-0005-0000-0000-0000F15C0000}"/>
    <cellStyle name="Note 49 2 4 2" xfId="19869" xr:uid="{00000000-0005-0000-0000-0000F25C0000}"/>
    <cellStyle name="Note 49 2 5" xfId="6587" xr:uid="{00000000-0005-0000-0000-0000F35C0000}"/>
    <cellStyle name="Note 49 2 5 2" xfId="17875" xr:uid="{00000000-0005-0000-0000-0000F45C0000}"/>
    <cellStyle name="Note 49 2 6" xfId="15881" xr:uid="{00000000-0005-0000-0000-0000F55C0000}"/>
    <cellStyle name="Note 49 3" xfId="11572" xr:uid="{00000000-0005-0000-0000-0000F65C0000}"/>
    <cellStyle name="Note 49 3 2" xfId="22860" xr:uid="{00000000-0005-0000-0000-0000F75C0000}"/>
    <cellStyle name="Note 49 4" xfId="9578" xr:uid="{00000000-0005-0000-0000-0000F85C0000}"/>
    <cellStyle name="Note 49 4 2" xfId="20866" xr:uid="{00000000-0005-0000-0000-0000F95C0000}"/>
    <cellStyle name="Note 49 5" xfId="7584" xr:uid="{00000000-0005-0000-0000-0000FA5C0000}"/>
    <cellStyle name="Note 49 5 2" xfId="18872" xr:uid="{00000000-0005-0000-0000-0000FB5C0000}"/>
    <cellStyle name="Note 49 6" xfId="5590" xr:uid="{00000000-0005-0000-0000-0000FC5C0000}"/>
    <cellStyle name="Note 49 6 2" xfId="16878" xr:uid="{00000000-0005-0000-0000-0000FD5C0000}"/>
    <cellStyle name="Note 49 7" xfId="14884" xr:uid="{00000000-0005-0000-0000-0000FE5C0000}"/>
    <cellStyle name="Note 49 8" xfId="13568" xr:uid="{00000000-0005-0000-0000-0000FF5C0000}"/>
    <cellStyle name="Note 5" xfId="3357" xr:uid="{00000000-0005-0000-0000-0000005D0000}"/>
    <cellStyle name="Note 5 10" xfId="25077" xr:uid="{00000000-0005-0000-0000-0000015D0000}"/>
    <cellStyle name="Note 5 10 2" xfId="25338" xr:uid="{00000000-0005-0000-0000-0000025D0000}"/>
    <cellStyle name="Note 5 10 2 2" xfId="27494" xr:uid="{00000000-0005-0000-0000-0000155D0000}"/>
    <cellStyle name="Note 5 10 2 3" xfId="26967" xr:uid="{00000000-0005-0000-0000-00005D5F0000}"/>
    <cellStyle name="Note 5 10 2 4" xfId="26915" xr:uid="{00000000-0005-0000-0000-0000155D0000}"/>
    <cellStyle name="Note 5 10 3" xfId="25681" xr:uid="{00000000-0005-0000-0000-0000035D0000}"/>
    <cellStyle name="Note 5 10 3 2" xfId="27836" xr:uid="{00000000-0005-0000-0000-0000165D0000}"/>
    <cellStyle name="Note 5 10 3 3" xfId="26447" xr:uid="{00000000-0005-0000-0000-00005E5F0000}"/>
    <cellStyle name="Note 5 10 3 4" xfId="26181" xr:uid="{00000000-0005-0000-0000-0000165D0000}"/>
    <cellStyle name="Note 5 10 4" xfId="27370" xr:uid="{00000000-0005-0000-0000-0000145D0000}"/>
    <cellStyle name="Note 5 10 5" xfId="26381" xr:uid="{00000000-0005-0000-0000-00005C5F0000}"/>
    <cellStyle name="Note 5 10 6" xfId="26482" xr:uid="{00000000-0005-0000-0000-0000145D0000}"/>
    <cellStyle name="Note 5 2" xfId="4591" xr:uid="{00000000-0005-0000-0000-0000045D0000}"/>
    <cellStyle name="Note 5 2 2" xfId="12570" xr:uid="{00000000-0005-0000-0000-0000055D0000}"/>
    <cellStyle name="Note 5 2 2 2" xfId="23858" xr:uid="{00000000-0005-0000-0000-0000065D0000}"/>
    <cellStyle name="Note 5 2 3" xfId="10576" xr:uid="{00000000-0005-0000-0000-0000075D0000}"/>
    <cellStyle name="Note 5 2 3 2" xfId="21864" xr:uid="{00000000-0005-0000-0000-0000085D0000}"/>
    <cellStyle name="Note 5 2 4" xfId="8582" xr:uid="{00000000-0005-0000-0000-0000095D0000}"/>
    <cellStyle name="Note 5 2 4 2" xfId="19870" xr:uid="{00000000-0005-0000-0000-00000A5D0000}"/>
    <cellStyle name="Note 5 2 5" xfId="6588" xr:uid="{00000000-0005-0000-0000-00000B5D0000}"/>
    <cellStyle name="Note 5 2 5 2" xfId="17876" xr:uid="{00000000-0005-0000-0000-00000C5D0000}"/>
    <cellStyle name="Note 5 2 6" xfId="15882" xr:uid="{00000000-0005-0000-0000-00000D5D0000}"/>
    <cellStyle name="Note 5 3" xfId="11573" xr:uid="{00000000-0005-0000-0000-00000E5D0000}"/>
    <cellStyle name="Note 5 3 2" xfId="22861" xr:uid="{00000000-0005-0000-0000-00000F5D0000}"/>
    <cellStyle name="Note 5 4" xfId="9579" xr:uid="{00000000-0005-0000-0000-0000105D0000}"/>
    <cellStyle name="Note 5 4 2" xfId="20867" xr:uid="{00000000-0005-0000-0000-0000115D0000}"/>
    <cellStyle name="Note 5 5" xfId="7585" xr:uid="{00000000-0005-0000-0000-0000125D0000}"/>
    <cellStyle name="Note 5 5 2" xfId="18873" xr:uid="{00000000-0005-0000-0000-0000135D0000}"/>
    <cellStyle name="Note 5 6" xfId="5591" xr:uid="{00000000-0005-0000-0000-0000145D0000}"/>
    <cellStyle name="Note 5 6 2" xfId="16879" xr:uid="{00000000-0005-0000-0000-0000155D0000}"/>
    <cellStyle name="Note 5 7" xfId="14885" xr:uid="{00000000-0005-0000-0000-0000165D0000}"/>
    <cellStyle name="Note 5 8" xfId="13569" xr:uid="{00000000-0005-0000-0000-0000175D0000}"/>
    <cellStyle name="Note 5 9" xfId="24193" xr:uid="{00000000-0005-0000-0000-0000185D0000}"/>
    <cellStyle name="Note 5 9 2" xfId="25444" xr:uid="{00000000-0005-0000-0000-0000195D0000}"/>
    <cellStyle name="Note 5 9 2 2" xfId="27600" xr:uid="{00000000-0005-0000-0000-00002C5D0000}"/>
    <cellStyle name="Note 5 9 2 3" xfId="26724" xr:uid="{00000000-0005-0000-0000-0000745F0000}"/>
    <cellStyle name="Note 5 9 2 4" xfId="26755" xr:uid="{00000000-0005-0000-0000-00002C5D0000}"/>
    <cellStyle name="Note 5 9 3" xfId="25568" xr:uid="{00000000-0005-0000-0000-00001A5D0000}"/>
    <cellStyle name="Note 5 9 3 2" xfId="27723" xr:uid="{00000000-0005-0000-0000-00002D5D0000}"/>
    <cellStyle name="Note 5 9 3 3" xfId="26801" xr:uid="{00000000-0005-0000-0000-0000755F0000}"/>
    <cellStyle name="Note 5 9 3 4" xfId="26327" xr:uid="{00000000-0005-0000-0000-00002D5D0000}"/>
    <cellStyle name="Note 5 9 4" xfId="27095" xr:uid="{00000000-0005-0000-0000-00002B5D0000}"/>
    <cellStyle name="Note 5 9 5" xfId="26446" xr:uid="{00000000-0005-0000-0000-0000735F0000}"/>
    <cellStyle name="Note 5 9 6" xfId="26461" xr:uid="{00000000-0005-0000-0000-00002B5D0000}"/>
    <cellStyle name="Note 50" xfId="3358" xr:uid="{00000000-0005-0000-0000-00001B5D0000}"/>
    <cellStyle name="Note 50 2" xfId="4592" xr:uid="{00000000-0005-0000-0000-00001C5D0000}"/>
    <cellStyle name="Note 50 2 2" xfId="12571" xr:uid="{00000000-0005-0000-0000-00001D5D0000}"/>
    <cellStyle name="Note 50 2 2 2" xfId="23859" xr:uid="{00000000-0005-0000-0000-00001E5D0000}"/>
    <cellStyle name="Note 50 2 3" xfId="10577" xr:uid="{00000000-0005-0000-0000-00001F5D0000}"/>
    <cellStyle name="Note 50 2 3 2" xfId="21865" xr:uid="{00000000-0005-0000-0000-0000205D0000}"/>
    <cellStyle name="Note 50 2 4" xfId="8583" xr:uid="{00000000-0005-0000-0000-0000215D0000}"/>
    <cellStyle name="Note 50 2 4 2" xfId="19871" xr:uid="{00000000-0005-0000-0000-0000225D0000}"/>
    <cellStyle name="Note 50 2 5" xfId="6589" xr:uid="{00000000-0005-0000-0000-0000235D0000}"/>
    <cellStyle name="Note 50 2 5 2" xfId="17877" xr:uid="{00000000-0005-0000-0000-0000245D0000}"/>
    <cellStyle name="Note 50 2 6" xfId="15883" xr:uid="{00000000-0005-0000-0000-0000255D0000}"/>
    <cellStyle name="Note 50 3" xfId="11574" xr:uid="{00000000-0005-0000-0000-0000265D0000}"/>
    <cellStyle name="Note 50 3 2" xfId="22862" xr:uid="{00000000-0005-0000-0000-0000275D0000}"/>
    <cellStyle name="Note 50 4" xfId="9580" xr:uid="{00000000-0005-0000-0000-0000285D0000}"/>
    <cellStyle name="Note 50 4 2" xfId="20868" xr:uid="{00000000-0005-0000-0000-0000295D0000}"/>
    <cellStyle name="Note 50 5" xfId="7586" xr:uid="{00000000-0005-0000-0000-00002A5D0000}"/>
    <cellStyle name="Note 50 5 2" xfId="18874" xr:uid="{00000000-0005-0000-0000-00002B5D0000}"/>
    <cellStyle name="Note 50 6" xfId="5592" xr:uid="{00000000-0005-0000-0000-00002C5D0000}"/>
    <cellStyle name="Note 50 6 2" xfId="16880" xr:uid="{00000000-0005-0000-0000-00002D5D0000}"/>
    <cellStyle name="Note 50 7" xfId="14886" xr:uid="{00000000-0005-0000-0000-00002E5D0000}"/>
    <cellStyle name="Note 50 8" xfId="13570" xr:uid="{00000000-0005-0000-0000-00002F5D0000}"/>
    <cellStyle name="Note 51" xfId="3359" xr:uid="{00000000-0005-0000-0000-0000305D0000}"/>
    <cellStyle name="Note 51 2" xfId="4593" xr:uid="{00000000-0005-0000-0000-0000315D0000}"/>
    <cellStyle name="Note 51 2 2" xfId="12572" xr:uid="{00000000-0005-0000-0000-0000325D0000}"/>
    <cellStyle name="Note 51 2 2 2" xfId="23860" xr:uid="{00000000-0005-0000-0000-0000335D0000}"/>
    <cellStyle name="Note 51 2 3" xfId="10578" xr:uid="{00000000-0005-0000-0000-0000345D0000}"/>
    <cellStyle name="Note 51 2 3 2" xfId="21866" xr:uid="{00000000-0005-0000-0000-0000355D0000}"/>
    <cellStyle name="Note 51 2 4" xfId="8584" xr:uid="{00000000-0005-0000-0000-0000365D0000}"/>
    <cellStyle name="Note 51 2 4 2" xfId="19872" xr:uid="{00000000-0005-0000-0000-0000375D0000}"/>
    <cellStyle name="Note 51 2 5" xfId="6590" xr:uid="{00000000-0005-0000-0000-0000385D0000}"/>
    <cellStyle name="Note 51 2 5 2" xfId="17878" xr:uid="{00000000-0005-0000-0000-0000395D0000}"/>
    <cellStyle name="Note 51 2 6" xfId="15884" xr:uid="{00000000-0005-0000-0000-00003A5D0000}"/>
    <cellStyle name="Note 51 3" xfId="11575" xr:uid="{00000000-0005-0000-0000-00003B5D0000}"/>
    <cellStyle name="Note 51 3 2" xfId="22863" xr:uid="{00000000-0005-0000-0000-00003C5D0000}"/>
    <cellStyle name="Note 51 4" xfId="9581" xr:uid="{00000000-0005-0000-0000-00003D5D0000}"/>
    <cellStyle name="Note 51 4 2" xfId="20869" xr:uid="{00000000-0005-0000-0000-00003E5D0000}"/>
    <cellStyle name="Note 51 5" xfId="7587" xr:uid="{00000000-0005-0000-0000-00003F5D0000}"/>
    <cellStyle name="Note 51 5 2" xfId="18875" xr:uid="{00000000-0005-0000-0000-0000405D0000}"/>
    <cellStyle name="Note 51 6" xfId="5593" xr:uid="{00000000-0005-0000-0000-0000415D0000}"/>
    <cellStyle name="Note 51 6 2" xfId="16881" xr:uid="{00000000-0005-0000-0000-0000425D0000}"/>
    <cellStyle name="Note 51 7" xfId="14887" xr:uid="{00000000-0005-0000-0000-0000435D0000}"/>
    <cellStyle name="Note 51 8" xfId="13571" xr:uid="{00000000-0005-0000-0000-0000445D0000}"/>
    <cellStyle name="Note 52" xfId="3360" xr:uid="{00000000-0005-0000-0000-0000455D0000}"/>
    <cellStyle name="Note 52 2" xfId="4594" xr:uid="{00000000-0005-0000-0000-0000465D0000}"/>
    <cellStyle name="Note 52 2 2" xfId="12573" xr:uid="{00000000-0005-0000-0000-0000475D0000}"/>
    <cellStyle name="Note 52 2 2 2" xfId="23861" xr:uid="{00000000-0005-0000-0000-0000485D0000}"/>
    <cellStyle name="Note 52 2 3" xfId="10579" xr:uid="{00000000-0005-0000-0000-0000495D0000}"/>
    <cellStyle name="Note 52 2 3 2" xfId="21867" xr:uid="{00000000-0005-0000-0000-00004A5D0000}"/>
    <cellStyle name="Note 52 2 4" xfId="8585" xr:uid="{00000000-0005-0000-0000-00004B5D0000}"/>
    <cellStyle name="Note 52 2 4 2" xfId="19873" xr:uid="{00000000-0005-0000-0000-00004C5D0000}"/>
    <cellStyle name="Note 52 2 5" xfId="6591" xr:uid="{00000000-0005-0000-0000-00004D5D0000}"/>
    <cellStyle name="Note 52 2 5 2" xfId="17879" xr:uid="{00000000-0005-0000-0000-00004E5D0000}"/>
    <cellStyle name="Note 52 2 6" xfId="15885" xr:uid="{00000000-0005-0000-0000-00004F5D0000}"/>
    <cellStyle name="Note 52 3" xfId="11576" xr:uid="{00000000-0005-0000-0000-0000505D0000}"/>
    <cellStyle name="Note 52 3 2" xfId="22864" xr:uid="{00000000-0005-0000-0000-0000515D0000}"/>
    <cellStyle name="Note 52 4" xfId="9582" xr:uid="{00000000-0005-0000-0000-0000525D0000}"/>
    <cellStyle name="Note 52 4 2" xfId="20870" xr:uid="{00000000-0005-0000-0000-0000535D0000}"/>
    <cellStyle name="Note 52 5" xfId="7588" xr:uid="{00000000-0005-0000-0000-0000545D0000}"/>
    <cellStyle name="Note 52 5 2" xfId="18876" xr:uid="{00000000-0005-0000-0000-0000555D0000}"/>
    <cellStyle name="Note 52 6" xfId="5594" xr:uid="{00000000-0005-0000-0000-0000565D0000}"/>
    <cellStyle name="Note 52 6 2" xfId="16882" xr:uid="{00000000-0005-0000-0000-0000575D0000}"/>
    <cellStyle name="Note 52 7" xfId="14888" xr:uid="{00000000-0005-0000-0000-0000585D0000}"/>
    <cellStyle name="Note 52 8" xfId="13572" xr:uid="{00000000-0005-0000-0000-0000595D0000}"/>
    <cellStyle name="Note 53" xfId="3361" xr:uid="{00000000-0005-0000-0000-00005A5D0000}"/>
    <cellStyle name="Note 53 2" xfId="4595" xr:uid="{00000000-0005-0000-0000-00005B5D0000}"/>
    <cellStyle name="Note 53 2 2" xfId="12574" xr:uid="{00000000-0005-0000-0000-00005C5D0000}"/>
    <cellStyle name="Note 53 2 2 2" xfId="23862" xr:uid="{00000000-0005-0000-0000-00005D5D0000}"/>
    <cellStyle name="Note 53 2 3" xfId="10580" xr:uid="{00000000-0005-0000-0000-00005E5D0000}"/>
    <cellStyle name="Note 53 2 3 2" xfId="21868" xr:uid="{00000000-0005-0000-0000-00005F5D0000}"/>
    <cellStyle name="Note 53 2 4" xfId="8586" xr:uid="{00000000-0005-0000-0000-0000605D0000}"/>
    <cellStyle name="Note 53 2 4 2" xfId="19874" xr:uid="{00000000-0005-0000-0000-0000615D0000}"/>
    <cellStyle name="Note 53 2 5" xfId="6592" xr:uid="{00000000-0005-0000-0000-0000625D0000}"/>
    <cellStyle name="Note 53 2 5 2" xfId="17880" xr:uid="{00000000-0005-0000-0000-0000635D0000}"/>
    <cellStyle name="Note 53 2 6" xfId="15886" xr:uid="{00000000-0005-0000-0000-0000645D0000}"/>
    <cellStyle name="Note 53 3" xfId="11577" xr:uid="{00000000-0005-0000-0000-0000655D0000}"/>
    <cellStyle name="Note 53 3 2" xfId="22865" xr:uid="{00000000-0005-0000-0000-0000665D0000}"/>
    <cellStyle name="Note 53 4" xfId="9583" xr:uid="{00000000-0005-0000-0000-0000675D0000}"/>
    <cellStyle name="Note 53 4 2" xfId="20871" xr:uid="{00000000-0005-0000-0000-0000685D0000}"/>
    <cellStyle name="Note 53 5" xfId="7589" xr:uid="{00000000-0005-0000-0000-0000695D0000}"/>
    <cellStyle name="Note 53 5 2" xfId="18877" xr:uid="{00000000-0005-0000-0000-00006A5D0000}"/>
    <cellStyle name="Note 53 6" xfId="5595" xr:uid="{00000000-0005-0000-0000-00006B5D0000}"/>
    <cellStyle name="Note 53 6 2" xfId="16883" xr:uid="{00000000-0005-0000-0000-00006C5D0000}"/>
    <cellStyle name="Note 53 7" xfId="14889" xr:uid="{00000000-0005-0000-0000-00006D5D0000}"/>
    <cellStyle name="Note 53 8" xfId="13573" xr:uid="{00000000-0005-0000-0000-00006E5D0000}"/>
    <cellStyle name="Note 54" xfId="3362" xr:uid="{00000000-0005-0000-0000-00006F5D0000}"/>
    <cellStyle name="Note 54 2" xfId="4596" xr:uid="{00000000-0005-0000-0000-0000705D0000}"/>
    <cellStyle name="Note 54 2 2" xfId="12575" xr:uid="{00000000-0005-0000-0000-0000715D0000}"/>
    <cellStyle name="Note 54 2 2 2" xfId="23863" xr:uid="{00000000-0005-0000-0000-0000725D0000}"/>
    <cellStyle name="Note 54 2 3" xfId="10581" xr:uid="{00000000-0005-0000-0000-0000735D0000}"/>
    <cellStyle name="Note 54 2 3 2" xfId="21869" xr:uid="{00000000-0005-0000-0000-0000745D0000}"/>
    <cellStyle name="Note 54 2 4" xfId="8587" xr:uid="{00000000-0005-0000-0000-0000755D0000}"/>
    <cellStyle name="Note 54 2 4 2" xfId="19875" xr:uid="{00000000-0005-0000-0000-0000765D0000}"/>
    <cellStyle name="Note 54 2 5" xfId="6593" xr:uid="{00000000-0005-0000-0000-0000775D0000}"/>
    <cellStyle name="Note 54 2 5 2" xfId="17881" xr:uid="{00000000-0005-0000-0000-0000785D0000}"/>
    <cellStyle name="Note 54 2 6" xfId="15887" xr:uid="{00000000-0005-0000-0000-0000795D0000}"/>
    <cellStyle name="Note 54 3" xfId="11578" xr:uid="{00000000-0005-0000-0000-00007A5D0000}"/>
    <cellStyle name="Note 54 3 2" xfId="22866" xr:uid="{00000000-0005-0000-0000-00007B5D0000}"/>
    <cellStyle name="Note 54 4" xfId="9584" xr:uid="{00000000-0005-0000-0000-00007C5D0000}"/>
    <cellStyle name="Note 54 4 2" xfId="20872" xr:uid="{00000000-0005-0000-0000-00007D5D0000}"/>
    <cellStyle name="Note 54 5" xfId="7590" xr:uid="{00000000-0005-0000-0000-00007E5D0000}"/>
    <cellStyle name="Note 54 5 2" xfId="18878" xr:uid="{00000000-0005-0000-0000-00007F5D0000}"/>
    <cellStyle name="Note 54 6" xfId="5596" xr:uid="{00000000-0005-0000-0000-0000805D0000}"/>
    <cellStyle name="Note 54 6 2" xfId="16884" xr:uid="{00000000-0005-0000-0000-0000815D0000}"/>
    <cellStyle name="Note 54 7" xfId="14890" xr:uid="{00000000-0005-0000-0000-0000825D0000}"/>
    <cellStyle name="Note 54 8" xfId="13574" xr:uid="{00000000-0005-0000-0000-0000835D0000}"/>
    <cellStyle name="Note 55" xfId="3363" xr:uid="{00000000-0005-0000-0000-0000845D0000}"/>
    <cellStyle name="Note 55 2" xfId="4597" xr:uid="{00000000-0005-0000-0000-0000855D0000}"/>
    <cellStyle name="Note 55 2 2" xfId="12576" xr:uid="{00000000-0005-0000-0000-0000865D0000}"/>
    <cellStyle name="Note 55 2 2 2" xfId="23864" xr:uid="{00000000-0005-0000-0000-0000875D0000}"/>
    <cellStyle name="Note 55 2 3" xfId="10582" xr:uid="{00000000-0005-0000-0000-0000885D0000}"/>
    <cellStyle name="Note 55 2 3 2" xfId="21870" xr:uid="{00000000-0005-0000-0000-0000895D0000}"/>
    <cellStyle name="Note 55 2 4" xfId="8588" xr:uid="{00000000-0005-0000-0000-00008A5D0000}"/>
    <cellStyle name="Note 55 2 4 2" xfId="19876" xr:uid="{00000000-0005-0000-0000-00008B5D0000}"/>
    <cellStyle name="Note 55 2 5" xfId="6594" xr:uid="{00000000-0005-0000-0000-00008C5D0000}"/>
    <cellStyle name="Note 55 2 5 2" xfId="17882" xr:uid="{00000000-0005-0000-0000-00008D5D0000}"/>
    <cellStyle name="Note 55 2 6" xfId="15888" xr:uid="{00000000-0005-0000-0000-00008E5D0000}"/>
    <cellStyle name="Note 55 3" xfId="11579" xr:uid="{00000000-0005-0000-0000-00008F5D0000}"/>
    <cellStyle name="Note 55 3 2" xfId="22867" xr:uid="{00000000-0005-0000-0000-0000905D0000}"/>
    <cellStyle name="Note 55 4" xfId="9585" xr:uid="{00000000-0005-0000-0000-0000915D0000}"/>
    <cellStyle name="Note 55 4 2" xfId="20873" xr:uid="{00000000-0005-0000-0000-0000925D0000}"/>
    <cellStyle name="Note 55 5" xfId="7591" xr:uid="{00000000-0005-0000-0000-0000935D0000}"/>
    <cellStyle name="Note 55 5 2" xfId="18879" xr:uid="{00000000-0005-0000-0000-0000945D0000}"/>
    <cellStyle name="Note 55 6" xfId="5597" xr:uid="{00000000-0005-0000-0000-0000955D0000}"/>
    <cellStyle name="Note 55 6 2" xfId="16885" xr:uid="{00000000-0005-0000-0000-0000965D0000}"/>
    <cellStyle name="Note 55 7" xfId="14891" xr:uid="{00000000-0005-0000-0000-0000975D0000}"/>
    <cellStyle name="Note 55 8" xfId="13575" xr:uid="{00000000-0005-0000-0000-0000985D0000}"/>
    <cellStyle name="Note 56" xfId="3364" xr:uid="{00000000-0005-0000-0000-0000995D0000}"/>
    <cellStyle name="Note 56 2" xfId="4598" xr:uid="{00000000-0005-0000-0000-00009A5D0000}"/>
    <cellStyle name="Note 56 2 2" xfId="12577" xr:uid="{00000000-0005-0000-0000-00009B5D0000}"/>
    <cellStyle name="Note 56 2 2 2" xfId="23865" xr:uid="{00000000-0005-0000-0000-00009C5D0000}"/>
    <cellStyle name="Note 56 2 3" xfId="10583" xr:uid="{00000000-0005-0000-0000-00009D5D0000}"/>
    <cellStyle name="Note 56 2 3 2" xfId="21871" xr:uid="{00000000-0005-0000-0000-00009E5D0000}"/>
    <cellStyle name="Note 56 2 4" xfId="8589" xr:uid="{00000000-0005-0000-0000-00009F5D0000}"/>
    <cellStyle name="Note 56 2 4 2" xfId="19877" xr:uid="{00000000-0005-0000-0000-0000A05D0000}"/>
    <cellStyle name="Note 56 2 5" xfId="6595" xr:uid="{00000000-0005-0000-0000-0000A15D0000}"/>
    <cellStyle name="Note 56 2 5 2" xfId="17883" xr:uid="{00000000-0005-0000-0000-0000A25D0000}"/>
    <cellStyle name="Note 56 2 6" xfId="15889" xr:uid="{00000000-0005-0000-0000-0000A35D0000}"/>
    <cellStyle name="Note 56 3" xfId="11580" xr:uid="{00000000-0005-0000-0000-0000A45D0000}"/>
    <cellStyle name="Note 56 3 2" xfId="22868" xr:uid="{00000000-0005-0000-0000-0000A55D0000}"/>
    <cellStyle name="Note 56 4" xfId="9586" xr:uid="{00000000-0005-0000-0000-0000A65D0000}"/>
    <cellStyle name="Note 56 4 2" xfId="20874" xr:uid="{00000000-0005-0000-0000-0000A75D0000}"/>
    <cellStyle name="Note 56 5" xfId="7592" xr:uid="{00000000-0005-0000-0000-0000A85D0000}"/>
    <cellStyle name="Note 56 5 2" xfId="18880" xr:uid="{00000000-0005-0000-0000-0000A95D0000}"/>
    <cellStyle name="Note 56 6" xfId="5598" xr:uid="{00000000-0005-0000-0000-0000AA5D0000}"/>
    <cellStyle name="Note 56 6 2" xfId="16886" xr:uid="{00000000-0005-0000-0000-0000AB5D0000}"/>
    <cellStyle name="Note 56 7" xfId="14892" xr:uid="{00000000-0005-0000-0000-0000AC5D0000}"/>
    <cellStyle name="Note 56 8" xfId="13576" xr:uid="{00000000-0005-0000-0000-0000AD5D0000}"/>
    <cellStyle name="Note 57" xfId="3365" xr:uid="{00000000-0005-0000-0000-0000AE5D0000}"/>
    <cellStyle name="Note 57 2" xfId="4599" xr:uid="{00000000-0005-0000-0000-0000AF5D0000}"/>
    <cellStyle name="Note 57 2 2" xfId="12578" xr:uid="{00000000-0005-0000-0000-0000B05D0000}"/>
    <cellStyle name="Note 57 2 2 2" xfId="23866" xr:uid="{00000000-0005-0000-0000-0000B15D0000}"/>
    <cellStyle name="Note 57 2 3" xfId="10584" xr:uid="{00000000-0005-0000-0000-0000B25D0000}"/>
    <cellStyle name="Note 57 2 3 2" xfId="21872" xr:uid="{00000000-0005-0000-0000-0000B35D0000}"/>
    <cellStyle name="Note 57 2 4" xfId="8590" xr:uid="{00000000-0005-0000-0000-0000B45D0000}"/>
    <cellStyle name="Note 57 2 4 2" xfId="19878" xr:uid="{00000000-0005-0000-0000-0000B55D0000}"/>
    <cellStyle name="Note 57 2 5" xfId="6596" xr:uid="{00000000-0005-0000-0000-0000B65D0000}"/>
    <cellStyle name="Note 57 2 5 2" xfId="17884" xr:uid="{00000000-0005-0000-0000-0000B75D0000}"/>
    <cellStyle name="Note 57 2 6" xfId="15890" xr:uid="{00000000-0005-0000-0000-0000B85D0000}"/>
    <cellStyle name="Note 57 3" xfId="11581" xr:uid="{00000000-0005-0000-0000-0000B95D0000}"/>
    <cellStyle name="Note 57 3 2" xfId="22869" xr:uid="{00000000-0005-0000-0000-0000BA5D0000}"/>
    <cellStyle name="Note 57 4" xfId="9587" xr:uid="{00000000-0005-0000-0000-0000BB5D0000}"/>
    <cellStyle name="Note 57 4 2" xfId="20875" xr:uid="{00000000-0005-0000-0000-0000BC5D0000}"/>
    <cellStyle name="Note 57 5" xfId="7593" xr:uid="{00000000-0005-0000-0000-0000BD5D0000}"/>
    <cellStyle name="Note 57 5 2" xfId="18881" xr:uid="{00000000-0005-0000-0000-0000BE5D0000}"/>
    <cellStyle name="Note 57 6" xfId="5599" xr:uid="{00000000-0005-0000-0000-0000BF5D0000}"/>
    <cellStyle name="Note 57 6 2" xfId="16887" xr:uid="{00000000-0005-0000-0000-0000C05D0000}"/>
    <cellStyle name="Note 57 7" xfId="14893" xr:uid="{00000000-0005-0000-0000-0000C15D0000}"/>
    <cellStyle name="Note 57 8" xfId="13577" xr:uid="{00000000-0005-0000-0000-0000C25D0000}"/>
    <cellStyle name="Note 58" xfId="3366" xr:uid="{00000000-0005-0000-0000-0000C35D0000}"/>
    <cellStyle name="Note 58 2" xfId="4600" xr:uid="{00000000-0005-0000-0000-0000C45D0000}"/>
    <cellStyle name="Note 58 2 2" xfId="12579" xr:uid="{00000000-0005-0000-0000-0000C55D0000}"/>
    <cellStyle name="Note 58 2 2 2" xfId="23867" xr:uid="{00000000-0005-0000-0000-0000C65D0000}"/>
    <cellStyle name="Note 58 2 3" xfId="10585" xr:uid="{00000000-0005-0000-0000-0000C75D0000}"/>
    <cellStyle name="Note 58 2 3 2" xfId="21873" xr:uid="{00000000-0005-0000-0000-0000C85D0000}"/>
    <cellStyle name="Note 58 2 4" xfId="8591" xr:uid="{00000000-0005-0000-0000-0000C95D0000}"/>
    <cellStyle name="Note 58 2 4 2" xfId="19879" xr:uid="{00000000-0005-0000-0000-0000CA5D0000}"/>
    <cellStyle name="Note 58 2 5" xfId="6597" xr:uid="{00000000-0005-0000-0000-0000CB5D0000}"/>
    <cellStyle name="Note 58 2 5 2" xfId="17885" xr:uid="{00000000-0005-0000-0000-0000CC5D0000}"/>
    <cellStyle name="Note 58 2 6" xfId="15891" xr:uid="{00000000-0005-0000-0000-0000CD5D0000}"/>
    <cellStyle name="Note 58 3" xfId="11582" xr:uid="{00000000-0005-0000-0000-0000CE5D0000}"/>
    <cellStyle name="Note 58 3 2" xfId="22870" xr:uid="{00000000-0005-0000-0000-0000CF5D0000}"/>
    <cellStyle name="Note 58 4" xfId="9588" xr:uid="{00000000-0005-0000-0000-0000D05D0000}"/>
    <cellStyle name="Note 58 4 2" xfId="20876" xr:uid="{00000000-0005-0000-0000-0000D15D0000}"/>
    <cellStyle name="Note 58 5" xfId="7594" xr:uid="{00000000-0005-0000-0000-0000D25D0000}"/>
    <cellStyle name="Note 58 5 2" xfId="18882" xr:uid="{00000000-0005-0000-0000-0000D35D0000}"/>
    <cellStyle name="Note 58 6" xfId="5600" xr:uid="{00000000-0005-0000-0000-0000D45D0000}"/>
    <cellStyle name="Note 58 6 2" xfId="16888" xr:uid="{00000000-0005-0000-0000-0000D55D0000}"/>
    <cellStyle name="Note 58 7" xfId="14894" xr:uid="{00000000-0005-0000-0000-0000D65D0000}"/>
    <cellStyle name="Note 58 8" xfId="13578" xr:uid="{00000000-0005-0000-0000-0000D75D0000}"/>
    <cellStyle name="Note 59" xfId="3367" xr:uid="{00000000-0005-0000-0000-0000D85D0000}"/>
    <cellStyle name="Note 59 2" xfId="4601" xr:uid="{00000000-0005-0000-0000-0000D95D0000}"/>
    <cellStyle name="Note 59 2 2" xfId="12580" xr:uid="{00000000-0005-0000-0000-0000DA5D0000}"/>
    <cellStyle name="Note 59 2 2 2" xfId="23868" xr:uid="{00000000-0005-0000-0000-0000DB5D0000}"/>
    <cellStyle name="Note 59 2 3" xfId="10586" xr:uid="{00000000-0005-0000-0000-0000DC5D0000}"/>
    <cellStyle name="Note 59 2 3 2" xfId="21874" xr:uid="{00000000-0005-0000-0000-0000DD5D0000}"/>
    <cellStyle name="Note 59 2 4" xfId="8592" xr:uid="{00000000-0005-0000-0000-0000DE5D0000}"/>
    <cellStyle name="Note 59 2 4 2" xfId="19880" xr:uid="{00000000-0005-0000-0000-0000DF5D0000}"/>
    <cellStyle name="Note 59 2 5" xfId="6598" xr:uid="{00000000-0005-0000-0000-0000E05D0000}"/>
    <cellStyle name="Note 59 2 5 2" xfId="17886" xr:uid="{00000000-0005-0000-0000-0000E15D0000}"/>
    <cellStyle name="Note 59 2 6" xfId="15892" xr:uid="{00000000-0005-0000-0000-0000E25D0000}"/>
    <cellStyle name="Note 59 3" xfId="11583" xr:uid="{00000000-0005-0000-0000-0000E35D0000}"/>
    <cellStyle name="Note 59 3 2" xfId="22871" xr:uid="{00000000-0005-0000-0000-0000E45D0000}"/>
    <cellStyle name="Note 59 4" xfId="9589" xr:uid="{00000000-0005-0000-0000-0000E55D0000}"/>
    <cellStyle name="Note 59 4 2" xfId="20877" xr:uid="{00000000-0005-0000-0000-0000E65D0000}"/>
    <cellStyle name="Note 59 5" xfId="7595" xr:uid="{00000000-0005-0000-0000-0000E75D0000}"/>
    <cellStyle name="Note 59 5 2" xfId="18883" xr:uid="{00000000-0005-0000-0000-0000E85D0000}"/>
    <cellStyle name="Note 59 6" xfId="5601" xr:uid="{00000000-0005-0000-0000-0000E95D0000}"/>
    <cellStyle name="Note 59 6 2" xfId="16889" xr:uid="{00000000-0005-0000-0000-0000EA5D0000}"/>
    <cellStyle name="Note 59 7" xfId="14895" xr:uid="{00000000-0005-0000-0000-0000EB5D0000}"/>
    <cellStyle name="Note 59 8" xfId="13579" xr:uid="{00000000-0005-0000-0000-0000EC5D0000}"/>
    <cellStyle name="Note 6" xfId="3368" xr:uid="{00000000-0005-0000-0000-0000ED5D0000}"/>
    <cellStyle name="Note 6 10" xfId="24756" xr:uid="{00000000-0005-0000-0000-0000EE5D0000}"/>
    <cellStyle name="Note 6 11" xfId="25078" xr:uid="{00000000-0005-0000-0000-0000EF5D0000}"/>
    <cellStyle name="Note 6 2" xfId="4602" xr:uid="{00000000-0005-0000-0000-0000F05D0000}"/>
    <cellStyle name="Note 6 2 2" xfId="12581" xr:uid="{00000000-0005-0000-0000-0000F15D0000}"/>
    <cellStyle name="Note 6 2 2 2" xfId="23869" xr:uid="{00000000-0005-0000-0000-0000F25D0000}"/>
    <cellStyle name="Note 6 2 3" xfId="10587" xr:uid="{00000000-0005-0000-0000-0000F35D0000}"/>
    <cellStyle name="Note 6 2 3 2" xfId="21875" xr:uid="{00000000-0005-0000-0000-0000F45D0000}"/>
    <cellStyle name="Note 6 2 4" xfId="8593" xr:uid="{00000000-0005-0000-0000-0000F55D0000}"/>
    <cellStyle name="Note 6 2 4 2" xfId="19881" xr:uid="{00000000-0005-0000-0000-0000F65D0000}"/>
    <cellStyle name="Note 6 2 5" xfId="6599" xr:uid="{00000000-0005-0000-0000-0000F75D0000}"/>
    <cellStyle name="Note 6 2 5 2" xfId="17887" xr:uid="{00000000-0005-0000-0000-0000F85D0000}"/>
    <cellStyle name="Note 6 2 6" xfId="15893" xr:uid="{00000000-0005-0000-0000-0000F95D0000}"/>
    <cellStyle name="Note 6 2 7" xfId="24460" xr:uid="{00000000-0005-0000-0000-0000FA5D0000}"/>
    <cellStyle name="Note 6 2 8" xfId="24904" xr:uid="{00000000-0005-0000-0000-0000FB5D0000}"/>
    <cellStyle name="Note 6 2 9" xfId="25266" xr:uid="{00000000-0005-0000-0000-0000FC5D0000}"/>
    <cellStyle name="Note 6 3" xfId="11584" xr:uid="{00000000-0005-0000-0000-0000FD5D0000}"/>
    <cellStyle name="Note 6 3 2" xfId="22872" xr:uid="{00000000-0005-0000-0000-0000FE5D0000}"/>
    <cellStyle name="Note 6 4" xfId="9590" xr:uid="{00000000-0005-0000-0000-0000FF5D0000}"/>
    <cellStyle name="Note 6 4 2" xfId="20878" xr:uid="{00000000-0005-0000-0000-0000005E0000}"/>
    <cellStyle name="Note 6 5" xfId="7596" xr:uid="{00000000-0005-0000-0000-0000015E0000}"/>
    <cellStyle name="Note 6 5 2" xfId="18884" xr:uid="{00000000-0005-0000-0000-0000025E0000}"/>
    <cellStyle name="Note 6 6" xfId="5602" xr:uid="{00000000-0005-0000-0000-0000035E0000}"/>
    <cellStyle name="Note 6 6 2" xfId="16890" xr:uid="{00000000-0005-0000-0000-0000045E0000}"/>
    <cellStyle name="Note 6 7" xfId="14896" xr:uid="{00000000-0005-0000-0000-0000055E0000}"/>
    <cellStyle name="Note 6 8" xfId="13580" xr:uid="{00000000-0005-0000-0000-0000065E0000}"/>
    <cellStyle name="Note 6 9" xfId="24194" xr:uid="{00000000-0005-0000-0000-0000075E0000}"/>
    <cellStyle name="Note 60" xfId="3369" xr:uid="{00000000-0005-0000-0000-0000085E0000}"/>
    <cellStyle name="Note 60 2" xfId="4603" xr:uid="{00000000-0005-0000-0000-0000095E0000}"/>
    <cellStyle name="Note 60 2 2" xfId="12582" xr:uid="{00000000-0005-0000-0000-00000A5E0000}"/>
    <cellStyle name="Note 60 2 2 2" xfId="23870" xr:uid="{00000000-0005-0000-0000-00000B5E0000}"/>
    <cellStyle name="Note 60 2 3" xfId="10588" xr:uid="{00000000-0005-0000-0000-00000C5E0000}"/>
    <cellStyle name="Note 60 2 3 2" xfId="21876" xr:uid="{00000000-0005-0000-0000-00000D5E0000}"/>
    <cellStyle name="Note 60 2 4" xfId="8594" xr:uid="{00000000-0005-0000-0000-00000E5E0000}"/>
    <cellStyle name="Note 60 2 4 2" xfId="19882" xr:uid="{00000000-0005-0000-0000-00000F5E0000}"/>
    <cellStyle name="Note 60 2 5" xfId="6600" xr:uid="{00000000-0005-0000-0000-0000105E0000}"/>
    <cellStyle name="Note 60 2 5 2" xfId="17888" xr:uid="{00000000-0005-0000-0000-0000115E0000}"/>
    <cellStyle name="Note 60 2 6" xfId="15894" xr:uid="{00000000-0005-0000-0000-0000125E0000}"/>
    <cellStyle name="Note 60 3" xfId="11585" xr:uid="{00000000-0005-0000-0000-0000135E0000}"/>
    <cellStyle name="Note 60 3 2" xfId="22873" xr:uid="{00000000-0005-0000-0000-0000145E0000}"/>
    <cellStyle name="Note 60 4" xfId="9591" xr:uid="{00000000-0005-0000-0000-0000155E0000}"/>
    <cellStyle name="Note 60 4 2" xfId="20879" xr:uid="{00000000-0005-0000-0000-0000165E0000}"/>
    <cellStyle name="Note 60 5" xfId="7597" xr:uid="{00000000-0005-0000-0000-0000175E0000}"/>
    <cellStyle name="Note 60 5 2" xfId="18885" xr:uid="{00000000-0005-0000-0000-0000185E0000}"/>
    <cellStyle name="Note 60 6" xfId="5603" xr:uid="{00000000-0005-0000-0000-0000195E0000}"/>
    <cellStyle name="Note 60 6 2" xfId="16891" xr:uid="{00000000-0005-0000-0000-00001A5E0000}"/>
    <cellStyle name="Note 60 7" xfId="14897" xr:uid="{00000000-0005-0000-0000-00001B5E0000}"/>
    <cellStyle name="Note 60 8" xfId="13581" xr:uid="{00000000-0005-0000-0000-00001C5E0000}"/>
    <cellStyle name="Note 61" xfId="3370" xr:uid="{00000000-0005-0000-0000-00001D5E0000}"/>
    <cellStyle name="Note 61 2" xfId="4604" xr:uid="{00000000-0005-0000-0000-00001E5E0000}"/>
    <cellStyle name="Note 61 2 2" xfId="12583" xr:uid="{00000000-0005-0000-0000-00001F5E0000}"/>
    <cellStyle name="Note 61 2 2 2" xfId="23871" xr:uid="{00000000-0005-0000-0000-0000205E0000}"/>
    <cellStyle name="Note 61 2 3" xfId="10589" xr:uid="{00000000-0005-0000-0000-0000215E0000}"/>
    <cellStyle name="Note 61 2 3 2" xfId="21877" xr:uid="{00000000-0005-0000-0000-0000225E0000}"/>
    <cellStyle name="Note 61 2 4" xfId="8595" xr:uid="{00000000-0005-0000-0000-0000235E0000}"/>
    <cellStyle name="Note 61 2 4 2" xfId="19883" xr:uid="{00000000-0005-0000-0000-0000245E0000}"/>
    <cellStyle name="Note 61 2 5" xfId="6601" xr:uid="{00000000-0005-0000-0000-0000255E0000}"/>
    <cellStyle name="Note 61 2 5 2" xfId="17889" xr:uid="{00000000-0005-0000-0000-0000265E0000}"/>
    <cellStyle name="Note 61 2 6" xfId="15895" xr:uid="{00000000-0005-0000-0000-0000275E0000}"/>
    <cellStyle name="Note 61 3" xfId="11586" xr:uid="{00000000-0005-0000-0000-0000285E0000}"/>
    <cellStyle name="Note 61 3 2" xfId="22874" xr:uid="{00000000-0005-0000-0000-0000295E0000}"/>
    <cellStyle name="Note 61 4" xfId="9592" xr:uid="{00000000-0005-0000-0000-00002A5E0000}"/>
    <cellStyle name="Note 61 4 2" xfId="20880" xr:uid="{00000000-0005-0000-0000-00002B5E0000}"/>
    <cellStyle name="Note 61 5" xfId="7598" xr:uid="{00000000-0005-0000-0000-00002C5E0000}"/>
    <cellStyle name="Note 61 5 2" xfId="18886" xr:uid="{00000000-0005-0000-0000-00002D5E0000}"/>
    <cellStyle name="Note 61 6" xfId="5604" xr:uid="{00000000-0005-0000-0000-00002E5E0000}"/>
    <cellStyle name="Note 61 6 2" xfId="16892" xr:uid="{00000000-0005-0000-0000-00002F5E0000}"/>
    <cellStyle name="Note 61 7" xfId="14898" xr:uid="{00000000-0005-0000-0000-0000305E0000}"/>
    <cellStyle name="Note 61 8" xfId="13582" xr:uid="{00000000-0005-0000-0000-0000315E0000}"/>
    <cellStyle name="Note 62" xfId="3371" xr:uid="{00000000-0005-0000-0000-0000325E0000}"/>
    <cellStyle name="Note 62 2" xfId="4605" xr:uid="{00000000-0005-0000-0000-0000335E0000}"/>
    <cellStyle name="Note 62 2 2" xfId="12584" xr:uid="{00000000-0005-0000-0000-0000345E0000}"/>
    <cellStyle name="Note 62 2 2 2" xfId="23872" xr:uid="{00000000-0005-0000-0000-0000355E0000}"/>
    <cellStyle name="Note 62 2 3" xfId="10590" xr:uid="{00000000-0005-0000-0000-0000365E0000}"/>
    <cellStyle name="Note 62 2 3 2" xfId="21878" xr:uid="{00000000-0005-0000-0000-0000375E0000}"/>
    <cellStyle name="Note 62 2 4" xfId="8596" xr:uid="{00000000-0005-0000-0000-0000385E0000}"/>
    <cellStyle name="Note 62 2 4 2" xfId="19884" xr:uid="{00000000-0005-0000-0000-0000395E0000}"/>
    <cellStyle name="Note 62 2 5" xfId="6602" xr:uid="{00000000-0005-0000-0000-00003A5E0000}"/>
    <cellStyle name="Note 62 2 5 2" xfId="17890" xr:uid="{00000000-0005-0000-0000-00003B5E0000}"/>
    <cellStyle name="Note 62 2 6" xfId="15896" xr:uid="{00000000-0005-0000-0000-00003C5E0000}"/>
    <cellStyle name="Note 62 3" xfId="11587" xr:uid="{00000000-0005-0000-0000-00003D5E0000}"/>
    <cellStyle name="Note 62 3 2" xfId="22875" xr:uid="{00000000-0005-0000-0000-00003E5E0000}"/>
    <cellStyle name="Note 62 4" xfId="9593" xr:uid="{00000000-0005-0000-0000-00003F5E0000}"/>
    <cellStyle name="Note 62 4 2" xfId="20881" xr:uid="{00000000-0005-0000-0000-0000405E0000}"/>
    <cellStyle name="Note 62 5" xfId="7599" xr:uid="{00000000-0005-0000-0000-0000415E0000}"/>
    <cellStyle name="Note 62 5 2" xfId="18887" xr:uid="{00000000-0005-0000-0000-0000425E0000}"/>
    <cellStyle name="Note 62 6" xfId="5605" xr:uid="{00000000-0005-0000-0000-0000435E0000}"/>
    <cellStyle name="Note 62 6 2" xfId="16893" xr:uid="{00000000-0005-0000-0000-0000445E0000}"/>
    <cellStyle name="Note 62 7" xfId="14899" xr:uid="{00000000-0005-0000-0000-0000455E0000}"/>
    <cellStyle name="Note 62 8" xfId="13583" xr:uid="{00000000-0005-0000-0000-0000465E0000}"/>
    <cellStyle name="Note 63" xfId="3372" xr:uid="{00000000-0005-0000-0000-0000475E0000}"/>
    <cellStyle name="Note 63 2" xfId="4606" xr:uid="{00000000-0005-0000-0000-0000485E0000}"/>
    <cellStyle name="Note 63 2 2" xfId="12585" xr:uid="{00000000-0005-0000-0000-0000495E0000}"/>
    <cellStyle name="Note 63 2 2 2" xfId="23873" xr:uid="{00000000-0005-0000-0000-00004A5E0000}"/>
    <cellStyle name="Note 63 2 3" xfId="10591" xr:uid="{00000000-0005-0000-0000-00004B5E0000}"/>
    <cellStyle name="Note 63 2 3 2" xfId="21879" xr:uid="{00000000-0005-0000-0000-00004C5E0000}"/>
    <cellStyle name="Note 63 2 4" xfId="8597" xr:uid="{00000000-0005-0000-0000-00004D5E0000}"/>
    <cellStyle name="Note 63 2 4 2" xfId="19885" xr:uid="{00000000-0005-0000-0000-00004E5E0000}"/>
    <cellStyle name="Note 63 2 5" xfId="6603" xr:uid="{00000000-0005-0000-0000-00004F5E0000}"/>
    <cellStyle name="Note 63 2 5 2" xfId="17891" xr:uid="{00000000-0005-0000-0000-0000505E0000}"/>
    <cellStyle name="Note 63 2 6" xfId="15897" xr:uid="{00000000-0005-0000-0000-0000515E0000}"/>
    <cellStyle name="Note 63 3" xfId="11588" xr:uid="{00000000-0005-0000-0000-0000525E0000}"/>
    <cellStyle name="Note 63 3 2" xfId="22876" xr:uid="{00000000-0005-0000-0000-0000535E0000}"/>
    <cellStyle name="Note 63 4" xfId="9594" xr:uid="{00000000-0005-0000-0000-0000545E0000}"/>
    <cellStyle name="Note 63 4 2" xfId="20882" xr:uid="{00000000-0005-0000-0000-0000555E0000}"/>
    <cellStyle name="Note 63 5" xfId="7600" xr:uid="{00000000-0005-0000-0000-0000565E0000}"/>
    <cellStyle name="Note 63 5 2" xfId="18888" xr:uid="{00000000-0005-0000-0000-0000575E0000}"/>
    <cellStyle name="Note 63 6" xfId="5606" xr:uid="{00000000-0005-0000-0000-0000585E0000}"/>
    <cellStyle name="Note 63 6 2" xfId="16894" xr:uid="{00000000-0005-0000-0000-0000595E0000}"/>
    <cellStyle name="Note 63 7" xfId="14900" xr:uid="{00000000-0005-0000-0000-00005A5E0000}"/>
    <cellStyle name="Note 63 8" xfId="13584" xr:uid="{00000000-0005-0000-0000-00005B5E0000}"/>
    <cellStyle name="Note 64" xfId="3373" xr:uid="{00000000-0005-0000-0000-00005C5E0000}"/>
    <cellStyle name="Note 64 2" xfId="4607" xr:uid="{00000000-0005-0000-0000-00005D5E0000}"/>
    <cellStyle name="Note 64 2 2" xfId="12586" xr:uid="{00000000-0005-0000-0000-00005E5E0000}"/>
    <cellStyle name="Note 64 2 2 2" xfId="23874" xr:uid="{00000000-0005-0000-0000-00005F5E0000}"/>
    <cellStyle name="Note 64 2 3" xfId="10592" xr:uid="{00000000-0005-0000-0000-0000605E0000}"/>
    <cellStyle name="Note 64 2 3 2" xfId="21880" xr:uid="{00000000-0005-0000-0000-0000615E0000}"/>
    <cellStyle name="Note 64 2 4" xfId="8598" xr:uid="{00000000-0005-0000-0000-0000625E0000}"/>
    <cellStyle name="Note 64 2 4 2" xfId="19886" xr:uid="{00000000-0005-0000-0000-0000635E0000}"/>
    <cellStyle name="Note 64 2 5" xfId="6604" xr:uid="{00000000-0005-0000-0000-0000645E0000}"/>
    <cellStyle name="Note 64 2 5 2" xfId="17892" xr:uid="{00000000-0005-0000-0000-0000655E0000}"/>
    <cellStyle name="Note 64 2 6" xfId="15898" xr:uid="{00000000-0005-0000-0000-0000665E0000}"/>
    <cellStyle name="Note 64 3" xfId="11589" xr:uid="{00000000-0005-0000-0000-0000675E0000}"/>
    <cellStyle name="Note 64 3 2" xfId="22877" xr:uid="{00000000-0005-0000-0000-0000685E0000}"/>
    <cellStyle name="Note 64 4" xfId="9595" xr:uid="{00000000-0005-0000-0000-0000695E0000}"/>
    <cellStyle name="Note 64 4 2" xfId="20883" xr:uid="{00000000-0005-0000-0000-00006A5E0000}"/>
    <cellStyle name="Note 64 5" xfId="7601" xr:uid="{00000000-0005-0000-0000-00006B5E0000}"/>
    <cellStyle name="Note 64 5 2" xfId="18889" xr:uid="{00000000-0005-0000-0000-00006C5E0000}"/>
    <cellStyle name="Note 64 6" xfId="5607" xr:uid="{00000000-0005-0000-0000-00006D5E0000}"/>
    <cellStyle name="Note 64 6 2" xfId="16895" xr:uid="{00000000-0005-0000-0000-00006E5E0000}"/>
    <cellStyle name="Note 64 7" xfId="14901" xr:uid="{00000000-0005-0000-0000-00006F5E0000}"/>
    <cellStyle name="Note 64 8" xfId="13585" xr:uid="{00000000-0005-0000-0000-0000705E0000}"/>
    <cellStyle name="Note 65" xfId="3374" xr:uid="{00000000-0005-0000-0000-0000715E0000}"/>
    <cellStyle name="Note 65 2" xfId="4608" xr:uid="{00000000-0005-0000-0000-0000725E0000}"/>
    <cellStyle name="Note 65 2 2" xfId="12587" xr:uid="{00000000-0005-0000-0000-0000735E0000}"/>
    <cellStyle name="Note 65 2 2 2" xfId="23875" xr:uid="{00000000-0005-0000-0000-0000745E0000}"/>
    <cellStyle name="Note 65 2 3" xfId="10593" xr:uid="{00000000-0005-0000-0000-0000755E0000}"/>
    <cellStyle name="Note 65 2 3 2" xfId="21881" xr:uid="{00000000-0005-0000-0000-0000765E0000}"/>
    <cellStyle name="Note 65 2 4" xfId="8599" xr:uid="{00000000-0005-0000-0000-0000775E0000}"/>
    <cellStyle name="Note 65 2 4 2" xfId="19887" xr:uid="{00000000-0005-0000-0000-0000785E0000}"/>
    <cellStyle name="Note 65 2 5" xfId="6605" xr:uid="{00000000-0005-0000-0000-0000795E0000}"/>
    <cellStyle name="Note 65 2 5 2" xfId="17893" xr:uid="{00000000-0005-0000-0000-00007A5E0000}"/>
    <cellStyle name="Note 65 2 6" xfId="15899" xr:uid="{00000000-0005-0000-0000-00007B5E0000}"/>
    <cellStyle name="Note 65 3" xfId="11590" xr:uid="{00000000-0005-0000-0000-00007C5E0000}"/>
    <cellStyle name="Note 65 3 2" xfId="22878" xr:uid="{00000000-0005-0000-0000-00007D5E0000}"/>
    <cellStyle name="Note 65 4" xfId="9596" xr:uid="{00000000-0005-0000-0000-00007E5E0000}"/>
    <cellStyle name="Note 65 4 2" xfId="20884" xr:uid="{00000000-0005-0000-0000-00007F5E0000}"/>
    <cellStyle name="Note 65 5" xfId="7602" xr:uid="{00000000-0005-0000-0000-0000805E0000}"/>
    <cellStyle name="Note 65 5 2" xfId="18890" xr:uid="{00000000-0005-0000-0000-0000815E0000}"/>
    <cellStyle name="Note 65 6" xfId="5608" xr:uid="{00000000-0005-0000-0000-0000825E0000}"/>
    <cellStyle name="Note 65 6 2" xfId="16896" xr:uid="{00000000-0005-0000-0000-0000835E0000}"/>
    <cellStyle name="Note 65 7" xfId="14902" xr:uid="{00000000-0005-0000-0000-0000845E0000}"/>
    <cellStyle name="Note 65 8" xfId="13586" xr:uid="{00000000-0005-0000-0000-0000855E0000}"/>
    <cellStyle name="Note 66" xfId="3375" xr:uid="{00000000-0005-0000-0000-0000865E0000}"/>
    <cellStyle name="Note 66 2" xfId="4609" xr:uid="{00000000-0005-0000-0000-0000875E0000}"/>
    <cellStyle name="Note 66 2 2" xfId="12588" xr:uid="{00000000-0005-0000-0000-0000885E0000}"/>
    <cellStyle name="Note 66 2 2 2" xfId="23876" xr:uid="{00000000-0005-0000-0000-0000895E0000}"/>
    <cellStyle name="Note 66 2 3" xfId="10594" xr:uid="{00000000-0005-0000-0000-00008A5E0000}"/>
    <cellStyle name="Note 66 2 3 2" xfId="21882" xr:uid="{00000000-0005-0000-0000-00008B5E0000}"/>
    <cellStyle name="Note 66 2 4" xfId="8600" xr:uid="{00000000-0005-0000-0000-00008C5E0000}"/>
    <cellStyle name="Note 66 2 4 2" xfId="19888" xr:uid="{00000000-0005-0000-0000-00008D5E0000}"/>
    <cellStyle name="Note 66 2 5" xfId="6606" xr:uid="{00000000-0005-0000-0000-00008E5E0000}"/>
    <cellStyle name="Note 66 2 5 2" xfId="17894" xr:uid="{00000000-0005-0000-0000-00008F5E0000}"/>
    <cellStyle name="Note 66 2 6" xfId="15900" xr:uid="{00000000-0005-0000-0000-0000905E0000}"/>
    <cellStyle name="Note 66 3" xfId="11591" xr:uid="{00000000-0005-0000-0000-0000915E0000}"/>
    <cellStyle name="Note 66 3 2" xfId="22879" xr:uid="{00000000-0005-0000-0000-0000925E0000}"/>
    <cellStyle name="Note 66 4" xfId="9597" xr:uid="{00000000-0005-0000-0000-0000935E0000}"/>
    <cellStyle name="Note 66 4 2" xfId="20885" xr:uid="{00000000-0005-0000-0000-0000945E0000}"/>
    <cellStyle name="Note 66 5" xfId="7603" xr:uid="{00000000-0005-0000-0000-0000955E0000}"/>
    <cellStyle name="Note 66 5 2" xfId="18891" xr:uid="{00000000-0005-0000-0000-0000965E0000}"/>
    <cellStyle name="Note 66 6" xfId="5609" xr:uid="{00000000-0005-0000-0000-0000975E0000}"/>
    <cellStyle name="Note 66 6 2" xfId="16897" xr:uid="{00000000-0005-0000-0000-0000985E0000}"/>
    <cellStyle name="Note 66 7" xfId="14903" xr:uid="{00000000-0005-0000-0000-0000995E0000}"/>
    <cellStyle name="Note 66 8" xfId="13587" xr:uid="{00000000-0005-0000-0000-00009A5E0000}"/>
    <cellStyle name="Note 67" xfId="3376" xr:uid="{00000000-0005-0000-0000-00009B5E0000}"/>
    <cellStyle name="Note 67 2" xfId="4610" xr:uid="{00000000-0005-0000-0000-00009C5E0000}"/>
    <cellStyle name="Note 67 2 2" xfId="12589" xr:uid="{00000000-0005-0000-0000-00009D5E0000}"/>
    <cellStyle name="Note 67 2 2 2" xfId="23877" xr:uid="{00000000-0005-0000-0000-00009E5E0000}"/>
    <cellStyle name="Note 67 2 3" xfId="10595" xr:uid="{00000000-0005-0000-0000-00009F5E0000}"/>
    <cellStyle name="Note 67 2 3 2" xfId="21883" xr:uid="{00000000-0005-0000-0000-0000A05E0000}"/>
    <cellStyle name="Note 67 2 4" xfId="8601" xr:uid="{00000000-0005-0000-0000-0000A15E0000}"/>
    <cellStyle name="Note 67 2 4 2" xfId="19889" xr:uid="{00000000-0005-0000-0000-0000A25E0000}"/>
    <cellStyle name="Note 67 2 5" xfId="6607" xr:uid="{00000000-0005-0000-0000-0000A35E0000}"/>
    <cellStyle name="Note 67 2 5 2" xfId="17895" xr:uid="{00000000-0005-0000-0000-0000A45E0000}"/>
    <cellStyle name="Note 67 2 6" xfId="15901" xr:uid="{00000000-0005-0000-0000-0000A55E0000}"/>
    <cellStyle name="Note 67 3" xfId="11592" xr:uid="{00000000-0005-0000-0000-0000A65E0000}"/>
    <cellStyle name="Note 67 3 2" xfId="22880" xr:uid="{00000000-0005-0000-0000-0000A75E0000}"/>
    <cellStyle name="Note 67 4" xfId="9598" xr:uid="{00000000-0005-0000-0000-0000A85E0000}"/>
    <cellStyle name="Note 67 4 2" xfId="20886" xr:uid="{00000000-0005-0000-0000-0000A95E0000}"/>
    <cellStyle name="Note 67 5" xfId="7604" xr:uid="{00000000-0005-0000-0000-0000AA5E0000}"/>
    <cellStyle name="Note 67 5 2" xfId="18892" xr:uid="{00000000-0005-0000-0000-0000AB5E0000}"/>
    <cellStyle name="Note 67 6" xfId="5610" xr:uid="{00000000-0005-0000-0000-0000AC5E0000}"/>
    <cellStyle name="Note 67 6 2" xfId="16898" xr:uid="{00000000-0005-0000-0000-0000AD5E0000}"/>
    <cellStyle name="Note 67 7" xfId="14904" xr:uid="{00000000-0005-0000-0000-0000AE5E0000}"/>
    <cellStyle name="Note 67 8" xfId="13588" xr:uid="{00000000-0005-0000-0000-0000AF5E0000}"/>
    <cellStyle name="Note 68" xfId="3377" xr:uid="{00000000-0005-0000-0000-0000B05E0000}"/>
    <cellStyle name="Note 68 2" xfId="4611" xr:uid="{00000000-0005-0000-0000-0000B15E0000}"/>
    <cellStyle name="Note 68 2 2" xfId="12590" xr:uid="{00000000-0005-0000-0000-0000B25E0000}"/>
    <cellStyle name="Note 68 2 2 2" xfId="23878" xr:uid="{00000000-0005-0000-0000-0000B35E0000}"/>
    <cellStyle name="Note 68 2 3" xfId="10596" xr:uid="{00000000-0005-0000-0000-0000B45E0000}"/>
    <cellStyle name="Note 68 2 3 2" xfId="21884" xr:uid="{00000000-0005-0000-0000-0000B55E0000}"/>
    <cellStyle name="Note 68 2 4" xfId="8602" xr:uid="{00000000-0005-0000-0000-0000B65E0000}"/>
    <cellStyle name="Note 68 2 4 2" xfId="19890" xr:uid="{00000000-0005-0000-0000-0000B75E0000}"/>
    <cellStyle name="Note 68 2 5" xfId="6608" xr:uid="{00000000-0005-0000-0000-0000B85E0000}"/>
    <cellStyle name="Note 68 2 5 2" xfId="17896" xr:uid="{00000000-0005-0000-0000-0000B95E0000}"/>
    <cellStyle name="Note 68 2 6" xfId="15902" xr:uid="{00000000-0005-0000-0000-0000BA5E0000}"/>
    <cellStyle name="Note 68 3" xfId="11593" xr:uid="{00000000-0005-0000-0000-0000BB5E0000}"/>
    <cellStyle name="Note 68 3 2" xfId="22881" xr:uid="{00000000-0005-0000-0000-0000BC5E0000}"/>
    <cellStyle name="Note 68 4" xfId="9599" xr:uid="{00000000-0005-0000-0000-0000BD5E0000}"/>
    <cellStyle name="Note 68 4 2" xfId="20887" xr:uid="{00000000-0005-0000-0000-0000BE5E0000}"/>
    <cellStyle name="Note 68 5" xfId="7605" xr:uid="{00000000-0005-0000-0000-0000BF5E0000}"/>
    <cellStyle name="Note 68 5 2" xfId="18893" xr:uid="{00000000-0005-0000-0000-0000C05E0000}"/>
    <cellStyle name="Note 68 6" xfId="5611" xr:uid="{00000000-0005-0000-0000-0000C15E0000}"/>
    <cellStyle name="Note 68 6 2" xfId="16899" xr:uid="{00000000-0005-0000-0000-0000C25E0000}"/>
    <cellStyle name="Note 68 7" xfId="14905" xr:uid="{00000000-0005-0000-0000-0000C35E0000}"/>
    <cellStyle name="Note 68 8" xfId="13589" xr:uid="{00000000-0005-0000-0000-0000C45E0000}"/>
    <cellStyle name="Note 69" xfId="3378" xr:uid="{00000000-0005-0000-0000-0000C55E0000}"/>
    <cellStyle name="Note 69 2" xfId="4612" xr:uid="{00000000-0005-0000-0000-0000C65E0000}"/>
    <cellStyle name="Note 69 2 2" xfId="12591" xr:uid="{00000000-0005-0000-0000-0000C75E0000}"/>
    <cellStyle name="Note 69 2 2 2" xfId="23879" xr:uid="{00000000-0005-0000-0000-0000C85E0000}"/>
    <cellStyle name="Note 69 2 3" xfId="10597" xr:uid="{00000000-0005-0000-0000-0000C95E0000}"/>
    <cellStyle name="Note 69 2 3 2" xfId="21885" xr:uid="{00000000-0005-0000-0000-0000CA5E0000}"/>
    <cellStyle name="Note 69 2 4" xfId="8603" xr:uid="{00000000-0005-0000-0000-0000CB5E0000}"/>
    <cellStyle name="Note 69 2 4 2" xfId="19891" xr:uid="{00000000-0005-0000-0000-0000CC5E0000}"/>
    <cellStyle name="Note 69 2 5" xfId="6609" xr:uid="{00000000-0005-0000-0000-0000CD5E0000}"/>
    <cellStyle name="Note 69 2 5 2" xfId="17897" xr:uid="{00000000-0005-0000-0000-0000CE5E0000}"/>
    <cellStyle name="Note 69 2 6" xfId="15903" xr:uid="{00000000-0005-0000-0000-0000CF5E0000}"/>
    <cellStyle name="Note 69 3" xfId="11594" xr:uid="{00000000-0005-0000-0000-0000D05E0000}"/>
    <cellStyle name="Note 69 3 2" xfId="22882" xr:uid="{00000000-0005-0000-0000-0000D15E0000}"/>
    <cellStyle name="Note 69 4" xfId="9600" xr:uid="{00000000-0005-0000-0000-0000D25E0000}"/>
    <cellStyle name="Note 69 4 2" xfId="20888" xr:uid="{00000000-0005-0000-0000-0000D35E0000}"/>
    <cellStyle name="Note 69 5" xfId="7606" xr:uid="{00000000-0005-0000-0000-0000D45E0000}"/>
    <cellStyle name="Note 69 5 2" xfId="18894" xr:uid="{00000000-0005-0000-0000-0000D55E0000}"/>
    <cellStyle name="Note 69 6" xfId="5612" xr:uid="{00000000-0005-0000-0000-0000D65E0000}"/>
    <cellStyle name="Note 69 6 2" xfId="16900" xr:uid="{00000000-0005-0000-0000-0000D75E0000}"/>
    <cellStyle name="Note 69 7" xfId="14906" xr:uid="{00000000-0005-0000-0000-0000D85E0000}"/>
    <cellStyle name="Note 69 8" xfId="13590" xr:uid="{00000000-0005-0000-0000-0000D95E0000}"/>
    <cellStyle name="Note 7" xfId="3379" xr:uid="{00000000-0005-0000-0000-0000DA5E0000}"/>
    <cellStyle name="Note 7 10" xfId="24757" xr:uid="{00000000-0005-0000-0000-0000DB5E0000}"/>
    <cellStyle name="Note 7 11" xfId="25079" xr:uid="{00000000-0005-0000-0000-0000DC5E0000}"/>
    <cellStyle name="Note 7 2" xfId="4613" xr:uid="{00000000-0005-0000-0000-0000DD5E0000}"/>
    <cellStyle name="Note 7 2 2" xfId="12592" xr:uid="{00000000-0005-0000-0000-0000DE5E0000}"/>
    <cellStyle name="Note 7 2 2 2" xfId="23880" xr:uid="{00000000-0005-0000-0000-0000DF5E0000}"/>
    <cellStyle name="Note 7 2 3" xfId="10598" xr:uid="{00000000-0005-0000-0000-0000E05E0000}"/>
    <cellStyle name="Note 7 2 3 2" xfId="21886" xr:uid="{00000000-0005-0000-0000-0000E15E0000}"/>
    <cellStyle name="Note 7 2 4" xfId="8604" xr:uid="{00000000-0005-0000-0000-0000E25E0000}"/>
    <cellStyle name="Note 7 2 4 2" xfId="19892" xr:uid="{00000000-0005-0000-0000-0000E35E0000}"/>
    <cellStyle name="Note 7 2 5" xfId="6610" xr:uid="{00000000-0005-0000-0000-0000E45E0000}"/>
    <cellStyle name="Note 7 2 5 2" xfId="17898" xr:uid="{00000000-0005-0000-0000-0000E55E0000}"/>
    <cellStyle name="Note 7 2 6" xfId="15904" xr:uid="{00000000-0005-0000-0000-0000E65E0000}"/>
    <cellStyle name="Note 7 2 7" xfId="24461" xr:uid="{00000000-0005-0000-0000-0000E75E0000}"/>
    <cellStyle name="Note 7 2 8" xfId="24905" xr:uid="{00000000-0005-0000-0000-0000E85E0000}"/>
    <cellStyle name="Note 7 2 9" xfId="25267" xr:uid="{00000000-0005-0000-0000-0000E95E0000}"/>
    <cellStyle name="Note 7 3" xfId="11595" xr:uid="{00000000-0005-0000-0000-0000EA5E0000}"/>
    <cellStyle name="Note 7 3 2" xfId="22883" xr:uid="{00000000-0005-0000-0000-0000EB5E0000}"/>
    <cellStyle name="Note 7 4" xfId="9601" xr:uid="{00000000-0005-0000-0000-0000EC5E0000}"/>
    <cellStyle name="Note 7 4 2" xfId="20889" xr:uid="{00000000-0005-0000-0000-0000ED5E0000}"/>
    <cellStyle name="Note 7 5" xfId="7607" xr:uid="{00000000-0005-0000-0000-0000EE5E0000}"/>
    <cellStyle name="Note 7 5 2" xfId="18895" xr:uid="{00000000-0005-0000-0000-0000EF5E0000}"/>
    <cellStyle name="Note 7 6" xfId="5613" xr:uid="{00000000-0005-0000-0000-0000F05E0000}"/>
    <cellStyle name="Note 7 6 2" xfId="16901" xr:uid="{00000000-0005-0000-0000-0000F15E0000}"/>
    <cellStyle name="Note 7 7" xfId="14907" xr:uid="{00000000-0005-0000-0000-0000F25E0000}"/>
    <cellStyle name="Note 7 8" xfId="13591" xr:uid="{00000000-0005-0000-0000-0000F35E0000}"/>
    <cellStyle name="Note 7 9" xfId="24195" xr:uid="{00000000-0005-0000-0000-0000F45E0000}"/>
    <cellStyle name="Note 70" xfId="3380" xr:uid="{00000000-0005-0000-0000-0000F55E0000}"/>
    <cellStyle name="Note 70 2" xfId="4614" xr:uid="{00000000-0005-0000-0000-0000F65E0000}"/>
    <cellStyle name="Note 70 2 2" xfId="12593" xr:uid="{00000000-0005-0000-0000-0000F75E0000}"/>
    <cellStyle name="Note 70 2 2 2" xfId="23881" xr:uid="{00000000-0005-0000-0000-0000F85E0000}"/>
    <cellStyle name="Note 70 2 3" xfId="10599" xr:uid="{00000000-0005-0000-0000-0000F95E0000}"/>
    <cellStyle name="Note 70 2 3 2" xfId="21887" xr:uid="{00000000-0005-0000-0000-0000FA5E0000}"/>
    <cellStyle name="Note 70 2 4" xfId="8605" xr:uid="{00000000-0005-0000-0000-0000FB5E0000}"/>
    <cellStyle name="Note 70 2 4 2" xfId="19893" xr:uid="{00000000-0005-0000-0000-0000FC5E0000}"/>
    <cellStyle name="Note 70 2 5" xfId="6611" xr:uid="{00000000-0005-0000-0000-0000FD5E0000}"/>
    <cellStyle name="Note 70 2 5 2" xfId="17899" xr:uid="{00000000-0005-0000-0000-0000FE5E0000}"/>
    <cellStyle name="Note 70 2 6" xfId="15905" xr:uid="{00000000-0005-0000-0000-0000FF5E0000}"/>
    <cellStyle name="Note 70 3" xfId="11596" xr:uid="{00000000-0005-0000-0000-0000005F0000}"/>
    <cellStyle name="Note 70 3 2" xfId="22884" xr:uid="{00000000-0005-0000-0000-0000015F0000}"/>
    <cellStyle name="Note 70 4" xfId="9602" xr:uid="{00000000-0005-0000-0000-0000025F0000}"/>
    <cellStyle name="Note 70 4 2" xfId="20890" xr:uid="{00000000-0005-0000-0000-0000035F0000}"/>
    <cellStyle name="Note 70 5" xfId="7608" xr:uid="{00000000-0005-0000-0000-0000045F0000}"/>
    <cellStyle name="Note 70 5 2" xfId="18896" xr:uid="{00000000-0005-0000-0000-0000055F0000}"/>
    <cellStyle name="Note 70 6" xfId="5614" xr:uid="{00000000-0005-0000-0000-0000065F0000}"/>
    <cellStyle name="Note 70 6 2" xfId="16902" xr:uid="{00000000-0005-0000-0000-0000075F0000}"/>
    <cellStyle name="Note 70 7" xfId="14908" xr:uid="{00000000-0005-0000-0000-0000085F0000}"/>
    <cellStyle name="Note 70 8" xfId="13592" xr:uid="{00000000-0005-0000-0000-0000095F0000}"/>
    <cellStyle name="Note 71" xfId="3381" xr:uid="{00000000-0005-0000-0000-00000A5F0000}"/>
    <cellStyle name="Note 71 2" xfId="4615" xr:uid="{00000000-0005-0000-0000-00000B5F0000}"/>
    <cellStyle name="Note 71 2 2" xfId="12594" xr:uid="{00000000-0005-0000-0000-00000C5F0000}"/>
    <cellStyle name="Note 71 2 2 2" xfId="23882" xr:uid="{00000000-0005-0000-0000-00000D5F0000}"/>
    <cellStyle name="Note 71 2 3" xfId="10600" xr:uid="{00000000-0005-0000-0000-00000E5F0000}"/>
    <cellStyle name="Note 71 2 3 2" xfId="21888" xr:uid="{00000000-0005-0000-0000-00000F5F0000}"/>
    <cellStyle name="Note 71 2 4" xfId="8606" xr:uid="{00000000-0005-0000-0000-0000105F0000}"/>
    <cellStyle name="Note 71 2 4 2" xfId="19894" xr:uid="{00000000-0005-0000-0000-0000115F0000}"/>
    <cellStyle name="Note 71 2 5" xfId="6612" xr:uid="{00000000-0005-0000-0000-0000125F0000}"/>
    <cellStyle name="Note 71 2 5 2" xfId="17900" xr:uid="{00000000-0005-0000-0000-0000135F0000}"/>
    <cellStyle name="Note 71 2 6" xfId="15906" xr:uid="{00000000-0005-0000-0000-0000145F0000}"/>
    <cellStyle name="Note 71 3" xfId="11597" xr:uid="{00000000-0005-0000-0000-0000155F0000}"/>
    <cellStyle name="Note 71 3 2" xfId="22885" xr:uid="{00000000-0005-0000-0000-0000165F0000}"/>
    <cellStyle name="Note 71 4" xfId="9603" xr:uid="{00000000-0005-0000-0000-0000175F0000}"/>
    <cellStyle name="Note 71 4 2" xfId="20891" xr:uid="{00000000-0005-0000-0000-0000185F0000}"/>
    <cellStyle name="Note 71 5" xfId="7609" xr:uid="{00000000-0005-0000-0000-0000195F0000}"/>
    <cellStyle name="Note 71 5 2" xfId="18897" xr:uid="{00000000-0005-0000-0000-00001A5F0000}"/>
    <cellStyle name="Note 71 6" xfId="5615" xr:uid="{00000000-0005-0000-0000-00001B5F0000}"/>
    <cellStyle name="Note 71 6 2" xfId="16903" xr:uid="{00000000-0005-0000-0000-00001C5F0000}"/>
    <cellStyle name="Note 71 7" xfId="14909" xr:uid="{00000000-0005-0000-0000-00001D5F0000}"/>
    <cellStyle name="Note 71 8" xfId="13593" xr:uid="{00000000-0005-0000-0000-00001E5F0000}"/>
    <cellStyle name="Note 72" xfId="3382" xr:uid="{00000000-0005-0000-0000-00001F5F0000}"/>
    <cellStyle name="Note 72 2" xfId="4616" xr:uid="{00000000-0005-0000-0000-0000205F0000}"/>
    <cellStyle name="Note 72 2 2" xfId="12595" xr:uid="{00000000-0005-0000-0000-0000215F0000}"/>
    <cellStyle name="Note 72 2 2 2" xfId="23883" xr:uid="{00000000-0005-0000-0000-0000225F0000}"/>
    <cellStyle name="Note 72 2 3" xfId="10601" xr:uid="{00000000-0005-0000-0000-0000235F0000}"/>
    <cellStyle name="Note 72 2 3 2" xfId="21889" xr:uid="{00000000-0005-0000-0000-0000245F0000}"/>
    <cellStyle name="Note 72 2 4" xfId="8607" xr:uid="{00000000-0005-0000-0000-0000255F0000}"/>
    <cellStyle name="Note 72 2 4 2" xfId="19895" xr:uid="{00000000-0005-0000-0000-0000265F0000}"/>
    <cellStyle name="Note 72 2 5" xfId="6613" xr:uid="{00000000-0005-0000-0000-0000275F0000}"/>
    <cellStyle name="Note 72 2 5 2" xfId="17901" xr:uid="{00000000-0005-0000-0000-0000285F0000}"/>
    <cellStyle name="Note 72 2 6" xfId="15907" xr:uid="{00000000-0005-0000-0000-0000295F0000}"/>
    <cellStyle name="Note 72 3" xfId="11598" xr:uid="{00000000-0005-0000-0000-00002A5F0000}"/>
    <cellStyle name="Note 72 3 2" xfId="22886" xr:uid="{00000000-0005-0000-0000-00002B5F0000}"/>
    <cellStyle name="Note 72 4" xfId="9604" xr:uid="{00000000-0005-0000-0000-00002C5F0000}"/>
    <cellStyle name="Note 72 4 2" xfId="20892" xr:uid="{00000000-0005-0000-0000-00002D5F0000}"/>
    <cellStyle name="Note 72 5" xfId="7610" xr:uid="{00000000-0005-0000-0000-00002E5F0000}"/>
    <cellStyle name="Note 72 5 2" xfId="18898" xr:uid="{00000000-0005-0000-0000-00002F5F0000}"/>
    <cellStyle name="Note 72 6" xfId="5616" xr:uid="{00000000-0005-0000-0000-0000305F0000}"/>
    <cellStyle name="Note 72 6 2" xfId="16904" xr:uid="{00000000-0005-0000-0000-0000315F0000}"/>
    <cellStyle name="Note 72 7" xfId="14910" xr:uid="{00000000-0005-0000-0000-0000325F0000}"/>
    <cellStyle name="Note 72 8" xfId="13594" xr:uid="{00000000-0005-0000-0000-0000335F0000}"/>
    <cellStyle name="Note 8" xfId="3383" xr:uid="{00000000-0005-0000-0000-0000345F0000}"/>
    <cellStyle name="Note 8 10" xfId="24758" xr:uid="{00000000-0005-0000-0000-0000355F0000}"/>
    <cellStyle name="Note 8 11" xfId="25080" xr:uid="{00000000-0005-0000-0000-0000365F0000}"/>
    <cellStyle name="Note 8 2" xfId="4617" xr:uid="{00000000-0005-0000-0000-0000375F0000}"/>
    <cellStyle name="Note 8 2 2" xfId="12596" xr:uid="{00000000-0005-0000-0000-0000385F0000}"/>
    <cellStyle name="Note 8 2 2 2" xfId="23884" xr:uid="{00000000-0005-0000-0000-0000395F0000}"/>
    <cellStyle name="Note 8 2 3" xfId="10602" xr:uid="{00000000-0005-0000-0000-00003A5F0000}"/>
    <cellStyle name="Note 8 2 3 2" xfId="21890" xr:uid="{00000000-0005-0000-0000-00003B5F0000}"/>
    <cellStyle name="Note 8 2 4" xfId="8608" xr:uid="{00000000-0005-0000-0000-00003C5F0000}"/>
    <cellStyle name="Note 8 2 4 2" xfId="19896" xr:uid="{00000000-0005-0000-0000-00003D5F0000}"/>
    <cellStyle name="Note 8 2 5" xfId="6614" xr:uid="{00000000-0005-0000-0000-00003E5F0000}"/>
    <cellStyle name="Note 8 2 5 2" xfId="17902" xr:uid="{00000000-0005-0000-0000-00003F5F0000}"/>
    <cellStyle name="Note 8 2 6" xfId="15908" xr:uid="{00000000-0005-0000-0000-0000405F0000}"/>
    <cellStyle name="Note 8 2 7" xfId="24462" xr:uid="{00000000-0005-0000-0000-0000415F0000}"/>
    <cellStyle name="Note 8 2 8" xfId="24906" xr:uid="{00000000-0005-0000-0000-0000425F0000}"/>
    <cellStyle name="Note 8 2 9" xfId="25268" xr:uid="{00000000-0005-0000-0000-0000435F0000}"/>
    <cellStyle name="Note 8 3" xfId="11599" xr:uid="{00000000-0005-0000-0000-0000445F0000}"/>
    <cellStyle name="Note 8 3 2" xfId="22887" xr:uid="{00000000-0005-0000-0000-0000455F0000}"/>
    <cellStyle name="Note 8 4" xfId="9605" xr:uid="{00000000-0005-0000-0000-0000465F0000}"/>
    <cellStyle name="Note 8 4 2" xfId="20893" xr:uid="{00000000-0005-0000-0000-0000475F0000}"/>
    <cellStyle name="Note 8 5" xfId="7611" xr:uid="{00000000-0005-0000-0000-0000485F0000}"/>
    <cellStyle name="Note 8 5 2" xfId="18899" xr:uid="{00000000-0005-0000-0000-0000495F0000}"/>
    <cellStyle name="Note 8 6" xfId="5617" xr:uid="{00000000-0005-0000-0000-00004A5F0000}"/>
    <cellStyle name="Note 8 6 2" xfId="16905" xr:uid="{00000000-0005-0000-0000-00004B5F0000}"/>
    <cellStyle name="Note 8 7" xfId="14911" xr:uid="{00000000-0005-0000-0000-00004C5F0000}"/>
    <cellStyle name="Note 8 8" xfId="13595" xr:uid="{00000000-0005-0000-0000-00004D5F0000}"/>
    <cellStyle name="Note 8 9" xfId="24196" xr:uid="{00000000-0005-0000-0000-00004E5F0000}"/>
    <cellStyle name="Note 9" xfId="3384" xr:uid="{00000000-0005-0000-0000-00004F5F0000}"/>
    <cellStyle name="Note 9 10" xfId="24759" xr:uid="{00000000-0005-0000-0000-0000505F0000}"/>
    <cellStyle name="Note 9 11" xfId="25081" xr:uid="{00000000-0005-0000-0000-0000515F0000}"/>
    <cellStyle name="Note 9 2" xfId="4618" xr:uid="{00000000-0005-0000-0000-0000525F0000}"/>
    <cellStyle name="Note 9 2 2" xfId="12597" xr:uid="{00000000-0005-0000-0000-0000535F0000}"/>
    <cellStyle name="Note 9 2 2 2" xfId="23885" xr:uid="{00000000-0005-0000-0000-0000545F0000}"/>
    <cellStyle name="Note 9 2 3" xfId="10603" xr:uid="{00000000-0005-0000-0000-0000555F0000}"/>
    <cellStyle name="Note 9 2 3 2" xfId="21891" xr:uid="{00000000-0005-0000-0000-0000565F0000}"/>
    <cellStyle name="Note 9 2 4" xfId="8609" xr:uid="{00000000-0005-0000-0000-0000575F0000}"/>
    <cellStyle name="Note 9 2 4 2" xfId="19897" xr:uid="{00000000-0005-0000-0000-0000585F0000}"/>
    <cellStyle name="Note 9 2 5" xfId="6615" xr:uid="{00000000-0005-0000-0000-0000595F0000}"/>
    <cellStyle name="Note 9 2 5 2" xfId="17903" xr:uid="{00000000-0005-0000-0000-00005A5F0000}"/>
    <cellStyle name="Note 9 2 6" xfId="15909" xr:uid="{00000000-0005-0000-0000-00005B5F0000}"/>
    <cellStyle name="Note 9 2 7" xfId="24463" xr:uid="{00000000-0005-0000-0000-00005C5F0000}"/>
    <cellStyle name="Note 9 2 8" xfId="24907" xr:uid="{00000000-0005-0000-0000-00005D5F0000}"/>
    <cellStyle name="Note 9 2 9" xfId="25269" xr:uid="{00000000-0005-0000-0000-00005E5F0000}"/>
    <cellStyle name="Note 9 3" xfId="11600" xr:uid="{00000000-0005-0000-0000-00005F5F0000}"/>
    <cellStyle name="Note 9 3 2" xfId="22888" xr:uid="{00000000-0005-0000-0000-0000605F0000}"/>
    <cellStyle name="Note 9 4" xfId="9606" xr:uid="{00000000-0005-0000-0000-0000615F0000}"/>
    <cellStyle name="Note 9 4 2" xfId="20894" xr:uid="{00000000-0005-0000-0000-0000625F0000}"/>
    <cellStyle name="Note 9 5" xfId="7612" xr:uid="{00000000-0005-0000-0000-0000635F0000}"/>
    <cellStyle name="Note 9 5 2" xfId="18900" xr:uid="{00000000-0005-0000-0000-0000645F0000}"/>
    <cellStyle name="Note 9 6" xfId="5618" xr:uid="{00000000-0005-0000-0000-0000655F0000}"/>
    <cellStyle name="Note 9 6 2" xfId="16906" xr:uid="{00000000-0005-0000-0000-0000665F0000}"/>
    <cellStyle name="Note 9 7" xfId="14912" xr:uid="{00000000-0005-0000-0000-0000675F0000}"/>
    <cellStyle name="Note 9 8" xfId="13596" xr:uid="{00000000-0005-0000-0000-0000685F0000}"/>
    <cellStyle name="Note 9 9" xfId="24197" xr:uid="{00000000-0005-0000-0000-0000695F0000}"/>
    <cellStyle name="Number" xfId="62" xr:uid="{00000000-0005-0000-0000-00006A5F0000}"/>
    <cellStyle name="Number 10" xfId="24416" xr:uid="{00000000-0005-0000-0000-00006B5F0000}"/>
    <cellStyle name="number 11" xfId="23923" xr:uid="{00000000-0005-0000-0000-00006C5F0000}"/>
    <cellStyle name="number 12" xfId="24248" xr:uid="{00000000-0005-0000-0000-00006D5F0000}"/>
    <cellStyle name="number 13" xfId="24529" xr:uid="{00000000-0005-0000-0000-00006E5F0000}"/>
    <cellStyle name="number 14" xfId="24518" xr:uid="{00000000-0005-0000-0000-00006F5F0000}"/>
    <cellStyle name="number 15" xfId="24522" xr:uid="{00000000-0005-0000-0000-0000705F0000}"/>
    <cellStyle name="number 16" xfId="24184" xr:uid="{00000000-0005-0000-0000-0000715F0000}"/>
    <cellStyle name="number 17" xfId="24532" xr:uid="{00000000-0005-0000-0000-0000725F0000}"/>
    <cellStyle name="number 18" xfId="24521" xr:uid="{00000000-0005-0000-0000-0000735F0000}"/>
    <cellStyle name="number 19" xfId="24523" xr:uid="{00000000-0005-0000-0000-0000745F0000}"/>
    <cellStyle name="number 2" xfId="24199" xr:uid="{00000000-0005-0000-0000-0000755F0000}"/>
    <cellStyle name="number 20" xfId="24542" xr:uid="{00000000-0005-0000-0000-0000765F0000}"/>
    <cellStyle name="number 21" xfId="24065" xr:uid="{00000000-0005-0000-0000-0000775F0000}"/>
    <cellStyle name="number 22" xfId="24551" xr:uid="{00000000-0005-0000-0000-0000785F0000}"/>
    <cellStyle name="number 23" xfId="24770" xr:uid="{00000000-0005-0000-0000-0000795F0000}"/>
    <cellStyle name="number 24" xfId="24671" xr:uid="{00000000-0005-0000-0000-00007A5F0000}"/>
    <cellStyle name="number 25" xfId="24779" xr:uid="{00000000-0005-0000-0000-00007B5F0000}"/>
    <cellStyle name="number 26" xfId="24860" xr:uid="{00000000-0005-0000-0000-00007C5F0000}"/>
    <cellStyle name="number 27" xfId="24936" xr:uid="{00000000-0005-0000-0000-00007D5F0000}"/>
    <cellStyle name="number 28" xfId="24931" xr:uid="{00000000-0005-0000-0000-00007E5F0000}"/>
    <cellStyle name="number 29" xfId="24764" xr:uid="{00000000-0005-0000-0000-00007F5F0000}"/>
    <cellStyle name="number 3" xfId="24200" xr:uid="{00000000-0005-0000-0000-0000805F0000}"/>
    <cellStyle name="number 30" xfId="24917" xr:uid="{00000000-0005-0000-0000-0000815F0000}"/>
    <cellStyle name="number 31" xfId="24940" xr:uid="{00000000-0005-0000-0000-0000825F0000}"/>
    <cellStyle name="number 32" xfId="24704" xr:uid="{00000000-0005-0000-0000-0000835F0000}"/>
    <cellStyle name="number 33" xfId="24670" xr:uid="{00000000-0005-0000-0000-0000845F0000}"/>
    <cellStyle name="number 34" xfId="24555" xr:uid="{00000000-0005-0000-0000-0000855F0000}"/>
    <cellStyle name="number 35" xfId="24945" xr:uid="{00000000-0005-0000-0000-0000865F0000}"/>
    <cellStyle name="Number 4" xfId="24198" xr:uid="{00000000-0005-0000-0000-0000875F0000}"/>
    <cellStyle name="Number 5" xfId="24311" xr:uid="{00000000-0005-0000-0000-0000885F0000}"/>
    <cellStyle name="Number 6" xfId="24309" xr:uid="{00000000-0005-0000-0000-0000895F0000}"/>
    <cellStyle name="Number 7" xfId="24310" xr:uid="{00000000-0005-0000-0000-00008A5F0000}"/>
    <cellStyle name="Number 8" xfId="24464" xr:uid="{00000000-0005-0000-0000-00008B5F0000}"/>
    <cellStyle name="Number 9" xfId="24394" xr:uid="{00000000-0005-0000-0000-00008C5F0000}"/>
    <cellStyle name="Numbers" xfId="578" xr:uid="{00000000-0005-0000-0000-00008D5F0000}"/>
    <cellStyle name="Numbers - Bold" xfId="579" xr:uid="{00000000-0005-0000-0000-00008E5F0000}"/>
    <cellStyle name="Numbers - Bold 2" xfId="24201" xr:uid="{00000000-0005-0000-0000-00008F5F0000}"/>
    <cellStyle name="Output 10" xfId="3385" xr:uid="{00000000-0005-0000-0000-0000905F0000}"/>
    <cellStyle name="Output 11" xfId="3386" xr:uid="{00000000-0005-0000-0000-0000915F0000}"/>
    <cellStyle name="Output 12" xfId="3387" xr:uid="{00000000-0005-0000-0000-0000925F0000}"/>
    <cellStyle name="Output 13" xfId="3388" xr:uid="{00000000-0005-0000-0000-0000935F0000}"/>
    <cellStyle name="Output 14" xfId="3389" xr:uid="{00000000-0005-0000-0000-0000945F0000}"/>
    <cellStyle name="Output 15" xfId="3390" xr:uid="{00000000-0005-0000-0000-0000955F0000}"/>
    <cellStyle name="Output 16" xfId="3391" xr:uid="{00000000-0005-0000-0000-0000965F0000}"/>
    <cellStyle name="Output 17" xfId="3392" xr:uid="{00000000-0005-0000-0000-0000975F0000}"/>
    <cellStyle name="Output 18" xfId="3393" xr:uid="{00000000-0005-0000-0000-0000985F0000}"/>
    <cellStyle name="Output 19" xfId="3394" xr:uid="{00000000-0005-0000-0000-0000995F0000}"/>
    <cellStyle name="Output 2" xfId="3395" xr:uid="{00000000-0005-0000-0000-00009A5F0000}"/>
    <cellStyle name="Output 2 2" xfId="24203" xr:uid="{00000000-0005-0000-0000-00009B5F0000}"/>
    <cellStyle name="Output 2 2 2" xfId="24696" xr:uid="{00000000-0005-0000-0000-00009C5F0000}"/>
    <cellStyle name="Output 2 2 2 2" xfId="25348" xr:uid="{00000000-0005-0000-0000-00009D5F0000}"/>
    <cellStyle name="Output 2 2 2 2 2" xfId="27504" xr:uid="{00000000-0005-0000-0000-0000B05F0000}"/>
    <cellStyle name="Output 2 2 2 2 3" xfId="26901" xr:uid="{00000000-0005-0000-0000-0000F8610000}"/>
    <cellStyle name="Output 2 2 2 2 4" xfId="27431" xr:uid="{00000000-0005-0000-0000-0000B05F0000}"/>
    <cellStyle name="Output 2 2 2 3" xfId="25655" xr:uid="{00000000-0005-0000-0000-00009E5F0000}"/>
    <cellStyle name="Output 2 2 2 3 2" xfId="27810" xr:uid="{00000000-0005-0000-0000-0000B15F0000}"/>
    <cellStyle name="Output 2 2 2 3 3" xfId="26375" xr:uid="{00000000-0005-0000-0000-0000F9610000}"/>
    <cellStyle name="Output 2 2 2 3 4" xfId="26495" xr:uid="{00000000-0005-0000-0000-0000B15F0000}"/>
    <cellStyle name="Output 2 2 2 4" xfId="27287" xr:uid="{00000000-0005-0000-0000-0000AF5F0000}"/>
    <cellStyle name="Output 2 2 2 5" xfId="26307" xr:uid="{00000000-0005-0000-0000-0000F7610000}"/>
    <cellStyle name="Output 2 2 2 6" xfId="26115" xr:uid="{00000000-0005-0000-0000-0000AF5F0000}"/>
    <cellStyle name="Output 2 2 3" xfId="25083" xr:uid="{00000000-0005-0000-0000-00009F5F0000}"/>
    <cellStyle name="Output 2 2 3 2" xfId="25416" xr:uid="{00000000-0005-0000-0000-0000A05F0000}"/>
    <cellStyle name="Output 2 2 3 2 2" xfId="27572" xr:uid="{00000000-0005-0000-0000-0000B35F0000}"/>
    <cellStyle name="Output 2 2 3 2 3" xfId="26444" xr:uid="{00000000-0005-0000-0000-0000FB610000}"/>
    <cellStyle name="Output 2 2 3 2 4" xfId="27022" xr:uid="{00000000-0005-0000-0000-0000B35F0000}"/>
    <cellStyle name="Output 2 2 3 3" xfId="25683" xr:uid="{00000000-0005-0000-0000-0000A15F0000}"/>
    <cellStyle name="Output 2 2 3 3 2" xfId="27838" xr:uid="{00000000-0005-0000-0000-0000B45F0000}"/>
    <cellStyle name="Output 2 2 3 3 3" xfId="26722" xr:uid="{00000000-0005-0000-0000-0000FC610000}"/>
    <cellStyle name="Output 2 2 3 3 4" xfId="26437" xr:uid="{00000000-0005-0000-0000-0000B45F0000}"/>
    <cellStyle name="Output 2 2 3 4" xfId="27372" xr:uid="{00000000-0005-0000-0000-0000B25F0000}"/>
    <cellStyle name="Output 2 2 3 5" xfId="26963" xr:uid="{00000000-0005-0000-0000-0000FA610000}"/>
    <cellStyle name="Output 2 2 3 6" xfId="26823" xr:uid="{00000000-0005-0000-0000-0000B25F0000}"/>
    <cellStyle name="Output 2 2 4" xfId="25364" xr:uid="{00000000-0005-0000-0000-0000A25F0000}"/>
    <cellStyle name="Output 2 2 4 2" xfId="27520" xr:uid="{00000000-0005-0000-0000-0000B55F0000}"/>
    <cellStyle name="Output 2 2 4 3" xfId="26799" xr:uid="{00000000-0005-0000-0000-0000FD610000}"/>
    <cellStyle name="Output 2 2 4 4" xfId="26977" xr:uid="{00000000-0005-0000-0000-0000B55F0000}"/>
    <cellStyle name="Output 2 2 5" xfId="25570" xr:uid="{00000000-0005-0000-0000-0000A35F0000}"/>
    <cellStyle name="Output 2 2 5 2" xfId="27725" xr:uid="{00000000-0005-0000-0000-0000B65F0000}"/>
    <cellStyle name="Output 2 2 5 3" xfId="26276" xr:uid="{00000000-0005-0000-0000-0000FE610000}"/>
    <cellStyle name="Output 2 2 5 4" xfId="26861" xr:uid="{00000000-0005-0000-0000-0000B65F0000}"/>
    <cellStyle name="Output 2 2 6" xfId="27097" xr:uid="{00000000-0005-0000-0000-0000AE5F0000}"/>
    <cellStyle name="Output 2 2 7" xfId="26835" xr:uid="{00000000-0005-0000-0000-0000F6610000}"/>
    <cellStyle name="Output 2 2 8" xfId="26179" xr:uid="{00000000-0005-0000-0000-0000AE5F0000}"/>
    <cellStyle name="Output 2 3" xfId="24202" xr:uid="{00000000-0005-0000-0000-0000A45F0000}"/>
    <cellStyle name="Output 2 3 2" xfId="25453" xr:uid="{00000000-0005-0000-0000-0000A55F0000}"/>
    <cellStyle name="Output 2 3 2 2" xfId="27609" xr:uid="{00000000-0005-0000-0000-0000B85F0000}"/>
    <cellStyle name="Output 2 3 2 3" xfId="26344" xr:uid="{00000000-0005-0000-0000-000000620000}"/>
    <cellStyle name="Output 2 3 2 4" xfId="27087" xr:uid="{00000000-0005-0000-0000-0000B85F0000}"/>
    <cellStyle name="Output 2 3 3" xfId="25569" xr:uid="{00000000-0005-0000-0000-0000A65F0000}"/>
    <cellStyle name="Output 2 3 3 2" xfId="27724" xr:uid="{00000000-0005-0000-0000-0000B95F0000}"/>
    <cellStyle name="Output 2 3 3 3" xfId="26937" xr:uid="{00000000-0005-0000-0000-000001620000}"/>
    <cellStyle name="Output 2 3 3 4" xfId="26257" xr:uid="{00000000-0005-0000-0000-0000B95F0000}"/>
    <cellStyle name="Output 2 3 4" xfId="27096" xr:uid="{00000000-0005-0000-0000-0000B75F0000}"/>
    <cellStyle name="Output 2 3 5" xfId="26871" xr:uid="{00000000-0005-0000-0000-0000FF610000}"/>
    <cellStyle name="Output 2 3 6" xfId="26775" xr:uid="{00000000-0005-0000-0000-0000B75F0000}"/>
    <cellStyle name="Output 2 4" xfId="24697" xr:uid="{00000000-0005-0000-0000-0000A75F0000}"/>
    <cellStyle name="Output 2 4 2" xfId="25449" xr:uid="{00000000-0005-0000-0000-0000A85F0000}"/>
    <cellStyle name="Output 2 4 2 2" xfId="27605" xr:uid="{00000000-0005-0000-0000-0000BB5F0000}"/>
    <cellStyle name="Output 2 4 2 3" xfId="26994" xr:uid="{00000000-0005-0000-0000-000003620000}"/>
    <cellStyle name="Output 2 4 2 4" xfId="26104" xr:uid="{00000000-0005-0000-0000-0000BB5F0000}"/>
    <cellStyle name="Output 2 4 3" xfId="25656" xr:uid="{00000000-0005-0000-0000-0000A95F0000}"/>
    <cellStyle name="Output 2 4 3 2" xfId="27811" xr:uid="{00000000-0005-0000-0000-0000BC5F0000}"/>
    <cellStyle name="Output 2 4 3 3" xfId="26487" xr:uid="{00000000-0005-0000-0000-000004620000}"/>
    <cellStyle name="Output 2 4 3 4" xfId="26959" xr:uid="{00000000-0005-0000-0000-0000BC5F0000}"/>
    <cellStyle name="Output 2 4 4" xfId="27288" xr:uid="{00000000-0005-0000-0000-0000BA5F0000}"/>
    <cellStyle name="Output 2 4 5" xfId="26411" xr:uid="{00000000-0005-0000-0000-000002620000}"/>
    <cellStyle name="Output 2 4 6" xfId="26849" xr:uid="{00000000-0005-0000-0000-0000BA5F0000}"/>
    <cellStyle name="Output 2 5" xfId="25082" xr:uid="{00000000-0005-0000-0000-0000AA5F0000}"/>
    <cellStyle name="Output 2 5 2" xfId="25315" xr:uid="{00000000-0005-0000-0000-0000AB5F0000}"/>
    <cellStyle name="Output 2 5 2 2" xfId="27471" xr:uid="{00000000-0005-0000-0000-0000BE5F0000}"/>
    <cellStyle name="Output 2 5 2 3" xfId="26060" xr:uid="{00000000-0005-0000-0000-000006620000}"/>
    <cellStyle name="Output 2 5 2 4" xfId="26214" xr:uid="{00000000-0005-0000-0000-0000BE5F0000}"/>
    <cellStyle name="Output 2 5 3" xfId="25682" xr:uid="{00000000-0005-0000-0000-0000AC5F0000}"/>
    <cellStyle name="Output 2 5 3 2" xfId="27837" xr:uid="{00000000-0005-0000-0000-0000BF5F0000}"/>
    <cellStyle name="Output 2 5 3 3" xfId="26525" xr:uid="{00000000-0005-0000-0000-000007620000}"/>
    <cellStyle name="Output 2 5 3 4" xfId="26394" xr:uid="{00000000-0005-0000-0000-0000BF5F0000}"/>
    <cellStyle name="Output 2 5 4" xfId="27371" xr:uid="{00000000-0005-0000-0000-0000BD5F0000}"/>
    <cellStyle name="Output 2 5 5" xfId="26202" xr:uid="{00000000-0005-0000-0000-000005620000}"/>
    <cellStyle name="Output 2 5 6" xfId="26705" xr:uid="{00000000-0005-0000-0000-0000BD5F0000}"/>
    <cellStyle name="Output 20" xfId="3396" xr:uid="{00000000-0005-0000-0000-0000AD5F0000}"/>
    <cellStyle name="Output 21" xfId="3397" xr:uid="{00000000-0005-0000-0000-0000AE5F0000}"/>
    <cellStyle name="Output 22" xfId="3398" xr:uid="{00000000-0005-0000-0000-0000AF5F0000}"/>
    <cellStyle name="Output 23" xfId="3399" xr:uid="{00000000-0005-0000-0000-0000B05F0000}"/>
    <cellStyle name="Output 24" xfId="3400" xr:uid="{00000000-0005-0000-0000-0000B15F0000}"/>
    <cellStyle name="Output 25" xfId="3401" xr:uid="{00000000-0005-0000-0000-0000B25F0000}"/>
    <cellStyle name="Output 26" xfId="3402" xr:uid="{00000000-0005-0000-0000-0000B35F0000}"/>
    <cellStyle name="Output 27" xfId="3403" xr:uid="{00000000-0005-0000-0000-0000B45F0000}"/>
    <cellStyle name="Output 28" xfId="3404" xr:uid="{00000000-0005-0000-0000-0000B55F0000}"/>
    <cellStyle name="Output 29" xfId="3405" xr:uid="{00000000-0005-0000-0000-0000B65F0000}"/>
    <cellStyle name="Output 3" xfId="3406" xr:uid="{00000000-0005-0000-0000-0000B75F0000}"/>
    <cellStyle name="Output 3 2" xfId="24205" xr:uid="{00000000-0005-0000-0000-0000B85F0000}"/>
    <cellStyle name="Output 3 2 2" xfId="24694" xr:uid="{00000000-0005-0000-0000-0000B95F0000}"/>
    <cellStyle name="Output 3 2 2 2" xfId="25331" xr:uid="{00000000-0005-0000-0000-0000BA5F0000}"/>
    <cellStyle name="Output 3 2 2 2 2" xfId="27487" xr:uid="{00000000-0005-0000-0000-0000CD5F0000}"/>
    <cellStyle name="Output 3 2 2 2 3" xfId="26343" xr:uid="{00000000-0005-0000-0000-000015620000}"/>
    <cellStyle name="Output 3 2 2 2 4" xfId="26434" xr:uid="{00000000-0005-0000-0000-0000CD5F0000}"/>
    <cellStyle name="Output 3 2 2 3" xfId="25653" xr:uid="{00000000-0005-0000-0000-0000BB5F0000}"/>
    <cellStyle name="Output 3 2 2 3 2" xfId="27808" xr:uid="{00000000-0005-0000-0000-0000CE5F0000}"/>
    <cellStyle name="Output 3 2 2 3 3" xfId="26936" xr:uid="{00000000-0005-0000-0000-000016620000}"/>
    <cellStyle name="Output 3 2 2 3 4" xfId="26401" xr:uid="{00000000-0005-0000-0000-0000CE5F0000}"/>
    <cellStyle name="Output 3 2 2 4" xfId="27285" xr:uid="{00000000-0005-0000-0000-0000CC5F0000}"/>
    <cellStyle name="Output 3 2 2 5" xfId="26870" xr:uid="{00000000-0005-0000-0000-000014620000}"/>
    <cellStyle name="Output 3 2 2 6" xfId="26267" xr:uid="{00000000-0005-0000-0000-0000CC5F0000}"/>
    <cellStyle name="Output 3 2 3" xfId="25085" xr:uid="{00000000-0005-0000-0000-0000BC5F0000}"/>
    <cellStyle name="Output 3 2 3 2" xfId="25430" xr:uid="{00000000-0005-0000-0000-0000BD5F0000}"/>
    <cellStyle name="Output 3 2 3 2 2" xfId="27586" xr:uid="{00000000-0005-0000-0000-0000D05F0000}"/>
    <cellStyle name="Output 3 2 3 2 3" xfId="26993" xr:uid="{00000000-0005-0000-0000-000018620000}"/>
    <cellStyle name="Output 3 2 3 2 4" xfId="26167" xr:uid="{00000000-0005-0000-0000-0000D05F0000}"/>
    <cellStyle name="Output 3 2 3 3" xfId="25685" xr:uid="{00000000-0005-0000-0000-0000BE5F0000}"/>
    <cellStyle name="Output 3 2 3 3 2" xfId="27840" xr:uid="{00000000-0005-0000-0000-0000D15F0000}"/>
    <cellStyle name="Output 3 2 3 3 3" xfId="26486" xr:uid="{00000000-0005-0000-0000-000019620000}"/>
    <cellStyle name="Output 3 2 3 3 4" xfId="26769" xr:uid="{00000000-0005-0000-0000-0000D15F0000}"/>
    <cellStyle name="Output 3 2 3 4" xfId="27374" xr:uid="{00000000-0005-0000-0000-0000CF5F0000}"/>
    <cellStyle name="Output 3 2 3 5" xfId="26410" xr:uid="{00000000-0005-0000-0000-000017620000}"/>
    <cellStyle name="Output 3 2 3 6" xfId="26422" xr:uid="{00000000-0005-0000-0000-0000CF5F0000}"/>
    <cellStyle name="Output 3 2 4" xfId="25291" xr:uid="{00000000-0005-0000-0000-0000BF5F0000}"/>
    <cellStyle name="Output 3 2 4 2" xfId="27448" xr:uid="{00000000-0005-0000-0000-0000D25F0000}"/>
    <cellStyle name="Output 3 2 4 3" xfId="26201" xr:uid="{00000000-0005-0000-0000-00001A620000}"/>
    <cellStyle name="Output 3 2 4 4" xfId="26298" xr:uid="{00000000-0005-0000-0000-0000D25F0000}"/>
    <cellStyle name="Output 3 2 5" xfId="25572" xr:uid="{00000000-0005-0000-0000-0000C05F0000}"/>
    <cellStyle name="Output 3 2 5 2" xfId="27727" xr:uid="{00000000-0005-0000-0000-0000D35F0000}"/>
    <cellStyle name="Output 3 2 5 3" xfId="26059" xr:uid="{00000000-0005-0000-0000-00001B620000}"/>
    <cellStyle name="Output 3 2 5 4" xfId="26827" xr:uid="{00000000-0005-0000-0000-0000D35F0000}"/>
    <cellStyle name="Output 3 2 6" xfId="27099" xr:uid="{00000000-0005-0000-0000-0000CB5F0000}"/>
    <cellStyle name="Output 3 2 7" xfId="26275" xr:uid="{00000000-0005-0000-0000-000013620000}"/>
    <cellStyle name="Output 3 2 8" xfId="27089" xr:uid="{00000000-0005-0000-0000-0000CB5F0000}"/>
    <cellStyle name="Output 3 3" xfId="24204" xr:uid="{00000000-0005-0000-0000-0000C15F0000}"/>
    <cellStyle name="Output 3 3 2" xfId="25301" xr:uid="{00000000-0005-0000-0000-0000C25F0000}"/>
    <cellStyle name="Output 3 3 2 2" xfId="27457" xr:uid="{00000000-0005-0000-0000-0000D55F0000}"/>
    <cellStyle name="Output 3 3 2 3" xfId="26689" xr:uid="{00000000-0005-0000-0000-00001D620000}"/>
    <cellStyle name="Output 3 3 2 4" xfId="26318" xr:uid="{00000000-0005-0000-0000-0000D55F0000}"/>
    <cellStyle name="Output 3 3 3" xfId="25571" xr:uid="{00000000-0005-0000-0000-0000C35F0000}"/>
    <cellStyle name="Output 3 3 3 2" xfId="27726" xr:uid="{00000000-0005-0000-0000-0000D65F0000}"/>
    <cellStyle name="Output 3 3 3 3" xfId="26759" xr:uid="{00000000-0005-0000-0000-00001E620000}"/>
    <cellStyle name="Output 3 3 3 4" xfId="26350" xr:uid="{00000000-0005-0000-0000-0000D65F0000}"/>
    <cellStyle name="Output 3 3 4" xfId="27098" xr:uid="{00000000-0005-0000-0000-0000D45F0000}"/>
    <cellStyle name="Output 3 3 5" xfId="26524" xr:uid="{00000000-0005-0000-0000-00001C620000}"/>
    <cellStyle name="Output 3 3 6" xfId="26468" xr:uid="{00000000-0005-0000-0000-0000D45F0000}"/>
    <cellStyle name="Output 3 4" xfId="24695" xr:uid="{00000000-0005-0000-0000-0000C45F0000}"/>
    <cellStyle name="Output 3 4 2" xfId="25432" xr:uid="{00000000-0005-0000-0000-0000C55F0000}"/>
    <cellStyle name="Output 3 4 2 2" xfId="27588" xr:uid="{00000000-0005-0000-0000-0000D85F0000}"/>
    <cellStyle name="Output 3 4 2 3" xfId="26834" xr:uid="{00000000-0005-0000-0000-000020620000}"/>
    <cellStyle name="Output 3 4 2 4" xfId="27303" xr:uid="{00000000-0005-0000-0000-0000D85F0000}"/>
    <cellStyle name="Output 3 4 3" xfId="25654" xr:uid="{00000000-0005-0000-0000-0000C65F0000}"/>
    <cellStyle name="Output 3 4 3 2" xfId="27809" xr:uid="{00000000-0005-0000-0000-0000D95F0000}"/>
    <cellStyle name="Output 3 4 3 3" xfId="26306" xr:uid="{00000000-0005-0000-0000-000021620000}"/>
    <cellStyle name="Output 3 4 3 4" xfId="26988" xr:uid="{00000000-0005-0000-0000-0000D95F0000}"/>
    <cellStyle name="Output 3 4 4" xfId="27286" xr:uid="{00000000-0005-0000-0000-0000D75F0000}"/>
    <cellStyle name="Output 3 4 5" xfId="26234" xr:uid="{00000000-0005-0000-0000-00001F620000}"/>
    <cellStyle name="Output 3 4 6" xfId="26213" xr:uid="{00000000-0005-0000-0000-0000D75F0000}"/>
    <cellStyle name="Output 3 5" xfId="25084" xr:uid="{00000000-0005-0000-0000-0000C75F0000}"/>
    <cellStyle name="Output 3 5 2" xfId="25329" xr:uid="{00000000-0005-0000-0000-0000C85F0000}"/>
    <cellStyle name="Output 3 5 2 2" xfId="27485" xr:uid="{00000000-0005-0000-0000-0000DB5F0000}"/>
    <cellStyle name="Output 3 5 2 3" xfId="26374" xr:uid="{00000000-0005-0000-0000-000023620000}"/>
    <cellStyle name="Output 3 5 2 4" xfId="26494" xr:uid="{00000000-0005-0000-0000-0000DB5F0000}"/>
    <cellStyle name="Output 3 5 3" xfId="25684" xr:uid="{00000000-0005-0000-0000-0000C95F0000}"/>
    <cellStyle name="Output 3 5 3 2" xfId="27839" xr:uid="{00000000-0005-0000-0000-0000DC5F0000}"/>
    <cellStyle name="Output 3 5 3 3" xfId="26962" xr:uid="{00000000-0005-0000-0000-000024620000}"/>
    <cellStyle name="Output 3 5 3 4" xfId="26793" xr:uid="{00000000-0005-0000-0000-0000DC5F0000}"/>
    <cellStyle name="Output 3 5 4" xfId="27373" xr:uid="{00000000-0005-0000-0000-0000DA5F0000}"/>
    <cellStyle name="Output 3 5 5" xfId="26900" xr:uid="{00000000-0005-0000-0000-000022620000}"/>
    <cellStyle name="Output 3 5 6" xfId="26514" xr:uid="{00000000-0005-0000-0000-0000DA5F0000}"/>
    <cellStyle name="Output 30" xfId="3407" xr:uid="{00000000-0005-0000-0000-0000CA5F0000}"/>
    <cellStyle name="Output 31" xfId="3408" xr:uid="{00000000-0005-0000-0000-0000CB5F0000}"/>
    <cellStyle name="Output 32" xfId="3409" xr:uid="{00000000-0005-0000-0000-0000CC5F0000}"/>
    <cellStyle name="Output 33" xfId="3410" xr:uid="{00000000-0005-0000-0000-0000CD5F0000}"/>
    <cellStyle name="Output 34" xfId="3411" xr:uid="{00000000-0005-0000-0000-0000CE5F0000}"/>
    <cellStyle name="Output 35" xfId="3412" xr:uid="{00000000-0005-0000-0000-0000CF5F0000}"/>
    <cellStyle name="Output 36" xfId="3413" xr:uid="{00000000-0005-0000-0000-0000D05F0000}"/>
    <cellStyle name="Output 37" xfId="3414" xr:uid="{00000000-0005-0000-0000-0000D15F0000}"/>
    <cellStyle name="Output 38" xfId="3415" xr:uid="{00000000-0005-0000-0000-0000D25F0000}"/>
    <cellStyle name="Output 39" xfId="3416" xr:uid="{00000000-0005-0000-0000-0000D35F0000}"/>
    <cellStyle name="Output 4" xfId="3417" xr:uid="{00000000-0005-0000-0000-0000D45F0000}"/>
    <cellStyle name="Output 4 2" xfId="24206" xr:uid="{00000000-0005-0000-0000-0000D55F0000}"/>
    <cellStyle name="Output 4 2 2" xfId="25373" xr:uid="{00000000-0005-0000-0000-0000D65F0000}"/>
    <cellStyle name="Output 4 2 2 2" xfId="27529" xr:uid="{00000000-0005-0000-0000-0000E95F0000}"/>
    <cellStyle name="Output 4 2 2 3" xfId="26523" xr:uid="{00000000-0005-0000-0000-000031620000}"/>
    <cellStyle name="Output 4 2 2 4" xfId="26507" xr:uid="{00000000-0005-0000-0000-0000E95F0000}"/>
    <cellStyle name="Output 4 2 3" xfId="25573" xr:uid="{00000000-0005-0000-0000-0000D75F0000}"/>
    <cellStyle name="Output 4 2 3 2" xfId="27728" xr:uid="{00000000-0005-0000-0000-0000EA5F0000}"/>
    <cellStyle name="Output 4 2 3 3" xfId="26688" xr:uid="{00000000-0005-0000-0000-000032620000}"/>
    <cellStyle name="Output 4 2 3 4" xfId="26733" xr:uid="{00000000-0005-0000-0000-0000EA5F0000}"/>
    <cellStyle name="Output 4 2 4" xfId="27100" xr:uid="{00000000-0005-0000-0000-0000E85F0000}"/>
    <cellStyle name="Output 4 2 5" xfId="26058" xr:uid="{00000000-0005-0000-0000-000030620000}"/>
    <cellStyle name="Output 4 2 6" xfId="26433" xr:uid="{00000000-0005-0000-0000-0000E85F0000}"/>
    <cellStyle name="Output 4 3" xfId="24693" xr:uid="{00000000-0005-0000-0000-0000D85F0000}"/>
    <cellStyle name="Output 4 3 2" xfId="25417" xr:uid="{00000000-0005-0000-0000-0000D95F0000}"/>
    <cellStyle name="Output 4 3 2 2" xfId="27573" xr:uid="{00000000-0005-0000-0000-0000EC5F0000}"/>
    <cellStyle name="Output 4 3 2 3" xfId="26233" xr:uid="{00000000-0005-0000-0000-000034620000}"/>
    <cellStyle name="Output 4 3 2 4" xfId="26512" xr:uid="{00000000-0005-0000-0000-0000EC5F0000}"/>
    <cellStyle name="Output 4 3 3" xfId="25652" xr:uid="{00000000-0005-0000-0000-0000DA5F0000}"/>
    <cellStyle name="Output 4 3 3 2" xfId="27807" xr:uid="{00000000-0005-0000-0000-0000ED5F0000}"/>
    <cellStyle name="Output 4 3 3 3" xfId="26833" xr:uid="{00000000-0005-0000-0000-000035620000}"/>
    <cellStyle name="Output 4 3 3 4" xfId="26473" xr:uid="{00000000-0005-0000-0000-0000ED5F0000}"/>
    <cellStyle name="Output 4 3 4" xfId="27284" xr:uid="{00000000-0005-0000-0000-0000EB5F0000}"/>
    <cellStyle name="Output 4 3 5" xfId="26758" xr:uid="{00000000-0005-0000-0000-000033620000}"/>
    <cellStyle name="Output 4 3 6" xfId="26511" xr:uid="{00000000-0005-0000-0000-0000EB5F0000}"/>
    <cellStyle name="Output 4 4" xfId="25086" xr:uid="{00000000-0005-0000-0000-0000DB5F0000}"/>
    <cellStyle name="Output 4 4 2" xfId="25346" xr:uid="{00000000-0005-0000-0000-0000DC5F0000}"/>
    <cellStyle name="Output 4 4 2 2" xfId="27502" xr:uid="{00000000-0005-0000-0000-0000EF5F0000}"/>
    <cellStyle name="Output 4 4 2 3" xfId="26904" xr:uid="{00000000-0005-0000-0000-000037620000}"/>
    <cellStyle name="Output 4 4 2 4" xfId="26171" xr:uid="{00000000-0005-0000-0000-0000EF5F0000}"/>
    <cellStyle name="Output 4 4 3" xfId="25686" xr:uid="{00000000-0005-0000-0000-0000DD5F0000}"/>
    <cellStyle name="Output 4 4 3 2" xfId="27841" xr:uid="{00000000-0005-0000-0000-0000F05F0000}"/>
    <cellStyle name="Output 4 4 3 3" xfId="26378" xr:uid="{00000000-0005-0000-0000-000038620000}"/>
    <cellStyle name="Output 4 4 3 4" xfId="26093" xr:uid="{00000000-0005-0000-0000-0000F05F0000}"/>
    <cellStyle name="Output 4 4 4" xfId="27375" xr:uid="{00000000-0005-0000-0000-0000EE5F0000}"/>
    <cellStyle name="Output 4 4 5" xfId="26305" xr:uid="{00000000-0005-0000-0000-000036620000}"/>
    <cellStyle name="Output 4 4 6" xfId="26114" xr:uid="{00000000-0005-0000-0000-0000EE5F0000}"/>
    <cellStyle name="Output 40" xfId="3418" xr:uid="{00000000-0005-0000-0000-0000DE5F0000}"/>
    <cellStyle name="Output 41" xfId="3419" xr:uid="{00000000-0005-0000-0000-0000DF5F0000}"/>
    <cellStyle name="Output 42" xfId="3420" xr:uid="{00000000-0005-0000-0000-0000E05F0000}"/>
    <cellStyle name="Output 43" xfId="3421" xr:uid="{00000000-0005-0000-0000-0000E15F0000}"/>
    <cellStyle name="Output 44" xfId="3422" xr:uid="{00000000-0005-0000-0000-0000E25F0000}"/>
    <cellStyle name="Output 45" xfId="3423" xr:uid="{00000000-0005-0000-0000-0000E35F0000}"/>
    <cellStyle name="Output 46" xfId="3424" xr:uid="{00000000-0005-0000-0000-0000E45F0000}"/>
    <cellStyle name="Output 47" xfId="3425" xr:uid="{00000000-0005-0000-0000-0000E55F0000}"/>
    <cellStyle name="Output 48" xfId="3426" xr:uid="{00000000-0005-0000-0000-0000E65F0000}"/>
    <cellStyle name="Output 49" xfId="3427" xr:uid="{00000000-0005-0000-0000-0000E75F0000}"/>
    <cellStyle name="Output 5" xfId="3428" xr:uid="{00000000-0005-0000-0000-0000E85F0000}"/>
    <cellStyle name="Output 5 2" xfId="24207" xr:uid="{00000000-0005-0000-0000-0000E95F0000}"/>
    <cellStyle name="Output 5 2 2" xfId="25386" xr:uid="{00000000-0005-0000-0000-0000EA5F0000}"/>
    <cellStyle name="Output 5 2 2 2" xfId="27542" xr:uid="{00000000-0005-0000-0000-0000FD5F0000}"/>
    <cellStyle name="Output 5 2 2 3" xfId="26057" xr:uid="{00000000-0005-0000-0000-000045620000}"/>
    <cellStyle name="Output 5 2 2 4" xfId="26107" xr:uid="{00000000-0005-0000-0000-0000FD5F0000}"/>
    <cellStyle name="Output 5 2 3" xfId="25574" xr:uid="{00000000-0005-0000-0000-0000EB5F0000}"/>
    <cellStyle name="Output 5 2 3 2" xfId="27729" xr:uid="{00000000-0005-0000-0000-0000FE5F0000}"/>
    <cellStyle name="Output 5 2 3 3" xfId="26522" xr:uid="{00000000-0005-0000-0000-000046620000}"/>
    <cellStyle name="Output 5 2 3 4" xfId="26130" xr:uid="{00000000-0005-0000-0000-0000FE5F0000}"/>
    <cellStyle name="Output 5 2 4" xfId="27101" xr:uid="{00000000-0005-0000-0000-0000FC5F0000}"/>
    <cellStyle name="Output 5 2 5" xfId="26200" xr:uid="{00000000-0005-0000-0000-000044620000}"/>
    <cellStyle name="Output 5 2 6" xfId="26975" xr:uid="{00000000-0005-0000-0000-0000FC5F0000}"/>
    <cellStyle name="Output 5 3" xfId="24692" xr:uid="{00000000-0005-0000-0000-0000EC5F0000}"/>
    <cellStyle name="Output 5 3 2" xfId="25316" xr:uid="{00000000-0005-0000-0000-0000ED5F0000}"/>
    <cellStyle name="Output 5 3 2 2" xfId="27472" xr:uid="{00000000-0005-0000-0000-000000600000}"/>
    <cellStyle name="Output 5 3 2 3" xfId="26757" xr:uid="{00000000-0005-0000-0000-000048620000}"/>
    <cellStyle name="Output 5 3 2 4" xfId="26141" xr:uid="{00000000-0005-0000-0000-000000600000}"/>
    <cellStyle name="Output 5 3 3" xfId="25651" xr:uid="{00000000-0005-0000-0000-0000EE5F0000}"/>
    <cellStyle name="Output 5 3 3 2" xfId="27806" xr:uid="{00000000-0005-0000-0000-000001600000}"/>
    <cellStyle name="Output 5 3 3 3" xfId="26232" xr:uid="{00000000-0005-0000-0000-000049620000}"/>
    <cellStyle name="Output 5 3 3 4" xfId="26837" xr:uid="{00000000-0005-0000-0000-000001600000}"/>
    <cellStyle name="Output 5 3 4" xfId="27283" xr:uid="{00000000-0005-0000-0000-0000FF5F0000}"/>
    <cellStyle name="Output 5 3 5" xfId="26687" xr:uid="{00000000-0005-0000-0000-000047620000}"/>
    <cellStyle name="Output 5 3 6" xfId="26853" xr:uid="{00000000-0005-0000-0000-0000FF5F0000}"/>
    <cellStyle name="Output 5 4" xfId="25087" xr:uid="{00000000-0005-0000-0000-0000EF5F0000}"/>
    <cellStyle name="Output 5 4 2" xfId="25447" xr:uid="{00000000-0005-0000-0000-0000F05F0000}"/>
    <cellStyle name="Output 5 4 2 2" xfId="27603" xr:uid="{00000000-0005-0000-0000-000003600000}"/>
    <cellStyle name="Output 5 4 2 3" xfId="26304" xr:uid="{00000000-0005-0000-0000-00004B620000}"/>
    <cellStyle name="Output 5 4 2 4" xfId="26299" xr:uid="{00000000-0005-0000-0000-000003600000}"/>
    <cellStyle name="Output 5 4 3" xfId="25687" xr:uid="{00000000-0005-0000-0000-0000F15F0000}"/>
    <cellStyle name="Output 5 4 3 2" xfId="27842" xr:uid="{00000000-0005-0000-0000-000004600000}"/>
    <cellStyle name="Output 5 4 3 3" xfId="26899" xr:uid="{00000000-0005-0000-0000-00004C620000}"/>
    <cellStyle name="Output 5 4 3 4" xfId="26979" xr:uid="{00000000-0005-0000-0000-000004600000}"/>
    <cellStyle name="Output 5 4 4" xfId="27376" xr:uid="{00000000-0005-0000-0000-000002600000}"/>
    <cellStyle name="Output 5 4 5" xfId="26832" xr:uid="{00000000-0005-0000-0000-00004A620000}"/>
    <cellStyle name="Output 5 4 6" xfId="26699" xr:uid="{00000000-0005-0000-0000-000002600000}"/>
    <cellStyle name="Output 50" xfId="3429" xr:uid="{00000000-0005-0000-0000-0000F25F0000}"/>
    <cellStyle name="Output 51" xfId="3430" xr:uid="{00000000-0005-0000-0000-0000F35F0000}"/>
    <cellStyle name="Output 52" xfId="3431" xr:uid="{00000000-0005-0000-0000-0000F45F0000}"/>
    <cellStyle name="Output 53" xfId="3432" xr:uid="{00000000-0005-0000-0000-0000F55F0000}"/>
    <cellStyle name="Output 54" xfId="3433" xr:uid="{00000000-0005-0000-0000-0000F65F0000}"/>
    <cellStyle name="Output 55" xfId="3434" xr:uid="{00000000-0005-0000-0000-0000F75F0000}"/>
    <cellStyle name="Output 56" xfId="3435" xr:uid="{00000000-0005-0000-0000-0000F85F0000}"/>
    <cellStyle name="Output 57" xfId="3436" xr:uid="{00000000-0005-0000-0000-0000F95F0000}"/>
    <cellStyle name="Output 58" xfId="3437" xr:uid="{00000000-0005-0000-0000-0000FA5F0000}"/>
    <cellStyle name="Output 59" xfId="3438" xr:uid="{00000000-0005-0000-0000-0000FB5F0000}"/>
    <cellStyle name="Output 6" xfId="3439" xr:uid="{00000000-0005-0000-0000-0000FC5F0000}"/>
    <cellStyle name="Output 60" xfId="3440" xr:uid="{00000000-0005-0000-0000-0000FD5F0000}"/>
    <cellStyle name="Output 61" xfId="3441" xr:uid="{00000000-0005-0000-0000-0000FE5F0000}"/>
    <cellStyle name="Output 62" xfId="3442" xr:uid="{00000000-0005-0000-0000-0000FF5F0000}"/>
    <cellStyle name="Output 63" xfId="3443" xr:uid="{00000000-0005-0000-0000-000000600000}"/>
    <cellStyle name="Output 64" xfId="3444" xr:uid="{00000000-0005-0000-0000-000001600000}"/>
    <cellStyle name="Output 65" xfId="3445" xr:uid="{00000000-0005-0000-0000-000002600000}"/>
    <cellStyle name="Output 66" xfId="3446" xr:uid="{00000000-0005-0000-0000-000003600000}"/>
    <cellStyle name="Output 67" xfId="3447" xr:uid="{00000000-0005-0000-0000-000004600000}"/>
    <cellStyle name="Output 68" xfId="3448" xr:uid="{00000000-0005-0000-0000-000005600000}"/>
    <cellStyle name="Output 69" xfId="3449" xr:uid="{00000000-0005-0000-0000-000006600000}"/>
    <cellStyle name="Output 7" xfId="3450" xr:uid="{00000000-0005-0000-0000-000007600000}"/>
    <cellStyle name="Output 70" xfId="3451" xr:uid="{00000000-0005-0000-0000-000008600000}"/>
    <cellStyle name="Output 71" xfId="3452" xr:uid="{00000000-0005-0000-0000-000009600000}"/>
    <cellStyle name="Output 72" xfId="3453" xr:uid="{00000000-0005-0000-0000-00000A600000}"/>
    <cellStyle name="Output 8" xfId="3454" xr:uid="{00000000-0005-0000-0000-00000B600000}"/>
    <cellStyle name="Output 9" xfId="3455" xr:uid="{00000000-0005-0000-0000-00000C600000}"/>
    <cellStyle name="Output Amounts" xfId="580" xr:uid="{00000000-0005-0000-0000-00000D600000}"/>
    <cellStyle name="Output Amounts 2" xfId="3456" xr:uid="{00000000-0005-0000-0000-00000E600000}"/>
    <cellStyle name="Output Amounts 2 2" xfId="24208" xr:uid="{00000000-0005-0000-0000-00000F600000}"/>
    <cellStyle name="Output Amounts 3" xfId="13903" xr:uid="{00000000-0005-0000-0000-000010600000}"/>
    <cellStyle name="Output Column Headings" xfId="3457" xr:uid="{00000000-0005-0000-0000-000011600000}"/>
    <cellStyle name="Output Line Items" xfId="581" xr:uid="{00000000-0005-0000-0000-000012600000}"/>
    <cellStyle name="Output Line Items 2" xfId="3458" xr:uid="{00000000-0005-0000-0000-000013600000}"/>
    <cellStyle name="Output Line Items 3" xfId="13904" xr:uid="{00000000-0005-0000-0000-000014600000}"/>
    <cellStyle name="Output Report Heading" xfId="3459" xr:uid="{00000000-0005-0000-0000-000015600000}"/>
    <cellStyle name="Output Report Title" xfId="3460" xr:uid="{00000000-0005-0000-0000-000016600000}"/>
    <cellStyle name="Page Heading Large" xfId="582" xr:uid="{00000000-0005-0000-0000-000017600000}"/>
    <cellStyle name="Page Heading Small" xfId="583" xr:uid="{00000000-0005-0000-0000-000018600000}"/>
    <cellStyle name="Password" xfId="63" xr:uid="{00000000-0005-0000-0000-000019600000}"/>
    <cellStyle name="Password 2" xfId="24525" xr:uid="{00000000-0005-0000-0000-00001A600000}"/>
    <cellStyle name="Password 2 2" xfId="27925" xr:uid="{00000000-0005-0000-0000-000075620000}"/>
    <cellStyle name="pct_sub" xfId="584" xr:uid="{00000000-0005-0000-0000-00001B600000}"/>
    <cellStyle name="Percen - Style1" xfId="64" xr:uid="{00000000-0005-0000-0000-00001C600000}"/>
    <cellStyle name="Percen - Style2" xfId="65" xr:uid="{00000000-0005-0000-0000-00001D600000}"/>
    <cellStyle name="Percent" xfId="25795" builtinId="5"/>
    <cellStyle name="Percent (0)" xfId="585" xr:uid="{00000000-0005-0000-0000-00001F600000}"/>
    <cellStyle name="Percent (0) 2" xfId="26050" xr:uid="{00000000-0005-0000-0000-000032600000}"/>
    <cellStyle name="Percent [1]" xfId="586" xr:uid="{00000000-0005-0000-0000-000020600000}"/>
    <cellStyle name="Percent [2]" xfId="66" xr:uid="{00000000-0005-0000-0000-000021600000}"/>
    <cellStyle name="Percent [2] 2" xfId="25816" xr:uid="{00000000-0005-0000-0000-000034600000}"/>
    <cellStyle name="Percent 10" xfId="205" xr:uid="{00000000-0005-0000-0000-000022600000}"/>
    <cellStyle name="Percent 10 2" xfId="25897" xr:uid="{00000000-0005-0000-0000-000035600000}"/>
    <cellStyle name="Percent 11" xfId="206" xr:uid="{00000000-0005-0000-0000-000023600000}"/>
    <cellStyle name="Percent 11 2" xfId="25898" xr:uid="{00000000-0005-0000-0000-000036600000}"/>
    <cellStyle name="Percent 12" xfId="207" xr:uid="{00000000-0005-0000-0000-000024600000}"/>
    <cellStyle name="Percent 12 2" xfId="25899" xr:uid="{00000000-0005-0000-0000-000037600000}"/>
    <cellStyle name="Percent 13" xfId="208" xr:uid="{00000000-0005-0000-0000-000025600000}"/>
    <cellStyle name="Percent 13 2" xfId="25900" xr:uid="{00000000-0005-0000-0000-000038600000}"/>
    <cellStyle name="Percent 14" xfId="209" xr:uid="{00000000-0005-0000-0000-000026600000}"/>
    <cellStyle name="Percent 14 2" xfId="25901" xr:uid="{00000000-0005-0000-0000-000039600000}"/>
    <cellStyle name="Percent 15" xfId="210" xr:uid="{00000000-0005-0000-0000-000027600000}"/>
    <cellStyle name="Percent 15 2" xfId="25902" xr:uid="{00000000-0005-0000-0000-00003A600000}"/>
    <cellStyle name="Percent 16" xfId="211" xr:uid="{00000000-0005-0000-0000-000028600000}"/>
    <cellStyle name="Percent 16 2" xfId="25903" xr:uid="{00000000-0005-0000-0000-00003B600000}"/>
    <cellStyle name="Percent 17" xfId="212" xr:uid="{00000000-0005-0000-0000-000029600000}"/>
    <cellStyle name="Percent 17 2" xfId="25904" xr:uid="{00000000-0005-0000-0000-00003C600000}"/>
    <cellStyle name="Percent 18" xfId="286" xr:uid="{00000000-0005-0000-0000-00002A600000}"/>
    <cellStyle name="Percent 18 2" xfId="25945" xr:uid="{00000000-0005-0000-0000-00003D600000}"/>
    <cellStyle name="Percent 19" xfId="287" xr:uid="{00000000-0005-0000-0000-00002B600000}"/>
    <cellStyle name="Percent 19 2" xfId="25946" xr:uid="{00000000-0005-0000-0000-00003E600000}"/>
    <cellStyle name="Percent 2" xfId="67" xr:uid="{00000000-0005-0000-0000-00002C600000}"/>
    <cellStyle name="Percent 2 10" xfId="12601" xr:uid="{00000000-0005-0000-0000-00002D600000}"/>
    <cellStyle name="Percent 2 11" xfId="24210" xr:uid="{00000000-0005-0000-0000-00002E600000}"/>
    <cellStyle name="Percent 2 12" xfId="25750" xr:uid="{00000000-0005-0000-0000-00002F600000}"/>
    <cellStyle name="Percent 2 2" xfId="213" xr:uid="{00000000-0005-0000-0000-000030600000}"/>
    <cellStyle name="Percent 2 2 2" xfId="467" xr:uid="{00000000-0005-0000-0000-000031600000}"/>
    <cellStyle name="Percent 2 2 2 2" xfId="13831" xr:uid="{00000000-0005-0000-0000-000032600000}"/>
    <cellStyle name="Percent 2 2 3" xfId="663" xr:uid="{00000000-0005-0000-0000-000033600000}"/>
    <cellStyle name="Percent 2 2 4" xfId="23897" xr:uid="{00000000-0005-0000-0000-000034600000}"/>
    <cellStyle name="Percent 2 2 5" xfId="25905" xr:uid="{00000000-0005-0000-0000-000043600000}"/>
    <cellStyle name="Percent 2 3" xfId="358" xr:uid="{00000000-0005-0000-0000-000035600000}"/>
    <cellStyle name="Percent 2 3 2" xfId="441" xr:uid="{00000000-0005-0000-0000-000036600000}"/>
    <cellStyle name="Percent 2 3 2 2" xfId="527" xr:uid="{00000000-0005-0000-0000-000037600000}"/>
    <cellStyle name="Percent 2 3 2 2 2" xfId="13890" xr:uid="{00000000-0005-0000-0000-000038600000}"/>
    <cellStyle name="Percent 2 3 2 3" xfId="13813" xr:uid="{00000000-0005-0000-0000-000039600000}"/>
    <cellStyle name="Percent 2 3 3" xfId="490" xr:uid="{00000000-0005-0000-0000-00003A600000}"/>
    <cellStyle name="Percent 2 3 3 2" xfId="13853" xr:uid="{00000000-0005-0000-0000-00003B600000}"/>
    <cellStyle name="Percent 2 3 4" xfId="13768" xr:uid="{00000000-0005-0000-0000-00003C600000}"/>
    <cellStyle name="Percent 2 3 5" xfId="24211" xr:uid="{00000000-0005-0000-0000-00003D600000}"/>
    <cellStyle name="Percent 2 3 5 2" xfId="27103" xr:uid="{00000000-0005-0000-0000-000050600000}"/>
    <cellStyle name="Percent 2 4" xfId="410" xr:uid="{00000000-0005-0000-0000-00003E600000}"/>
    <cellStyle name="Percent 2 4 2" xfId="510" xr:uid="{00000000-0005-0000-0000-00003F600000}"/>
    <cellStyle name="Percent 2 4 2 2" xfId="13873" xr:uid="{00000000-0005-0000-0000-000040600000}"/>
    <cellStyle name="Percent 2 4 3" xfId="13792" xr:uid="{00000000-0005-0000-0000-000041600000}"/>
    <cellStyle name="Percent 2 4 4" xfId="24212" xr:uid="{00000000-0005-0000-0000-000042600000}"/>
    <cellStyle name="Percent 2 4 4 2" xfId="27104" xr:uid="{00000000-0005-0000-0000-000055600000}"/>
    <cellStyle name="Percent 2 5" xfId="466" xr:uid="{00000000-0005-0000-0000-000043600000}"/>
    <cellStyle name="Percent 2 5 2" xfId="13830" xr:uid="{00000000-0005-0000-0000-000044600000}"/>
    <cellStyle name="Percent 2 5 3" xfId="24213" xr:uid="{00000000-0005-0000-0000-000045600000}"/>
    <cellStyle name="Percent 2 5 3 2" xfId="27105" xr:uid="{00000000-0005-0000-0000-000058600000}"/>
    <cellStyle name="Percent 2 6" xfId="475" xr:uid="{00000000-0005-0000-0000-000046600000}"/>
    <cellStyle name="Percent 2 6 2" xfId="13838" xr:uid="{00000000-0005-0000-0000-000047600000}"/>
    <cellStyle name="Percent 2 6 3" xfId="24214" xr:uid="{00000000-0005-0000-0000-000048600000}"/>
    <cellStyle name="Percent 2 6 3 2" xfId="27106" xr:uid="{00000000-0005-0000-0000-00005B600000}"/>
    <cellStyle name="Percent 2 7" xfId="662" xr:uid="{00000000-0005-0000-0000-000049600000}"/>
    <cellStyle name="Percent 2 7 2" xfId="13914" xr:uid="{00000000-0005-0000-0000-00004A600000}"/>
    <cellStyle name="Percent 2 7 3" xfId="24215" xr:uid="{00000000-0005-0000-0000-00004B600000}"/>
    <cellStyle name="Percent 2 7 3 2" xfId="27107" xr:uid="{00000000-0005-0000-0000-00005E600000}"/>
    <cellStyle name="Percent 2 8" xfId="3461" xr:uid="{00000000-0005-0000-0000-00004C600000}"/>
    <cellStyle name="Percent 2 8 2" xfId="24216" xr:uid="{00000000-0005-0000-0000-00004D600000}"/>
    <cellStyle name="Percent 2 8 2 2" xfId="27108" xr:uid="{00000000-0005-0000-0000-000060600000}"/>
    <cellStyle name="Percent 2 9" xfId="13619" xr:uid="{00000000-0005-0000-0000-00004E600000}"/>
    <cellStyle name="Percent 20" xfId="296" xr:uid="{00000000-0005-0000-0000-00004F600000}"/>
    <cellStyle name="Percent 20 2" xfId="25951" xr:uid="{00000000-0005-0000-0000-000062600000}"/>
    <cellStyle name="Percent 21" xfId="297" xr:uid="{00000000-0005-0000-0000-000050600000}"/>
    <cellStyle name="Percent 21 2" xfId="25952" xr:uid="{00000000-0005-0000-0000-000063600000}"/>
    <cellStyle name="Percent 22" xfId="298" xr:uid="{00000000-0005-0000-0000-000051600000}"/>
    <cellStyle name="Percent 22 2" xfId="25953" xr:uid="{00000000-0005-0000-0000-000064600000}"/>
    <cellStyle name="Percent 23" xfId="299" xr:uid="{00000000-0005-0000-0000-000052600000}"/>
    <cellStyle name="Percent 23 2" xfId="25954" xr:uid="{00000000-0005-0000-0000-000065600000}"/>
    <cellStyle name="Percent 24" xfId="304" xr:uid="{00000000-0005-0000-0000-000053600000}"/>
    <cellStyle name="Percent 24 2" xfId="25957" xr:uid="{00000000-0005-0000-0000-000066600000}"/>
    <cellStyle name="Percent 25" xfId="305" xr:uid="{00000000-0005-0000-0000-000054600000}"/>
    <cellStyle name="Percent 25 2" xfId="25958" xr:uid="{00000000-0005-0000-0000-000067600000}"/>
    <cellStyle name="Percent 26" xfId="325" xr:uid="{00000000-0005-0000-0000-000055600000}"/>
    <cellStyle name="Percent 26 2" xfId="25969" xr:uid="{00000000-0005-0000-0000-000068600000}"/>
    <cellStyle name="Percent 27" xfId="326" xr:uid="{00000000-0005-0000-0000-000056600000}"/>
    <cellStyle name="Percent 27 2" xfId="25970" xr:uid="{00000000-0005-0000-0000-000069600000}"/>
    <cellStyle name="Percent 28" xfId="327" xr:uid="{00000000-0005-0000-0000-000057600000}"/>
    <cellStyle name="Percent 28 2" xfId="25971" xr:uid="{00000000-0005-0000-0000-00006A600000}"/>
    <cellStyle name="Percent 29" xfId="328" xr:uid="{00000000-0005-0000-0000-000058600000}"/>
    <cellStyle name="Percent 29 2" xfId="25972" xr:uid="{00000000-0005-0000-0000-00006B600000}"/>
    <cellStyle name="Percent 3" xfId="68" xr:uid="{00000000-0005-0000-0000-000059600000}"/>
    <cellStyle name="Percent 3 10" xfId="25088" xr:uid="{00000000-0005-0000-0000-00005A600000}"/>
    <cellStyle name="Percent 3 11" xfId="25817" xr:uid="{00000000-0005-0000-0000-00006C600000}"/>
    <cellStyle name="Percent 3 2" xfId="171" xr:uid="{00000000-0005-0000-0000-00005B600000}"/>
    <cellStyle name="Percent 3 2 2" xfId="362" xr:uid="{00000000-0005-0000-0000-00005C600000}"/>
    <cellStyle name="Percent 3 2 2 2" xfId="444" xr:uid="{00000000-0005-0000-0000-00005D600000}"/>
    <cellStyle name="Percent 3 2 2 2 2" xfId="530" xr:uid="{00000000-0005-0000-0000-00005E600000}"/>
    <cellStyle name="Percent 3 2 2 2 2 2" xfId="13893" xr:uid="{00000000-0005-0000-0000-00005F600000}"/>
    <cellStyle name="Percent 3 2 2 2 3" xfId="13816" xr:uid="{00000000-0005-0000-0000-000060600000}"/>
    <cellStyle name="Percent 3 2 2 3" xfId="493" xr:uid="{00000000-0005-0000-0000-000061600000}"/>
    <cellStyle name="Percent 3 2 2 3 2" xfId="13856" xr:uid="{00000000-0005-0000-0000-000062600000}"/>
    <cellStyle name="Percent 3 2 2 4" xfId="13772" xr:uid="{00000000-0005-0000-0000-000063600000}"/>
    <cellStyle name="Percent 3 2 2 5" xfId="24468" xr:uid="{00000000-0005-0000-0000-000064600000}"/>
    <cellStyle name="Percent 3 2 2 6" xfId="24910" xr:uid="{00000000-0005-0000-0000-000065600000}"/>
    <cellStyle name="Percent 3 2 2 7" xfId="25271" xr:uid="{00000000-0005-0000-0000-000066600000}"/>
    <cellStyle name="Percent 3 2 3" xfId="424" xr:uid="{00000000-0005-0000-0000-000067600000}"/>
    <cellStyle name="Percent 3 2 3 2" xfId="515" xr:uid="{00000000-0005-0000-0000-000068600000}"/>
    <cellStyle name="Percent 3 2 3 2 2" xfId="13878" xr:uid="{00000000-0005-0000-0000-000069600000}"/>
    <cellStyle name="Percent 3 2 3 3" xfId="13801" xr:uid="{00000000-0005-0000-0000-00006A600000}"/>
    <cellStyle name="Percent 3 2 4" xfId="478" xr:uid="{00000000-0005-0000-0000-00006B600000}"/>
    <cellStyle name="Percent 3 2 4 2" xfId="13841" xr:uid="{00000000-0005-0000-0000-00006C600000}"/>
    <cellStyle name="Percent 3 2 5" xfId="13686" xr:uid="{00000000-0005-0000-0000-00006D600000}"/>
    <cellStyle name="Percent 3 2 6" xfId="24218" xr:uid="{00000000-0005-0000-0000-00006E600000}"/>
    <cellStyle name="Percent 3 2 7" xfId="24763" xr:uid="{00000000-0005-0000-0000-00006F600000}"/>
    <cellStyle name="Percent 3 2 8" xfId="25089" xr:uid="{00000000-0005-0000-0000-000070600000}"/>
    <cellStyle name="Percent 3 3" xfId="214" xr:uid="{00000000-0005-0000-0000-000071600000}"/>
    <cellStyle name="Percent 3 3 2" xfId="368" xr:uid="{00000000-0005-0000-0000-000072600000}"/>
    <cellStyle name="Percent 3 3 2 2" xfId="450" xr:uid="{00000000-0005-0000-0000-000073600000}"/>
    <cellStyle name="Percent 3 3 2 2 2" xfId="536" xr:uid="{00000000-0005-0000-0000-000074600000}"/>
    <cellStyle name="Percent 3 3 2 2 2 2" xfId="13899" xr:uid="{00000000-0005-0000-0000-000075600000}"/>
    <cellStyle name="Percent 3 3 2 2 3" xfId="13822" xr:uid="{00000000-0005-0000-0000-000076600000}"/>
    <cellStyle name="Percent 3 3 2 3" xfId="499" xr:uid="{00000000-0005-0000-0000-000077600000}"/>
    <cellStyle name="Percent 3 3 2 3 2" xfId="13862" xr:uid="{00000000-0005-0000-0000-000078600000}"/>
    <cellStyle name="Percent 3 3 2 4" xfId="13778" xr:uid="{00000000-0005-0000-0000-000079600000}"/>
    <cellStyle name="Percent 3 3 3" xfId="431" xr:uid="{00000000-0005-0000-0000-00007A600000}"/>
    <cellStyle name="Percent 3 3 3 2" xfId="521" xr:uid="{00000000-0005-0000-0000-00007B600000}"/>
    <cellStyle name="Percent 3 3 3 2 2" xfId="13884" xr:uid="{00000000-0005-0000-0000-00007C600000}"/>
    <cellStyle name="Percent 3 3 3 3" xfId="13807" xr:uid="{00000000-0005-0000-0000-00007D600000}"/>
    <cellStyle name="Percent 3 3 4" xfId="484" xr:uid="{00000000-0005-0000-0000-00007E600000}"/>
    <cellStyle name="Percent 3 3 4 2" xfId="13847" xr:uid="{00000000-0005-0000-0000-00007F600000}"/>
    <cellStyle name="Percent 3 3 5" xfId="13704" xr:uid="{00000000-0005-0000-0000-000080600000}"/>
    <cellStyle name="Percent 3 3 6" xfId="24467" xr:uid="{00000000-0005-0000-0000-000081600000}"/>
    <cellStyle name="Percent 3 3 7" xfId="24909" xr:uid="{00000000-0005-0000-0000-000082600000}"/>
    <cellStyle name="Percent 3 3 8" xfId="25270" xr:uid="{00000000-0005-0000-0000-000083600000}"/>
    <cellStyle name="Percent 3 4" xfId="3621" xr:uid="{00000000-0005-0000-0000-000084600000}"/>
    <cellStyle name="Percent 3 5" xfId="13620" xr:uid="{00000000-0005-0000-0000-000085600000}"/>
    <cellStyle name="Percent 3 5 2" xfId="26564" xr:uid="{00000000-0005-0000-0000-000098600000}"/>
    <cellStyle name="Percent 3 6" xfId="13598" xr:uid="{00000000-0005-0000-0000-000086600000}"/>
    <cellStyle name="Percent 3 7" xfId="23907" xr:uid="{00000000-0005-0000-0000-000087600000}"/>
    <cellStyle name="Percent 3 8" xfId="24217" xr:uid="{00000000-0005-0000-0000-000088600000}"/>
    <cellStyle name="Percent 3 9" xfId="24762" xr:uid="{00000000-0005-0000-0000-000089600000}"/>
    <cellStyle name="Percent 30" xfId="329" xr:uid="{00000000-0005-0000-0000-00008A600000}"/>
    <cellStyle name="Percent 30 2" xfId="25973" xr:uid="{00000000-0005-0000-0000-00009D600000}"/>
    <cellStyle name="Percent 31" xfId="330" xr:uid="{00000000-0005-0000-0000-00008B600000}"/>
    <cellStyle name="Percent 31 2" xfId="25974" xr:uid="{00000000-0005-0000-0000-00009E600000}"/>
    <cellStyle name="Percent 32" xfId="331" xr:uid="{00000000-0005-0000-0000-00008C600000}"/>
    <cellStyle name="Percent 32 2" xfId="25975" xr:uid="{00000000-0005-0000-0000-00009F600000}"/>
    <cellStyle name="Percent 33" xfId="332" xr:uid="{00000000-0005-0000-0000-00008D600000}"/>
    <cellStyle name="Percent 33 2" xfId="25976" xr:uid="{00000000-0005-0000-0000-0000A0600000}"/>
    <cellStyle name="Percent 34" xfId="344" xr:uid="{00000000-0005-0000-0000-00008E600000}"/>
    <cellStyle name="Percent 34 2" xfId="25984" xr:uid="{00000000-0005-0000-0000-0000A1600000}"/>
    <cellStyle name="Percent 35" xfId="345" xr:uid="{00000000-0005-0000-0000-00008F600000}"/>
    <cellStyle name="Percent 35 2" xfId="25985" xr:uid="{00000000-0005-0000-0000-0000A2600000}"/>
    <cellStyle name="Percent 36" xfId="346" xr:uid="{00000000-0005-0000-0000-000090600000}"/>
    <cellStyle name="Percent 36 2" xfId="25986" xr:uid="{00000000-0005-0000-0000-0000A3600000}"/>
    <cellStyle name="Percent 37" xfId="347" xr:uid="{00000000-0005-0000-0000-000091600000}"/>
    <cellStyle name="Percent 37 2" xfId="25987" xr:uid="{00000000-0005-0000-0000-0000A4600000}"/>
    <cellStyle name="Percent 38" xfId="396" xr:uid="{00000000-0005-0000-0000-000092600000}"/>
    <cellStyle name="Percent 38 2" xfId="26008" xr:uid="{00000000-0005-0000-0000-0000A5600000}"/>
    <cellStyle name="Percent 39" xfId="372" xr:uid="{00000000-0005-0000-0000-000093600000}"/>
    <cellStyle name="Percent 39 2" xfId="502" xr:uid="{00000000-0005-0000-0000-000094600000}"/>
    <cellStyle name="Percent 39 2 2" xfId="13865" xr:uid="{00000000-0005-0000-0000-000095600000}"/>
    <cellStyle name="Percent 39 3" xfId="13781" xr:uid="{00000000-0005-0000-0000-000096600000}"/>
    <cellStyle name="Percent 4" xfId="69" xr:uid="{00000000-0005-0000-0000-000097600000}"/>
    <cellStyle name="Percent 4 2" xfId="24304" xr:uid="{00000000-0005-0000-0000-000098600000}"/>
    <cellStyle name="Percent 4 2 2" xfId="27142" xr:uid="{00000000-0005-0000-0000-0000AB600000}"/>
    <cellStyle name="Percent 4 3" xfId="24219" xr:uid="{00000000-0005-0000-0000-000099600000}"/>
    <cellStyle name="Percent 4 4" xfId="25794" xr:uid="{00000000-0005-0000-0000-00009A600000}"/>
    <cellStyle name="Percent 40" xfId="418" xr:uid="{00000000-0005-0000-0000-00009B600000}"/>
    <cellStyle name="Percent 40 2" xfId="511" xr:uid="{00000000-0005-0000-0000-00009C600000}"/>
    <cellStyle name="Percent 40 2 2" xfId="13874" xr:uid="{00000000-0005-0000-0000-00009D600000}"/>
    <cellStyle name="Percent 40 3" xfId="13797" xr:uid="{00000000-0005-0000-0000-00009E600000}"/>
    <cellStyle name="Percent 41" xfId="432" xr:uid="{00000000-0005-0000-0000-00009F600000}"/>
    <cellStyle name="Percent 41 2" xfId="522" xr:uid="{00000000-0005-0000-0000-0000A0600000}"/>
    <cellStyle name="Percent 41 2 2" xfId="13885" xr:uid="{00000000-0005-0000-0000-0000A1600000}"/>
    <cellStyle name="Percent 41 3" xfId="13808" xr:uid="{00000000-0005-0000-0000-0000A2600000}"/>
    <cellStyle name="Percent 42" xfId="453" xr:uid="{00000000-0005-0000-0000-0000A3600000}"/>
    <cellStyle name="Percent 42 2" xfId="539" xr:uid="{00000000-0005-0000-0000-0000A4600000}"/>
    <cellStyle name="Percent 42 2 2" xfId="13902" xr:uid="{00000000-0005-0000-0000-0000A5600000}"/>
    <cellStyle name="Percent 42 3" xfId="13825" xr:uid="{00000000-0005-0000-0000-0000A6600000}"/>
    <cellStyle name="Percent 43" xfId="13602" xr:uid="{00000000-0005-0000-0000-0000A7600000}"/>
    <cellStyle name="Percent 43 2" xfId="26557" xr:uid="{00000000-0005-0000-0000-0000BA600000}"/>
    <cellStyle name="Percent 44" xfId="23887" xr:uid="{00000000-0005-0000-0000-0000A8600000}"/>
    <cellStyle name="Percent 45" xfId="23890" xr:uid="{00000000-0005-0000-0000-0000A9600000}"/>
    <cellStyle name="Percent 46" xfId="23894" xr:uid="{00000000-0005-0000-0000-0000AA600000}"/>
    <cellStyle name="Percent 47" xfId="4" xr:uid="{00000000-0005-0000-0000-0000AB600000}"/>
    <cellStyle name="Percent 47 2" xfId="25800" xr:uid="{00000000-0005-0000-0000-0000BE600000}"/>
    <cellStyle name="Percent 48" xfId="25279" xr:uid="{00000000-0005-0000-0000-0000AC600000}"/>
    <cellStyle name="Percent 48 2" xfId="27436" xr:uid="{00000000-0005-0000-0000-0000BF600000}"/>
    <cellStyle name="Percent 49" xfId="25292" xr:uid="{00000000-0005-0000-0000-0000AD600000}"/>
    <cellStyle name="Percent 49 2" xfId="27449" xr:uid="{00000000-0005-0000-0000-0000C0600000}"/>
    <cellStyle name="Percent 5" xfId="70" xr:uid="{00000000-0005-0000-0000-0000AE600000}"/>
    <cellStyle name="Percent 5 2" xfId="24292" xr:uid="{00000000-0005-0000-0000-0000AF600000}"/>
    <cellStyle name="Percent 5 3" xfId="25818" xr:uid="{00000000-0005-0000-0000-0000C1600000}"/>
    <cellStyle name="Percent 50" xfId="25458" xr:uid="{00000000-0005-0000-0000-0000B0600000}"/>
    <cellStyle name="Percent 50 2" xfId="27613" xr:uid="{00000000-0005-0000-0000-0000C3600000}"/>
    <cellStyle name="Percent 51" xfId="25751" xr:uid="{00000000-0005-0000-0000-0000B1600000}"/>
    <cellStyle name="Percent 52" xfId="25758" xr:uid="{00000000-0005-0000-0000-0000B2600000}"/>
    <cellStyle name="Percent 53" xfId="25760" xr:uid="{00000000-0005-0000-0000-0000B3600000}"/>
    <cellStyle name="Percent 54" xfId="25764" xr:uid="{00000000-0005-0000-0000-0000B4600000}"/>
    <cellStyle name="Percent 55" xfId="25765" xr:uid="{00000000-0005-0000-0000-0000B5600000}"/>
    <cellStyle name="Percent 6" xfId="215" xr:uid="{00000000-0005-0000-0000-0000B6600000}"/>
    <cellStyle name="Percent 6 2" xfId="664" xr:uid="{00000000-0005-0000-0000-0000B7600000}"/>
    <cellStyle name="Percent 6 2 2" xfId="24480" xr:uid="{00000000-0005-0000-0000-0000B8600000}"/>
    <cellStyle name="Percent 6 2 3" xfId="24912" xr:uid="{00000000-0005-0000-0000-0000B9600000}"/>
    <cellStyle name="Percent 6 2 4" xfId="25272" xr:uid="{00000000-0005-0000-0000-0000BA600000}"/>
    <cellStyle name="Percent 6 3" xfId="24294" xr:uid="{00000000-0005-0000-0000-0000BB600000}"/>
    <cellStyle name="Percent 6 4" xfId="24775" xr:uid="{00000000-0005-0000-0000-0000BC600000}"/>
    <cellStyle name="Percent 6 5" xfId="25144" xr:uid="{00000000-0005-0000-0000-0000BD600000}"/>
    <cellStyle name="Percent 6 6" xfId="25906" xr:uid="{00000000-0005-0000-0000-0000C9600000}"/>
    <cellStyle name="Percent 7" xfId="216" xr:uid="{00000000-0005-0000-0000-0000BE600000}"/>
    <cellStyle name="Percent 7 2" xfId="25907" xr:uid="{00000000-0005-0000-0000-0000D1600000}"/>
    <cellStyle name="Percent 8" xfId="217" xr:uid="{00000000-0005-0000-0000-0000BF600000}"/>
    <cellStyle name="Percent 8 2" xfId="25908" xr:uid="{00000000-0005-0000-0000-0000D2600000}"/>
    <cellStyle name="Percent 9" xfId="218" xr:uid="{00000000-0005-0000-0000-0000C0600000}"/>
    <cellStyle name="Percent 9 2" xfId="25909" xr:uid="{00000000-0005-0000-0000-0000D3600000}"/>
    <cellStyle name="Percent Hard" xfId="587" xr:uid="{00000000-0005-0000-0000-0000C1600000}"/>
    <cellStyle name="Percent Hard 2" xfId="24220" xr:uid="{00000000-0005-0000-0000-0000C2600000}"/>
    <cellStyle name="Percent(0)" xfId="71" xr:uid="{00000000-0005-0000-0000-0000C3600000}"/>
    <cellStyle name="Percentage" xfId="588" xr:uid="{00000000-0005-0000-0000-0000C4600000}"/>
    <cellStyle name="Perlong" xfId="589" xr:uid="{00000000-0005-0000-0000-0000C5600000}"/>
    <cellStyle name="Private" xfId="590" xr:uid="{00000000-0005-0000-0000-0000C6600000}"/>
    <cellStyle name="Private 2" xfId="24780" xr:uid="{00000000-0005-0000-0000-0000C7600000}"/>
    <cellStyle name="Private1" xfId="591" xr:uid="{00000000-0005-0000-0000-0000C8600000}"/>
    <cellStyle name="Private1 2" xfId="24221" xr:uid="{00000000-0005-0000-0000-0000C9600000}"/>
    <cellStyle name="r" xfId="592" xr:uid="{00000000-0005-0000-0000-0000CA600000}"/>
    <cellStyle name="r 2" xfId="24222" xr:uid="{00000000-0005-0000-0000-0000CB600000}"/>
    <cellStyle name="r_10_21 A&amp;G Review" xfId="593" xr:uid="{00000000-0005-0000-0000-0000CC600000}"/>
    <cellStyle name="r_10_21 A&amp;G Review 2" xfId="24223" xr:uid="{00000000-0005-0000-0000-0000CD600000}"/>
    <cellStyle name="r_10_21 A&amp;G Review Raul" xfId="594" xr:uid="{00000000-0005-0000-0000-0000CE600000}"/>
    <cellStyle name="r_10_21 A&amp;G Review Raul 2" xfId="24224" xr:uid="{00000000-0005-0000-0000-0000CF600000}"/>
    <cellStyle name="r_10-17" xfId="595" xr:uid="{00000000-0005-0000-0000-0000D0600000}"/>
    <cellStyle name="r_10-17 2" xfId="24225" xr:uid="{00000000-0005-0000-0000-0000D1600000}"/>
    <cellStyle name="r_2003 Reduction &amp; Sensitivities" xfId="596" xr:uid="{00000000-0005-0000-0000-0000D2600000}"/>
    <cellStyle name="r_2003 Reduction &amp; Sensitivities 2" xfId="24226" xr:uid="{00000000-0005-0000-0000-0000D3600000}"/>
    <cellStyle name="r_2003BudgetVariances" xfId="597" xr:uid="{00000000-0005-0000-0000-0000D4600000}"/>
    <cellStyle name="r_2003BudgetVariances 2" xfId="24227" xr:uid="{00000000-0005-0000-0000-0000D5600000}"/>
    <cellStyle name="r_Aug 02 FOR" xfId="598" xr:uid="{00000000-0005-0000-0000-0000D6600000}"/>
    <cellStyle name="r_Aug 02 FOR 2" xfId="24228" xr:uid="{00000000-0005-0000-0000-0000D7600000}"/>
    <cellStyle name="r_forecastTools6" xfId="599" xr:uid="{00000000-0005-0000-0000-0000D8600000}"/>
    <cellStyle name="r_forecastTools6 2" xfId="24229" xr:uid="{00000000-0005-0000-0000-0000D9600000}"/>
    <cellStyle name="r_Interest model" xfId="600" xr:uid="{00000000-0005-0000-0000-0000DA600000}"/>
    <cellStyle name="r_Interest model 2" xfId="24230" xr:uid="{00000000-0005-0000-0000-0000DB600000}"/>
    <cellStyle name="r_Interest model_PGE FS 1999 - 2006 10-23 V1 - for budget pres" xfId="601" xr:uid="{00000000-0005-0000-0000-0000DC600000}"/>
    <cellStyle name="r_Interest model_PGE FS 1999 - 2006 10-23 V1 - for budget pres 2" xfId="24231" xr:uid="{00000000-0005-0000-0000-0000DD600000}"/>
    <cellStyle name="r_Mary Cilia Model with Current Projections (LINKED)" xfId="602" xr:uid="{00000000-0005-0000-0000-0000DE600000}"/>
    <cellStyle name="r_Mary Cilia Model with Current Projections (LINKED) 2" xfId="24232" xr:uid="{00000000-0005-0000-0000-0000DF600000}"/>
    <cellStyle name="r_OpCo and Prelim Budget-2003 Final" xfId="603" xr:uid="{00000000-0005-0000-0000-0000E0600000}"/>
    <cellStyle name="r_OpCo and Prelim Budget-2003 Final 2" xfId="24233" xr:uid="{00000000-0005-0000-0000-0000E1600000}"/>
    <cellStyle name="r_OpCo and Prelim Budget-2003 Final_PGE FS 1999 - 2006 10-23 V1 - for budget pres" xfId="604" xr:uid="{00000000-0005-0000-0000-0000E2600000}"/>
    <cellStyle name="r_OpCo and Prelim Budget-2003 Final_PGE FS 1999 - 2006 10-23 V1 - for budget pres 2" xfId="24234" xr:uid="{00000000-0005-0000-0000-0000E3600000}"/>
    <cellStyle name="r_PGE FS 1999 - 2006 10-23 V1 - for budget pres" xfId="605" xr:uid="{00000000-0005-0000-0000-0000E4600000}"/>
    <cellStyle name="r_PGE FS 1999 - 2006 10-23 V1 - for budget pres 2" xfId="24235" xr:uid="{00000000-0005-0000-0000-0000E5600000}"/>
    <cellStyle name="r_PGE OpCo Forecast for Budget Presentation" xfId="606" xr:uid="{00000000-0005-0000-0000-0000E6600000}"/>
    <cellStyle name="r_PGE OpCo Forecast for Budget Presentation 2" xfId="24236" xr:uid="{00000000-0005-0000-0000-0000E7600000}"/>
    <cellStyle name="r_PGG Draft Cons Forecast 4-14 Revised" xfId="607" xr:uid="{00000000-0005-0000-0000-0000E8600000}"/>
    <cellStyle name="r_PGG Draft Cons Forecast 4-14 Revised 2" xfId="24237" xr:uid="{00000000-0005-0000-0000-0000E9600000}"/>
    <cellStyle name="r_PGG Draft Cons Forecast 4-14 Revised_PGE FS 1999 - 2006 10-23 V1 - for budget pres" xfId="608" xr:uid="{00000000-0005-0000-0000-0000EA600000}"/>
    <cellStyle name="r_PGG Draft Cons Forecast 4-14 Revised_PGE FS 1999 - 2006 10-23 V1 - for budget pres 2" xfId="24238" xr:uid="{00000000-0005-0000-0000-0000EB600000}"/>
    <cellStyle name="r_Reg Assets &amp; Liab" xfId="609" xr:uid="{00000000-0005-0000-0000-0000EC600000}"/>
    <cellStyle name="r_Reg Assets &amp; Liab 2" xfId="24239" xr:uid="{00000000-0005-0000-0000-0000ED600000}"/>
    <cellStyle name="r_Summary" xfId="610" xr:uid="{00000000-0005-0000-0000-0000EE600000}"/>
    <cellStyle name="r_Summary - OpCo and Prelim Budget-2003 Final" xfId="611" xr:uid="{00000000-0005-0000-0000-0000EF600000}"/>
    <cellStyle name="r_Summary - OpCo and Prelim Budget-2003 Final 2" xfId="24241" xr:uid="{00000000-0005-0000-0000-0000F0600000}"/>
    <cellStyle name="r_Summary - OpCo and Prelim Budget-2003 Final_PGE FS 1999 - 2006 10-23 V1 - for budget pres" xfId="612" xr:uid="{00000000-0005-0000-0000-0000F1600000}"/>
    <cellStyle name="r_Summary - OpCo and Prelim Budget-2003 Final_PGE FS 1999 - 2006 10-23 V1 - for budget pres 2" xfId="24242" xr:uid="{00000000-0005-0000-0000-0000F2600000}"/>
    <cellStyle name="r_Summary 10" xfId="24465" xr:uid="{00000000-0005-0000-0000-0000F3600000}"/>
    <cellStyle name="r_Summary 11" xfId="24393" xr:uid="{00000000-0005-0000-0000-0000F4600000}"/>
    <cellStyle name="r_Summary 12" xfId="24418" xr:uid="{00000000-0005-0000-0000-0000F5600000}"/>
    <cellStyle name="r_Summary 13" xfId="24395" xr:uid="{00000000-0005-0000-0000-0000F6600000}"/>
    <cellStyle name="r_Summary 14" xfId="24475" xr:uid="{00000000-0005-0000-0000-0000F7600000}"/>
    <cellStyle name="r_Summary 15" xfId="24396" xr:uid="{00000000-0005-0000-0000-0000F8600000}"/>
    <cellStyle name="r_Summary 16" xfId="24415" xr:uid="{00000000-0005-0000-0000-0000F9600000}"/>
    <cellStyle name="r_Summary 17" xfId="24397" xr:uid="{00000000-0005-0000-0000-0000FA600000}"/>
    <cellStyle name="r_Summary 18" xfId="24414" xr:uid="{00000000-0005-0000-0000-0000FB600000}"/>
    <cellStyle name="r_Summary 19" xfId="24499" xr:uid="{00000000-0005-0000-0000-0000FC600000}"/>
    <cellStyle name="r_Summary 2" xfId="24240" xr:uid="{00000000-0005-0000-0000-0000FD600000}"/>
    <cellStyle name="r_Summary 20" xfId="24413" xr:uid="{00000000-0005-0000-0000-0000FE600000}"/>
    <cellStyle name="r_Summary 21" xfId="24398" xr:uid="{00000000-0005-0000-0000-0000FF600000}"/>
    <cellStyle name="r_Summary 22" xfId="24412" xr:uid="{00000000-0005-0000-0000-000000610000}"/>
    <cellStyle name="r_Summary 23" xfId="24505" xr:uid="{00000000-0005-0000-0000-000001610000}"/>
    <cellStyle name="r_Summary 24" xfId="24410" xr:uid="{00000000-0005-0000-0000-000002610000}"/>
    <cellStyle name="r_Summary 25" xfId="24492" xr:uid="{00000000-0005-0000-0000-000003610000}"/>
    <cellStyle name="r_Summary 26" xfId="24473" xr:uid="{00000000-0005-0000-0000-000004610000}"/>
    <cellStyle name="r_Summary 3" xfId="24312" xr:uid="{00000000-0005-0000-0000-000005610000}"/>
    <cellStyle name="r_Summary 4" xfId="24308" xr:uid="{00000000-0005-0000-0000-000006610000}"/>
    <cellStyle name="r_Summary 5" xfId="24313" xr:uid="{00000000-0005-0000-0000-000007610000}"/>
    <cellStyle name="r_Summary 6" xfId="24472" xr:uid="{00000000-0005-0000-0000-000008610000}"/>
    <cellStyle name="r_Summary 7" xfId="24486" xr:uid="{00000000-0005-0000-0000-000009610000}"/>
    <cellStyle name="r_Summary 8" xfId="24469" xr:uid="{00000000-0005-0000-0000-00000A610000}"/>
    <cellStyle name="r_Summary 9" xfId="24504" xr:uid="{00000000-0005-0000-0000-00000B610000}"/>
    <cellStyle name="r_Summary_PGE FS 1999 - 2006 10-23 V1 - for budget pres" xfId="613" xr:uid="{00000000-0005-0000-0000-00000C610000}"/>
    <cellStyle name="r_Summary_PGE FS 1999 - 2006 10-23 V1 - for budget pres 2" xfId="24243" xr:uid="{00000000-0005-0000-0000-00000D610000}"/>
    <cellStyle name="ReportTitlePrompt" xfId="3462" xr:uid="{00000000-0005-0000-0000-00000E610000}"/>
    <cellStyle name="ReportTitleValue" xfId="3463" xr:uid="{00000000-0005-0000-0000-00000F610000}"/>
    <cellStyle name="Right" xfId="614" xr:uid="{00000000-0005-0000-0000-000010610000}"/>
    <cellStyle name="Right 2" xfId="24244" xr:uid="{00000000-0005-0000-0000-000011610000}"/>
    <cellStyle name="RowAcctAbovePrompt" xfId="3464" xr:uid="{00000000-0005-0000-0000-000012610000}"/>
    <cellStyle name="RowAcctSOBAbovePrompt" xfId="3465" xr:uid="{00000000-0005-0000-0000-000013610000}"/>
    <cellStyle name="RowAcctSOBValue" xfId="3466" xr:uid="{00000000-0005-0000-0000-000014610000}"/>
    <cellStyle name="RowAcctValue" xfId="3467" xr:uid="{00000000-0005-0000-0000-000015610000}"/>
    <cellStyle name="RowAttrAbovePrompt" xfId="3468" xr:uid="{00000000-0005-0000-0000-000016610000}"/>
    <cellStyle name="RowAttrValue" xfId="3469" xr:uid="{00000000-0005-0000-0000-000017610000}"/>
    <cellStyle name="RowColSetAbovePrompt" xfId="3470" xr:uid="{00000000-0005-0000-0000-000018610000}"/>
    <cellStyle name="RowColSetLeftPrompt" xfId="3471" xr:uid="{00000000-0005-0000-0000-000019610000}"/>
    <cellStyle name="RowColSetValue" xfId="3472" xr:uid="{00000000-0005-0000-0000-00001A610000}"/>
    <cellStyle name="RowLeftPrompt" xfId="3473" xr:uid="{00000000-0005-0000-0000-00001B610000}"/>
    <cellStyle name="SampleUsingFormatMask" xfId="3474" xr:uid="{00000000-0005-0000-0000-00001C610000}"/>
    <cellStyle name="SampleWithNoFormatMask" xfId="3475" xr:uid="{00000000-0005-0000-0000-00001D610000}"/>
    <cellStyle name="SAPBEXaggData" xfId="72" xr:uid="{00000000-0005-0000-0000-00001E610000}"/>
    <cellStyle name="SAPBEXaggData 2" xfId="13621" xr:uid="{00000000-0005-0000-0000-00001F610000}"/>
    <cellStyle name="SAPBEXaggData 2 2" xfId="25459" xr:uid="{00000000-0005-0000-0000-000020610000}"/>
    <cellStyle name="SAPBEXaggData 2 2 2" xfId="27614" xr:uid="{00000000-0005-0000-0000-000033610000}"/>
    <cellStyle name="SAPBEXaggData 2 2 3" xfId="27935" xr:uid="{00000000-0005-0000-0000-00007A630000}"/>
    <cellStyle name="SAPBEXaggData 2 2 4" xfId="26088" xr:uid="{00000000-0005-0000-0000-000033610000}"/>
    <cellStyle name="SAPBEXaggData 2 3" xfId="26565" xr:uid="{00000000-0005-0000-0000-000032610000}"/>
    <cellStyle name="SAPBEXaggData 2 4" xfId="27934" xr:uid="{00000000-0005-0000-0000-000079630000}"/>
    <cellStyle name="SAPBEXaggData 2 5" xfId="26184" xr:uid="{00000000-0005-0000-0000-000032610000}"/>
    <cellStyle name="SAPBEXaggData 3" xfId="24686" xr:uid="{00000000-0005-0000-0000-000021610000}"/>
    <cellStyle name="SAPBEXaggData 3 2" xfId="25423" xr:uid="{00000000-0005-0000-0000-000022610000}"/>
    <cellStyle name="SAPBEXaggData 3 2 2" xfId="27579" xr:uid="{00000000-0005-0000-0000-000035610000}"/>
    <cellStyle name="SAPBEXaggData 3 2 3" xfId="27937" xr:uid="{00000000-0005-0000-0000-00007C630000}"/>
    <cellStyle name="SAPBEXaggData 3 2 4" xfId="26483" xr:uid="{00000000-0005-0000-0000-000035610000}"/>
    <cellStyle name="SAPBEXaggData 3 3" xfId="25649" xr:uid="{00000000-0005-0000-0000-000023610000}"/>
    <cellStyle name="SAPBEXaggData 3 3 2" xfId="27804" xr:uid="{00000000-0005-0000-0000-000036610000}"/>
    <cellStyle name="SAPBEXaggData 3 3 3" xfId="27938" xr:uid="{00000000-0005-0000-0000-00007D630000}"/>
    <cellStyle name="SAPBEXaggData 3 3 4" xfId="26360" xr:uid="{00000000-0005-0000-0000-000036610000}"/>
    <cellStyle name="SAPBEXaggData 3 4" xfId="27278" xr:uid="{00000000-0005-0000-0000-000034610000}"/>
    <cellStyle name="SAPBEXaggData 3 5" xfId="27936" xr:uid="{00000000-0005-0000-0000-00007B630000}"/>
    <cellStyle name="SAPBEXaggData 3 6" xfId="27004" xr:uid="{00000000-0005-0000-0000-000034610000}"/>
    <cellStyle name="SAPBEXaggData 4" xfId="25090" xr:uid="{00000000-0005-0000-0000-000024610000}"/>
    <cellStyle name="SAPBEXaggData 4 2" xfId="25284" xr:uid="{00000000-0005-0000-0000-000025610000}"/>
    <cellStyle name="SAPBEXaggData 4 2 2" xfId="27441" xr:uid="{00000000-0005-0000-0000-000038610000}"/>
    <cellStyle name="SAPBEXaggData 4 2 3" xfId="27940" xr:uid="{00000000-0005-0000-0000-00007F630000}"/>
    <cellStyle name="SAPBEXaggData 4 2 4" xfId="26506" xr:uid="{00000000-0005-0000-0000-000038610000}"/>
    <cellStyle name="SAPBEXaggData 4 3" xfId="25688" xr:uid="{00000000-0005-0000-0000-000026610000}"/>
    <cellStyle name="SAPBEXaggData 4 3 2" xfId="27843" xr:uid="{00000000-0005-0000-0000-000039610000}"/>
    <cellStyle name="SAPBEXaggData 4 3 3" xfId="27941" xr:uid="{00000000-0005-0000-0000-000080630000}"/>
    <cellStyle name="SAPBEXaggData 4 3 4" xfId="26155" xr:uid="{00000000-0005-0000-0000-000039610000}"/>
    <cellStyle name="SAPBEXaggData 4 4" xfId="27377" xr:uid="{00000000-0005-0000-0000-000037610000}"/>
    <cellStyle name="SAPBEXaggData 4 5" xfId="27939" xr:uid="{00000000-0005-0000-0000-00007E630000}"/>
    <cellStyle name="SAPBEXaggData 4 6" xfId="26342" xr:uid="{00000000-0005-0000-0000-000037610000}"/>
    <cellStyle name="SAPBEXaggData 5" xfId="25819" xr:uid="{00000000-0005-0000-0000-000031610000}"/>
    <cellStyle name="SAPBEXaggData 6" xfId="27933" xr:uid="{00000000-0005-0000-0000-000078630000}"/>
    <cellStyle name="SAPBEXaggData 7" xfId="27000" xr:uid="{00000000-0005-0000-0000-000031610000}"/>
    <cellStyle name="SAPBEXaggDataEmph" xfId="73" xr:uid="{00000000-0005-0000-0000-000027610000}"/>
    <cellStyle name="SAPBEXaggDataEmph 2" xfId="13622" xr:uid="{00000000-0005-0000-0000-000028610000}"/>
    <cellStyle name="SAPBEXaggDataEmph 2 2" xfId="25460" xr:uid="{00000000-0005-0000-0000-000029610000}"/>
    <cellStyle name="SAPBEXaggDataEmph 2 2 2" xfId="27615" xr:uid="{00000000-0005-0000-0000-00003C610000}"/>
    <cellStyle name="SAPBEXaggDataEmph 2 2 3" xfId="27944" xr:uid="{00000000-0005-0000-0000-000083630000}"/>
    <cellStyle name="SAPBEXaggDataEmph 2 2 4" xfId="26456" xr:uid="{00000000-0005-0000-0000-00003C610000}"/>
    <cellStyle name="SAPBEXaggDataEmph 2 3" xfId="26566" xr:uid="{00000000-0005-0000-0000-00003B610000}"/>
    <cellStyle name="SAPBEXaggDataEmph 2 4" xfId="27943" xr:uid="{00000000-0005-0000-0000-000082630000}"/>
    <cellStyle name="SAPBEXaggDataEmph 2 5" xfId="26223" xr:uid="{00000000-0005-0000-0000-00003B610000}"/>
    <cellStyle name="SAPBEXaggDataEmph 3" xfId="24685" xr:uid="{00000000-0005-0000-0000-00002A610000}"/>
    <cellStyle name="SAPBEXaggDataEmph 3 2" xfId="25322" xr:uid="{00000000-0005-0000-0000-00002B610000}"/>
    <cellStyle name="SAPBEXaggDataEmph 3 2 2" xfId="27478" xr:uid="{00000000-0005-0000-0000-00003E610000}"/>
    <cellStyle name="SAPBEXaggDataEmph 3 2 3" xfId="27946" xr:uid="{00000000-0005-0000-0000-000085630000}"/>
    <cellStyle name="SAPBEXaggDataEmph 3 2 4" xfId="26911" xr:uid="{00000000-0005-0000-0000-00003E610000}"/>
    <cellStyle name="SAPBEXaggDataEmph 3 3" xfId="25648" xr:uid="{00000000-0005-0000-0000-00002C610000}"/>
    <cellStyle name="SAPBEXaggDataEmph 3 3 2" xfId="27803" xr:uid="{00000000-0005-0000-0000-00003F610000}"/>
    <cellStyle name="SAPBEXaggDataEmph 3 3 3" xfId="27947" xr:uid="{00000000-0005-0000-0000-000086630000}"/>
    <cellStyle name="SAPBEXaggDataEmph 3 3 4" xfId="26756" xr:uid="{00000000-0005-0000-0000-00003F610000}"/>
    <cellStyle name="SAPBEXaggDataEmph 3 4" xfId="27277" xr:uid="{00000000-0005-0000-0000-00003D610000}"/>
    <cellStyle name="SAPBEXaggDataEmph 3 5" xfId="27945" xr:uid="{00000000-0005-0000-0000-000084630000}"/>
    <cellStyle name="SAPBEXaggDataEmph 3 6" xfId="26337" xr:uid="{00000000-0005-0000-0000-00003D610000}"/>
    <cellStyle name="SAPBEXaggDataEmph 4" xfId="25091" xr:uid="{00000000-0005-0000-0000-00002D610000}"/>
    <cellStyle name="SAPBEXaggDataEmph 4 2" xfId="25367" xr:uid="{00000000-0005-0000-0000-00002E610000}"/>
    <cellStyle name="SAPBEXaggDataEmph 4 2 2" xfId="27523" xr:uid="{00000000-0005-0000-0000-000041610000}"/>
    <cellStyle name="SAPBEXaggDataEmph 4 2 3" xfId="27949" xr:uid="{00000000-0005-0000-0000-000088630000}"/>
    <cellStyle name="SAPBEXaggDataEmph 4 2 4" xfId="26170" xr:uid="{00000000-0005-0000-0000-000041610000}"/>
    <cellStyle name="SAPBEXaggDataEmph 4 3" xfId="25689" xr:uid="{00000000-0005-0000-0000-00002F610000}"/>
    <cellStyle name="SAPBEXaggDataEmph 4 3 2" xfId="27844" xr:uid="{00000000-0005-0000-0000-000042610000}"/>
    <cellStyle name="SAPBEXaggDataEmph 4 3 3" xfId="27950" xr:uid="{00000000-0005-0000-0000-000089630000}"/>
    <cellStyle name="SAPBEXaggDataEmph 4 3 4" xfId="26950" xr:uid="{00000000-0005-0000-0000-000042610000}"/>
    <cellStyle name="SAPBEXaggDataEmph 4 4" xfId="27378" xr:uid="{00000000-0005-0000-0000-000040610000}"/>
    <cellStyle name="SAPBEXaggDataEmph 4 5" xfId="27948" xr:uid="{00000000-0005-0000-0000-000087630000}"/>
    <cellStyle name="SAPBEXaggDataEmph 4 6" xfId="26471" xr:uid="{00000000-0005-0000-0000-000040610000}"/>
    <cellStyle name="SAPBEXaggDataEmph 5" xfId="25820" xr:uid="{00000000-0005-0000-0000-00003A610000}"/>
    <cellStyle name="SAPBEXaggDataEmph 6" xfId="27942" xr:uid="{00000000-0005-0000-0000-000081630000}"/>
    <cellStyle name="SAPBEXaggDataEmph 7" xfId="26493" xr:uid="{00000000-0005-0000-0000-00003A610000}"/>
    <cellStyle name="SAPBEXaggItem" xfId="74" xr:uid="{00000000-0005-0000-0000-000030610000}"/>
    <cellStyle name="SAPBEXaggItem 10" xfId="24684" xr:uid="{00000000-0005-0000-0000-000031610000}"/>
    <cellStyle name="SAPBEXaggItem 10 2" xfId="25409" xr:uid="{00000000-0005-0000-0000-000032610000}"/>
    <cellStyle name="SAPBEXaggItem 10 2 2" xfId="27565" xr:uid="{00000000-0005-0000-0000-000045610000}"/>
    <cellStyle name="SAPBEXaggItem 10 2 3" xfId="27953" xr:uid="{00000000-0005-0000-0000-00008C630000}"/>
    <cellStyle name="SAPBEXaggItem 10 2 4" xfId="26168" xr:uid="{00000000-0005-0000-0000-000045610000}"/>
    <cellStyle name="SAPBEXaggItem 10 3" xfId="25647" xr:uid="{00000000-0005-0000-0000-000033610000}"/>
    <cellStyle name="SAPBEXaggItem 10 3 2" xfId="27802" xr:uid="{00000000-0005-0000-0000-000046610000}"/>
    <cellStyle name="SAPBEXaggItem 10 3 3" xfId="27954" xr:uid="{00000000-0005-0000-0000-00008D630000}"/>
    <cellStyle name="SAPBEXaggItem 10 3 4" xfId="26884" xr:uid="{00000000-0005-0000-0000-000046610000}"/>
    <cellStyle name="SAPBEXaggItem 10 4" xfId="27276" xr:uid="{00000000-0005-0000-0000-000044610000}"/>
    <cellStyle name="SAPBEXaggItem 10 5" xfId="27952" xr:uid="{00000000-0005-0000-0000-00008B630000}"/>
    <cellStyle name="SAPBEXaggItem 10 6" xfId="26859" xr:uid="{00000000-0005-0000-0000-000044610000}"/>
    <cellStyle name="SAPBEXaggItem 11" xfId="25092" xr:uid="{00000000-0005-0000-0000-000034610000}"/>
    <cellStyle name="SAPBEXaggItem 11 2" xfId="25381" xr:uid="{00000000-0005-0000-0000-000035610000}"/>
    <cellStyle name="SAPBEXaggItem 11 2 2" xfId="27537" xr:uid="{00000000-0005-0000-0000-000048610000}"/>
    <cellStyle name="SAPBEXaggItem 11 2 3" xfId="27956" xr:uid="{00000000-0005-0000-0000-00008F630000}"/>
    <cellStyle name="SAPBEXaggItem 11 2 4" xfId="26408" xr:uid="{00000000-0005-0000-0000-000048610000}"/>
    <cellStyle name="SAPBEXaggItem 11 3" xfId="25690" xr:uid="{00000000-0005-0000-0000-000036610000}"/>
    <cellStyle name="SAPBEXaggItem 11 3 2" xfId="27845" xr:uid="{00000000-0005-0000-0000-000049610000}"/>
    <cellStyle name="SAPBEXaggItem 11 3 3" xfId="27957" xr:uid="{00000000-0005-0000-0000-000090630000}"/>
    <cellStyle name="SAPBEXaggItem 11 3 4" xfId="26303" xr:uid="{00000000-0005-0000-0000-000049610000}"/>
    <cellStyle name="SAPBEXaggItem 11 4" xfId="27379" xr:uid="{00000000-0005-0000-0000-000047610000}"/>
    <cellStyle name="SAPBEXaggItem 11 5" xfId="27955" xr:uid="{00000000-0005-0000-0000-00008E630000}"/>
    <cellStyle name="SAPBEXaggItem 11 6" xfId="26385" xr:uid="{00000000-0005-0000-0000-000047610000}"/>
    <cellStyle name="SAPBEXaggItem 12" xfId="25821" xr:uid="{00000000-0005-0000-0000-000043610000}"/>
    <cellStyle name="SAPBEXaggItem 13" xfId="27951" xr:uid="{00000000-0005-0000-0000-00008A630000}"/>
    <cellStyle name="SAPBEXaggItem 14" xfId="26207" xr:uid="{00000000-0005-0000-0000-000043610000}"/>
    <cellStyle name="SAPBEXaggItem 2" xfId="75" xr:uid="{00000000-0005-0000-0000-000037610000}"/>
    <cellStyle name="SAPBEXaggItem 2 2" xfId="13624" xr:uid="{00000000-0005-0000-0000-000038610000}"/>
    <cellStyle name="SAPBEXaggItem 2 2 2" xfId="25462" xr:uid="{00000000-0005-0000-0000-000039610000}"/>
    <cellStyle name="SAPBEXaggItem 2 2 2 2" xfId="27617" xr:uid="{00000000-0005-0000-0000-00004C610000}"/>
    <cellStyle name="SAPBEXaggItem 2 2 2 3" xfId="27960" xr:uid="{00000000-0005-0000-0000-000093630000}"/>
    <cellStyle name="SAPBEXaggItem 2 2 2 4" xfId="26319" xr:uid="{00000000-0005-0000-0000-00004C610000}"/>
    <cellStyle name="SAPBEXaggItem 2 2 3" xfId="26568" xr:uid="{00000000-0005-0000-0000-00004B610000}"/>
    <cellStyle name="SAPBEXaggItem 2 2 4" xfId="27959" xr:uid="{00000000-0005-0000-0000-000092630000}"/>
    <cellStyle name="SAPBEXaggItem 2 2 5" xfId="26906" xr:uid="{00000000-0005-0000-0000-00004B610000}"/>
    <cellStyle name="SAPBEXaggItem 2 3" xfId="25822" xr:uid="{00000000-0005-0000-0000-00004A610000}"/>
    <cellStyle name="SAPBEXaggItem 2 4" xfId="27958" xr:uid="{00000000-0005-0000-0000-000091630000}"/>
    <cellStyle name="SAPBEXaggItem 2 5" xfId="26064" xr:uid="{00000000-0005-0000-0000-00004A610000}"/>
    <cellStyle name="SAPBEXaggItem 3" xfId="219" xr:uid="{00000000-0005-0000-0000-00003A610000}"/>
    <cellStyle name="SAPBEXaggItem 3 2" xfId="13705" xr:uid="{00000000-0005-0000-0000-00003B610000}"/>
    <cellStyle name="SAPBEXaggItem 3 2 2" xfId="25519" xr:uid="{00000000-0005-0000-0000-00003C610000}"/>
    <cellStyle name="SAPBEXaggItem 3 2 2 2" xfId="27674" xr:uid="{00000000-0005-0000-0000-00004F610000}"/>
    <cellStyle name="SAPBEXaggItem 3 2 2 3" xfId="27963" xr:uid="{00000000-0005-0000-0000-000096630000}"/>
    <cellStyle name="SAPBEXaggItem 3 2 2 4" xfId="26393" xr:uid="{00000000-0005-0000-0000-00004F610000}"/>
    <cellStyle name="SAPBEXaggItem 3 2 3" xfId="26627" xr:uid="{00000000-0005-0000-0000-00004E610000}"/>
    <cellStyle name="SAPBEXaggItem 3 2 4" xfId="27962" xr:uid="{00000000-0005-0000-0000-000095630000}"/>
    <cellStyle name="SAPBEXaggItem 3 2 5" xfId="26268" xr:uid="{00000000-0005-0000-0000-00004E610000}"/>
    <cellStyle name="SAPBEXaggItem 3 3" xfId="25910" xr:uid="{00000000-0005-0000-0000-00004D610000}"/>
    <cellStyle name="SAPBEXaggItem 3 4" xfId="27961" xr:uid="{00000000-0005-0000-0000-000094630000}"/>
    <cellStyle name="SAPBEXaggItem 3 5" xfId="26054" xr:uid="{00000000-0005-0000-0000-00004D610000}"/>
    <cellStyle name="SAPBEXaggItem 4" xfId="220" xr:uid="{00000000-0005-0000-0000-00003D610000}"/>
    <cellStyle name="SAPBEXaggItem 4 2" xfId="13706" xr:uid="{00000000-0005-0000-0000-00003E610000}"/>
    <cellStyle name="SAPBEXaggItem 4 2 2" xfId="25520" xr:uid="{00000000-0005-0000-0000-00003F610000}"/>
    <cellStyle name="SAPBEXaggItem 4 2 2 2" xfId="27675" xr:uid="{00000000-0005-0000-0000-000052610000}"/>
    <cellStyle name="SAPBEXaggItem 4 2 2 3" xfId="27966" xr:uid="{00000000-0005-0000-0000-000099630000}"/>
    <cellStyle name="SAPBEXaggItem 4 2 2 4" xfId="27165" xr:uid="{00000000-0005-0000-0000-000052610000}"/>
    <cellStyle name="SAPBEXaggItem 4 2 3" xfId="26628" xr:uid="{00000000-0005-0000-0000-000051610000}"/>
    <cellStyle name="SAPBEXaggItem 4 2 4" xfId="27965" xr:uid="{00000000-0005-0000-0000-000098630000}"/>
    <cellStyle name="SAPBEXaggItem 4 2 5" xfId="26770" xr:uid="{00000000-0005-0000-0000-000051610000}"/>
    <cellStyle name="SAPBEXaggItem 4 3" xfId="25911" xr:uid="{00000000-0005-0000-0000-000050610000}"/>
    <cellStyle name="SAPBEXaggItem 4 4" xfId="27964" xr:uid="{00000000-0005-0000-0000-000097630000}"/>
    <cellStyle name="SAPBEXaggItem 4 5" xfId="26185" xr:uid="{00000000-0005-0000-0000-000050610000}"/>
    <cellStyle name="SAPBEXaggItem 5" xfId="221" xr:uid="{00000000-0005-0000-0000-000040610000}"/>
    <cellStyle name="SAPBEXaggItem 5 2" xfId="13707" xr:uid="{00000000-0005-0000-0000-000041610000}"/>
    <cellStyle name="SAPBEXaggItem 5 2 2" xfId="25521" xr:uid="{00000000-0005-0000-0000-000042610000}"/>
    <cellStyle name="SAPBEXaggItem 5 2 2 2" xfId="27676" xr:uid="{00000000-0005-0000-0000-000055610000}"/>
    <cellStyle name="SAPBEXaggItem 5 2 2 3" xfId="27969" xr:uid="{00000000-0005-0000-0000-00009C630000}"/>
    <cellStyle name="SAPBEXaggItem 5 2 2 4" xfId="26983" xr:uid="{00000000-0005-0000-0000-000055610000}"/>
    <cellStyle name="SAPBEXaggItem 5 2 3" xfId="26629" xr:uid="{00000000-0005-0000-0000-000054610000}"/>
    <cellStyle name="SAPBEXaggItem 5 2 4" xfId="27968" xr:uid="{00000000-0005-0000-0000-00009B630000}"/>
    <cellStyle name="SAPBEXaggItem 5 2 5" xfId="26121" xr:uid="{00000000-0005-0000-0000-000054610000}"/>
    <cellStyle name="SAPBEXaggItem 5 3" xfId="25912" xr:uid="{00000000-0005-0000-0000-000053610000}"/>
    <cellStyle name="SAPBEXaggItem 5 4" xfId="27967" xr:uid="{00000000-0005-0000-0000-00009A630000}"/>
    <cellStyle name="SAPBEXaggItem 5 5" xfId="26308" xr:uid="{00000000-0005-0000-0000-000053610000}"/>
    <cellStyle name="SAPBEXaggItem 6" xfId="222" xr:uid="{00000000-0005-0000-0000-000043610000}"/>
    <cellStyle name="SAPBEXaggItem 6 2" xfId="13708" xr:uid="{00000000-0005-0000-0000-000044610000}"/>
    <cellStyle name="SAPBEXaggItem 6 2 2" xfId="25522" xr:uid="{00000000-0005-0000-0000-000045610000}"/>
    <cellStyle name="SAPBEXaggItem 6 2 2 2" xfId="27677" xr:uid="{00000000-0005-0000-0000-000058610000}"/>
    <cellStyle name="SAPBEXaggItem 6 2 2 3" xfId="27972" xr:uid="{00000000-0005-0000-0000-00009F630000}"/>
    <cellStyle name="SAPBEXaggItem 6 2 2 4" xfId="26908" xr:uid="{00000000-0005-0000-0000-000058610000}"/>
    <cellStyle name="SAPBEXaggItem 6 2 3" xfId="26630" xr:uid="{00000000-0005-0000-0000-000057610000}"/>
    <cellStyle name="SAPBEXaggItem 6 2 4" xfId="27971" xr:uid="{00000000-0005-0000-0000-00009E630000}"/>
    <cellStyle name="SAPBEXaggItem 6 2 5" xfId="26463" xr:uid="{00000000-0005-0000-0000-000057610000}"/>
    <cellStyle name="SAPBEXaggItem 6 3" xfId="25913" xr:uid="{00000000-0005-0000-0000-000056610000}"/>
    <cellStyle name="SAPBEXaggItem 6 4" xfId="27970" xr:uid="{00000000-0005-0000-0000-00009D630000}"/>
    <cellStyle name="SAPBEXaggItem 6 5" xfId="28550" xr:uid="{00000000-0005-0000-0000-000056610000}"/>
    <cellStyle name="SAPBEXaggItem 7" xfId="223" xr:uid="{00000000-0005-0000-0000-000046610000}"/>
    <cellStyle name="SAPBEXaggItem 7 2" xfId="13709" xr:uid="{00000000-0005-0000-0000-000047610000}"/>
    <cellStyle name="SAPBEXaggItem 7 2 2" xfId="25523" xr:uid="{00000000-0005-0000-0000-000048610000}"/>
    <cellStyle name="SAPBEXaggItem 7 2 2 2" xfId="27678" xr:uid="{00000000-0005-0000-0000-00005B610000}"/>
    <cellStyle name="SAPBEXaggItem 7 2 2 3" xfId="27975" xr:uid="{00000000-0005-0000-0000-0000A2630000}"/>
    <cellStyle name="SAPBEXaggItem 7 2 2 4" xfId="26188" xr:uid="{00000000-0005-0000-0000-00005B610000}"/>
    <cellStyle name="SAPBEXaggItem 7 2 3" xfId="26631" xr:uid="{00000000-0005-0000-0000-00005A610000}"/>
    <cellStyle name="SAPBEXaggItem 7 2 4" xfId="27974" xr:uid="{00000000-0005-0000-0000-0000A1630000}"/>
    <cellStyle name="SAPBEXaggItem 7 2 5" xfId="26676" xr:uid="{00000000-0005-0000-0000-00005A610000}"/>
    <cellStyle name="SAPBEXaggItem 7 3" xfId="25914" xr:uid="{00000000-0005-0000-0000-000059610000}"/>
    <cellStyle name="SAPBEXaggItem 7 4" xfId="27973" xr:uid="{00000000-0005-0000-0000-0000A0630000}"/>
    <cellStyle name="SAPBEXaggItem 7 5" xfId="26554" xr:uid="{00000000-0005-0000-0000-000059610000}"/>
    <cellStyle name="SAPBEXaggItem 8" xfId="411" xr:uid="{00000000-0005-0000-0000-000049610000}"/>
    <cellStyle name="SAPBEXaggItem 8 2" xfId="13793" xr:uid="{00000000-0005-0000-0000-00004A610000}"/>
    <cellStyle name="SAPBEXaggItem 8 2 2" xfId="25551" xr:uid="{00000000-0005-0000-0000-00004B610000}"/>
    <cellStyle name="SAPBEXaggItem 8 2 2 2" xfId="27706" xr:uid="{00000000-0005-0000-0000-00005E610000}"/>
    <cellStyle name="SAPBEXaggItem 8 2 2 3" xfId="27978" xr:uid="{00000000-0005-0000-0000-0000A5630000}"/>
    <cellStyle name="SAPBEXaggItem 8 2 2 4" xfId="26751" xr:uid="{00000000-0005-0000-0000-00005E610000}"/>
    <cellStyle name="SAPBEXaggItem 8 2 3" xfId="26670" xr:uid="{00000000-0005-0000-0000-00005D610000}"/>
    <cellStyle name="SAPBEXaggItem 8 2 4" xfId="27977" xr:uid="{00000000-0005-0000-0000-0000A4630000}"/>
    <cellStyle name="SAPBEXaggItem 8 2 5" xfId="26270" xr:uid="{00000000-0005-0000-0000-00005D610000}"/>
    <cellStyle name="SAPBEXaggItem 8 3" xfId="26011" xr:uid="{00000000-0005-0000-0000-00005C610000}"/>
    <cellStyle name="SAPBEXaggItem 8 4" xfId="27976" xr:uid="{00000000-0005-0000-0000-0000A3630000}"/>
    <cellStyle name="SAPBEXaggItem 8 5" xfId="29183" xr:uid="{00000000-0005-0000-0000-00005C610000}"/>
    <cellStyle name="SAPBEXaggItem 9" xfId="13623" xr:uid="{00000000-0005-0000-0000-00004C610000}"/>
    <cellStyle name="SAPBEXaggItem 9 2" xfId="25461" xr:uid="{00000000-0005-0000-0000-00004D610000}"/>
    <cellStyle name="SAPBEXaggItem 9 2 2" xfId="27616" xr:uid="{00000000-0005-0000-0000-000060610000}"/>
    <cellStyle name="SAPBEXaggItem 9 2 3" xfId="27980" xr:uid="{00000000-0005-0000-0000-0000A7630000}"/>
    <cellStyle name="SAPBEXaggItem 9 2 4" xfId="26934" xr:uid="{00000000-0005-0000-0000-000060610000}"/>
    <cellStyle name="SAPBEXaggItem 9 3" xfId="26567" xr:uid="{00000000-0005-0000-0000-00005F610000}"/>
    <cellStyle name="SAPBEXaggItem 9 4" xfId="27979" xr:uid="{00000000-0005-0000-0000-0000A6630000}"/>
    <cellStyle name="SAPBEXaggItem 9 5" xfId="26695" xr:uid="{00000000-0005-0000-0000-00005F610000}"/>
    <cellStyle name="SAPBEXaggItem_Copy of xSAPtemp5457" xfId="224" xr:uid="{00000000-0005-0000-0000-00004E610000}"/>
    <cellStyle name="SAPBEXaggItemX" xfId="76" xr:uid="{00000000-0005-0000-0000-00004F610000}"/>
    <cellStyle name="SAPBEXaggItemX 2" xfId="13625" xr:uid="{00000000-0005-0000-0000-000050610000}"/>
    <cellStyle name="SAPBEXaggItemX 2 2" xfId="25463" xr:uid="{00000000-0005-0000-0000-000051610000}"/>
    <cellStyle name="SAPBEXaggItemX 2 2 2" xfId="27618" xr:uid="{00000000-0005-0000-0000-000064610000}"/>
    <cellStyle name="SAPBEXaggItemX 2 2 3" xfId="27983" xr:uid="{00000000-0005-0000-0000-0000AB630000}"/>
    <cellStyle name="SAPBEXaggItemX 2 2 4" xfId="26135" xr:uid="{00000000-0005-0000-0000-000064610000}"/>
    <cellStyle name="SAPBEXaggItemX 2 3" xfId="26569" xr:uid="{00000000-0005-0000-0000-000063610000}"/>
    <cellStyle name="SAPBEXaggItemX 2 4" xfId="27982" xr:uid="{00000000-0005-0000-0000-0000AA630000}"/>
    <cellStyle name="SAPBEXaggItemX 2 5" xfId="26520" xr:uid="{00000000-0005-0000-0000-000063610000}"/>
    <cellStyle name="SAPBEXaggItemX 3" xfId="24683" xr:uid="{00000000-0005-0000-0000-000052610000}"/>
    <cellStyle name="SAPBEXaggItemX 3 2" xfId="25307" xr:uid="{00000000-0005-0000-0000-000053610000}"/>
    <cellStyle name="SAPBEXaggItemX 3 2 2" xfId="27463" xr:uid="{00000000-0005-0000-0000-000066610000}"/>
    <cellStyle name="SAPBEXaggItemX 3 2 3" xfId="27985" xr:uid="{00000000-0005-0000-0000-0000AD630000}"/>
    <cellStyle name="SAPBEXaggItemX 3 2 4" xfId="26221" xr:uid="{00000000-0005-0000-0000-000066610000}"/>
    <cellStyle name="SAPBEXaggItemX 3 3" xfId="25646" xr:uid="{00000000-0005-0000-0000-000054610000}"/>
    <cellStyle name="SAPBEXaggItemX 3 3 2" xfId="27801" xr:uid="{00000000-0005-0000-0000-000067610000}"/>
    <cellStyle name="SAPBEXaggItemX 3 3 3" xfId="27986" xr:uid="{00000000-0005-0000-0000-0000AE630000}"/>
    <cellStyle name="SAPBEXaggItemX 3 3 4" xfId="26157" xr:uid="{00000000-0005-0000-0000-000067610000}"/>
    <cellStyle name="SAPBEXaggItemX 3 4" xfId="27275" xr:uid="{00000000-0005-0000-0000-000065610000}"/>
    <cellStyle name="SAPBEXaggItemX 3 5" xfId="27984" xr:uid="{00000000-0005-0000-0000-0000AC630000}"/>
    <cellStyle name="SAPBEXaggItemX 3 6" xfId="26399" xr:uid="{00000000-0005-0000-0000-000065610000}"/>
    <cellStyle name="SAPBEXaggItemX 4" xfId="25093" xr:uid="{00000000-0005-0000-0000-000055610000}"/>
    <cellStyle name="SAPBEXaggItemX 4 2" xfId="25395" xr:uid="{00000000-0005-0000-0000-000056610000}"/>
    <cellStyle name="SAPBEXaggItemX 4 2 2" xfId="27551" xr:uid="{00000000-0005-0000-0000-000069610000}"/>
    <cellStyle name="SAPBEXaggItemX 4 2 3" xfId="27988" xr:uid="{00000000-0005-0000-0000-0000B0630000}"/>
    <cellStyle name="SAPBEXaggItemX 4 2 4" xfId="26436" xr:uid="{00000000-0005-0000-0000-000069610000}"/>
    <cellStyle name="SAPBEXaggItemX 4 3" xfId="25691" xr:uid="{00000000-0005-0000-0000-000057610000}"/>
    <cellStyle name="SAPBEXaggItemX 4 3 2" xfId="27846" xr:uid="{00000000-0005-0000-0000-00006A610000}"/>
    <cellStyle name="SAPBEXaggItemX 4 3 3" xfId="27989" xr:uid="{00000000-0005-0000-0000-0000B1630000}"/>
    <cellStyle name="SAPBEXaggItemX 4 3 4" xfId="26432" xr:uid="{00000000-0005-0000-0000-00006A610000}"/>
    <cellStyle name="SAPBEXaggItemX 4 4" xfId="27380" xr:uid="{00000000-0005-0000-0000-000068610000}"/>
    <cellStyle name="SAPBEXaggItemX 4 5" xfId="27987" xr:uid="{00000000-0005-0000-0000-0000AF630000}"/>
    <cellStyle name="SAPBEXaggItemX 4 6" xfId="26838" xr:uid="{00000000-0005-0000-0000-000068610000}"/>
    <cellStyle name="SAPBEXaggItemX 5" xfId="25823" xr:uid="{00000000-0005-0000-0000-000062610000}"/>
    <cellStyle name="SAPBEXaggItemX 6" xfId="27981" xr:uid="{00000000-0005-0000-0000-0000A9630000}"/>
    <cellStyle name="SAPBEXaggItemX 7" xfId="26528" xr:uid="{00000000-0005-0000-0000-000062610000}"/>
    <cellStyle name="SAPBEXchaText" xfId="6" xr:uid="{00000000-0005-0000-0000-000058610000}"/>
    <cellStyle name="SAPBEXchaText 2" xfId="77" xr:uid="{00000000-0005-0000-0000-000059610000}"/>
    <cellStyle name="SAPBEXchaText 2 2" xfId="459" xr:uid="{00000000-0005-0000-0000-00005A610000}"/>
    <cellStyle name="SAPBEXchaText 2 2 2" xfId="13827" xr:uid="{00000000-0005-0000-0000-00005B610000}"/>
    <cellStyle name="SAPBEXchaText 2 2 2 2" xfId="25377" xr:uid="{00000000-0005-0000-0000-00005C610000}"/>
    <cellStyle name="SAPBEXchaText 2 2 2 2 2" xfId="27533" xr:uid="{00000000-0005-0000-0000-00006F610000}"/>
    <cellStyle name="SAPBEXchaText 2 2 2 2 3" xfId="27993" xr:uid="{00000000-0005-0000-0000-0000B6630000}"/>
    <cellStyle name="SAPBEXchaText 2 2 2 2 4" xfId="26795" xr:uid="{00000000-0005-0000-0000-00006F610000}"/>
    <cellStyle name="SAPBEXchaText 2 2 2 3" xfId="26678" xr:uid="{00000000-0005-0000-0000-00006E610000}"/>
    <cellStyle name="SAPBEXchaText 2 2 2 4" xfId="27992" xr:uid="{00000000-0005-0000-0000-0000B5630000}"/>
    <cellStyle name="SAPBEXchaText 2 2 3" xfId="26026" xr:uid="{00000000-0005-0000-0000-00006D610000}"/>
    <cellStyle name="SAPBEXchaText 2 2 4" xfId="27991" xr:uid="{00000000-0005-0000-0000-0000B4630000}"/>
    <cellStyle name="SAPBEXchaText 2 3" xfId="13626" xr:uid="{00000000-0005-0000-0000-00005D610000}"/>
    <cellStyle name="SAPBEXchaText 2 3 2" xfId="25464" xr:uid="{00000000-0005-0000-0000-00005E610000}"/>
    <cellStyle name="SAPBEXchaText 2 3 2 2" xfId="27619" xr:uid="{00000000-0005-0000-0000-000071610000}"/>
    <cellStyle name="SAPBEXchaText 2 3 2 3" xfId="27995" xr:uid="{00000000-0005-0000-0000-0000B8630000}"/>
    <cellStyle name="SAPBEXchaText 2 3 2 4" xfId="26288" xr:uid="{00000000-0005-0000-0000-000071610000}"/>
    <cellStyle name="SAPBEXchaText 2 3 3" xfId="26570" xr:uid="{00000000-0005-0000-0000-000070610000}"/>
    <cellStyle name="SAPBEXchaText 2 3 4" xfId="27994" xr:uid="{00000000-0005-0000-0000-0000B7630000}"/>
    <cellStyle name="SAPBEXchaText 2 3 5" xfId="26256" xr:uid="{00000000-0005-0000-0000-000070610000}"/>
    <cellStyle name="SAPBEXchaText 2 4" xfId="25824" xr:uid="{00000000-0005-0000-0000-00006C610000}"/>
    <cellStyle name="SAPBEXchaText 2 5" xfId="27990" xr:uid="{00000000-0005-0000-0000-0000B3630000}"/>
    <cellStyle name="SAPBEXchaText 2 6" xfId="26199" xr:uid="{00000000-0005-0000-0000-00006C610000}"/>
    <cellStyle name="SAPBEXchaText 3" xfId="78" xr:uid="{00000000-0005-0000-0000-00005F610000}"/>
    <cellStyle name="SAPBEXchaText 3 2" xfId="225" xr:uid="{00000000-0005-0000-0000-000060610000}"/>
    <cellStyle name="SAPBEXchaText 3 2 2" xfId="13710" xr:uid="{00000000-0005-0000-0000-000061610000}"/>
    <cellStyle name="SAPBEXchaText 3 2 2 2" xfId="25524" xr:uid="{00000000-0005-0000-0000-000062610000}"/>
    <cellStyle name="SAPBEXchaText 3 2 2 2 2" xfId="27679" xr:uid="{00000000-0005-0000-0000-000075610000}"/>
    <cellStyle name="SAPBEXchaText 3 2 2 2 3" xfId="27998" xr:uid="{00000000-0005-0000-0000-0000BC630000}"/>
    <cellStyle name="SAPBEXchaText 3 2 2 2 4" xfId="27168" xr:uid="{00000000-0005-0000-0000-000075610000}"/>
    <cellStyle name="SAPBEXchaText 3 2 2 3" xfId="26632" xr:uid="{00000000-0005-0000-0000-000074610000}"/>
    <cellStyle name="SAPBEXchaText 3 2 2 4" xfId="27997" xr:uid="{00000000-0005-0000-0000-0000BB630000}"/>
    <cellStyle name="SAPBEXchaText 3 2 2 5" xfId="26430" xr:uid="{00000000-0005-0000-0000-000074610000}"/>
    <cellStyle name="SAPBEXchaText 3 2 3" xfId="25915" xr:uid="{00000000-0005-0000-0000-000073610000}"/>
    <cellStyle name="SAPBEXchaText 3 2 4" xfId="27996" xr:uid="{00000000-0005-0000-0000-0000BA630000}"/>
    <cellStyle name="SAPBEXchaText 3 2 5" xfId="26720" xr:uid="{00000000-0005-0000-0000-000073610000}"/>
    <cellStyle name="SAPBEXchaText 4" xfId="226" xr:uid="{00000000-0005-0000-0000-000063610000}"/>
    <cellStyle name="SAPBEXchaText 4 2" xfId="13711" xr:uid="{00000000-0005-0000-0000-000064610000}"/>
    <cellStyle name="SAPBEXchaText 4 2 2" xfId="25525" xr:uid="{00000000-0005-0000-0000-000065610000}"/>
    <cellStyle name="SAPBEXchaText 4 2 2 2" xfId="27680" xr:uid="{00000000-0005-0000-0000-000078610000}"/>
    <cellStyle name="SAPBEXchaText 4 2 2 3" xfId="28001" xr:uid="{00000000-0005-0000-0000-0000BF630000}"/>
    <cellStyle name="SAPBEXchaText 4 2 2 4" xfId="27225" xr:uid="{00000000-0005-0000-0000-000078610000}"/>
    <cellStyle name="SAPBEXchaText 4 2 3" xfId="26633" xr:uid="{00000000-0005-0000-0000-000077610000}"/>
    <cellStyle name="SAPBEXchaText 4 2 4" xfId="28000" xr:uid="{00000000-0005-0000-0000-0000BE630000}"/>
    <cellStyle name="SAPBEXchaText 4 2 5" xfId="26272" xr:uid="{00000000-0005-0000-0000-000077610000}"/>
    <cellStyle name="SAPBEXchaText 4 3" xfId="25916" xr:uid="{00000000-0005-0000-0000-000076610000}"/>
    <cellStyle name="SAPBEXchaText 4 4" xfId="27999" xr:uid="{00000000-0005-0000-0000-0000BD630000}"/>
    <cellStyle name="SAPBEXchaText 4 5" xfId="26377" xr:uid="{00000000-0005-0000-0000-000076610000}"/>
    <cellStyle name="SAPBEXchaText 5" xfId="227" xr:uid="{00000000-0005-0000-0000-000066610000}"/>
    <cellStyle name="SAPBEXchaText 5 2" xfId="13712" xr:uid="{00000000-0005-0000-0000-000067610000}"/>
    <cellStyle name="SAPBEXchaText 5 2 2" xfId="25526" xr:uid="{00000000-0005-0000-0000-000068610000}"/>
    <cellStyle name="SAPBEXchaText 5 2 2 2" xfId="27681" xr:uid="{00000000-0005-0000-0000-00007B610000}"/>
    <cellStyle name="SAPBEXchaText 5 2 2 3" xfId="28004" xr:uid="{00000000-0005-0000-0000-0000C2630000}"/>
    <cellStyle name="SAPBEXchaText 5 2 2 4" xfId="26255" xr:uid="{00000000-0005-0000-0000-00007B610000}"/>
    <cellStyle name="SAPBEXchaText 5 2 3" xfId="26634" xr:uid="{00000000-0005-0000-0000-00007A610000}"/>
    <cellStyle name="SAPBEXchaText 5 2 4" xfId="28003" xr:uid="{00000000-0005-0000-0000-0000C1630000}"/>
    <cellStyle name="SAPBEXchaText 5 2 5" xfId="26783" xr:uid="{00000000-0005-0000-0000-00007A610000}"/>
    <cellStyle name="SAPBEXchaText 5 3" xfId="25917" xr:uid="{00000000-0005-0000-0000-000079610000}"/>
    <cellStyle name="SAPBEXchaText 5 4" xfId="28002" xr:uid="{00000000-0005-0000-0000-0000C0630000}"/>
    <cellStyle name="SAPBEXchaText 5 5" xfId="26964" xr:uid="{00000000-0005-0000-0000-000079610000}"/>
    <cellStyle name="SAPBEXchaText 6" xfId="228" xr:uid="{00000000-0005-0000-0000-000069610000}"/>
    <cellStyle name="SAPBEXchaText 6 2" xfId="13713" xr:uid="{00000000-0005-0000-0000-00006A610000}"/>
    <cellStyle name="SAPBEXchaText 6 2 2" xfId="25527" xr:uid="{00000000-0005-0000-0000-00006B610000}"/>
    <cellStyle name="SAPBEXchaText 6 2 2 2" xfId="27682" xr:uid="{00000000-0005-0000-0000-00007E610000}"/>
    <cellStyle name="SAPBEXchaText 6 2 2 3" xfId="28007" xr:uid="{00000000-0005-0000-0000-0000C5630000}"/>
    <cellStyle name="SAPBEXchaText 6 2 2 4" xfId="26708" xr:uid="{00000000-0005-0000-0000-00007E610000}"/>
    <cellStyle name="SAPBEXchaText 6 2 3" xfId="26635" xr:uid="{00000000-0005-0000-0000-00007D610000}"/>
    <cellStyle name="SAPBEXchaText 6 2 4" xfId="28006" xr:uid="{00000000-0005-0000-0000-0000C4630000}"/>
    <cellStyle name="SAPBEXchaText 6 2 5" xfId="26315" xr:uid="{00000000-0005-0000-0000-00007D610000}"/>
    <cellStyle name="SAPBEXchaText 6 3" xfId="25918" xr:uid="{00000000-0005-0000-0000-00007C610000}"/>
    <cellStyle name="SAPBEXchaText 6 4" xfId="28005" xr:uid="{00000000-0005-0000-0000-0000C3630000}"/>
    <cellStyle name="SAPBEXchaText 6 5" xfId="26445" xr:uid="{00000000-0005-0000-0000-00007C610000}"/>
    <cellStyle name="SAPBEXchaText 7" xfId="229" xr:uid="{00000000-0005-0000-0000-00006C610000}"/>
    <cellStyle name="SAPBEXchaText 7 2" xfId="485" xr:uid="{00000000-0005-0000-0000-00006D610000}"/>
    <cellStyle name="SAPBEXchaText 7 2 2" xfId="13848" xr:uid="{00000000-0005-0000-0000-00006E610000}"/>
    <cellStyle name="SAPBEXchaText 7 2 2 2" xfId="25378" xr:uid="{00000000-0005-0000-0000-00006F610000}"/>
    <cellStyle name="SAPBEXchaText 7 2 2 2 2" xfId="27534" xr:uid="{00000000-0005-0000-0000-000082610000}"/>
    <cellStyle name="SAPBEXchaText 7 2 2 2 3" xfId="28011" xr:uid="{00000000-0005-0000-0000-0000C9630000}"/>
    <cellStyle name="SAPBEXchaText 7 2 2 2 4" xfId="26697" xr:uid="{00000000-0005-0000-0000-000082610000}"/>
    <cellStyle name="SAPBEXchaText 7 2 2 3" xfId="26684" xr:uid="{00000000-0005-0000-0000-000081610000}"/>
    <cellStyle name="SAPBEXchaText 7 2 2 4" xfId="28010" xr:uid="{00000000-0005-0000-0000-0000C8630000}"/>
    <cellStyle name="SAPBEXchaText 7 2 3" xfId="25281" xr:uid="{00000000-0005-0000-0000-000070610000}"/>
    <cellStyle name="SAPBEXchaText 7 2 3 2" xfId="27438" xr:uid="{00000000-0005-0000-0000-000083610000}"/>
    <cellStyle name="SAPBEXchaText 7 2 3 3" xfId="28012" xr:uid="{00000000-0005-0000-0000-0000CA630000}"/>
    <cellStyle name="SAPBEXchaText 7 2 3 4" xfId="26174" xr:uid="{00000000-0005-0000-0000-000083610000}"/>
    <cellStyle name="SAPBEXchaText 7 2 4" xfId="26037" xr:uid="{00000000-0005-0000-0000-000080610000}"/>
    <cellStyle name="SAPBEXchaText 7 2 5" xfId="28009" xr:uid="{00000000-0005-0000-0000-0000C7630000}"/>
    <cellStyle name="SAPBEXchaText 7 3" xfId="13714" xr:uid="{00000000-0005-0000-0000-000071610000}"/>
    <cellStyle name="SAPBEXchaText 7 3 2" xfId="25375" xr:uid="{00000000-0005-0000-0000-000072610000}"/>
    <cellStyle name="SAPBEXchaText 7 3 2 2" xfId="27531" xr:uid="{00000000-0005-0000-0000-000085610000}"/>
    <cellStyle name="SAPBEXchaText 7 3 2 3" xfId="28014" xr:uid="{00000000-0005-0000-0000-0000CC630000}"/>
    <cellStyle name="SAPBEXchaText 7 3 2 4" xfId="26439" xr:uid="{00000000-0005-0000-0000-000085610000}"/>
    <cellStyle name="SAPBEXchaText 7 3 3" xfId="26636" xr:uid="{00000000-0005-0000-0000-000084610000}"/>
    <cellStyle name="SAPBEXchaText 7 3 4" xfId="28013" xr:uid="{00000000-0005-0000-0000-0000CB630000}"/>
    <cellStyle name="SAPBEXchaText 7 4" xfId="25919" xr:uid="{00000000-0005-0000-0000-00007F610000}"/>
    <cellStyle name="SAPBEXchaText 7 5" xfId="28008" xr:uid="{00000000-0005-0000-0000-0000C6630000}"/>
    <cellStyle name="SAPBEXchaText_Copy of xSAPtemp5457" xfId="230" xr:uid="{00000000-0005-0000-0000-000073610000}"/>
    <cellStyle name="SAPBEXexcBad7" xfId="79" xr:uid="{00000000-0005-0000-0000-000074610000}"/>
    <cellStyle name="SAPBEXexcBad7 2" xfId="13627" xr:uid="{00000000-0005-0000-0000-000075610000}"/>
    <cellStyle name="SAPBEXexcBad7 2 2" xfId="25465" xr:uid="{00000000-0005-0000-0000-000076610000}"/>
    <cellStyle name="SAPBEXexcBad7 2 2 2" xfId="27620" xr:uid="{00000000-0005-0000-0000-000089610000}"/>
    <cellStyle name="SAPBEXexcBad7 2 2 3" xfId="28017" xr:uid="{00000000-0005-0000-0000-0000D0630000}"/>
    <cellStyle name="SAPBEXexcBad7 2 2 4" xfId="26830" xr:uid="{00000000-0005-0000-0000-000089610000}"/>
    <cellStyle name="SAPBEXexcBad7 2 3" xfId="26571" xr:uid="{00000000-0005-0000-0000-000088610000}"/>
    <cellStyle name="SAPBEXexcBad7 2 4" xfId="28016" xr:uid="{00000000-0005-0000-0000-0000CF630000}"/>
    <cellStyle name="SAPBEXexcBad7 2 5" xfId="26333" xr:uid="{00000000-0005-0000-0000-000088610000}"/>
    <cellStyle name="SAPBEXexcBad7 3" xfId="24682" xr:uid="{00000000-0005-0000-0000-000077610000}"/>
    <cellStyle name="SAPBEXexcBad7 3 2" xfId="25399" xr:uid="{00000000-0005-0000-0000-000078610000}"/>
    <cellStyle name="SAPBEXexcBad7 3 2 2" xfId="27555" xr:uid="{00000000-0005-0000-0000-00008B610000}"/>
    <cellStyle name="SAPBEXexcBad7 3 2 3" xfId="28019" xr:uid="{00000000-0005-0000-0000-0000D2630000}"/>
    <cellStyle name="SAPBEXexcBad7 3 2 4" xfId="26771" xr:uid="{00000000-0005-0000-0000-00008B610000}"/>
    <cellStyle name="SAPBEXexcBad7 3 3" xfId="25645" xr:uid="{00000000-0005-0000-0000-000079610000}"/>
    <cellStyle name="SAPBEXexcBad7 3 3 2" xfId="27800" xr:uid="{00000000-0005-0000-0000-00008C610000}"/>
    <cellStyle name="SAPBEXexcBad7 3 3 3" xfId="28020" xr:uid="{00000000-0005-0000-0000-0000D3630000}"/>
    <cellStyle name="SAPBEXexcBad7 3 3 4" xfId="26913" xr:uid="{00000000-0005-0000-0000-00008C610000}"/>
    <cellStyle name="SAPBEXexcBad7 3 4" xfId="27274" xr:uid="{00000000-0005-0000-0000-00008A610000}"/>
    <cellStyle name="SAPBEXexcBad7 3 5" xfId="28018" xr:uid="{00000000-0005-0000-0000-0000D1630000}"/>
    <cellStyle name="SAPBEXexcBad7 3 6" xfId="26379" xr:uid="{00000000-0005-0000-0000-00008A610000}"/>
    <cellStyle name="SAPBEXexcBad7 4" xfId="25094" xr:uid="{00000000-0005-0000-0000-00007A610000}"/>
    <cellStyle name="SAPBEXexcBad7 4 2" xfId="25304" xr:uid="{00000000-0005-0000-0000-00007B610000}"/>
    <cellStyle name="SAPBEXexcBad7 4 2 2" xfId="27460" xr:uid="{00000000-0005-0000-0000-00008E610000}"/>
    <cellStyle name="SAPBEXexcBad7 4 2 3" xfId="28022" xr:uid="{00000000-0005-0000-0000-0000D5630000}"/>
    <cellStyle name="SAPBEXexcBad7 4 2 4" xfId="26173" xr:uid="{00000000-0005-0000-0000-00008E610000}"/>
    <cellStyle name="SAPBEXexcBad7 4 3" xfId="25692" xr:uid="{00000000-0005-0000-0000-00007C610000}"/>
    <cellStyle name="SAPBEXexcBad7 4 3 2" xfId="27847" xr:uid="{00000000-0005-0000-0000-00008F610000}"/>
    <cellStyle name="SAPBEXexcBad7 4 3 3" xfId="28023" xr:uid="{00000000-0005-0000-0000-0000D6630000}"/>
    <cellStyle name="SAPBEXexcBad7 4 3 4" xfId="26349" xr:uid="{00000000-0005-0000-0000-00008F610000}"/>
    <cellStyle name="SAPBEXexcBad7 4 4" xfId="27381" xr:uid="{00000000-0005-0000-0000-00008D610000}"/>
    <cellStyle name="SAPBEXexcBad7 4 5" xfId="28021" xr:uid="{00000000-0005-0000-0000-0000D4630000}"/>
    <cellStyle name="SAPBEXexcBad7 4 6" xfId="26328" xr:uid="{00000000-0005-0000-0000-00008D610000}"/>
    <cellStyle name="SAPBEXexcBad7 5" xfId="25825" xr:uid="{00000000-0005-0000-0000-000087610000}"/>
    <cellStyle name="SAPBEXexcBad7 6" xfId="28015" xr:uid="{00000000-0005-0000-0000-0000CE630000}"/>
    <cellStyle name="SAPBEXexcBad7 7" xfId="26764" xr:uid="{00000000-0005-0000-0000-000087610000}"/>
    <cellStyle name="SAPBEXexcBad8" xfId="80" xr:uid="{00000000-0005-0000-0000-00007D610000}"/>
    <cellStyle name="SAPBEXexcBad8 2" xfId="13628" xr:uid="{00000000-0005-0000-0000-00007E610000}"/>
    <cellStyle name="SAPBEXexcBad8 2 2" xfId="25466" xr:uid="{00000000-0005-0000-0000-00007F610000}"/>
    <cellStyle name="SAPBEXexcBad8 2 2 2" xfId="27621" xr:uid="{00000000-0005-0000-0000-000092610000}"/>
    <cellStyle name="SAPBEXexcBad8 2 2 3" xfId="28026" xr:uid="{00000000-0005-0000-0000-0000D9630000}"/>
    <cellStyle name="SAPBEXexcBad8 2 2 4" xfId="26220" xr:uid="{00000000-0005-0000-0000-000092610000}"/>
    <cellStyle name="SAPBEXexcBad8 2 3" xfId="26572" xr:uid="{00000000-0005-0000-0000-000091610000}"/>
    <cellStyle name="SAPBEXexcBad8 2 4" xfId="28025" xr:uid="{00000000-0005-0000-0000-0000D8630000}"/>
    <cellStyle name="SAPBEXexcBad8 2 5" xfId="27151" xr:uid="{00000000-0005-0000-0000-000091610000}"/>
    <cellStyle name="SAPBEXexcBad8 3" xfId="24681" xr:uid="{00000000-0005-0000-0000-000080610000}"/>
    <cellStyle name="SAPBEXexcBad8 3 2" xfId="25383" xr:uid="{00000000-0005-0000-0000-000081610000}"/>
    <cellStyle name="SAPBEXexcBad8 3 2 2" xfId="27539" xr:uid="{00000000-0005-0000-0000-000094610000}"/>
    <cellStyle name="SAPBEXexcBad8 3 2 3" xfId="28028" xr:uid="{00000000-0005-0000-0000-0000DB630000}"/>
    <cellStyle name="SAPBEXexcBad8 3 2 4" xfId="26790" xr:uid="{00000000-0005-0000-0000-000094610000}"/>
    <cellStyle name="SAPBEXexcBad8 3 3" xfId="25644" xr:uid="{00000000-0005-0000-0000-000082610000}"/>
    <cellStyle name="SAPBEXexcBad8 3 3 2" xfId="27799" xr:uid="{00000000-0005-0000-0000-000095610000}"/>
    <cellStyle name="SAPBEXexcBad8 3 3 3" xfId="28029" xr:uid="{00000000-0005-0000-0000-0000DC630000}"/>
    <cellStyle name="SAPBEXexcBad8 3 3 4" xfId="26095" xr:uid="{00000000-0005-0000-0000-000095610000}"/>
    <cellStyle name="SAPBEXexcBad8 3 4" xfId="27273" xr:uid="{00000000-0005-0000-0000-000093610000}"/>
    <cellStyle name="SAPBEXexcBad8 3 5" xfId="28027" xr:uid="{00000000-0005-0000-0000-0000DA630000}"/>
    <cellStyle name="SAPBEXexcBad8 3 6" xfId="26455" xr:uid="{00000000-0005-0000-0000-000093610000}"/>
    <cellStyle name="SAPBEXexcBad8 4" xfId="25095" xr:uid="{00000000-0005-0000-0000-000083610000}"/>
    <cellStyle name="SAPBEXexcBad8 4 2" xfId="25407" xr:uid="{00000000-0005-0000-0000-000084610000}"/>
    <cellStyle name="SAPBEXexcBad8 4 2 2" xfId="27563" xr:uid="{00000000-0005-0000-0000-000097610000}"/>
    <cellStyle name="SAPBEXexcBad8 4 2 3" xfId="28031" xr:uid="{00000000-0005-0000-0000-0000DE630000}"/>
    <cellStyle name="SAPBEXexcBad8 4 2 4" xfId="26106" xr:uid="{00000000-0005-0000-0000-000097610000}"/>
    <cellStyle name="SAPBEXexcBad8 4 3" xfId="25693" xr:uid="{00000000-0005-0000-0000-000085610000}"/>
    <cellStyle name="SAPBEXexcBad8 4 3 2" xfId="27848" xr:uid="{00000000-0005-0000-0000-000098610000}"/>
    <cellStyle name="SAPBEXexcBad8 4 3 3" xfId="28032" xr:uid="{00000000-0005-0000-0000-0000DF630000}"/>
    <cellStyle name="SAPBEXexcBad8 4 3 4" xfId="26902" xr:uid="{00000000-0005-0000-0000-000098610000}"/>
    <cellStyle name="SAPBEXexcBad8 4 4" xfId="27382" xr:uid="{00000000-0005-0000-0000-000096610000}"/>
    <cellStyle name="SAPBEXexcBad8 4 5" xfId="28030" xr:uid="{00000000-0005-0000-0000-0000DD630000}"/>
    <cellStyle name="SAPBEXexcBad8 4 6" xfId="26787" xr:uid="{00000000-0005-0000-0000-000096610000}"/>
    <cellStyle name="SAPBEXexcBad8 5" xfId="25826" xr:uid="{00000000-0005-0000-0000-000090610000}"/>
    <cellStyle name="SAPBEXexcBad8 6" xfId="28024" xr:uid="{00000000-0005-0000-0000-0000D7630000}"/>
    <cellStyle name="SAPBEXexcBad8 7" xfId="26240" xr:uid="{00000000-0005-0000-0000-000090610000}"/>
    <cellStyle name="SAPBEXexcBad9" xfId="81" xr:uid="{00000000-0005-0000-0000-000086610000}"/>
    <cellStyle name="SAPBEXexcBad9 2" xfId="13629" xr:uid="{00000000-0005-0000-0000-000087610000}"/>
    <cellStyle name="SAPBEXexcBad9 2 2" xfId="25467" xr:uid="{00000000-0005-0000-0000-000088610000}"/>
    <cellStyle name="SAPBEXexcBad9 2 2 2" xfId="27622" xr:uid="{00000000-0005-0000-0000-00009B610000}"/>
    <cellStyle name="SAPBEXexcBad9 2 2 3" xfId="28035" xr:uid="{00000000-0005-0000-0000-0000E2630000}"/>
    <cellStyle name="SAPBEXexcBad9 2 2 4" xfId="26929" xr:uid="{00000000-0005-0000-0000-00009B610000}"/>
    <cellStyle name="SAPBEXexcBad9 2 3" xfId="26573" xr:uid="{00000000-0005-0000-0000-00009A610000}"/>
    <cellStyle name="SAPBEXexcBad9 2 4" xfId="28034" xr:uid="{00000000-0005-0000-0000-0000E1630000}"/>
    <cellStyle name="SAPBEXexcBad9 2 5" xfId="26420" xr:uid="{00000000-0005-0000-0000-00009A610000}"/>
    <cellStyle name="SAPBEXexcBad9 3" xfId="24680" xr:uid="{00000000-0005-0000-0000-000089610000}"/>
    <cellStyle name="SAPBEXexcBad9 3 2" xfId="25370" xr:uid="{00000000-0005-0000-0000-00008A610000}"/>
    <cellStyle name="SAPBEXexcBad9 3 2 2" xfId="27526" xr:uid="{00000000-0005-0000-0000-00009D610000}"/>
    <cellStyle name="SAPBEXexcBad9 3 2 3" xfId="28037" xr:uid="{00000000-0005-0000-0000-0000E4630000}"/>
    <cellStyle name="SAPBEXexcBad9 3 2 4" xfId="26706" xr:uid="{00000000-0005-0000-0000-00009D610000}"/>
    <cellStyle name="SAPBEXexcBad9 3 3" xfId="25643" xr:uid="{00000000-0005-0000-0000-00008B610000}"/>
    <cellStyle name="SAPBEXexcBad9 3 3 2" xfId="27798" xr:uid="{00000000-0005-0000-0000-00009E610000}"/>
    <cellStyle name="SAPBEXexcBad9 3 3 3" xfId="28038" xr:uid="{00000000-0005-0000-0000-0000E5630000}"/>
    <cellStyle name="SAPBEXexcBad9 3 3 4" xfId="26532" xr:uid="{00000000-0005-0000-0000-00009E610000}"/>
    <cellStyle name="SAPBEXexcBad9 3 4" xfId="27272" xr:uid="{00000000-0005-0000-0000-00009C610000}"/>
    <cellStyle name="SAPBEXexcBad9 3 5" xfId="28036" xr:uid="{00000000-0005-0000-0000-0000E3630000}"/>
    <cellStyle name="SAPBEXexcBad9 3 6" xfId="26888" xr:uid="{00000000-0005-0000-0000-00009C610000}"/>
    <cellStyle name="SAPBEXexcBad9 4" xfId="25096" xr:uid="{00000000-0005-0000-0000-00008C610000}"/>
    <cellStyle name="SAPBEXexcBad9 4 2" xfId="25320" xr:uid="{00000000-0005-0000-0000-00008D610000}"/>
    <cellStyle name="SAPBEXexcBad9 4 2 2" xfId="27476" xr:uid="{00000000-0005-0000-0000-0000A0610000}"/>
    <cellStyle name="SAPBEXexcBad9 4 2 3" xfId="28040" xr:uid="{00000000-0005-0000-0000-0000E7630000}"/>
    <cellStyle name="SAPBEXexcBad9 4 2 4" xfId="26085" xr:uid="{00000000-0005-0000-0000-0000A0610000}"/>
    <cellStyle name="SAPBEXexcBad9 4 3" xfId="25694" xr:uid="{00000000-0005-0000-0000-00008E610000}"/>
    <cellStyle name="SAPBEXexcBad9 4 3 2" xfId="27849" xr:uid="{00000000-0005-0000-0000-0000A1610000}"/>
    <cellStyle name="SAPBEXexcBad9 4 3 3" xfId="28041" xr:uid="{00000000-0005-0000-0000-0000E8630000}"/>
    <cellStyle name="SAPBEXexcBad9 4 3 4" xfId="27318" xr:uid="{00000000-0005-0000-0000-0000A1610000}"/>
    <cellStyle name="SAPBEXexcBad9 4 4" xfId="27383" xr:uid="{00000000-0005-0000-0000-00009F610000}"/>
    <cellStyle name="SAPBEXexcBad9 4 5" xfId="28039" xr:uid="{00000000-0005-0000-0000-0000E6630000}"/>
    <cellStyle name="SAPBEXexcBad9 4 6" xfId="26263" xr:uid="{00000000-0005-0000-0000-00009F610000}"/>
    <cellStyle name="SAPBEXexcBad9 5" xfId="25827" xr:uid="{00000000-0005-0000-0000-000099610000}"/>
    <cellStyle name="SAPBEXexcBad9 6" xfId="28033" xr:uid="{00000000-0005-0000-0000-0000E0630000}"/>
    <cellStyle name="SAPBEXexcBad9 7" xfId="26841" xr:uid="{00000000-0005-0000-0000-000099610000}"/>
    <cellStyle name="SAPBEXexcCritical4" xfId="82" xr:uid="{00000000-0005-0000-0000-00008F610000}"/>
    <cellStyle name="SAPBEXexcCritical4 2" xfId="13630" xr:uid="{00000000-0005-0000-0000-000090610000}"/>
    <cellStyle name="SAPBEXexcCritical4 2 2" xfId="25468" xr:uid="{00000000-0005-0000-0000-000091610000}"/>
    <cellStyle name="SAPBEXexcCritical4 2 2 2" xfId="27623" xr:uid="{00000000-0005-0000-0000-0000A4610000}"/>
    <cellStyle name="SAPBEXexcCritical4 2 2 3" xfId="28044" xr:uid="{00000000-0005-0000-0000-0000EB630000}"/>
    <cellStyle name="SAPBEXexcCritical4 2 2 4" xfId="26893" xr:uid="{00000000-0005-0000-0000-0000A4610000}"/>
    <cellStyle name="SAPBEXexcCritical4 2 3" xfId="26574" xr:uid="{00000000-0005-0000-0000-0000A3610000}"/>
    <cellStyle name="SAPBEXexcCritical4 2 4" xfId="28043" xr:uid="{00000000-0005-0000-0000-0000EA630000}"/>
    <cellStyle name="SAPBEXexcCritical4 2 5" xfId="26442" xr:uid="{00000000-0005-0000-0000-0000A3610000}"/>
    <cellStyle name="SAPBEXexcCritical4 3" xfId="24679" xr:uid="{00000000-0005-0000-0000-000092610000}"/>
    <cellStyle name="SAPBEXexcCritical4 3 2" xfId="25288" xr:uid="{00000000-0005-0000-0000-000093610000}"/>
    <cellStyle name="SAPBEXexcCritical4 3 2 2" xfId="27445" xr:uid="{00000000-0005-0000-0000-0000A6610000}"/>
    <cellStyle name="SAPBEXexcCritical4 3 2 3" xfId="28046" xr:uid="{00000000-0005-0000-0000-0000ED630000}"/>
    <cellStyle name="SAPBEXexcCritical4 3 2 4" xfId="26723" xr:uid="{00000000-0005-0000-0000-0000A6610000}"/>
    <cellStyle name="SAPBEXexcCritical4 3 3" xfId="25642" xr:uid="{00000000-0005-0000-0000-000094610000}"/>
    <cellStyle name="SAPBEXexcCritical4 3 3 2" xfId="27797" xr:uid="{00000000-0005-0000-0000-0000A7610000}"/>
    <cellStyle name="SAPBEXexcCritical4 3 3 3" xfId="28047" xr:uid="{00000000-0005-0000-0000-0000EE630000}"/>
    <cellStyle name="SAPBEXexcCritical4 3 3 4" xfId="26547" xr:uid="{00000000-0005-0000-0000-0000A7610000}"/>
    <cellStyle name="SAPBEXexcCritical4 3 4" xfId="27271" xr:uid="{00000000-0005-0000-0000-0000A5610000}"/>
    <cellStyle name="SAPBEXexcCritical4 3 5" xfId="28045" xr:uid="{00000000-0005-0000-0000-0000EC630000}"/>
    <cellStyle name="SAPBEXexcCritical4 3 6" xfId="27433" xr:uid="{00000000-0005-0000-0000-0000A5610000}"/>
    <cellStyle name="SAPBEXexcCritical4 4" xfId="25097" xr:uid="{00000000-0005-0000-0000-000095610000}"/>
    <cellStyle name="SAPBEXexcCritical4 4 2" xfId="25419" xr:uid="{00000000-0005-0000-0000-000096610000}"/>
    <cellStyle name="SAPBEXexcCritical4 4 2 2" xfId="27575" xr:uid="{00000000-0005-0000-0000-0000A9610000}"/>
    <cellStyle name="SAPBEXexcCritical4 4 2 3" xfId="28049" xr:uid="{00000000-0005-0000-0000-0000F0630000}"/>
    <cellStyle name="SAPBEXexcCritical4 4 2 4" xfId="26866" xr:uid="{00000000-0005-0000-0000-0000A9610000}"/>
    <cellStyle name="SAPBEXexcCritical4 4 3" xfId="25695" xr:uid="{00000000-0005-0000-0000-000097610000}"/>
    <cellStyle name="SAPBEXexcCritical4 4 3 2" xfId="27850" xr:uid="{00000000-0005-0000-0000-0000AA610000}"/>
    <cellStyle name="SAPBEXexcCritical4 4 3 3" xfId="28050" xr:uid="{00000000-0005-0000-0000-0000F1630000}"/>
    <cellStyle name="SAPBEXexcCritical4 4 3 4" xfId="26475" xr:uid="{00000000-0005-0000-0000-0000AA610000}"/>
    <cellStyle name="SAPBEXexcCritical4 4 4" xfId="27384" xr:uid="{00000000-0005-0000-0000-0000A8610000}"/>
    <cellStyle name="SAPBEXexcCritical4 4 5" xfId="28048" xr:uid="{00000000-0005-0000-0000-0000EF630000}"/>
    <cellStyle name="SAPBEXexcCritical4 4 6" xfId="26877" xr:uid="{00000000-0005-0000-0000-0000A8610000}"/>
    <cellStyle name="SAPBEXexcCritical4 5" xfId="25828" xr:uid="{00000000-0005-0000-0000-0000A2610000}"/>
    <cellStyle name="SAPBEXexcCritical4 6" xfId="28042" xr:uid="{00000000-0005-0000-0000-0000E9630000}"/>
    <cellStyle name="SAPBEXexcCritical4 7" xfId="28546" xr:uid="{00000000-0005-0000-0000-0000A2610000}"/>
    <cellStyle name="SAPBEXexcCritical5" xfId="83" xr:uid="{00000000-0005-0000-0000-000098610000}"/>
    <cellStyle name="SAPBEXexcCritical5 2" xfId="13631" xr:uid="{00000000-0005-0000-0000-000099610000}"/>
    <cellStyle name="SAPBEXexcCritical5 2 2" xfId="25469" xr:uid="{00000000-0005-0000-0000-00009A610000}"/>
    <cellStyle name="SAPBEXexcCritical5 2 2 2" xfId="27624" xr:uid="{00000000-0005-0000-0000-0000AD610000}"/>
    <cellStyle name="SAPBEXexcCritical5 2 2 3" xfId="28053" xr:uid="{00000000-0005-0000-0000-0000F4630000}"/>
    <cellStyle name="SAPBEXexcCritical5 2 2 4" xfId="26878" xr:uid="{00000000-0005-0000-0000-0000AD610000}"/>
    <cellStyle name="SAPBEXexcCritical5 2 3" xfId="26575" xr:uid="{00000000-0005-0000-0000-0000AC610000}"/>
    <cellStyle name="SAPBEXexcCritical5 2 4" xfId="28052" xr:uid="{00000000-0005-0000-0000-0000F3630000}"/>
    <cellStyle name="SAPBEXexcCritical5 2 5" xfId="26881" xr:uid="{00000000-0005-0000-0000-0000AC610000}"/>
    <cellStyle name="SAPBEXexcCritical5 3" xfId="24678" xr:uid="{00000000-0005-0000-0000-00009B610000}"/>
    <cellStyle name="SAPBEXexcCritical5 3 2" xfId="25299" xr:uid="{00000000-0005-0000-0000-00009C610000}"/>
    <cellStyle name="SAPBEXexcCritical5 3 2 2" xfId="27455" xr:uid="{00000000-0005-0000-0000-0000AF610000}"/>
    <cellStyle name="SAPBEXexcCritical5 3 2 3" xfId="28055" xr:uid="{00000000-0005-0000-0000-0000F6630000}"/>
    <cellStyle name="SAPBEXexcCritical5 3 2 4" xfId="27226" xr:uid="{00000000-0005-0000-0000-0000AF610000}"/>
    <cellStyle name="SAPBEXexcCritical5 3 3" xfId="25641" xr:uid="{00000000-0005-0000-0000-00009D610000}"/>
    <cellStyle name="SAPBEXexcCritical5 3 3 2" xfId="27796" xr:uid="{00000000-0005-0000-0000-0000B0610000}"/>
    <cellStyle name="SAPBEXexcCritical5 3 3 3" xfId="28056" xr:uid="{00000000-0005-0000-0000-0000F7630000}"/>
    <cellStyle name="SAPBEXexcCritical5 3 3 4" xfId="26364" xr:uid="{00000000-0005-0000-0000-0000B0610000}"/>
    <cellStyle name="SAPBEXexcCritical5 3 4" xfId="27270" xr:uid="{00000000-0005-0000-0000-0000AE610000}"/>
    <cellStyle name="SAPBEXexcCritical5 3 5" xfId="28054" xr:uid="{00000000-0005-0000-0000-0000F5630000}"/>
    <cellStyle name="SAPBEXexcCritical5 3 6" xfId="26742" xr:uid="{00000000-0005-0000-0000-0000AE610000}"/>
    <cellStyle name="SAPBEXexcCritical5 4" xfId="25098" xr:uid="{00000000-0005-0000-0000-00009E610000}"/>
    <cellStyle name="SAPBEXexcCritical5 4 2" xfId="25336" xr:uid="{00000000-0005-0000-0000-00009F610000}"/>
    <cellStyle name="SAPBEXexcCritical5 4 2 2" xfId="27492" xr:uid="{00000000-0005-0000-0000-0000B2610000}"/>
    <cellStyle name="SAPBEXexcCritical5 4 2 3" xfId="28058" xr:uid="{00000000-0005-0000-0000-0000F9630000}"/>
    <cellStyle name="SAPBEXexcCritical5 4 2 4" xfId="26072" xr:uid="{00000000-0005-0000-0000-0000B2610000}"/>
    <cellStyle name="SAPBEXexcCritical5 4 3" xfId="25696" xr:uid="{00000000-0005-0000-0000-0000A0610000}"/>
    <cellStyle name="SAPBEXexcCritical5 4 3 2" xfId="27851" xr:uid="{00000000-0005-0000-0000-0000B3610000}"/>
    <cellStyle name="SAPBEXexcCritical5 4 3 3" xfId="28059" xr:uid="{00000000-0005-0000-0000-0000FA630000}"/>
    <cellStyle name="SAPBEXexcCritical5 4 3 4" xfId="26748" xr:uid="{00000000-0005-0000-0000-0000B3610000}"/>
    <cellStyle name="SAPBEXexcCritical5 4 4" xfId="27385" xr:uid="{00000000-0005-0000-0000-0000B1610000}"/>
    <cellStyle name="SAPBEXexcCritical5 4 5" xfId="28057" xr:uid="{00000000-0005-0000-0000-0000F8630000}"/>
    <cellStyle name="SAPBEXexcCritical5 4 6" xfId="26752" xr:uid="{00000000-0005-0000-0000-0000B1610000}"/>
    <cellStyle name="SAPBEXexcCritical5 5" xfId="25829" xr:uid="{00000000-0005-0000-0000-0000AB610000}"/>
    <cellStyle name="SAPBEXexcCritical5 6" xfId="28051" xr:uid="{00000000-0005-0000-0000-0000F2630000}"/>
    <cellStyle name="SAPBEXexcCritical5 7" xfId="28547" xr:uid="{00000000-0005-0000-0000-0000AB610000}"/>
    <cellStyle name="SAPBEXexcCritical6" xfId="84" xr:uid="{00000000-0005-0000-0000-0000A1610000}"/>
    <cellStyle name="SAPBEXexcCritical6 2" xfId="13632" xr:uid="{00000000-0005-0000-0000-0000A2610000}"/>
    <cellStyle name="SAPBEXexcCritical6 2 2" xfId="25470" xr:uid="{00000000-0005-0000-0000-0000A3610000}"/>
    <cellStyle name="SAPBEXexcCritical6 2 2 2" xfId="27625" xr:uid="{00000000-0005-0000-0000-0000B6610000}"/>
    <cellStyle name="SAPBEXexcCritical6 2 2 3" xfId="28062" xr:uid="{00000000-0005-0000-0000-0000FD630000}"/>
    <cellStyle name="SAPBEXexcCritical6 2 2 4" xfId="26103" xr:uid="{00000000-0005-0000-0000-0000B6610000}"/>
    <cellStyle name="SAPBEXexcCritical6 2 3" xfId="26576" xr:uid="{00000000-0005-0000-0000-0000B5610000}"/>
    <cellStyle name="SAPBEXexcCritical6 2 4" xfId="28061" xr:uid="{00000000-0005-0000-0000-0000FC630000}"/>
    <cellStyle name="SAPBEXexcCritical6 2 5" xfId="26152" xr:uid="{00000000-0005-0000-0000-0000B5610000}"/>
    <cellStyle name="SAPBEXexcCritical6 3" xfId="24677" xr:uid="{00000000-0005-0000-0000-0000A4610000}"/>
    <cellStyle name="SAPBEXexcCritical6 3 2" xfId="25362" xr:uid="{00000000-0005-0000-0000-0000A5610000}"/>
    <cellStyle name="SAPBEXexcCritical6 3 2 2" xfId="27518" xr:uid="{00000000-0005-0000-0000-0000B8610000}"/>
    <cellStyle name="SAPBEXexcCritical6 3 2 3" xfId="28064" xr:uid="{00000000-0005-0000-0000-0000FF630000}"/>
    <cellStyle name="SAPBEXexcCritical6 3 2 4" xfId="26710" xr:uid="{00000000-0005-0000-0000-0000B8610000}"/>
    <cellStyle name="SAPBEXexcCritical6 3 3" xfId="25640" xr:uid="{00000000-0005-0000-0000-0000A6610000}"/>
    <cellStyle name="SAPBEXexcCritical6 3 3 2" xfId="27795" xr:uid="{00000000-0005-0000-0000-0000B9610000}"/>
    <cellStyle name="SAPBEXexcCritical6 3 3 3" xfId="28065" xr:uid="{00000000-0005-0000-0000-000000640000}"/>
    <cellStyle name="SAPBEXexcCritical6 3 3 4" xfId="26325" xr:uid="{00000000-0005-0000-0000-0000B9610000}"/>
    <cellStyle name="SAPBEXexcCritical6 3 4" xfId="27269" xr:uid="{00000000-0005-0000-0000-0000B7610000}"/>
    <cellStyle name="SAPBEXexcCritical6 3 5" xfId="28063" xr:uid="{00000000-0005-0000-0000-0000FE630000}"/>
    <cellStyle name="SAPBEXexcCritical6 3 6" xfId="27075" xr:uid="{00000000-0005-0000-0000-0000B7610000}"/>
    <cellStyle name="SAPBEXexcCritical6 4" xfId="25099" xr:uid="{00000000-0005-0000-0000-0000A7610000}"/>
    <cellStyle name="SAPBEXexcCritical6 4 2" xfId="25438" xr:uid="{00000000-0005-0000-0000-0000A8610000}"/>
    <cellStyle name="SAPBEXexcCritical6 4 2 2" xfId="27594" xr:uid="{00000000-0005-0000-0000-0000BB610000}"/>
    <cellStyle name="SAPBEXexcCritical6 4 2 3" xfId="28067" xr:uid="{00000000-0005-0000-0000-000002640000}"/>
    <cellStyle name="SAPBEXexcCritical6 4 2 4" xfId="26226" xr:uid="{00000000-0005-0000-0000-0000BB610000}"/>
    <cellStyle name="SAPBEXexcCritical6 4 3" xfId="25697" xr:uid="{00000000-0005-0000-0000-0000A9610000}"/>
    <cellStyle name="SAPBEXexcCritical6 4 3 2" xfId="27852" xr:uid="{00000000-0005-0000-0000-0000BC610000}"/>
    <cellStyle name="SAPBEXexcCritical6 4 3 3" xfId="28068" xr:uid="{00000000-0005-0000-0000-000003640000}"/>
    <cellStyle name="SAPBEXexcCritical6 4 3 4" xfId="26067" xr:uid="{00000000-0005-0000-0000-0000BC610000}"/>
    <cellStyle name="SAPBEXexcCritical6 4 4" xfId="27386" xr:uid="{00000000-0005-0000-0000-0000BA610000}"/>
    <cellStyle name="SAPBEXexcCritical6 4 5" xfId="28066" xr:uid="{00000000-0005-0000-0000-000001640000}"/>
    <cellStyle name="SAPBEXexcCritical6 4 6" xfId="26459" xr:uid="{00000000-0005-0000-0000-0000BA610000}"/>
    <cellStyle name="SAPBEXexcCritical6 5" xfId="25830" xr:uid="{00000000-0005-0000-0000-0000B4610000}"/>
    <cellStyle name="SAPBEXexcCritical6 6" xfId="28060" xr:uid="{00000000-0005-0000-0000-0000FB630000}"/>
    <cellStyle name="SAPBEXexcCritical6 7" xfId="28548" xr:uid="{00000000-0005-0000-0000-0000B4610000}"/>
    <cellStyle name="SAPBEXexcGood1" xfId="85" xr:uid="{00000000-0005-0000-0000-0000AA610000}"/>
    <cellStyle name="SAPBEXexcGood1 2" xfId="13633" xr:uid="{00000000-0005-0000-0000-0000AB610000}"/>
    <cellStyle name="SAPBEXexcGood1 2 2" xfId="25471" xr:uid="{00000000-0005-0000-0000-0000AC610000}"/>
    <cellStyle name="SAPBEXexcGood1 2 2 2" xfId="27626" xr:uid="{00000000-0005-0000-0000-0000BF610000}"/>
    <cellStyle name="SAPBEXexcGood1 2 2 3" xfId="28071" xr:uid="{00000000-0005-0000-0000-000006640000}"/>
    <cellStyle name="SAPBEXexcGood1 2 2 4" xfId="26215" xr:uid="{00000000-0005-0000-0000-0000BF610000}"/>
    <cellStyle name="SAPBEXexcGood1 2 3" xfId="26577" xr:uid="{00000000-0005-0000-0000-0000BE610000}"/>
    <cellStyle name="SAPBEXexcGood1 2 4" xfId="28070" xr:uid="{00000000-0005-0000-0000-000005640000}"/>
    <cellStyle name="SAPBEXexcGood1 2 5" xfId="26076" xr:uid="{00000000-0005-0000-0000-0000BE610000}"/>
    <cellStyle name="SAPBEXexcGood1 3" xfId="24676" xr:uid="{00000000-0005-0000-0000-0000AD610000}"/>
    <cellStyle name="SAPBEXexcGood1 3 2" xfId="25450" xr:uid="{00000000-0005-0000-0000-0000AE610000}"/>
    <cellStyle name="SAPBEXexcGood1 3 2 2" xfId="27606" xr:uid="{00000000-0005-0000-0000-0000C1610000}"/>
    <cellStyle name="SAPBEXexcGood1 3 2 3" xfId="28073" xr:uid="{00000000-0005-0000-0000-000008640000}"/>
    <cellStyle name="SAPBEXexcGood1 3 2 4" xfId="26500" xr:uid="{00000000-0005-0000-0000-0000C1610000}"/>
    <cellStyle name="SAPBEXexcGood1 3 3" xfId="25639" xr:uid="{00000000-0005-0000-0000-0000AF610000}"/>
    <cellStyle name="SAPBEXexcGood1 3 3 2" xfId="27794" xr:uid="{00000000-0005-0000-0000-0000C2610000}"/>
    <cellStyle name="SAPBEXexcGood1 3 3 3" xfId="28074" xr:uid="{00000000-0005-0000-0000-000009640000}"/>
    <cellStyle name="SAPBEXexcGood1 3 3 4" xfId="26230" xr:uid="{00000000-0005-0000-0000-0000C2610000}"/>
    <cellStyle name="SAPBEXexcGood1 3 4" xfId="27268" xr:uid="{00000000-0005-0000-0000-0000C0610000}"/>
    <cellStyle name="SAPBEXexcGood1 3 5" xfId="28072" xr:uid="{00000000-0005-0000-0000-000007640000}"/>
    <cellStyle name="SAPBEXexcGood1 3 6" xfId="26248" xr:uid="{00000000-0005-0000-0000-0000C0610000}"/>
    <cellStyle name="SAPBEXexcGood1 4" xfId="25100" xr:uid="{00000000-0005-0000-0000-0000B0610000}"/>
    <cellStyle name="SAPBEXexcGood1 4 2" xfId="25355" xr:uid="{00000000-0005-0000-0000-0000B1610000}"/>
    <cellStyle name="SAPBEXexcGood1 4 2 2" xfId="27511" xr:uid="{00000000-0005-0000-0000-0000C4610000}"/>
    <cellStyle name="SAPBEXexcGood1 4 2 3" xfId="28076" xr:uid="{00000000-0005-0000-0000-00000B640000}"/>
    <cellStyle name="SAPBEXexcGood1 4 2 4" xfId="26845" xr:uid="{00000000-0005-0000-0000-0000C4610000}"/>
    <cellStyle name="SAPBEXexcGood1 4 3" xfId="25698" xr:uid="{00000000-0005-0000-0000-0000B2610000}"/>
    <cellStyle name="SAPBEXexcGood1 4 3 2" xfId="27853" xr:uid="{00000000-0005-0000-0000-0000C5610000}"/>
    <cellStyle name="SAPBEXexcGood1 4 3 3" xfId="28077" xr:uid="{00000000-0005-0000-0000-00000C640000}"/>
    <cellStyle name="SAPBEXexcGood1 4 3 4" xfId="27026" xr:uid="{00000000-0005-0000-0000-0000C5610000}"/>
    <cellStyle name="SAPBEXexcGood1 4 4" xfId="27387" xr:uid="{00000000-0005-0000-0000-0000C3610000}"/>
    <cellStyle name="SAPBEXexcGood1 4 5" xfId="28075" xr:uid="{00000000-0005-0000-0000-00000A640000}"/>
    <cellStyle name="SAPBEXexcGood1 4 6" xfId="26144" xr:uid="{00000000-0005-0000-0000-0000C3610000}"/>
    <cellStyle name="SAPBEXexcGood1 5" xfId="25831" xr:uid="{00000000-0005-0000-0000-0000BD610000}"/>
    <cellStyle name="SAPBEXexcGood1 6" xfId="28069" xr:uid="{00000000-0005-0000-0000-000004640000}"/>
    <cellStyle name="SAPBEXexcGood1 7" xfId="26898" xr:uid="{00000000-0005-0000-0000-0000BD610000}"/>
    <cellStyle name="SAPBEXexcGood2" xfId="86" xr:uid="{00000000-0005-0000-0000-0000B3610000}"/>
    <cellStyle name="SAPBEXexcGood2 2" xfId="13634" xr:uid="{00000000-0005-0000-0000-0000B4610000}"/>
    <cellStyle name="SAPBEXexcGood2 2 2" xfId="25472" xr:uid="{00000000-0005-0000-0000-0000B5610000}"/>
    <cellStyle name="SAPBEXexcGood2 2 2 2" xfId="27627" xr:uid="{00000000-0005-0000-0000-0000C8610000}"/>
    <cellStyle name="SAPBEXexcGood2 2 2 3" xfId="28080" xr:uid="{00000000-0005-0000-0000-00000F640000}"/>
    <cellStyle name="SAPBEXexcGood2 2 2 4" xfId="26165" xr:uid="{00000000-0005-0000-0000-0000C8610000}"/>
    <cellStyle name="SAPBEXexcGood2 2 3" xfId="26578" xr:uid="{00000000-0005-0000-0000-0000C7610000}"/>
    <cellStyle name="SAPBEXexcGood2 2 4" xfId="28079" xr:uid="{00000000-0005-0000-0000-00000E640000}"/>
    <cellStyle name="SAPBEXexcGood2 2 5" xfId="27300" xr:uid="{00000000-0005-0000-0000-0000C7610000}"/>
    <cellStyle name="SAPBEXexcGood2 3" xfId="24675" xr:uid="{00000000-0005-0000-0000-0000B6610000}"/>
    <cellStyle name="SAPBEXexcGood2 3 2" xfId="25349" xr:uid="{00000000-0005-0000-0000-0000B7610000}"/>
    <cellStyle name="SAPBEXexcGood2 3 2 2" xfId="27505" xr:uid="{00000000-0005-0000-0000-0000CA610000}"/>
    <cellStyle name="SAPBEXexcGood2 3 2 3" xfId="28082" xr:uid="{00000000-0005-0000-0000-000011640000}"/>
    <cellStyle name="SAPBEXexcGood2 3 2 4" xfId="26540" xr:uid="{00000000-0005-0000-0000-0000CA610000}"/>
    <cellStyle name="SAPBEXexcGood2 3 3" xfId="25638" xr:uid="{00000000-0005-0000-0000-0000B8610000}"/>
    <cellStyle name="SAPBEXexcGood2 3 3 2" xfId="27793" xr:uid="{00000000-0005-0000-0000-0000CB610000}"/>
    <cellStyle name="SAPBEXexcGood2 3 3 3" xfId="28083" xr:uid="{00000000-0005-0000-0000-000012640000}"/>
    <cellStyle name="SAPBEXexcGood2 3 3 4" xfId="26776" xr:uid="{00000000-0005-0000-0000-0000CB610000}"/>
    <cellStyle name="SAPBEXexcGood2 3 4" xfId="27267" xr:uid="{00000000-0005-0000-0000-0000C9610000}"/>
    <cellStyle name="SAPBEXexcGood2 3 5" xfId="28081" xr:uid="{00000000-0005-0000-0000-000010640000}"/>
    <cellStyle name="SAPBEXexcGood2 3 6" xfId="26116" xr:uid="{00000000-0005-0000-0000-0000C9610000}"/>
    <cellStyle name="SAPBEXexcGood2 4" xfId="25101" xr:uid="{00000000-0005-0000-0000-0000B9610000}"/>
    <cellStyle name="SAPBEXexcGood2 4 2" xfId="25389" xr:uid="{00000000-0005-0000-0000-0000BA610000}"/>
    <cellStyle name="SAPBEXexcGood2 4 2 2" xfId="27545" xr:uid="{00000000-0005-0000-0000-0000CD610000}"/>
    <cellStyle name="SAPBEXexcGood2 4 2 3" xfId="28085" xr:uid="{00000000-0005-0000-0000-000014640000}"/>
    <cellStyle name="SAPBEXexcGood2 4 2 4" xfId="26703" xr:uid="{00000000-0005-0000-0000-0000CD610000}"/>
    <cellStyle name="SAPBEXexcGood2 4 3" xfId="25699" xr:uid="{00000000-0005-0000-0000-0000BB610000}"/>
    <cellStyle name="SAPBEXexcGood2 4 3 2" xfId="27854" xr:uid="{00000000-0005-0000-0000-0000CE610000}"/>
    <cellStyle name="SAPBEXexcGood2 4 3 3" xfId="28086" xr:uid="{00000000-0005-0000-0000-000015640000}"/>
    <cellStyle name="SAPBEXexcGood2 4 3 4" xfId="26424" xr:uid="{00000000-0005-0000-0000-0000CE610000}"/>
    <cellStyle name="SAPBEXexcGood2 4 4" xfId="27388" xr:uid="{00000000-0005-0000-0000-0000CC610000}"/>
    <cellStyle name="SAPBEXexcGood2 4 5" xfId="28084" xr:uid="{00000000-0005-0000-0000-000013640000}"/>
    <cellStyle name="SAPBEXexcGood2 4 6" xfId="26427" xr:uid="{00000000-0005-0000-0000-0000CC610000}"/>
    <cellStyle name="SAPBEXexcGood2 5" xfId="25832" xr:uid="{00000000-0005-0000-0000-0000C6610000}"/>
    <cellStyle name="SAPBEXexcGood2 6" xfId="28078" xr:uid="{00000000-0005-0000-0000-00000D640000}"/>
    <cellStyle name="SAPBEXexcGood2 7" xfId="26836" xr:uid="{00000000-0005-0000-0000-0000C6610000}"/>
    <cellStyle name="SAPBEXexcGood3" xfId="87" xr:uid="{00000000-0005-0000-0000-0000BC610000}"/>
    <cellStyle name="SAPBEXexcGood3 2" xfId="13635" xr:uid="{00000000-0005-0000-0000-0000BD610000}"/>
    <cellStyle name="SAPBEXexcGood3 2 2" xfId="25473" xr:uid="{00000000-0005-0000-0000-0000BE610000}"/>
    <cellStyle name="SAPBEXexcGood3 2 2 2" xfId="27628" xr:uid="{00000000-0005-0000-0000-0000D1610000}"/>
    <cellStyle name="SAPBEXexcGood3 2 2 3" xfId="28089" xr:uid="{00000000-0005-0000-0000-000018640000}"/>
    <cellStyle name="SAPBEXexcGood3 2 2 4" xfId="26323" xr:uid="{00000000-0005-0000-0000-0000D1610000}"/>
    <cellStyle name="SAPBEXexcGood3 2 3" xfId="26579" xr:uid="{00000000-0005-0000-0000-0000D0610000}"/>
    <cellStyle name="SAPBEXexcGood3 2 4" xfId="28088" xr:uid="{00000000-0005-0000-0000-000017640000}"/>
    <cellStyle name="SAPBEXexcGood3 2 5" xfId="26920" xr:uid="{00000000-0005-0000-0000-0000D0610000}"/>
    <cellStyle name="SAPBEXexcGood3 3" xfId="24674" xr:uid="{00000000-0005-0000-0000-0000BF610000}"/>
    <cellStyle name="SAPBEXexcGood3 3 2" xfId="25433" xr:uid="{00000000-0005-0000-0000-0000C0610000}"/>
    <cellStyle name="SAPBEXexcGood3 3 2 2" xfId="27589" xr:uid="{00000000-0005-0000-0000-0000D3610000}"/>
    <cellStyle name="SAPBEXexcGood3 3 2 3" xfId="28091" xr:uid="{00000000-0005-0000-0000-00001A640000}"/>
    <cellStyle name="SAPBEXexcGood3 3 2 4" xfId="26854" xr:uid="{00000000-0005-0000-0000-0000D3610000}"/>
    <cellStyle name="SAPBEXexcGood3 3 3" xfId="25637" xr:uid="{00000000-0005-0000-0000-0000C1610000}"/>
    <cellStyle name="SAPBEXexcGood3 3 3 2" xfId="27792" xr:uid="{00000000-0005-0000-0000-0000D4610000}"/>
    <cellStyle name="SAPBEXexcGood3 3 3 3" xfId="28092" xr:uid="{00000000-0005-0000-0000-00001B640000}"/>
    <cellStyle name="SAPBEXexcGood3 3 3 4" xfId="26124" xr:uid="{00000000-0005-0000-0000-0000D4610000}"/>
    <cellStyle name="SAPBEXexcGood3 3 4" xfId="27266" xr:uid="{00000000-0005-0000-0000-0000D2610000}"/>
    <cellStyle name="SAPBEXexcGood3 3 5" xfId="28090" xr:uid="{00000000-0005-0000-0000-000019640000}"/>
    <cellStyle name="SAPBEXexcGood3 3 6" xfId="26499" xr:uid="{00000000-0005-0000-0000-0000D2610000}"/>
    <cellStyle name="SAPBEXexcGood3 4" xfId="25102" xr:uid="{00000000-0005-0000-0000-0000C2610000}"/>
    <cellStyle name="SAPBEXexcGood3 4 2" xfId="25403" xr:uid="{00000000-0005-0000-0000-0000C3610000}"/>
    <cellStyle name="SAPBEXexcGood3 4 2 2" xfId="27559" xr:uid="{00000000-0005-0000-0000-0000D6610000}"/>
    <cellStyle name="SAPBEXexcGood3 4 2 3" xfId="28094" xr:uid="{00000000-0005-0000-0000-00001D640000}"/>
    <cellStyle name="SAPBEXexcGood3 4 2 4" xfId="26431" xr:uid="{00000000-0005-0000-0000-0000D6610000}"/>
    <cellStyle name="SAPBEXexcGood3 4 3" xfId="25700" xr:uid="{00000000-0005-0000-0000-0000C4610000}"/>
    <cellStyle name="SAPBEXexcGood3 4 3 2" xfId="27855" xr:uid="{00000000-0005-0000-0000-0000D7610000}"/>
    <cellStyle name="SAPBEXexcGood3 4 3 3" xfId="28095" xr:uid="{00000000-0005-0000-0000-00001E640000}"/>
    <cellStyle name="SAPBEXexcGood3 4 3 4" xfId="27055" xr:uid="{00000000-0005-0000-0000-0000D7610000}"/>
    <cellStyle name="SAPBEXexcGood3 4 4" xfId="27389" xr:uid="{00000000-0005-0000-0000-0000D5610000}"/>
    <cellStyle name="SAPBEXexcGood3 4 5" xfId="28093" xr:uid="{00000000-0005-0000-0000-00001C640000}"/>
    <cellStyle name="SAPBEXexcGood3 4 6" xfId="26368" xr:uid="{00000000-0005-0000-0000-0000D5610000}"/>
    <cellStyle name="SAPBEXexcGood3 5" xfId="25833" xr:uid="{00000000-0005-0000-0000-0000CF610000}"/>
    <cellStyle name="SAPBEXexcGood3 6" xfId="28087" xr:uid="{00000000-0005-0000-0000-000016640000}"/>
    <cellStyle name="SAPBEXexcGood3 7" xfId="28549" xr:uid="{00000000-0005-0000-0000-0000CF610000}"/>
    <cellStyle name="SAPBEXfilterDrill" xfId="88" xr:uid="{00000000-0005-0000-0000-0000C5610000}"/>
    <cellStyle name="SAPBEXfilterDrill 2" xfId="25834" xr:uid="{00000000-0005-0000-0000-0000D8610000}"/>
    <cellStyle name="SAPBEXfilterItem" xfId="89" xr:uid="{00000000-0005-0000-0000-0000C6610000}"/>
    <cellStyle name="SAPBEXfilterItem 2" xfId="90" xr:uid="{00000000-0005-0000-0000-0000C7610000}"/>
    <cellStyle name="SAPBEXfilterItem 3" xfId="231" xr:uid="{00000000-0005-0000-0000-0000C8610000}"/>
    <cellStyle name="SAPBEXfilterItem 4" xfId="232" xr:uid="{00000000-0005-0000-0000-0000C9610000}"/>
    <cellStyle name="SAPBEXfilterItem 5" xfId="233" xr:uid="{00000000-0005-0000-0000-0000CA610000}"/>
    <cellStyle name="SAPBEXfilterItem 6" xfId="234" xr:uid="{00000000-0005-0000-0000-0000CB610000}"/>
    <cellStyle name="SAPBEXfilterItem 7" xfId="235" xr:uid="{00000000-0005-0000-0000-0000CC610000}"/>
    <cellStyle name="SAPBEXfilterItem 8" xfId="412" xr:uid="{00000000-0005-0000-0000-0000CD610000}"/>
    <cellStyle name="SAPBEXfilterItem_Copy of xSAPtemp5457" xfId="236" xr:uid="{00000000-0005-0000-0000-0000CE610000}"/>
    <cellStyle name="SAPBEXfilterText" xfId="91" xr:uid="{00000000-0005-0000-0000-0000CF610000}"/>
    <cellStyle name="SAPBEXfilterText 2" xfId="92" xr:uid="{00000000-0005-0000-0000-0000D0610000}"/>
    <cellStyle name="SAPBEXfilterText 2 2" xfId="24246" xr:uid="{00000000-0005-0000-0000-0000D1610000}"/>
    <cellStyle name="SAPBEXfilterText 3" xfId="93" xr:uid="{00000000-0005-0000-0000-0000D2610000}"/>
    <cellStyle name="SAPBEXfilterText 3 2" xfId="24247" xr:uid="{00000000-0005-0000-0000-0000D3610000}"/>
    <cellStyle name="SAPBEXfilterText 4" xfId="237" xr:uid="{00000000-0005-0000-0000-0000D4610000}"/>
    <cellStyle name="SAPBEXfilterText 5" xfId="238" xr:uid="{00000000-0005-0000-0000-0000D5610000}"/>
    <cellStyle name="SAPBEXformats" xfId="94" xr:uid="{00000000-0005-0000-0000-0000D6610000}"/>
    <cellStyle name="SAPBEXformats 2" xfId="13636" xr:uid="{00000000-0005-0000-0000-0000D7610000}"/>
    <cellStyle name="SAPBEXformats 2 2" xfId="25474" xr:uid="{00000000-0005-0000-0000-0000D8610000}"/>
    <cellStyle name="SAPBEXformats 2 2 2" xfId="27629" xr:uid="{00000000-0005-0000-0000-0000EB610000}"/>
    <cellStyle name="SAPBEXformats 2 2 3" xfId="28098" xr:uid="{00000000-0005-0000-0000-000032640000}"/>
    <cellStyle name="SAPBEXformats 2 2 4" xfId="27432" xr:uid="{00000000-0005-0000-0000-0000EB610000}"/>
    <cellStyle name="SAPBEXformats 2 3" xfId="26580" xr:uid="{00000000-0005-0000-0000-0000EA610000}"/>
    <cellStyle name="SAPBEXformats 2 4" xfId="28097" xr:uid="{00000000-0005-0000-0000-000031640000}"/>
    <cellStyle name="SAPBEXformats 2 5" xfId="29187" xr:uid="{00000000-0005-0000-0000-0000EA610000}"/>
    <cellStyle name="SAPBEXformats 3" xfId="24673" xr:uid="{00000000-0005-0000-0000-0000D9610000}"/>
    <cellStyle name="SAPBEXformats 3 2" xfId="25332" xr:uid="{00000000-0005-0000-0000-0000DA610000}"/>
    <cellStyle name="SAPBEXformats 3 2 2" xfId="27488" xr:uid="{00000000-0005-0000-0000-0000ED610000}"/>
    <cellStyle name="SAPBEXformats 3 2 3" xfId="28100" xr:uid="{00000000-0005-0000-0000-000034640000}"/>
    <cellStyle name="SAPBEXformats 3 2 4" xfId="26889" xr:uid="{00000000-0005-0000-0000-0000ED610000}"/>
    <cellStyle name="SAPBEXformats 3 3" xfId="25636" xr:uid="{00000000-0005-0000-0000-0000DB610000}"/>
    <cellStyle name="SAPBEXformats 3 3 2" xfId="27791" xr:uid="{00000000-0005-0000-0000-0000EE610000}"/>
    <cellStyle name="SAPBEXformats 3 3 3" xfId="28101" xr:uid="{00000000-0005-0000-0000-000035640000}"/>
    <cellStyle name="SAPBEXformats 3 3 4" xfId="26880" xr:uid="{00000000-0005-0000-0000-0000EE610000}"/>
    <cellStyle name="SAPBEXformats 3 4" xfId="27265" xr:uid="{00000000-0005-0000-0000-0000EC610000}"/>
    <cellStyle name="SAPBEXformats 3 5" xfId="28099" xr:uid="{00000000-0005-0000-0000-000033640000}"/>
    <cellStyle name="SAPBEXformats 3 6" xfId="26794" xr:uid="{00000000-0005-0000-0000-0000EC610000}"/>
    <cellStyle name="SAPBEXformats 4" xfId="25103" xr:uid="{00000000-0005-0000-0000-0000DC610000}"/>
    <cellStyle name="SAPBEXformats 4 2" xfId="25314" xr:uid="{00000000-0005-0000-0000-0000DD610000}"/>
    <cellStyle name="SAPBEXformats 4 2 2" xfId="27470" xr:uid="{00000000-0005-0000-0000-0000F0610000}"/>
    <cellStyle name="SAPBEXformats 4 2 3" xfId="28103" xr:uid="{00000000-0005-0000-0000-000037640000}"/>
    <cellStyle name="SAPBEXformats 4 2 4" xfId="26090" xr:uid="{00000000-0005-0000-0000-0000F0610000}"/>
    <cellStyle name="SAPBEXformats 4 3" xfId="25701" xr:uid="{00000000-0005-0000-0000-0000DE610000}"/>
    <cellStyle name="SAPBEXformats 4 3 2" xfId="27856" xr:uid="{00000000-0005-0000-0000-0000F1610000}"/>
    <cellStyle name="SAPBEXformats 4 3 3" xfId="28104" xr:uid="{00000000-0005-0000-0000-000038640000}"/>
    <cellStyle name="SAPBEXformats 4 3 4" xfId="26701" xr:uid="{00000000-0005-0000-0000-0000F1610000}"/>
    <cellStyle name="SAPBEXformats 4 4" xfId="27390" xr:uid="{00000000-0005-0000-0000-0000EF610000}"/>
    <cellStyle name="SAPBEXformats 4 5" xfId="28102" xr:uid="{00000000-0005-0000-0000-000036640000}"/>
    <cellStyle name="SAPBEXformats 4 6" xfId="26780" xr:uid="{00000000-0005-0000-0000-0000EF610000}"/>
    <cellStyle name="SAPBEXformats 5" xfId="25835" xr:uid="{00000000-0005-0000-0000-0000E9610000}"/>
    <cellStyle name="SAPBEXformats 6" xfId="28096" xr:uid="{00000000-0005-0000-0000-000030640000}"/>
    <cellStyle name="SAPBEXformats 7" xfId="26971" xr:uid="{00000000-0005-0000-0000-0000E9610000}"/>
    <cellStyle name="SAPBEXheaderItem" xfId="95" xr:uid="{00000000-0005-0000-0000-0000DF610000}"/>
    <cellStyle name="SAPBEXheaderItem 2" xfId="96" xr:uid="{00000000-0005-0000-0000-0000E0610000}"/>
    <cellStyle name="SAPBEXheaderItem 2 2" xfId="24249" xr:uid="{00000000-0005-0000-0000-0000E1610000}"/>
    <cellStyle name="SAPBEXheaderItem 3" xfId="97" xr:uid="{00000000-0005-0000-0000-0000E2610000}"/>
    <cellStyle name="SAPBEXheaderItem 3 2" xfId="98" xr:uid="{00000000-0005-0000-0000-0000E3610000}"/>
    <cellStyle name="SAPBEXheaderItem 3 3" xfId="24250" xr:uid="{00000000-0005-0000-0000-0000E4610000}"/>
    <cellStyle name="SAPBEXheaderItem 4" xfId="239" xr:uid="{00000000-0005-0000-0000-0000E5610000}"/>
    <cellStyle name="SAPBEXheaderItem 5" xfId="240" xr:uid="{00000000-0005-0000-0000-0000E6610000}"/>
    <cellStyle name="SAPBEXheaderItem 6" xfId="241" xr:uid="{00000000-0005-0000-0000-0000E7610000}"/>
    <cellStyle name="SAPBEXheaderItem 7" xfId="242" xr:uid="{00000000-0005-0000-0000-0000E8610000}"/>
    <cellStyle name="SAPBEXheaderItem 8" xfId="243" xr:uid="{00000000-0005-0000-0000-0000E9610000}"/>
    <cellStyle name="SAPBEXheaderItem 9" xfId="413" xr:uid="{00000000-0005-0000-0000-0000EA610000}"/>
    <cellStyle name="SAPBEXheaderItem_Copy of xSAPtemp5457" xfId="244" xr:uid="{00000000-0005-0000-0000-0000EB610000}"/>
    <cellStyle name="SAPBEXheaderText" xfId="99" xr:uid="{00000000-0005-0000-0000-0000EC610000}"/>
    <cellStyle name="SAPBEXheaderText 2" xfId="100" xr:uid="{00000000-0005-0000-0000-0000ED610000}"/>
    <cellStyle name="SAPBEXheaderText 2 2" xfId="24251" xr:uid="{00000000-0005-0000-0000-0000EE610000}"/>
    <cellStyle name="SAPBEXheaderText 3" xfId="101" xr:uid="{00000000-0005-0000-0000-0000EF610000}"/>
    <cellStyle name="SAPBEXheaderText 3 2" xfId="24252" xr:uid="{00000000-0005-0000-0000-0000F0610000}"/>
    <cellStyle name="SAPBEXheaderText 4" xfId="102" xr:uid="{00000000-0005-0000-0000-0000F1610000}"/>
    <cellStyle name="SAPBEXheaderText 5" xfId="245" xr:uid="{00000000-0005-0000-0000-0000F2610000}"/>
    <cellStyle name="SAPBEXheaderText 6" xfId="246" xr:uid="{00000000-0005-0000-0000-0000F3610000}"/>
    <cellStyle name="SAPBEXheaderText 7" xfId="247" xr:uid="{00000000-0005-0000-0000-0000F4610000}"/>
    <cellStyle name="SAPBEXheaderText 8" xfId="248" xr:uid="{00000000-0005-0000-0000-0000F5610000}"/>
    <cellStyle name="SAPBEXheaderText 9" xfId="414" xr:uid="{00000000-0005-0000-0000-0000F6610000}"/>
    <cellStyle name="SAPBEXheaderText_Copy of xSAPtemp5457" xfId="249" xr:uid="{00000000-0005-0000-0000-0000F7610000}"/>
    <cellStyle name="SAPBEXHLevel0" xfId="103" xr:uid="{00000000-0005-0000-0000-0000F8610000}"/>
    <cellStyle name="SAPBEXHLevel0 10" xfId="28105" xr:uid="{00000000-0005-0000-0000-000052640000}"/>
    <cellStyle name="SAPBEXHLevel0 11" xfId="26999" xr:uid="{00000000-0005-0000-0000-00000B620000}"/>
    <cellStyle name="SAPBEXHLevel0 2" xfId="104" xr:uid="{00000000-0005-0000-0000-0000F9610000}"/>
    <cellStyle name="SAPBEXHLevel0 2 2" xfId="13638" xr:uid="{00000000-0005-0000-0000-0000FA610000}"/>
    <cellStyle name="SAPBEXHLevel0 2 2 2" xfId="25476" xr:uid="{00000000-0005-0000-0000-0000FB610000}"/>
    <cellStyle name="SAPBEXHLevel0 2 2 2 2" xfId="27631" xr:uid="{00000000-0005-0000-0000-00000E620000}"/>
    <cellStyle name="SAPBEXHLevel0 2 2 2 3" xfId="28108" xr:uid="{00000000-0005-0000-0000-000055640000}"/>
    <cellStyle name="SAPBEXHLevel0 2 2 2 4" xfId="26842" xr:uid="{00000000-0005-0000-0000-00000E620000}"/>
    <cellStyle name="SAPBEXHLevel0 2 2 3" xfId="26582" xr:uid="{00000000-0005-0000-0000-00000D620000}"/>
    <cellStyle name="SAPBEXHLevel0 2 2 4" xfId="28107" xr:uid="{00000000-0005-0000-0000-000054640000}"/>
    <cellStyle name="SAPBEXHLevel0 2 2 5" xfId="26373" xr:uid="{00000000-0005-0000-0000-00000D620000}"/>
    <cellStyle name="SAPBEXHLevel0 2 3" xfId="24253" xr:uid="{00000000-0005-0000-0000-0000FC610000}"/>
    <cellStyle name="SAPBEXHLevel0 2 3 2" xfId="25575" xr:uid="{00000000-0005-0000-0000-0000FD610000}"/>
    <cellStyle name="SAPBEXHLevel0 2 3 2 2" xfId="27730" xr:uid="{00000000-0005-0000-0000-000010620000}"/>
    <cellStyle name="SAPBEXHLevel0 2 3 2 3" xfId="28110" xr:uid="{00000000-0005-0000-0000-000057640000}"/>
    <cellStyle name="SAPBEXHLevel0 2 3 2 4" xfId="27012" xr:uid="{00000000-0005-0000-0000-000010620000}"/>
    <cellStyle name="SAPBEXHLevel0 2 3 3" xfId="27110" xr:uid="{00000000-0005-0000-0000-00000F620000}"/>
    <cellStyle name="SAPBEXHLevel0 2 3 4" xfId="28109" xr:uid="{00000000-0005-0000-0000-000056640000}"/>
    <cellStyle name="SAPBEXHLevel0 2 3 5" xfId="26931" xr:uid="{00000000-0005-0000-0000-00000F620000}"/>
    <cellStyle name="SAPBEXHLevel0 2 4" xfId="24668" xr:uid="{00000000-0005-0000-0000-0000FE610000}"/>
    <cellStyle name="SAPBEXHLevel0 2 4 2" xfId="25357" xr:uid="{00000000-0005-0000-0000-0000FF610000}"/>
    <cellStyle name="SAPBEXHLevel0 2 4 2 2" xfId="27513" xr:uid="{00000000-0005-0000-0000-000012620000}"/>
    <cellStyle name="SAPBEXHLevel0 2 4 2 3" xfId="28112" xr:uid="{00000000-0005-0000-0000-000059640000}"/>
    <cellStyle name="SAPBEXHLevel0 2 4 2 4" xfId="26534" xr:uid="{00000000-0005-0000-0000-000012620000}"/>
    <cellStyle name="SAPBEXHLevel0 2 4 3" xfId="25634" xr:uid="{00000000-0005-0000-0000-000000620000}"/>
    <cellStyle name="SAPBEXHLevel0 2 4 3 2" xfId="27789" xr:uid="{00000000-0005-0000-0000-000013620000}"/>
    <cellStyle name="SAPBEXHLevel0 2 4 3 3" xfId="28113" xr:uid="{00000000-0005-0000-0000-00005A640000}"/>
    <cellStyle name="SAPBEXHLevel0 2 4 3 4" xfId="27003" xr:uid="{00000000-0005-0000-0000-000013620000}"/>
    <cellStyle name="SAPBEXHLevel0 2 4 4" xfId="27263" xr:uid="{00000000-0005-0000-0000-000011620000}"/>
    <cellStyle name="SAPBEXHLevel0 2 4 5" xfId="28111" xr:uid="{00000000-0005-0000-0000-000058640000}"/>
    <cellStyle name="SAPBEXHLevel0 2 4 6" xfId="26146" xr:uid="{00000000-0005-0000-0000-000011620000}"/>
    <cellStyle name="SAPBEXHLevel0 2 5" xfId="25105" xr:uid="{00000000-0005-0000-0000-000001620000}"/>
    <cellStyle name="SAPBEXHLevel0 2 5 2" xfId="25328" xr:uid="{00000000-0005-0000-0000-000002620000}"/>
    <cellStyle name="SAPBEXHLevel0 2 5 2 2" xfId="27484" xr:uid="{00000000-0005-0000-0000-000015620000}"/>
    <cellStyle name="SAPBEXHLevel0 2 5 2 3" xfId="28115" xr:uid="{00000000-0005-0000-0000-00005C640000}"/>
    <cellStyle name="SAPBEXHLevel0 2 5 2 4" xfId="26080" xr:uid="{00000000-0005-0000-0000-000015620000}"/>
    <cellStyle name="SAPBEXHLevel0 2 5 3" xfId="25703" xr:uid="{00000000-0005-0000-0000-000003620000}"/>
    <cellStyle name="SAPBEXHLevel0 2 5 3 2" xfId="27858" xr:uid="{00000000-0005-0000-0000-000016620000}"/>
    <cellStyle name="SAPBEXHLevel0 2 5 3 3" xfId="28116" xr:uid="{00000000-0005-0000-0000-00005D640000}"/>
    <cellStyle name="SAPBEXHLevel0 2 5 3 4" xfId="26982" xr:uid="{00000000-0005-0000-0000-000016620000}"/>
    <cellStyle name="SAPBEXHLevel0 2 5 4" xfId="27392" xr:uid="{00000000-0005-0000-0000-000014620000}"/>
    <cellStyle name="SAPBEXHLevel0 2 5 5" xfId="28114" xr:uid="{00000000-0005-0000-0000-00005B640000}"/>
    <cellStyle name="SAPBEXHLevel0 2 5 6" xfId="26228" xr:uid="{00000000-0005-0000-0000-000014620000}"/>
    <cellStyle name="SAPBEXHLevel0 2 6" xfId="25837" xr:uid="{00000000-0005-0000-0000-00000C620000}"/>
    <cellStyle name="SAPBEXHLevel0 2 7" xfId="28106" xr:uid="{00000000-0005-0000-0000-000053640000}"/>
    <cellStyle name="SAPBEXHLevel0 2 8" xfId="26492" xr:uid="{00000000-0005-0000-0000-00000C620000}"/>
    <cellStyle name="SAPBEXHLevel0 3" xfId="105" xr:uid="{00000000-0005-0000-0000-000004620000}"/>
    <cellStyle name="SAPBEXHLevel0 3 2" xfId="13639" xr:uid="{00000000-0005-0000-0000-000005620000}"/>
    <cellStyle name="SAPBEXHLevel0 3 2 2" xfId="25477" xr:uid="{00000000-0005-0000-0000-000006620000}"/>
    <cellStyle name="SAPBEXHLevel0 3 2 2 2" xfId="27632" xr:uid="{00000000-0005-0000-0000-000019620000}"/>
    <cellStyle name="SAPBEXHLevel0 3 2 2 3" xfId="28119" xr:uid="{00000000-0005-0000-0000-000060640000}"/>
    <cellStyle name="SAPBEXHLevel0 3 2 2 4" xfId="26203" xr:uid="{00000000-0005-0000-0000-000019620000}"/>
    <cellStyle name="SAPBEXHLevel0 3 2 3" xfId="26583" xr:uid="{00000000-0005-0000-0000-000018620000}"/>
    <cellStyle name="SAPBEXHLevel0 3 2 4" xfId="28118" xr:uid="{00000000-0005-0000-0000-00005F640000}"/>
    <cellStyle name="SAPBEXHLevel0 3 2 5" xfId="26087" xr:uid="{00000000-0005-0000-0000-000018620000}"/>
    <cellStyle name="SAPBEXHLevel0 3 3" xfId="24254" xr:uid="{00000000-0005-0000-0000-000007620000}"/>
    <cellStyle name="SAPBEXHLevel0 3 3 2" xfId="25576" xr:uid="{00000000-0005-0000-0000-000008620000}"/>
    <cellStyle name="SAPBEXHLevel0 3 3 2 2" xfId="27731" xr:uid="{00000000-0005-0000-0000-00001B620000}"/>
    <cellStyle name="SAPBEXHLevel0 3 3 2 3" xfId="28121" xr:uid="{00000000-0005-0000-0000-000062640000}"/>
    <cellStyle name="SAPBEXHLevel0 3 3 2 4" xfId="26443" xr:uid="{00000000-0005-0000-0000-00001B620000}"/>
    <cellStyle name="SAPBEXHLevel0 3 3 3" xfId="27111" xr:uid="{00000000-0005-0000-0000-00001A620000}"/>
    <cellStyle name="SAPBEXHLevel0 3 3 4" xfId="28120" xr:uid="{00000000-0005-0000-0000-000061640000}"/>
    <cellStyle name="SAPBEXHLevel0 3 3 5" xfId="26531" xr:uid="{00000000-0005-0000-0000-00001A620000}"/>
    <cellStyle name="SAPBEXHLevel0 3 4" xfId="24667" xr:uid="{00000000-0005-0000-0000-000009620000}"/>
    <cellStyle name="SAPBEXHLevel0 3 4 2" xfId="25441" xr:uid="{00000000-0005-0000-0000-00000A620000}"/>
    <cellStyle name="SAPBEXHLevel0 3 4 2 2" xfId="27597" xr:uid="{00000000-0005-0000-0000-00001D620000}"/>
    <cellStyle name="SAPBEXHLevel0 3 4 2 3" xfId="28123" xr:uid="{00000000-0005-0000-0000-000064640000}"/>
    <cellStyle name="SAPBEXHLevel0 3 4 2 4" xfId="26847" xr:uid="{00000000-0005-0000-0000-00001D620000}"/>
    <cellStyle name="SAPBEXHLevel0 3 4 3" xfId="25633" xr:uid="{00000000-0005-0000-0000-00000B620000}"/>
    <cellStyle name="SAPBEXHLevel0 3 4 3 2" xfId="27788" xr:uid="{00000000-0005-0000-0000-00001E620000}"/>
    <cellStyle name="SAPBEXHLevel0 3 4 3 3" xfId="28124" xr:uid="{00000000-0005-0000-0000-000065640000}"/>
    <cellStyle name="SAPBEXHLevel0 3 4 3 4" xfId="26404" xr:uid="{00000000-0005-0000-0000-00001E620000}"/>
    <cellStyle name="SAPBEXHLevel0 3 4 4" xfId="27262" xr:uid="{00000000-0005-0000-0000-00001C620000}"/>
    <cellStyle name="SAPBEXHLevel0 3 4 5" xfId="28122" xr:uid="{00000000-0005-0000-0000-000063640000}"/>
    <cellStyle name="SAPBEXHLevel0 3 4 6" xfId="26735" xr:uid="{00000000-0005-0000-0000-00001C620000}"/>
    <cellStyle name="SAPBEXHLevel0 3 5" xfId="25106" xr:uid="{00000000-0005-0000-0000-00000C620000}"/>
    <cellStyle name="SAPBEXHLevel0 3 5 2" xfId="25429" xr:uid="{00000000-0005-0000-0000-00000D620000}"/>
    <cellStyle name="SAPBEXHLevel0 3 5 2 2" xfId="27585" xr:uid="{00000000-0005-0000-0000-000020620000}"/>
    <cellStyle name="SAPBEXHLevel0 3 5 2 3" xfId="28126" xr:uid="{00000000-0005-0000-0000-000067640000}"/>
    <cellStyle name="SAPBEXHLevel0 3 5 2 4" xfId="27011" xr:uid="{00000000-0005-0000-0000-000020620000}"/>
    <cellStyle name="SAPBEXHLevel0 3 5 3" xfId="25704" xr:uid="{00000000-0005-0000-0000-00000E620000}"/>
    <cellStyle name="SAPBEXHLevel0 3 5 3 2" xfId="27859" xr:uid="{00000000-0005-0000-0000-000021620000}"/>
    <cellStyle name="SAPBEXHLevel0 3 5 3 3" xfId="28127" xr:uid="{00000000-0005-0000-0000-000068640000}"/>
    <cellStyle name="SAPBEXHLevel0 3 5 3 4" xfId="27023" xr:uid="{00000000-0005-0000-0000-000021620000}"/>
    <cellStyle name="SAPBEXHLevel0 3 5 4" xfId="27393" xr:uid="{00000000-0005-0000-0000-00001F620000}"/>
    <cellStyle name="SAPBEXHLevel0 3 5 5" xfId="28125" xr:uid="{00000000-0005-0000-0000-000066640000}"/>
    <cellStyle name="SAPBEXHLevel0 3 5 6" xfId="27007" xr:uid="{00000000-0005-0000-0000-00001F620000}"/>
    <cellStyle name="SAPBEXHLevel0 3 6" xfId="25838" xr:uid="{00000000-0005-0000-0000-000017620000}"/>
    <cellStyle name="SAPBEXHLevel0 3 7" xfId="28117" xr:uid="{00000000-0005-0000-0000-00005E640000}"/>
    <cellStyle name="SAPBEXHLevel0 3 8" xfId="26206" xr:uid="{00000000-0005-0000-0000-000017620000}"/>
    <cellStyle name="SAPBEXHLevel0 4" xfId="106" xr:uid="{00000000-0005-0000-0000-00000F620000}"/>
    <cellStyle name="SAPBEXHLevel0 4 2" xfId="13640" xr:uid="{00000000-0005-0000-0000-000010620000}"/>
    <cellStyle name="SAPBEXHLevel0 4 2 2" xfId="25478" xr:uid="{00000000-0005-0000-0000-000011620000}"/>
    <cellStyle name="SAPBEXHLevel0 4 2 2 2" xfId="27633" xr:uid="{00000000-0005-0000-0000-000024620000}"/>
    <cellStyle name="SAPBEXHLevel0 4 2 2 3" xfId="28130" xr:uid="{00000000-0005-0000-0000-00006B640000}"/>
    <cellStyle name="SAPBEXHLevel0 4 2 2 4" xfId="26707" xr:uid="{00000000-0005-0000-0000-000024620000}"/>
    <cellStyle name="SAPBEXHLevel0 4 2 3" xfId="26584" xr:uid="{00000000-0005-0000-0000-000023620000}"/>
    <cellStyle name="SAPBEXHLevel0 4 2 4" xfId="28129" xr:uid="{00000000-0005-0000-0000-00006A640000}"/>
    <cellStyle name="SAPBEXHLevel0 4 2 5" xfId="26549" xr:uid="{00000000-0005-0000-0000-000023620000}"/>
    <cellStyle name="SAPBEXHLevel0 4 3" xfId="25839" xr:uid="{00000000-0005-0000-0000-000022620000}"/>
    <cellStyle name="SAPBEXHLevel0 4 4" xfId="28128" xr:uid="{00000000-0005-0000-0000-000069640000}"/>
    <cellStyle name="SAPBEXHLevel0 4 5" xfId="26063" xr:uid="{00000000-0005-0000-0000-000022620000}"/>
    <cellStyle name="SAPBEXHLevel0 5" xfId="250" xr:uid="{00000000-0005-0000-0000-000012620000}"/>
    <cellStyle name="SAPBEXHLevel0 5 2" xfId="13715" xr:uid="{00000000-0005-0000-0000-000013620000}"/>
    <cellStyle name="SAPBEXHLevel0 5 2 2" xfId="25528" xr:uid="{00000000-0005-0000-0000-000014620000}"/>
    <cellStyle name="SAPBEXHLevel0 5 2 2 2" xfId="27683" xr:uid="{00000000-0005-0000-0000-000027620000}"/>
    <cellStyle name="SAPBEXHLevel0 5 2 2 3" xfId="28133" xr:uid="{00000000-0005-0000-0000-00006E640000}"/>
    <cellStyle name="SAPBEXHLevel0 5 2 2 4" xfId="26791" xr:uid="{00000000-0005-0000-0000-000027620000}"/>
    <cellStyle name="SAPBEXHLevel0 5 2 3" xfId="26637" xr:uid="{00000000-0005-0000-0000-000026620000}"/>
    <cellStyle name="SAPBEXHLevel0 5 2 4" xfId="28132" xr:uid="{00000000-0005-0000-0000-00006D640000}"/>
    <cellStyle name="SAPBEXHLevel0 5 2 5" xfId="26400" xr:uid="{00000000-0005-0000-0000-000026620000}"/>
    <cellStyle name="SAPBEXHLevel0 5 3" xfId="25920" xr:uid="{00000000-0005-0000-0000-000025620000}"/>
    <cellStyle name="SAPBEXHLevel0 5 4" xfId="28131" xr:uid="{00000000-0005-0000-0000-00006C640000}"/>
    <cellStyle name="SAPBEXHLevel0 5 5" xfId="29192" xr:uid="{00000000-0005-0000-0000-000025620000}"/>
    <cellStyle name="SAPBEXHLevel0 6" xfId="13637" xr:uid="{00000000-0005-0000-0000-000015620000}"/>
    <cellStyle name="SAPBEXHLevel0 6 2" xfId="25475" xr:uid="{00000000-0005-0000-0000-000016620000}"/>
    <cellStyle name="SAPBEXHLevel0 6 2 2" xfId="27630" xr:uid="{00000000-0005-0000-0000-000029620000}"/>
    <cellStyle name="SAPBEXHLevel0 6 2 3" xfId="28135" xr:uid="{00000000-0005-0000-0000-000070640000}"/>
    <cellStyle name="SAPBEXHLevel0 6 2 4" xfId="26921" xr:uid="{00000000-0005-0000-0000-000029620000}"/>
    <cellStyle name="SAPBEXHLevel0 6 3" xfId="26581" xr:uid="{00000000-0005-0000-0000-000028620000}"/>
    <cellStyle name="SAPBEXHLevel0 6 4" xfId="28134" xr:uid="{00000000-0005-0000-0000-00006F640000}"/>
    <cellStyle name="SAPBEXHLevel0 6 5" xfId="27146" xr:uid="{00000000-0005-0000-0000-000028620000}"/>
    <cellStyle name="SAPBEXHLevel0 7" xfId="24669" xr:uid="{00000000-0005-0000-0000-000017620000}"/>
    <cellStyle name="SAPBEXHLevel0 7 2" xfId="25391" xr:uid="{00000000-0005-0000-0000-000018620000}"/>
    <cellStyle name="SAPBEXHLevel0 7 2 2" xfId="27547" xr:uid="{00000000-0005-0000-0000-00002B620000}"/>
    <cellStyle name="SAPBEXHLevel0 7 2 3" xfId="28137" xr:uid="{00000000-0005-0000-0000-000072640000}"/>
    <cellStyle name="SAPBEXHLevel0 7 2 4" xfId="26782" xr:uid="{00000000-0005-0000-0000-00002B620000}"/>
    <cellStyle name="SAPBEXHLevel0 7 3" xfId="25635" xr:uid="{00000000-0005-0000-0000-000019620000}"/>
    <cellStyle name="SAPBEXHLevel0 7 3 2" xfId="27790" xr:uid="{00000000-0005-0000-0000-00002C620000}"/>
    <cellStyle name="SAPBEXHLevel0 7 3 3" xfId="28138" xr:uid="{00000000-0005-0000-0000-000073640000}"/>
    <cellStyle name="SAPBEXHLevel0 7 3 4" xfId="26367" xr:uid="{00000000-0005-0000-0000-00002C620000}"/>
    <cellStyle name="SAPBEXHLevel0 7 4" xfId="27264" xr:uid="{00000000-0005-0000-0000-00002A620000}"/>
    <cellStyle name="SAPBEXHLevel0 7 5" xfId="28136" xr:uid="{00000000-0005-0000-0000-000071640000}"/>
    <cellStyle name="SAPBEXHLevel0 7 6" xfId="27014" xr:uid="{00000000-0005-0000-0000-00002A620000}"/>
    <cellStyle name="SAPBEXHLevel0 8" xfId="25104" xr:uid="{00000000-0005-0000-0000-00001A620000}"/>
    <cellStyle name="SAPBEXHLevel0 8 2" xfId="25415" xr:uid="{00000000-0005-0000-0000-00001B620000}"/>
    <cellStyle name="SAPBEXHLevel0 8 2 2" xfId="27571" xr:uid="{00000000-0005-0000-0000-00002E620000}"/>
    <cellStyle name="SAPBEXHLevel0 8 2 3" xfId="28140" xr:uid="{00000000-0005-0000-0000-000075640000}"/>
    <cellStyle name="SAPBEXHLevel0 8 2 4" xfId="26082" xr:uid="{00000000-0005-0000-0000-00002E620000}"/>
    <cellStyle name="SAPBEXHLevel0 8 3" xfId="25702" xr:uid="{00000000-0005-0000-0000-00001C620000}"/>
    <cellStyle name="SAPBEXHLevel0 8 3 2" xfId="27857" xr:uid="{00000000-0005-0000-0000-00002F620000}"/>
    <cellStyle name="SAPBEXHLevel0 8 3 3" xfId="28141" xr:uid="{00000000-0005-0000-0000-000076640000}"/>
    <cellStyle name="SAPBEXHLevel0 8 3 4" xfId="26551" xr:uid="{00000000-0005-0000-0000-00002F620000}"/>
    <cellStyle name="SAPBEXHLevel0 8 4" xfId="27391" xr:uid="{00000000-0005-0000-0000-00002D620000}"/>
    <cellStyle name="SAPBEXHLevel0 8 5" xfId="28139" xr:uid="{00000000-0005-0000-0000-000074640000}"/>
    <cellStyle name="SAPBEXHLevel0 8 6" xfId="26297" xr:uid="{00000000-0005-0000-0000-00002D620000}"/>
    <cellStyle name="SAPBEXHLevel0 9" xfId="25836" xr:uid="{00000000-0005-0000-0000-00000B620000}"/>
    <cellStyle name="SAPBEXHLevel0X" xfId="107" xr:uid="{00000000-0005-0000-0000-00001D620000}"/>
    <cellStyle name="SAPBEXHLevel0X 10" xfId="28142" xr:uid="{00000000-0005-0000-0000-000077640000}"/>
    <cellStyle name="SAPBEXHLevel0X 11" xfId="26527" xr:uid="{00000000-0005-0000-0000-000030620000}"/>
    <cellStyle name="SAPBEXHLevel0X 2" xfId="108" xr:uid="{00000000-0005-0000-0000-00001E620000}"/>
    <cellStyle name="SAPBEXHLevel0X 2 2" xfId="13642" xr:uid="{00000000-0005-0000-0000-00001F620000}"/>
    <cellStyle name="SAPBEXHLevel0X 2 2 2" xfId="25480" xr:uid="{00000000-0005-0000-0000-000020620000}"/>
    <cellStyle name="SAPBEXHLevel0X 2 2 2 2" xfId="27635" xr:uid="{00000000-0005-0000-0000-000033620000}"/>
    <cellStyle name="SAPBEXHLevel0X 2 2 2 3" xfId="28145" xr:uid="{00000000-0005-0000-0000-00007A640000}"/>
    <cellStyle name="SAPBEXHLevel0X 2 2 2 4" xfId="26545" xr:uid="{00000000-0005-0000-0000-000033620000}"/>
    <cellStyle name="SAPBEXHLevel0X 2 2 3" xfId="26586" xr:uid="{00000000-0005-0000-0000-000032620000}"/>
    <cellStyle name="SAPBEXHLevel0X 2 2 4" xfId="28144" xr:uid="{00000000-0005-0000-0000-000079640000}"/>
    <cellStyle name="SAPBEXHLevel0X 2 2 5" xfId="26123" xr:uid="{00000000-0005-0000-0000-000032620000}"/>
    <cellStyle name="SAPBEXHLevel0X 2 3" xfId="24255" xr:uid="{00000000-0005-0000-0000-000021620000}"/>
    <cellStyle name="SAPBEXHLevel0X 2 3 2" xfId="25577" xr:uid="{00000000-0005-0000-0000-000022620000}"/>
    <cellStyle name="SAPBEXHLevel0X 2 3 2 2" xfId="27732" xr:uid="{00000000-0005-0000-0000-000035620000}"/>
    <cellStyle name="SAPBEXHLevel0X 2 3 2 3" xfId="28147" xr:uid="{00000000-0005-0000-0000-00007C640000}"/>
    <cellStyle name="SAPBEXHLevel0X 2 3 2 4" xfId="26779" xr:uid="{00000000-0005-0000-0000-000035620000}"/>
    <cellStyle name="SAPBEXHLevel0X 2 3 3" xfId="27112" xr:uid="{00000000-0005-0000-0000-000034620000}"/>
    <cellStyle name="SAPBEXHLevel0X 2 3 4" xfId="28146" xr:uid="{00000000-0005-0000-0000-00007B640000}"/>
    <cellStyle name="SAPBEXHLevel0X 2 3 5" xfId="26895" xr:uid="{00000000-0005-0000-0000-000034620000}"/>
    <cellStyle name="SAPBEXHLevel0X 2 4" xfId="24665" xr:uid="{00000000-0005-0000-0000-000023620000}"/>
    <cellStyle name="SAPBEXHLevel0X 2 4 2" xfId="25424" xr:uid="{00000000-0005-0000-0000-000024620000}"/>
    <cellStyle name="SAPBEXHLevel0X 2 4 2 2" xfId="27580" xr:uid="{00000000-0005-0000-0000-000037620000}"/>
    <cellStyle name="SAPBEXHLevel0X 2 4 2 3" xfId="28149" xr:uid="{00000000-0005-0000-0000-00007E640000}"/>
    <cellStyle name="SAPBEXHLevel0X 2 4 2 4" xfId="27018" xr:uid="{00000000-0005-0000-0000-000037620000}"/>
    <cellStyle name="SAPBEXHLevel0X 2 4 3" xfId="25631" xr:uid="{00000000-0005-0000-0000-000025620000}"/>
    <cellStyle name="SAPBEXHLevel0X 2 4 3 2" xfId="27786" xr:uid="{00000000-0005-0000-0000-000038620000}"/>
    <cellStyle name="SAPBEXHLevel0X 2 4 3 3" xfId="28150" xr:uid="{00000000-0005-0000-0000-00007F640000}"/>
    <cellStyle name="SAPBEXHLevel0X 2 4 3 4" xfId="26984" xr:uid="{00000000-0005-0000-0000-000038620000}"/>
    <cellStyle name="SAPBEXHLevel0X 2 4 4" xfId="27260" xr:uid="{00000000-0005-0000-0000-000036620000}"/>
    <cellStyle name="SAPBEXHLevel0X 2 4 5" xfId="28148" xr:uid="{00000000-0005-0000-0000-00007D640000}"/>
    <cellStyle name="SAPBEXHLevel0X 2 4 6" xfId="26419" xr:uid="{00000000-0005-0000-0000-000036620000}"/>
    <cellStyle name="SAPBEXHLevel0X 2 5" xfId="25108" xr:uid="{00000000-0005-0000-0000-000026620000}"/>
    <cellStyle name="SAPBEXHLevel0X 2 5 2" xfId="25446" xr:uid="{00000000-0005-0000-0000-000027620000}"/>
    <cellStyle name="SAPBEXHLevel0X 2 5 2 2" xfId="27602" xr:uid="{00000000-0005-0000-0000-00003A620000}"/>
    <cellStyle name="SAPBEXHLevel0X 2 5 2 3" xfId="28152" xr:uid="{00000000-0005-0000-0000-000081640000}"/>
    <cellStyle name="SAPBEXHLevel0X 2 5 2 4" xfId="26334" xr:uid="{00000000-0005-0000-0000-00003A620000}"/>
    <cellStyle name="SAPBEXHLevel0X 2 5 3" xfId="25706" xr:uid="{00000000-0005-0000-0000-000028620000}"/>
    <cellStyle name="SAPBEXHLevel0X 2 5 3 2" xfId="27861" xr:uid="{00000000-0005-0000-0000-00003B620000}"/>
    <cellStyle name="SAPBEXHLevel0X 2 5 3 3" xfId="28153" xr:uid="{00000000-0005-0000-0000-000082640000}"/>
    <cellStyle name="SAPBEXHLevel0X 2 5 3 4" xfId="26243" xr:uid="{00000000-0005-0000-0000-00003B620000}"/>
    <cellStyle name="SAPBEXHLevel0X 2 5 4" xfId="27395" xr:uid="{00000000-0005-0000-0000-000039620000}"/>
    <cellStyle name="SAPBEXHLevel0X 2 5 5" xfId="28151" xr:uid="{00000000-0005-0000-0000-000080640000}"/>
    <cellStyle name="SAPBEXHLevel0X 2 5 6" xfId="26773" xr:uid="{00000000-0005-0000-0000-000039620000}"/>
    <cellStyle name="SAPBEXHLevel0X 2 6" xfId="25841" xr:uid="{00000000-0005-0000-0000-000031620000}"/>
    <cellStyle name="SAPBEXHLevel0X 2 7" xfId="28143" xr:uid="{00000000-0005-0000-0000-000078640000}"/>
    <cellStyle name="SAPBEXHLevel0X 2 8" xfId="26198" xr:uid="{00000000-0005-0000-0000-000031620000}"/>
    <cellStyle name="SAPBEXHLevel0X 3" xfId="109" xr:uid="{00000000-0005-0000-0000-000029620000}"/>
    <cellStyle name="SAPBEXHLevel0X 3 2" xfId="13643" xr:uid="{00000000-0005-0000-0000-00002A620000}"/>
    <cellStyle name="SAPBEXHLevel0X 3 2 2" xfId="25481" xr:uid="{00000000-0005-0000-0000-00002B620000}"/>
    <cellStyle name="SAPBEXHLevel0X 3 2 2 2" xfId="27636" xr:uid="{00000000-0005-0000-0000-00003E620000}"/>
    <cellStyle name="SAPBEXHLevel0X 3 2 2 3" xfId="28156" xr:uid="{00000000-0005-0000-0000-000085640000}"/>
    <cellStyle name="SAPBEXHLevel0X 3 2 2 4" xfId="26730" xr:uid="{00000000-0005-0000-0000-00003E620000}"/>
    <cellStyle name="SAPBEXHLevel0X 3 2 3" xfId="26587" xr:uid="{00000000-0005-0000-0000-00003D620000}"/>
    <cellStyle name="SAPBEXHLevel0X 3 2 4" xfId="28155" xr:uid="{00000000-0005-0000-0000-000084640000}"/>
    <cellStyle name="SAPBEXHLevel0X 3 2 5" xfId="26914" xr:uid="{00000000-0005-0000-0000-00003D620000}"/>
    <cellStyle name="SAPBEXHLevel0X 3 3" xfId="24256" xr:uid="{00000000-0005-0000-0000-00002C620000}"/>
    <cellStyle name="SAPBEXHLevel0X 3 3 2" xfId="25578" xr:uid="{00000000-0005-0000-0000-00002D620000}"/>
    <cellStyle name="SAPBEXHLevel0X 3 3 2 2" xfId="27733" xr:uid="{00000000-0005-0000-0000-000040620000}"/>
    <cellStyle name="SAPBEXHLevel0X 3 3 2 3" xfId="28158" xr:uid="{00000000-0005-0000-0000-000087640000}"/>
    <cellStyle name="SAPBEXHLevel0X 3 3 2 4" xfId="26822" xr:uid="{00000000-0005-0000-0000-000040620000}"/>
    <cellStyle name="SAPBEXHLevel0X 3 3 3" xfId="27113" xr:uid="{00000000-0005-0000-0000-00003F620000}"/>
    <cellStyle name="SAPBEXHLevel0X 3 3 4" xfId="28157" xr:uid="{00000000-0005-0000-0000-000086640000}"/>
    <cellStyle name="SAPBEXHLevel0X 3 3 5" xfId="26286" xr:uid="{00000000-0005-0000-0000-00003F620000}"/>
    <cellStyle name="SAPBEXHLevel0X 3 4" xfId="24664" xr:uid="{00000000-0005-0000-0000-00002E620000}"/>
    <cellStyle name="SAPBEXHLevel0X 3 4 2" xfId="25323" xr:uid="{00000000-0005-0000-0000-00002F620000}"/>
    <cellStyle name="SAPBEXHLevel0X 3 4 2 2" xfId="27479" xr:uid="{00000000-0005-0000-0000-000042620000}"/>
    <cellStyle name="SAPBEXHLevel0X 3 4 2 3" xfId="28160" xr:uid="{00000000-0005-0000-0000-000089640000}"/>
    <cellStyle name="SAPBEXHLevel0X 3 4 2 4" xfId="26110" xr:uid="{00000000-0005-0000-0000-000042620000}"/>
    <cellStyle name="SAPBEXHLevel0X 3 4 3" xfId="25630" xr:uid="{00000000-0005-0000-0000-000030620000}"/>
    <cellStyle name="SAPBEXHLevel0X 3 4 3 2" xfId="27785" xr:uid="{00000000-0005-0000-0000-000043620000}"/>
    <cellStyle name="SAPBEXHLevel0X 3 4 3 3" xfId="28161" xr:uid="{00000000-0005-0000-0000-00008A640000}"/>
    <cellStyle name="SAPBEXHLevel0X 3 4 3 4" xfId="26235" xr:uid="{00000000-0005-0000-0000-000043620000}"/>
    <cellStyle name="SAPBEXHLevel0X 3 4 4" xfId="27259" xr:uid="{00000000-0005-0000-0000-000041620000}"/>
    <cellStyle name="SAPBEXHLevel0X 3 4 5" xfId="28159" xr:uid="{00000000-0005-0000-0000-000088640000}"/>
    <cellStyle name="SAPBEXHLevel0X 3 4 6" xfId="26863" xr:uid="{00000000-0005-0000-0000-000041620000}"/>
    <cellStyle name="SAPBEXHLevel0X 3 5" xfId="25109" xr:uid="{00000000-0005-0000-0000-000031620000}"/>
    <cellStyle name="SAPBEXHLevel0X 3 5 2" xfId="25360" xr:uid="{00000000-0005-0000-0000-000032620000}"/>
    <cellStyle name="SAPBEXHLevel0X 3 5 2 2" xfId="27516" xr:uid="{00000000-0005-0000-0000-000045620000}"/>
    <cellStyle name="SAPBEXHLevel0X 3 5 2 3" xfId="28163" xr:uid="{00000000-0005-0000-0000-00008C640000}"/>
    <cellStyle name="SAPBEXHLevel0X 3 5 2 4" xfId="26935" xr:uid="{00000000-0005-0000-0000-000045620000}"/>
    <cellStyle name="SAPBEXHLevel0X 3 5 3" xfId="25707" xr:uid="{00000000-0005-0000-0000-000033620000}"/>
    <cellStyle name="SAPBEXHLevel0X 3 5 3 2" xfId="27862" xr:uid="{00000000-0005-0000-0000-000046620000}"/>
    <cellStyle name="SAPBEXHLevel0X 3 5 3 3" xfId="28164" xr:uid="{00000000-0005-0000-0000-00008D640000}"/>
    <cellStyle name="SAPBEXHLevel0X 3 5 3 4" xfId="26092" xr:uid="{00000000-0005-0000-0000-000046620000}"/>
    <cellStyle name="SAPBEXHLevel0X 3 5 4" xfId="27396" xr:uid="{00000000-0005-0000-0000-000044620000}"/>
    <cellStyle name="SAPBEXHLevel0X 3 5 5" xfId="28162" xr:uid="{00000000-0005-0000-0000-00008B640000}"/>
    <cellStyle name="SAPBEXHLevel0X 3 5 6" xfId="26176" xr:uid="{00000000-0005-0000-0000-000044620000}"/>
    <cellStyle name="SAPBEXHLevel0X 3 6" xfId="25842" xr:uid="{00000000-0005-0000-0000-00003C620000}"/>
    <cellStyle name="SAPBEXHLevel0X 3 7" xfId="28154" xr:uid="{00000000-0005-0000-0000-000083640000}"/>
    <cellStyle name="SAPBEXHLevel0X 3 8" xfId="26693" xr:uid="{00000000-0005-0000-0000-00003C620000}"/>
    <cellStyle name="SAPBEXHLevel0X 4" xfId="110" xr:uid="{00000000-0005-0000-0000-000034620000}"/>
    <cellStyle name="SAPBEXHLevel0X 4 2" xfId="13644" xr:uid="{00000000-0005-0000-0000-000035620000}"/>
    <cellStyle name="SAPBEXHLevel0X 4 2 2" xfId="25482" xr:uid="{00000000-0005-0000-0000-000036620000}"/>
    <cellStyle name="SAPBEXHLevel0X 4 2 2 2" xfId="27637" xr:uid="{00000000-0005-0000-0000-000049620000}"/>
    <cellStyle name="SAPBEXHLevel0X 4 2 2 3" xfId="28167" xr:uid="{00000000-0005-0000-0000-000090640000}"/>
    <cellStyle name="SAPBEXHLevel0X 4 2 2 4" xfId="26406" xr:uid="{00000000-0005-0000-0000-000049620000}"/>
    <cellStyle name="SAPBEXHLevel0X 4 2 3" xfId="26588" xr:uid="{00000000-0005-0000-0000-000048620000}"/>
    <cellStyle name="SAPBEXHLevel0X 4 2 4" xfId="28166" xr:uid="{00000000-0005-0000-0000-00008F640000}"/>
    <cellStyle name="SAPBEXHLevel0X 4 2 5" xfId="26517" xr:uid="{00000000-0005-0000-0000-000048620000}"/>
    <cellStyle name="SAPBEXHLevel0X 4 3" xfId="25843" xr:uid="{00000000-0005-0000-0000-000047620000}"/>
    <cellStyle name="SAPBEXHLevel0X 4 4" xfId="28165" xr:uid="{00000000-0005-0000-0000-00008E640000}"/>
    <cellStyle name="SAPBEXHLevel0X 4 5" xfId="26763" xr:uid="{00000000-0005-0000-0000-000047620000}"/>
    <cellStyle name="SAPBEXHLevel0X 5" xfId="251" xr:uid="{00000000-0005-0000-0000-000037620000}"/>
    <cellStyle name="SAPBEXHLevel0X 5 2" xfId="13716" xr:uid="{00000000-0005-0000-0000-000038620000}"/>
    <cellStyle name="SAPBEXHLevel0X 5 2 2" xfId="25529" xr:uid="{00000000-0005-0000-0000-000039620000}"/>
    <cellStyle name="SAPBEXHLevel0X 5 2 2 2" xfId="27684" xr:uid="{00000000-0005-0000-0000-00004C620000}"/>
    <cellStyle name="SAPBEXHLevel0X 5 2 2 3" xfId="28170" xr:uid="{00000000-0005-0000-0000-000093640000}"/>
    <cellStyle name="SAPBEXHLevel0X 5 2 2 4" xfId="26281" xr:uid="{00000000-0005-0000-0000-00004C620000}"/>
    <cellStyle name="SAPBEXHLevel0X 5 2 3" xfId="26638" xr:uid="{00000000-0005-0000-0000-00004B620000}"/>
    <cellStyle name="SAPBEXHLevel0X 5 2 4" xfId="28169" xr:uid="{00000000-0005-0000-0000-000092640000}"/>
    <cellStyle name="SAPBEXHLevel0X 5 2 5" xfId="26476" xr:uid="{00000000-0005-0000-0000-00004B620000}"/>
    <cellStyle name="SAPBEXHLevel0X 5 3" xfId="25921" xr:uid="{00000000-0005-0000-0000-00004A620000}"/>
    <cellStyle name="SAPBEXHLevel0X 5 4" xfId="28168" xr:uid="{00000000-0005-0000-0000-000091640000}"/>
    <cellStyle name="SAPBEXHLevel0X 5 5" xfId="27102" xr:uid="{00000000-0005-0000-0000-00004A620000}"/>
    <cellStyle name="SAPBEXHLevel0X 6" xfId="13641" xr:uid="{00000000-0005-0000-0000-00003A620000}"/>
    <cellStyle name="SAPBEXHLevel0X 6 2" xfId="25479" xr:uid="{00000000-0005-0000-0000-00003B620000}"/>
    <cellStyle name="SAPBEXHLevel0X 6 2 2" xfId="27634" xr:uid="{00000000-0005-0000-0000-00004E620000}"/>
    <cellStyle name="SAPBEXHLevel0X 6 2 3" xfId="28172" xr:uid="{00000000-0005-0000-0000-000095640000}"/>
    <cellStyle name="SAPBEXHLevel0X 6 2 4" xfId="26083" xr:uid="{00000000-0005-0000-0000-00004E620000}"/>
    <cellStyle name="SAPBEXHLevel0X 6 3" xfId="26585" xr:uid="{00000000-0005-0000-0000-00004D620000}"/>
    <cellStyle name="SAPBEXHLevel0X 6 4" xfId="28171" xr:uid="{00000000-0005-0000-0000-000094640000}"/>
    <cellStyle name="SAPBEXHLevel0X 6 5" xfId="26071" xr:uid="{00000000-0005-0000-0000-00004D620000}"/>
    <cellStyle name="SAPBEXHLevel0X 7" xfId="24666" xr:uid="{00000000-0005-0000-0000-00003C620000}"/>
    <cellStyle name="SAPBEXHLevel0X 7 2" xfId="25340" xr:uid="{00000000-0005-0000-0000-00003D620000}"/>
    <cellStyle name="SAPBEXHLevel0X 7 2 2" xfId="27496" xr:uid="{00000000-0005-0000-0000-000050620000}"/>
    <cellStyle name="SAPBEXHLevel0X 7 2 3" xfId="28174" xr:uid="{00000000-0005-0000-0000-000097640000}"/>
    <cellStyle name="SAPBEXHLevel0X 7 2 4" xfId="26886" xr:uid="{00000000-0005-0000-0000-000050620000}"/>
    <cellStyle name="SAPBEXHLevel0X 7 3" xfId="25632" xr:uid="{00000000-0005-0000-0000-00003E620000}"/>
    <cellStyle name="SAPBEXHLevel0X 7 3 2" xfId="27787" xr:uid="{00000000-0005-0000-0000-000051620000}"/>
    <cellStyle name="SAPBEXHLevel0X 7 3 3" xfId="28175" xr:uid="{00000000-0005-0000-0000-000098640000}"/>
    <cellStyle name="SAPBEXHLevel0X 7 3 4" xfId="26927" xr:uid="{00000000-0005-0000-0000-000051620000}"/>
    <cellStyle name="SAPBEXHLevel0X 7 4" xfId="27261" xr:uid="{00000000-0005-0000-0000-00004F620000}"/>
    <cellStyle name="SAPBEXHLevel0X 7 5" xfId="28173" xr:uid="{00000000-0005-0000-0000-000096640000}"/>
    <cellStyle name="SAPBEXHLevel0X 7 6" xfId="26829" xr:uid="{00000000-0005-0000-0000-00004F620000}"/>
    <cellStyle name="SAPBEXHLevel0X 8" xfId="25107" xr:uid="{00000000-0005-0000-0000-00003F620000}"/>
    <cellStyle name="SAPBEXHLevel0X 8 2" xfId="25345" xr:uid="{00000000-0005-0000-0000-000040620000}"/>
    <cellStyle name="SAPBEXHLevel0X 8 2 2" xfId="27501" xr:uid="{00000000-0005-0000-0000-000053620000}"/>
    <cellStyle name="SAPBEXHLevel0X 8 2 3" xfId="28177" xr:uid="{00000000-0005-0000-0000-00009A640000}"/>
    <cellStyle name="SAPBEXHLevel0X 8 2 4" xfId="26882" xr:uid="{00000000-0005-0000-0000-000053620000}"/>
    <cellStyle name="SAPBEXHLevel0X 8 3" xfId="25705" xr:uid="{00000000-0005-0000-0000-000041620000}"/>
    <cellStyle name="SAPBEXHLevel0X 8 3 2" xfId="27860" xr:uid="{00000000-0005-0000-0000-000054620000}"/>
    <cellStyle name="SAPBEXHLevel0X 8 3 3" xfId="28178" xr:uid="{00000000-0005-0000-0000-00009B640000}"/>
    <cellStyle name="SAPBEXHLevel0X 8 3 4" xfId="26266" xr:uid="{00000000-0005-0000-0000-000054620000}"/>
    <cellStyle name="SAPBEXHLevel0X 8 4" xfId="27394" xr:uid="{00000000-0005-0000-0000-000052620000}"/>
    <cellStyle name="SAPBEXHLevel0X 8 5" xfId="28176" xr:uid="{00000000-0005-0000-0000-000099640000}"/>
    <cellStyle name="SAPBEXHLevel0X 8 6" xfId="26113" xr:uid="{00000000-0005-0000-0000-000052620000}"/>
    <cellStyle name="SAPBEXHLevel0X 9" xfId="25840" xr:uid="{00000000-0005-0000-0000-000030620000}"/>
    <cellStyle name="SAPBEXHLevel1" xfId="111" xr:uid="{00000000-0005-0000-0000-000042620000}"/>
    <cellStyle name="SAPBEXHLevel1 10" xfId="28179" xr:uid="{00000000-0005-0000-0000-00009C640000}"/>
    <cellStyle name="SAPBEXHLevel1 11" xfId="26239" xr:uid="{00000000-0005-0000-0000-000055620000}"/>
    <cellStyle name="SAPBEXHLevel1 2" xfId="112" xr:uid="{00000000-0005-0000-0000-000043620000}"/>
    <cellStyle name="SAPBEXHLevel1 2 2" xfId="13646" xr:uid="{00000000-0005-0000-0000-000044620000}"/>
    <cellStyle name="SAPBEXHLevel1 2 2 2" xfId="25484" xr:uid="{00000000-0005-0000-0000-000045620000}"/>
    <cellStyle name="SAPBEXHLevel1 2 2 2 2" xfId="27639" xr:uid="{00000000-0005-0000-0000-000058620000}"/>
    <cellStyle name="SAPBEXHLevel1 2 2 2 3" xfId="28182" xr:uid="{00000000-0005-0000-0000-00009F640000}"/>
    <cellStyle name="SAPBEXHLevel1 2 2 2 4" xfId="26134" xr:uid="{00000000-0005-0000-0000-000058620000}"/>
    <cellStyle name="SAPBEXHLevel1 2 2 3" xfId="26590" xr:uid="{00000000-0005-0000-0000-000057620000}"/>
    <cellStyle name="SAPBEXHLevel1 2 2 4" xfId="28181" xr:uid="{00000000-0005-0000-0000-00009E640000}"/>
    <cellStyle name="SAPBEXHLevel1 2 2 5" xfId="26552" xr:uid="{00000000-0005-0000-0000-000057620000}"/>
    <cellStyle name="SAPBEXHLevel1 2 3" xfId="24257" xr:uid="{00000000-0005-0000-0000-000046620000}"/>
    <cellStyle name="SAPBEXHLevel1 2 3 2" xfId="25579" xr:uid="{00000000-0005-0000-0000-000047620000}"/>
    <cellStyle name="SAPBEXHLevel1 2 3 2 2" xfId="27734" xr:uid="{00000000-0005-0000-0000-00005A620000}"/>
    <cellStyle name="SAPBEXHLevel1 2 3 2 3" xfId="28184" xr:uid="{00000000-0005-0000-0000-0000A1640000}"/>
    <cellStyle name="SAPBEXHLevel1 2 3 2 4" xfId="26513" xr:uid="{00000000-0005-0000-0000-00005A620000}"/>
    <cellStyle name="SAPBEXHLevel1 2 3 3" xfId="27114" xr:uid="{00000000-0005-0000-0000-000059620000}"/>
    <cellStyle name="SAPBEXHLevel1 2 3 4" xfId="28183" xr:uid="{00000000-0005-0000-0000-0000A0640000}"/>
    <cellStyle name="SAPBEXHLevel1 2 3 5" xfId="26039" xr:uid="{00000000-0005-0000-0000-000059620000}"/>
    <cellStyle name="SAPBEXHLevel1 2 4" xfId="24662" xr:uid="{00000000-0005-0000-0000-000048620000}"/>
    <cellStyle name="SAPBEXHLevel1 2 4 2" xfId="25308" xr:uid="{00000000-0005-0000-0000-000049620000}"/>
    <cellStyle name="SAPBEXHLevel1 2 4 2 2" xfId="27464" xr:uid="{00000000-0005-0000-0000-00005C620000}"/>
    <cellStyle name="SAPBEXHLevel1 2 4 2 3" xfId="28186" xr:uid="{00000000-0005-0000-0000-0000A3640000}"/>
    <cellStyle name="SAPBEXHLevel1 2 4 2 4" xfId="27001" xr:uid="{00000000-0005-0000-0000-00005C620000}"/>
    <cellStyle name="SAPBEXHLevel1 2 4 3" xfId="25628" xr:uid="{00000000-0005-0000-0000-00004A620000}"/>
    <cellStyle name="SAPBEXHLevel1 2 4 3 2" xfId="27783" xr:uid="{00000000-0005-0000-0000-00005D620000}"/>
    <cellStyle name="SAPBEXHLevel1 2 4 3 3" xfId="28187" xr:uid="{00000000-0005-0000-0000-0000A4640000}"/>
    <cellStyle name="SAPBEXHLevel1 2 4 3 4" xfId="26887" xr:uid="{00000000-0005-0000-0000-00005D620000}"/>
    <cellStyle name="SAPBEXHLevel1 2 4 4" xfId="27257" xr:uid="{00000000-0005-0000-0000-00005B620000}"/>
    <cellStyle name="SAPBEXHLevel1 2 4 5" xfId="28185" xr:uid="{00000000-0005-0000-0000-0000A2640000}"/>
    <cellStyle name="SAPBEXHLevel1 2 4 6" xfId="26926" xr:uid="{00000000-0005-0000-0000-00005B620000}"/>
    <cellStyle name="SAPBEXHLevel1 2 5" xfId="25111" xr:uid="{00000000-0005-0000-0000-00004B620000}"/>
    <cellStyle name="SAPBEXHLevel1 2 5 2" xfId="25283" xr:uid="{00000000-0005-0000-0000-00004C620000}"/>
    <cellStyle name="SAPBEXHLevel1 2 5 2 2" xfId="27440" xr:uid="{00000000-0005-0000-0000-00005F620000}"/>
    <cellStyle name="SAPBEXHLevel1 2 5 2 3" xfId="28189" xr:uid="{00000000-0005-0000-0000-0000A6640000}"/>
    <cellStyle name="SAPBEXHLevel1 2 5 2 4" xfId="27362" xr:uid="{00000000-0005-0000-0000-00005F620000}"/>
    <cellStyle name="SAPBEXHLevel1 2 5 3" xfId="25709" xr:uid="{00000000-0005-0000-0000-00004D620000}"/>
    <cellStyle name="SAPBEXHLevel1 2 5 3 2" xfId="27864" xr:uid="{00000000-0005-0000-0000-000060620000}"/>
    <cellStyle name="SAPBEXHLevel1 2 5 3 3" xfId="28190" xr:uid="{00000000-0005-0000-0000-0000A7640000}"/>
    <cellStyle name="SAPBEXHLevel1 2 5 3 4" xfId="26154" xr:uid="{00000000-0005-0000-0000-000060620000}"/>
    <cellStyle name="SAPBEXHLevel1 2 5 4" xfId="27398" xr:uid="{00000000-0005-0000-0000-00005E620000}"/>
    <cellStyle name="SAPBEXHLevel1 2 5 5" xfId="28188" xr:uid="{00000000-0005-0000-0000-0000A5640000}"/>
    <cellStyle name="SAPBEXHLevel1 2 5 6" xfId="27364" xr:uid="{00000000-0005-0000-0000-00005E620000}"/>
    <cellStyle name="SAPBEXHLevel1 2 6" xfId="25845" xr:uid="{00000000-0005-0000-0000-000056620000}"/>
    <cellStyle name="SAPBEXHLevel1 2 7" xfId="28180" xr:uid="{00000000-0005-0000-0000-00009D640000}"/>
    <cellStyle name="SAPBEXHLevel1 2 8" xfId="26840" xr:uid="{00000000-0005-0000-0000-000056620000}"/>
    <cellStyle name="SAPBEXHLevel1 3" xfId="113" xr:uid="{00000000-0005-0000-0000-00004E620000}"/>
    <cellStyle name="SAPBEXHLevel1 3 2" xfId="13647" xr:uid="{00000000-0005-0000-0000-00004F620000}"/>
    <cellStyle name="SAPBEXHLevel1 3 2 2" xfId="25485" xr:uid="{00000000-0005-0000-0000-000050620000}"/>
    <cellStyle name="SAPBEXHLevel1 3 2 2 2" xfId="27640" xr:uid="{00000000-0005-0000-0000-000063620000}"/>
    <cellStyle name="SAPBEXHLevel1 3 2 2 3" xfId="28193" xr:uid="{00000000-0005-0000-0000-0000AA640000}"/>
    <cellStyle name="SAPBEXHLevel1 3 2 2 4" xfId="26883" xr:uid="{00000000-0005-0000-0000-000063620000}"/>
    <cellStyle name="SAPBEXHLevel1 3 2 3" xfId="26591" xr:uid="{00000000-0005-0000-0000-000062620000}"/>
    <cellStyle name="SAPBEXHLevel1 3 2 4" xfId="28192" xr:uid="{00000000-0005-0000-0000-0000A9640000}"/>
    <cellStyle name="SAPBEXHLevel1 3 2 5" xfId="26081" xr:uid="{00000000-0005-0000-0000-000062620000}"/>
    <cellStyle name="SAPBEXHLevel1 3 3" xfId="24258" xr:uid="{00000000-0005-0000-0000-000051620000}"/>
    <cellStyle name="SAPBEXHLevel1 3 3 2" xfId="25580" xr:uid="{00000000-0005-0000-0000-000052620000}"/>
    <cellStyle name="SAPBEXHLevel1 3 3 2 2" xfId="27735" xr:uid="{00000000-0005-0000-0000-000065620000}"/>
    <cellStyle name="SAPBEXHLevel1 3 3 2 3" xfId="28195" xr:uid="{00000000-0005-0000-0000-0000AC640000}"/>
    <cellStyle name="SAPBEXHLevel1 3 3 2 4" xfId="26497" xr:uid="{00000000-0005-0000-0000-000065620000}"/>
    <cellStyle name="SAPBEXHLevel1 3 3 3" xfId="27115" xr:uid="{00000000-0005-0000-0000-000064620000}"/>
    <cellStyle name="SAPBEXHLevel1 3 3 4" xfId="28194" xr:uid="{00000000-0005-0000-0000-0000AB640000}"/>
    <cellStyle name="SAPBEXHLevel1 3 3 5" xfId="26218" xr:uid="{00000000-0005-0000-0000-000064620000}"/>
    <cellStyle name="SAPBEXHLevel1 3 4" xfId="24661" xr:uid="{00000000-0005-0000-0000-000053620000}"/>
    <cellStyle name="SAPBEXHLevel1 3 4 2" xfId="25400" xr:uid="{00000000-0005-0000-0000-000054620000}"/>
    <cellStyle name="SAPBEXHLevel1 3 4 2 2" xfId="27556" xr:uid="{00000000-0005-0000-0000-000067620000}"/>
    <cellStyle name="SAPBEXHLevel1 3 4 2 3" xfId="28197" xr:uid="{00000000-0005-0000-0000-0000AE640000}"/>
    <cellStyle name="SAPBEXHLevel1 3 4 2 4" xfId="26137" xr:uid="{00000000-0005-0000-0000-000067620000}"/>
    <cellStyle name="SAPBEXHLevel1 3 4 3" xfId="25627" xr:uid="{00000000-0005-0000-0000-000055620000}"/>
    <cellStyle name="SAPBEXHLevel1 3 4 3 2" xfId="27782" xr:uid="{00000000-0005-0000-0000-000068620000}"/>
    <cellStyle name="SAPBEXHLevel1 3 4 3 3" xfId="28198" xr:uid="{00000000-0005-0000-0000-0000AF640000}"/>
    <cellStyle name="SAPBEXHLevel1 3 4 3 4" xfId="27085" xr:uid="{00000000-0005-0000-0000-000068620000}"/>
    <cellStyle name="SAPBEXHLevel1 3 4 4" xfId="27256" xr:uid="{00000000-0005-0000-0000-000066620000}"/>
    <cellStyle name="SAPBEXHLevel1 3 4 5" xfId="28196" xr:uid="{00000000-0005-0000-0000-0000AD640000}"/>
    <cellStyle name="SAPBEXHLevel1 3 4 6" xfId="26905" xr:uid="{00000000-0005-0000-0000-000066620000}"/>
    <cellStyle name="SAPBEXHLevel1 3 5" xfId="25112" xr:uid="{00000000-0005-0000-0000-000056620000}"/>
    <cellStyle name="SAPBEXHLevel1 3 5 2" xfId="25366" xr:uid="{00000000-0005-0000-0000-000057620000}"/>
    <cellStyle name="SAPBEXHLevel1 3 5 2 2" xfId="27522" xr:uid="{00000000-0005-0000-0000-00006A620000}"/>
    <cellStyle name="SAPBEXHLevel1 3 5 2 3" xfId="28200" xr:uid="{00000000-0005-0000-0000-0000B1640000}"/>
    <cellStyle name="SAPBEXHLevel1 3 5 2 4" xfId="26355" xr:uid="{00000000-0005-0000-0000-00006A620000}"/>
    <cellStyle name="SAPBEXHLevel1 3 5 3" xfId="25710" xr:uid="{00000000-0005-0000-0000-000058620000}"/>
    <cellStyle name="SAPBEXHLevel1 3 5 3 2" xfId="27865" xr:uid="{00000000-0005-0000-0000-00006B620000}"/>
    <cellStyle name="SAPBEXHLevel1 3 5 3 3" xfId="28201" xr:uid="{00000000-0005-0000-0000-0000B2640000}"/>
    <cellStyle name="SAPBEXHLevel1 3 5 3 4" xfId="26429" xr:uid="{00000000-0005-0000-0000-00006B620000}"/>
    <cellStyle name="SAPBEXHLevel1 3 5 4" xfId="27399" xr:uid="{00000000-0005-0000-0000-000069620000}"/>
    <cellStyle name="SAPBEXHLevel1 3 5 5" xfId="28199" xr:uid="{00000000-0005-0000-0000-0000B0640000}"/>
    <cellStyle name="SAPBEXHLevel1 3 5 6" xfId="26745" xr:uid="{00000000-0005-0000-0000-000069620000}"/>
    <cellStyle name="SAPBEXHLevel1 3 6" xfId="25846" xr:uid="{00000000-0005-0000-0000-000061620000}"/>
    <cellStyle name="SAPBEXHLevel1 3 7" xfId="28191" xr:uid="{00000000-0005-0000-0000-0000A8640000}"/>
    <cellStyle name="SAPBEXHLevel1 3 8" xfId="26313" xr:uid="{00000000-0005-0000-0000-000061620000}"/>
    <cellStyle name="SAPBEXHLevel1 4" xfId="114" xr:uid="{00000000-0005-0000-0000-000059620000}"/>
    <cellStyle name="SAPBEXHLevel1 4 2" xfId="13648" xr:uid="{00000000-0005-0000-0000-00005A620000}"/>
    <cellStyle name="SAPBEXHLevel1 4 2 2" xfId="25486" xr:uid="{00000000-0005-0000-0000-00005B620000}"/>
    <cellStyle name="SAPBEXHLevel1 4 2 2 2" xfId="27641" xr:uid="{00000000-0005-0000-0000-00006E620000}"/>
    <cellStyle name="SAPBEXHLevel1 4 2 2 3" xfId="28204" xr:uid="{00000000-0005-0000-0000-0000B5640000}"/>
    <cellStyle name="SAPBEXHLevel1 4 2 2 4" xfId="26302" xr:uid="{00000000-0005-0000-0000-00006E620000}"/>
    <cellStyle name="SAPBEXHLevel1 4 2 3" xfId="26592" xr:uid="{00000000-0005-0000-0000-00006D620000}"/>
    <cellStyle name="SAPBEXHLevel1 4 2 4" xfId="28203" xr:uid="{00000000-0005-0000-0000-0000B4640000}"/>
    <cellStyle name="SAPBEXHLevel1 4 2 5" xfId="26767" xr:uid="{00000000-0005-0000-0000-00006D620000}"/>
    <cellStyle name="SAPBEXHLevel1 4 3" xfId="25847" xr:uid="{00000000-0005-0000-0000-00006C620000}"/>
    <cellStyle name="SAPBEXHLevel1 4 4" xfId="28202" xr:uid="{00000000-0005-0000-0000-0000B3640000}"/>
    <cellStyle name="SAPBEXHLevel1 4 5" xfId="26907" xr:uid="{00000000-0005-0000-0000-00006C620000}"/>
    <cellStyle name="SAPBEXHLevel1 5" xfId="252" xr:uid="{00000000-0005-0000-0000-00005C620000}"/>
    <cellStyle name="SAPBEXHLevel1 5 2" xfId="13717" xr:uid="{00000000-0005-0000-0000-00005D620000}"/>
    <cellStyle name="SAPBEXHLevel1 5 2 2" xfId="25530" xr:uid="{00000000-0005-0000-0000-00005E620000}"/>
    <cellStyle name="SAPBEXHLevel1 5 2 2 2" xfId="27685" xr:uid="{00000000-0005-0000-0000-000071620000}"/>
    <cellStyle name="SAPBEXHLevel1 5 2 2 3" xfId="28207" xr:uid="{00000000-0005-0000-0000-0000B8640000}"/>
    <cellStyle name="SAPBEXHLevel1 5 2 2 4" xfId="26481" xr:uid="{00000000-0005-0000-0000-000071620000}"/>
    <cellStyle name="SAPBEXHLevel1 5 2 3" xfId="26639" xr:uid="{00000000-0005-0000-0000-000070620000}"/>
    <cellStyle name="SAPBEXHLevel1 5 2 4" xfId="28206" xr:uid="{00000000-0005-0000-0000-0000B7640000}"/>
    <cellStyle name="SAPBEXHLevel1 5 2 5" xfId="26892" xr:uid="{00000000-0005-0000-0000-000070620000}"/>
    <cellStyle name="SAPBEXHLevel1 5 3" xfId="25922" xr:uid="{00000000-0005-0000-0000-00006F620000}"/>
    <cellStyle name="SAPBEXHLevel1 5 4" xfId="28205" xr:uid="{00000000-0005-0000-0000-0000B6640000}"/>
    <cellStyle name="SAPBEXHLevel1 5 5" xfId="29220" xr:uid="{00000000-0005-0000-0000-00006F620000}"/>
    <cellStyle name="SAPBEXHLevel1 6" xfId="13645" xr:uid="{00000000-0005-0000-0000-00005F620000}"/>
    <cellStyle name="SAPBEXHLevel1 6 2" xfId="25483" xr:uid="{00000000-0005-0000-0000-000060620000}"/>
    <cellStyle name="SAPBEXHLevel1 6 2 2" xfId="27638" xr:uid="{00000000-0005-0000-0000-000073620000}"/>
    <cellStyle name="SAPBEXHLevel1 6 2 3" xfId="28209" xr:uid="{00000000-0005-0000-0000-0000BA640000}"/>
    <cellStyle name="SAPBEXHLevel1 6 2 4" xfId="26912" xr:uid="{00000000-0005-0000-0000-000073620000}"/>
    <cellStyle name="SAPBEXHLevel1 6 3" xfId="26589" xr:uid="{00000000-0005-0000-0000-000072620000}"/>
    <cellStyle name="SAPBEXHLevel1 6 4" xfId="28208" xr:uid="{00000000-0005-0000-0000-0000B9640000}"/>
    <cellStyle name="SAPBEXHLevel1 6 5" xfId="26885" xr:uid="{00000000-0005-0000-0000-000072620000}"/>
    <cellStyle name="SAPBEXHLevel1 7" xfId="24663" xr:uid="{00000000-0005-0000-0000-000061620000}"/>
    <cellStyle name="SAPBEXHLevel1 7 2" xfId="25410" xr:uid="{00000000-0005-0000-0000-000062620000}"/>
    <cellStyle name="SAPBEXHLevel1 7 2 2" xfId="27566" xr:uid="{00000000-0005-0000-0000-000075620000}"/>
    <cellStyle name="SAPBEXHLevel1 7 2 3" xfId="28211" xr:uid="{00000000-0005-0000-0000-0000BC640000}"/>
    <cellStyle name="SAPBEXHLevel1 7 2 4" xfId="26777" xr:uid="{00000000-0005-0000-0000-000075620000}"/>
    <cellStyle name="SAPBEXHLevel1 7 3" xfId="25629" xr:uid="{00000000-0005-0000-0000-000063620000}"/>
    <cellStyle name="SAPBEXHLevel1 7 3 2" xfId="27784" xr:uid="{00000000-0005-0000-0000-000076620000}"/>
    <cellStyle name="SAPBEXHLevel1 7 3 3" xfId="28212" xr:uid="{00000000-0005-0000-0000-0000BD640000}"/>
    <cellStyle name="SAPBEXHLevel1 7 3 4" xfId="26806" xr:uid="{00000000-0005-0000-0000-000076620000}"/>
    <cellStyle name="SAPBEXHLevel1 7 4" xfId="27258" xr:uid="{00000000-0005-0000-0000-000074620000}"/>
    <cellStyle name="SAPBEXHLevel1 7 5" xfId="28210" xr:uid="{00000000-0005-0000-0000-0000BB640000}"/>
    <cellStyle name="SAPBEXHLevel1 7 6" xfId="26259" xr:uid="{00000000-0005-0000-0000-000074620000}"/>
    <cellStyle name="SAPBEXHLevel1 8" xfId="25110" xr:uid="{00000000-0005-0000-0000-000064620000}"/>
    <cellStyle name="SAPBEXHLevel1 8 2" xfId="25297" xr:uid="{00000000-0005-0000-0000-000065620000}"/>
    <cellStyle name="SAPBEXHLevel1 8 2 2" xfId="27453" xr:uid="{00000000-0005-0000-0000-000078620000}"/>
    <cellStyle name="SAPBEXHLevel1 8 2 3" xfId="28214" xr:uid="{00000000-0005-0000-0000-0000BF640000}"/>
    <cellStyle name="SAPBEXHLevel1 8 2 4" xfId="26271" xr:uid="{00000000-0005-0000-0000-000078620000}"/>
    <cellStyle name="SAPBEXHLevel1 8 3" xfId="25708" xr:uid="{00000000-0005-0000-0000-000066620000}"/>
    <cellStyle name="SAPBEXHLevel1 8 3 2" xfId="27863" xr:uid="{00000000-0005-0000-0000-000079620000}"/>
    <cellStyle name="SAPBEXHLevel1 8 3 3" xfId="28215" xr:uid="{00000000-0005-0000-0000-0000C0640000}"/>
    <cellStyle name="SAPBEXHLevel1 8 3 4" xfId="26462" xr:uid="{00000000-0005-0000-0000-000079620000}"/>
    <cellStyle name="SAPBEXHLevel1 8 4" xfId="27397" xr:uid="{00000000-0005-0000-0000-000077620000}"/>
    <cellStyle name="SAPBEXHLevel1 8 5" xfId="28213" xr:uid="{00000000-0005-0000-0000-0000BE640000}"/>
    <cellStyle name="SAPBEXHLevel1 8 6" xfId="26466" xr:uid="{00000000-0005-0000-0000-000077620000}"/>
    <cellStyle name="SAPBEXHLevel1 9" xfId="25844" xr:uid="{00000000-0005-0000-0000-000055620000}"/>
    <cellStyle name="SAPBEXHLevel1X" xfId="115" xr:uid="{00000000-0005-0000-0000-000067620000}"/>
    <cellStyle name="SAPBEXHLevel1X 10" xfId="28216" xr:uid="{00000000-0005-0000-0000-0000C1640000}"/>
    <cellStyle name="SAPBEXHLevel1X 11" xfId="26383" xr:uid="{00000000-0005-0000-0000-00007A620000}"/>
    <cellStyle name="SAPBEXHLevel1X 2" xfId="116" xr:uid="{00000000-0005-0000-0000-000068620000}"/>
    <cellStyle name="SAPBEXHLevel1X 2 2" xfId="13650" xr:uid="{00000000-0005-0000-0000-000069620000}"/>
    <cellStyle name="SAPBEXHLevel1X 2 2 2" xfId="25488" xr:uid="{00000000-0005-0000-0000-00006A620000}"/>
    <cellStyle name="SAPBEXHLevel1X 2 2 2 2" xfId="27643" xr:uid="{00000000-0005-0000-0000-00007D620000}"/>
    <cellStyle name="SAPBEXHLevel1X 2 2 2 3" xfId="28219" xr:uid="{00000000-0005-0000-0000-0000C4640000}"/>
    <cellStyle name="SAPBEXHLevel1X 2 2 2 4" xfId="26403" xr:uid="{00000000-0005-0000-0000-00007D620000}"/>
    <cellStyle name="SAPBEXHLevel1X 2 2 3" xfId="26594" xr:uid="{00000000-0005-0000-0000-00007C620000}"/>
    <cellStyle name="SAPBEXHLevel1X 2 2 4" xfId="28218" xr:uid="{00000000-0005-0000-0000-0000C3640000}"/>
    <cellStyle name="SAPBEXHLevel1X 2 2 5" xfId="26186" xr:uid="{00000000-0005-0000-0000-00007C620000}"/>
    <cellStyle name="SAPBEXHLevel1X 2 3" xfId="24259" xr:uid="{00000000-0005-0000-0000-00006B620000}"/>
    <cellStyle name="SAPBEXHLevel1X 2 3 2" xfId="25581" xr:uid="{00000000-0005-0000-0000-00006C620000}"/>
    <cellStyle name="SAPBEXHLevel1X 2 3 2 2" xfId="27736" xr:uid="{00000000-0005-0000-0000-00007F620000}"/>
    <cellStyle name="SAPBEXHLevel1X 2 3 2 3" xfId="28221" xr:uid="{00000000-0005-0000-0000-0000C6640000}"/>
    <cellStyle name="SAPBEXHLevel1X 2 3 2 4" xfId="26098" xr:uid="{00000000-0005-0000-0000-00007F620000}"/>
    <cellStyle name="SAPBEXHLevel1X 2 3 3" xfId="27116" xr:uid="{00000000-0005-0000-0000-00007E620000}"/>
    <cellStyle name="SAPBEXHLevel1X 2 3 4" xfId="28220" xr:uid="{00000000-0005-0000-0000-0000C5640000}"/>
    <cellStyle name="SAPBEXHLevel1X 2 3 5" xfId="27030" xr:uid="{00000000-0005-0000-0000-00007E620000}"/>
    <cellStyle name="SAPBEXHLevel1X 2 4" xfId="24659" xr:uid="{00000000-0005-0000-0000-00006D620000}"/>
    <cellStyle name="SAPBEXHLevel1X 2 4 2" xfId="25371" xr:uid="{00000000-0005-0000-0000-00006E620000}"/>
    <cellStyle name="SAPBEXHLevel1X 2 4 2 2" xfId="27527" xr:uid="{00000000-0005-0000-0000-000081620000}"/>
    <cellStyle name="SAPBEXHLevel1X 2 4 2 3" xfId="28223" xr:uid="{00000000-0005-0000-0000-0000C8640000}"/>
    <cellStyle name="SAPBEXHLevel1X 2 4 2 4" xfId="26065" xr:uid="{00000000-0005-0000-0000-000081620000}"/>
    <cellStyle name="SAPBEXHLevel1X 2 4 3" xfId="25625" xr:uid="{00000000-0005-0000-0000-00006F620000}"/>
    <cellStyle name="SAPBEXHLevel1X 2 4 3 2" xfId="27780" xr:uid="{00000000-0005-0000-0000-000082620000}"/>
    <cellStyle name="SAPBEXHLevel1X 2 4 3 3" xfId="28224" xr:uid="{00000000-0005-0000-0000-0000C9640000}"/>
    <cellStyle name="SAPBEXHLevel1X 2 4 3 4" xfId="26158" xr:uid="{00000000-0005-0000-0000-000082620000}"/>
    <cellStyle name="SAPBEXHLevel1X 2 4 4" xfId="27254" xr:uid="{00000000-0005-0000-0000-000080620000}"/>
    <cellStyle name="SAPBEXHLevel1X 2 4 5" xfId="28222" xr:uid="{00000000-0005-0000-0000-0000C7640000}"/>
    <cellStyle name="SAPBEXHLevel1X 2 4 6" xfId="26293" xr:uid="{00000000-0005-0000-0000-000080620000}"/>
    <cellStyle name="SAPBEXHLevel1X 2 5" xfId="25114" xr:uid="{00000000-0005-0000-0000-000070620000}"/>
    <cellStyle name="SAPBEXHLevel1X 2 5 2" xfId="25394" xr:uid="{00000000-0005-0000-0000-000071620000}"/>
    <cellStyle name="SAPBEXHLevel1X 2 5 2 2" xfId="27550" xr:uid="{00000000-0005-0000-0000-000084620000}"/>
    <cellStyle name="SAPBEXHLevel1X 2 5 2 3" xfId="28226" xr:uid="{00000000-0005-0000-0000-0000CB640000}"/>
    <cellStyle name="SAPBEXHLevel1X 2 5 2 4" xfId="26224" xr:uid="{00000000-0005-0000-0000-000084620000}"/>
    <cellStyle name="SAPBEXHLevel1X 2 5 3" xfId="25712" xr:uid="{00000000-0005-0000-0000-000072620000}"/>
    <cellStyle name="SAPBEXHLevel1X 2 5 3 2" xfId="27867" xr:uid="{00000000-0005-0000-0000-000085620000}"/>
    <cellStyle name="SAPBEXHLevel1X 2 5 3 3" xfId="28227" xr:uid="{00000000-0005-0000-0000-0000CC640000}"/>
    <cellStyle name="SAPBEXHLevel1X 2 5 3 4" xfId="27019" xr:uid="{00000000-0005-0000-0000-000085620000}"/>
    <cellStyle name="SAPBEXHLevel1X 2 5 4" xfId="27401" xr:uid="{00000000-0005-0000-0000-000083620000}"/>
    <cellStyle name="SAPBEXHLevel1X 2 5 5" xfId="28225" xr:uid="{00000000-0005-0000-0000-0000CA640000}"/>
    <cellStyle name="SAPBEXHLevel1X 2 5 6" xfId="26310" xr:uid="{00000000-0005-0000-0000-000083620000}"/>
    <cellStyle name="SAPBEXHLevel1X 2 6" xfId="25849" xr:uid="{00000000-0005-0000-0000-00007B620000}"/>
    <cellStyle name="SAPBEXHLevel1X 2 7" xfId="28217" xr:uid="{00000000-0005-0000-0000-0000C2640000}"/>
    <cellStyle name="SAPBEXHLevel1X 2 8" xfId="26970" xr:uid="{00000000-0005-0000-0000-00007B620000}"/>
    <cellStyle name="SAPBEXHLevel1X 3" xfId="117" xr:uid="{00000000-0005-0000-0000-000073620000}"/>
    <cellStyle name="SAPBEXHLevel1X 3 2" xfId="13651" xr:uid="{00000000-0005-0000-0000-000074620000}"/>
    <cellStyle name="SAPBEXHLevel1X 3 2 2" xfId="25489" xr:uid="{00000000-0005-0000-0000-000075620000}"/>
    <cellStyle name="SAPBEXHLevel1X 3 2 2 2" xfId="27644" xr:uid="{00000000-0005-0000-0000-000088620000}"/>
    <cellStyle name="SAPBEXHLevel1X 3 2 2 3" xfId="28230" xr:uid="{00000000-0005-0000-0000-0000CF640000}"/>
    <cellStyle name="SAPBEXHLevel1X 3 2 2 4" xfId="26366" xr:uid="{00000000-0005-0000-0000-000088620000}"/>
    <cellStyle name="SAPBEXHLevel1X 3 2 3" xfId="26595" xr:uid="{00000000-0005-0000-0000-000087620000}"/>
    <cellStyle name="SAPBEXHLevel1X 3 2 4" xfId="28229" xr:uid="{00000000-0005-0000-0000-0000CE640000}"/>
    <cellStyle name="SAPBEXHLevel1X 3 2 5" xfId="26380" xr:uid="{00000000-0005-0000-0000-000087620000}"/>
    <cellStyle name="SAPBEXHLevel1X 3 3" xfId="24260" xr:uid="{00000000-0005-0000-0000-000076620000}"/>
    <cellStyle name="SAPBEXHLevel1X 3 3 2" xfId="25582" xr:uid="{00000000-0005-0000-0000-000077620000}"/>
    <cellStyle name="SAPBEXHLevel1X 3 3 2 2" xfId="27737" xr:uid="{00000000-0005-0000-0000-00008A620000}"/>
    <cellStyle name="SAPBEXHLevel1X 3 3 2 3" xfId="28232" xr:uid="{00000000-0005-0000-0000-0000D1640000}"/>
    <cellStyle name="SAPBEXHLevel1X 3 3 2 4" xfId="26246" xr:uid="{00000000-0005-0000-0000-00008A620000}"/>
    <cellStyle name="SAPBEXHLevel1X 3 3 3" xfId="27117" xr:uid="{00000000-0005-0000-0000-000089620000}"/>
    <cellStyle name="SAPBEXHLevel1X 3 3 4" xfId="28231" xr:uid="{00000000-0005-0000-0000-0000D0640000}"/>
    <cellStyle name="SAPBEXHLevel1X 3 3 5" xfId="26326" xr:uid="{00000000-0005-0000-0000-000089620000}"/>
    <cellStyle name="SAPBEXHLevel1X 3 4" xfId="24658" xr:uid="{00000000-0005-0000-0000-000078620000}"/>
    <cellStyle name="SAPBEXHLevel1X 3 4 2" xfId="25289" xr:uid="{00000000-0005-0000-0000-000079620000}"/>
    <cellStyle name="SAPBEXHLevel1X 3 4 2 2" xfId="27446" xr:uid="{00000000-0005-0000-0000-00008C620000}"/>
    <cellStyle name="SAPBEXHLevel1X 3 4 2 3" xfId="28234" xr:uid="{00000000-0005-0000-0000-0000D3640000}"/>
    <cellStyle name="SAPBEXHLevel1X 3 4 2 4" xfId="26362" xr:uid="{00000000-0005-0000-0000-00008C620000}"/>
    <cellStyle name="SAPBEXHLevel1X 3 4 3" xfId="25624" xr:uid="{00000000-0005-0000-0000-00007A620000}"/>
    <cellStyle name="SAPBEXHLevel1X 3 4 3 2" xfId="27779" xr:uid="{00000000-0005-0000-0000-00008D620000}"/>
    <cellStyle name="SAPBEXHLevel1X 3 4 3 3" xfId="28235" xr:uid="{00000000-0005-0000-0000-0000D4640000}"/>
    <cellStyle name="SAPBEXHLevel1X 3 4 3 4" xfId="26320" xr:uid="{00000000-0005-0000-0000-00008D620000}"/>
    <cellStyle name="SAPBEXHLevel1X 3 4 4" xfId="27253" xr:uid="{00000000-0005-0000-0000-00008B620000}"/>
    <cellStyle name="SAPBEXHLevel1X 3 4 5" xfId="28233" xr:uid="{00000000-0005-0000-0000-0000D2640000}"/>
    <cellStyle name="SAPBEXHLevel1X 3 4 6" xfId="27088" xr:uid="{00000000-0005-0000-0000-00008B620000}"/>
    <cellStyle name="SAPBEXHLevel1X 3 5" xfId="25115" xr:uid="{00000000-0005-0000-0000-00007B620000}"/>
    <cellStyle name="SAPBEXHLevel1X 3 5 2" xfId="25303" xr:uid="{00000000-0005-0000-0000-00007C620000}"/>
    <cellStyle name="SAPBEXHLevel1X 3 5 2 2" xfId="27459" xr:uid="{00000000-0005-0000-0000-00008F620000}"/>
    <cellStyle name="SAPBEXHLevel1X 3 5 2 3" xfId="28237" xr:uid="{00000000-0005-0000-0000-0000D6640000}"/>
    <cellStyle name="SAPBEXHLevel1X 3 5 2 4" xfId="26812" xr:uid="{00000000-0005-0000-0000-00008F620000}"/>
    <cellStyle name="SAPBEXHLevel1X 3 5 3" xfId="25713" xr:uid="{00000000-0005-0000-0000-00007D620000}"/>
    <cellStyle name="SAPBEXHLevel1X 3 5 3 2" xfId="27868" xr:uid="{00000000-0005-0000-0000-000090620000}"/>
    <cellStyle name="SAPBEXHLevel1X 3 5 3 3" xfId="28238" xr:uid="{00000000-0005-0000-0000-0000D7640000}"/>
    <cellStyle name="SAPBEXHLevel1X 3 5 3 4" xfId="26941" xr:uid="{00000000-0005-0000-0000-000090620000}"/>
    <cellStyle name="SAPBEXHLevel1X 3 5 4" xfId="27402" xr:uid="{00000000-0005-0000-0000-00008E620000}"/>
    <cellStyle name="SAPBEXHLevel1X 3 5 5" xfId="28236" xr:uid="{00000000-0005-0000-0000-0000D5640000}"/>
    <cellStyle name="SAPBEXHLevel1X 3 5 6" xfId="26925" xr:uid="{00000000-0005-0000-0000-00008E620000}"/>
    <cellStyle name="SAPBEXHLevel1X 3 6" xfId="25850" xr:uid="{00000000-0005-0000-0000-000086620000}"/>
    <cellStyle name="SAPBEXHLevel1X 3 7" xfId="28228" xr:uid="{00000000-0005-0000-0000-0000CD640000}"/>
    <cellStyle name="SAPBEXHLevel1X 3 8" xfId="26452" xr:uid="{00000000-0005-0000-0000-000086620000}"/>
    <cellStyle name="SAPBEXHLevel1X 4" xfId="118" xr:uid="{00000000-0005-0000-0000-00007E620000}"/>
    <cellStyle name="SAPBEXHLevel1X 4 2" xfId="13652" xr:uid="{00000000-0005-0000-0000-00007F620000}"/>
    <cellStyle name="SAPBEXHLevel1X 4 2 2" xfId="25490" xr:uid="{00000000-0005-0000-0000-000080620000}"/>
    <cellStyle name="SAPBEXHLevel1X 4 2 2 2" xfId="27645" xr:uid="{00000000-0005-0000-0000-000093620000}"/>
    <cellStyle name="SAPBEXHLevel1X 4 2 2 3" xfId="28241" xr:uid="{00000000-0005-0000-0000-0000DA640000}"/>
    <cellStyle name="SAPBEXHLevel1X 4 2 2 4" xfId="26352" xr:uid="{00000000-0005-0000-0000-000093620000}"/>
    <cellStyle name="SAPBEXHLevel1X 4 2 3" xfId="26596" xr:uid="{00000000-0005-0000-0000-000092620000}"/>
    <cellStyle name="SAPBEXHLevel1X 4 2 4" xfId="28240" xr:uid="{00000000-0005-0000-0000-0000D9640000}"/>
    <cellStyle name="SAPBEXHLevel1X 4 2 5" xfId="26857" xr:uid="{00000000-0005-0000-0000-000092620000}"/>
    <cellStyle name="SAPBEXHLevel1X 4 3" xfId="25851" xr:uid="{00000000-0005-0000-0000-000091620000}"/>
    <cellStyle name="SAPBEXHLevel1X 4 4" xfId="28239" xr:uid="{00000000-0005-0000-0000-0000D8640000}"/>
    <cellStyle name="SAPBEXHLevel1X 4 5" xfId="29259" xr:uid="{00000000-0005-0000-0000-000091620000}"/>
    <cellStyle name="SAPBEXHLevel1X 5" xfId="253" xr:uid="{00000000-0005-0000-0000-000081620000}"/>
    <cellStyle name="SAPBEXHLevel1X 5 2" xfId="13718" xr:uid="{00000000-0005-0000-0000-000082620000}"/>
    <cellStyle name="SAPBEXHLevel1X 5 2 2" xfId="25531" xr:uid="{00000000-0005-0000-0000-000083620000}"/>
    <cellStyle name="SAPBEXHLevel1X 5 2 2 2" xfId="27686" xr:uid="{00000000-0005-0000-0000-000096620000}"/>
    <cellStyle name="SAPBEXHLevel1X 5 2 2 3" xfId="28244" xr:uid="{00000000-0005-0000-0000-0000DD640000}"/>
    <cellStyle name="SAPBEXHLevel1X 5 2 2 4" xfId="26978" xr:uid="{00000000-0005-0000-0000-000096620000}"/>
    <cellStyle name="SAPBEXHLevel1X 5 2 3" xfId="26640" xr:uid="{00000000-0005-0000-0000-000095620000}"/>
    <cellStyle name="SAPBEXHLevel1X 5 2 4" xfId="28243" xr:uid="{00000000-0005-0000-0000-0000DC640000}"/>
    <cellStyle name="SAPBEXHLevel1X 5 2 5" xfId="26068" xr:uid="{00000000-0005-0000-0000-000095620000}"/>
    <cellStyle name="SAPBEXHLevel1X 5 3" xfId="25923" xr:uid="{00000000-0005-0000-0000-000094620000}"/>
    <cellStyle name="SAPBEXHLevel1X 5 4" xfId="28242" xr:uid="{00000000-0005-0000-0000-0000DB640000}"/>
    <cellStyle name="SAPBEXHLevel1X 5 5" xfId="26474" xr:uid="{00000000-0005-0000-0000-000094620000}"/>
    <cellStyle name="SAPBEXHLevel1X 6" xfId="13649" xr:uid="{00000000-0005-0000-0000-000084620000}"/>
    <cellStyle name="SAPBEXHLevel1X 6 2" xfId="25487" xr:uid="{00000000-0005-0000-0000-000085620000}"/>
    <cellStyle name="SAPBEXHLevel1X 6 2 2" xfId="27642" xr:uid="{00000000-0005-0000-0000-000098620000}"/>
    <cellStyle name="SAPBEXHLevel1X 6 2 3" xfId="28246" xr:uid="{00000000-0005-0000-0000-0000DF640000}"/>
    <cellStyle name="SAPBEXHLevel1X 6 2 4" xfId="26079" xr:uid="{00000000-0005-0000-0000-000098620000}"/>
    <cellStyle name="SAPBEXHLevel1X 6 3" xfId="26593" xr:uid="{00000000-0005-0000-0000-000097620000}"/>
    <cellStyle name="SAPBEXHLevel1X 6 4" xfId="28245" xr:uid="{00000000-0005-0000-0000-0000DE640000}"/>
    <cellStyle name="SAPBEXHLevel1X 6 5" xfId="26190" xr:uid="{00000000-0005-0000-0000-000097620000}"/>
    <cellStyle name="SAPBEXHLevel1X 7" xfId="24660" xr:uid="{00000000-0005-0000-0000-000086620000}"/>
    <cellStyle name="SAPBEXHLevel1X 7 2" xfId="25384" xr:uid="{00000000-0005-0000-0000-000087620000}"/>
    <cellStyle name="SAPBEXHLevel1X 7 2 2" xfId="27540" xr:uid="{00000000-0005-0000-0000-00009A620000}"/>
    <cellStyle name="SAPBEXHLevel1X 7 2 3" xfId="28248" xr:uid="{00000000-0005-0000-0000-0000E1640000}"/>
    <cellStyle name="SAPBEXHLevel1X 7 2 4" xfId="26480" xr:uid="{00000000-0005-0000-0000-00009A620000}"/>
    <cellStyle name="SAPBEXHLevel1X 7 3" xfId="25626" xr:uid="{00000000-0005-0000-0000-000088620000}"/>
    <cellStyle name="SAPBEXHLevel1X 7 3 2" xfId="27781" xr:uid="{00000000-0005-0000-0000-00009B620000}"/>
    <cellStyle name="SAPBEXHLevel1X 7 3 3" xfId="28249" xr:uid="{00000000-0005-0000-0000-0000E2640000}"/>
    <cellStyle name="SAPBEXHLevel1X 7 3 4" xfId="26289" xr:uid="{00000000-0005-0000-0000-00009B620000}"/>
    <cellStyle name="SAPBEXHLevel1X 7 4" xfId="27255" xr:uid="{00000000-0005-0000-0000-000099620000}"/>
    <cellStyle name="SAPBEXHLevel1X 7 5" xfId="28247" xr:uid="{00000000-0005-0000-0000-0000E0640000}"/>
    <cellStyle name="SAPBEXHLevel1X 7 6" xfId="26974" xr:uid="{00000000-0005-0000-0000-000099620000}"/>
    <cellStyle name="SAPBEXHLevel1X 8" xfId="25113" xr:uid="{00000000-0005-0000-0000-000089620000}"/>
    <cellStyle name="SAPBEXHLevel1X 8 2" xfId="25380" xr:uid="{00000000-0005-0000-0000-00008A620000}"/>
    <cellStyle name="SAPBEXHLevel1X 8 2 2" xfId="27536" xr:uid="{00000000-0005-0000-0000-00009D620000}"/>
    <cellStyle name="SAPBEXHLevel1X 8 2 3" xfId="28251" xr:uid="{00000000-0005-0000-0000-0000E4640000}"/>
    <cellStyle name="SAPBEXHLevel1X 8 2 4" xfId="26980" xr:uid="{00000000-0005-0000-0000-00009D620000}"/>
    <cellStyle name="SAPBEXHLevel1X 8 3" xfId="25711" xr:uid="{00000000-0005-0000-0000-00008B620000}"/>
    <cellStyle name="SAPBEXHLevel1X 8 3 2" xfId="27866" xr:uid="{00000000-0005-0000-0000-00009E620000}"/>
    <cellStyle name="SAPBEXHLevel1X 8 3 3" xfId="28252" xr:uid="{00000000-0005-0000-0000-0000E5640000}"/>
    <cellStyle name="SAPBEXHLevel1X 8 3 4" xfId="26897" xr:uid="{00000000-0005-0000-0000-00009E620000}"/>
    <cellStyle name="SAPBEXHLevel1X 8 4" xfId="27400" xr:uid="{00000000-0005-0000-0000-00009C620000}"/>
    <cellStyle name="SAPBEXHLevel1X 8 5" xfId="28250" xr:uid="{00000000-0005-0000-0000-0000E3640000}"/>
    <cellStyle name="SAPBEXHLevel1X 8 6" xfId="26973" xr:uid="{00000000-0005-0000-0000-00009C620000}"/>
    <cellStyle name="SAPBEXHLevel1X 9" xfId="25848" xr:uid="{00000000-0005-0000-0000-00007A620000}"/>
    <cellStyle name="SAPBEXHLevel2" xfId="119" xr:uid="{00000000-0005-0000-0000-00008C620000}"/>
    <cellStyle name="SAPBEXHLevel2 10" xfId="28253" xr:uid="{00000000-0005-0000-0000-0000E6640000}"/>
    <cellStyle name="SAPBEXHLevel2 11" xfId="29208" xr:uid="{00000000-0005-0000-0000-00009F620000}"/>
    <cellStyle name="SAPBEXHLevel2 2" xfId="120" xr:uid="{00000000-0005-0000-0000-00008D620000}"/>
    <cellStyle name="SAPBEXHLevel2 2 2" xfId="13654" xr:uid="{00000000-0005-0000-0000-00008E620000}"/>
    <cellStyle name="SAPBEXHLevel2 2 2 2" xfId="25492" xr:uid="{00000000-0005-0000-0000-00008F620000}"/>
    <cellStyle name="SAPBEXHLevel2 2 2 2 2" xfId="27647" xr:uid="{00000000-0005-0000-0000-0000A2620000}"/>
    <cellStyle name="SAPBEXHLevel2 2 2 2 3" xfId="28256" xr:uid="{00000000-0005-0000-0000-0000E9640000}"/>
    <cellStyle name="SAPBEXHLevel2 2 2 2 4" xfId="26073" xr:uid="{00000000-0005-0000-0000-0000A2620000}"/>
    <cellStyle name="SAPBEXHLevel2 2 2 3" xfId="26598" xr:uid="{00000000-0005-0000-0000-0000A1620000}"/>
    <cellStyle name="SAPBEXHLevel2 2 2 4" xfId="28255" xr:uid="{00000000-0005-0000-0000-0000E8640000}"/>
    <cellStyle name="SAPBEXHLevel2 2 2 5" xfId="26749" xr:uid="{00000000-0005-0000-0000-0000A1620000}"/>
    <cellStyle name="SAPBEXHLevel2 2 3" xfId="24262" xr:uid="{00000000-0005-0000-0000-000090620000}"/>
    <cellStyle name="SAPBEXHLevel2 2 3 2" xfId="25583" xr:uid="{00000000-0005-0000-0000-000091620000}"/>
    <cellStyle name="SAPBEXHLevel2 2 3 2 2" xfId="27738" xr:uid="{00000000-0005-0000-0000-0000A4620000}"/>
    <cellStyle name="SAPBEXHLevel2 2 3 2 3" xfId="28258" xr:uid="{00000000-0005-0000-0000-0000EB640000}"/>
    <cellStyle name="SAPBEXHLevel2 2 3 2 4" xfId="26160" xr:uid="{00000000-0005-0000-0000-0000A4620000}"/>
    <cellStyle name="SAPBEXHLevel2 2 3 3" xfId="27118" xr:uid="{00000000-0005-0000-0000-0000A3620000}"/>
    <cellStyle name="SAPBEXHLevel2 2 3 4" xfId="28257" xr:uid="{00000000-0005-0000-0000-0000EA640000}"/>
    <cellStyle name="SAPBEXHLevel2 2 3 5" xfId="26339" xr:uid="{00000000-0005-0000-0000-0000A3620000}"/>
    <cellStyle name="SAPBEXHLevel2 2 4" xfId="24656" xr:uid="{00000000-0005-0000-0000-000092620000}"/>
    <cellStyle name="SAPBEXHLevel2 2 4 2" xfId="25363" xr:uid="{00000000-0005-0000-0000-000093620000}"/>
    <cellStyle name="SAPBEXHLevel2 2 4 2 2" xfId="27519" xr:uid="{00000000-0005-0000-0000-0000A6620000}"/>
    <cellStyle name="SAPBEXHLevel2 2 4 2 3" xfId="28260" xr:uid="{00000000-0005-0000-0000-0000ED640000}"/>
    <cellStyle name="SAPBEXHLevel2 2 4 2 4" xfId="26989" xr:uid="{00000000-0005-0000-0000-0000A6620000}"/>
    <cellStyle name="SAPBEXHLevel2 2 4 3" xfId="25622" xr:uid="{00000000-0005-0000-0000-000094620000}"/>
    <cellStyle name="SAPBEXHLevel2 2 4 3 2" xfId="27777" xr:uid="{00000000-0005-0000-0000-0000A7620000}"/>
    <cellStyle name="SAPBEXHLevel2 2 4 3 3" xfId="28261" xr:uid="{00000000-0005-0000-0000-0000EE640000}"/>
    <cellStyle name="SAPBEXHLevel2 2 4 3 4" xfId="26069" xr:uid="{00000000-0005-0000-0000-0000A7620000}"/>
    <cellStyle name="SAPBEXHLevel2 2 4 4" xfId="27251" xr:uid="{00000000-0005-0000-0000-0000A5620000}"/>
    <cellStyle name="SAPBEXHLevel2 2 4 5" xfId="28259" xr:uid="{00000000-0005-0000-0000-0000EC640000}"/>
    <cellStyle name="SAPBEXHLevel2 2 4 6" xfId="26177" xr:uid="{00000000-0005-0000-0000-0000A5620000}"/>
    <cellStyle name="SAPBEXHLevel2 2 5" xfId="25117" xr:uid="{00000000-0005-0000-0000-000095620000}"/>
    <cellStyle name="SAPBEXHLevel2 2 5 2" xfId="25319" xr:uid="{00000000-0005-0000-0000-000096620000}"/>
    <cellStyle name="SAPBEXHLevel2 2 5 2 2" xfId="27475" xr:uid="{00000000-0005-0000-0000-0000A9620000}"/>
    <cellStyle name="SAPBEXHLevel2 2 5 2 3" xfId="28263" xr:uid="{00000000-0005-0000-0000-0000F0640000}"/>
    <cellStyle name="SAPBEXHLevel2 2 5 2 4" xfId="26291" xr:uid="{00000000-0005-0000-0000-0000A9620000}"/>
    <cellStyle name="SAPBEXHLevel2 2 5 3" xfId="25715" xr:uid="{00000000-0005-0000-0000-000097620000}"/>
    <cellStyle name="SAPBEXHLevel2 2 5 3 2" xfId="27870" xr:uid="{00000000-0005-0000-0000-0000AA620000}"/>
    <cellStyle name="SAPBEXHLevel2 2 5 3 3" xfId="28264" xr:uid="{00000000-0005-0000-0000-0000F1640000}"/>
    <cellStyle name="SAPBEXHLevel2 2 5 3 4" xfId="27150" xr:uid="{00000000-0005-0000-0000-0000AA620000}"/>
    <cellStyle name="SAPBEXHLevel2 2 5 4" xfId="27404" xr:uid="{00000000-0005-0000-0000-0000A8620000}"/>
    <cellStyle name="SAPBEXHLevel2 2 5 5" xfId="28262" xr:uid="{00000000-0005-0000-0000-0000EF640000}"/>
    <cellStyle name="SAPBEXHLevel2 2 5 6" xfId="26862" xr:uid="{00000000-0005-0000-0000-0000A8620000}"/>
    <cellStyle name="SAPBEXHLevel2 2 6" xfId="25853" xr:uid="{00000000-0005-0000-0000-0000A0620000}"/>
    <cellStyle name="SAPBEXHLevel2 2 7" xfId="28254" xr:uid="{00000000-0005-0000-0000-0000E7640000}"/>
    <cellStyle name="SAPBEXHLevel2 2 8" xfId="29185" xr:uid="{00000000-0005-0000-0000-0000A0620000}"/>
    <cellStyle name="SAPBEXHLevel2 3" xfId="121" xr:uid="{00000000-0005-0000-0000-000098620000}"/>
    <cellStyle name="SAPBEXHLevel2 3 2" xfId="13655" xr:uid="{00000000-0005-0000-0000-000099620000}"/>
    <cellStyle name="SAPBEXHLevel2 3 2 2" xfId="25493" xr:uid="{00000000-0005-0000-0000-00009A620000}"/>
    <cellStyle name="SAPBEXHLevel2 3 2 2 2" xfId="27648" xr:uid="{00000000-0005-0000-0000-0000AD620000}"/>
    <cellStyle name="SAPBEXHLevel2 3 2 2 3" xfId="28267" xr:uid="{00000000-0005-0000-0000-0000F4640000}"/>
    <cellStyle name="SAPBEXHLevel2 3 2 2 4" xfId="26164" xr:uid="{00000000-0005-0000-0000-0000AD620000}"/>
    <cellStyle name="SAPBEXHLevel2 3 2 3" xfId="26599" xr:uid="{00000000-0005-0000-0000-0000AC620000}"/>
    <cellStyle name="SAPBEXHLevel2 3 2 4" xfId="28266" xr:uid="{00000000-0005-0000-0000-0000F3640000}"/>
    <cellStyle name="SAPBEXHLevel2 3 2 5" xfId="27005" xr:uid="{00000000-0005-0000-0000-0000AC620000}"/>
    <cellStyle name="SAPBEXHLevel2 3 3" xfId="24263" xr:uid="{00000000-0005-0000-0000-00009B620000}"/>
    <cellStyle name="SAPBEXHLevel2 3 3 2" xfId="25584" xr:uid="{00000000-0005-0000-0000-00009C620000}"/>
    <cellStyle name="SAPBEXHLevel2 3 3 2 2" xfId="27739" xr:uid="{00000000-0005-0000-0000-0000AF620000}"/>
    <cellStyle name="SAPBEXHLevel2 3 3 2 3" xfId="28269" xr:uid="{00000000-0005-0000-0000-0000F6640000}"/>
    <cellStyle name="SAPBEXHLevel2 3 3 2 4" xfId="26740" xr:uid="{00000000-0005-0000-0000-0000AF620000}"/>
    <cellStyle name="SAPBEXHLevel2 3 3 3" xfId="27119" xr:uid="{00000000-0005-0000-0000-0000AE620000}"/>
    <cellStyle name="SAPBEXHLevel2 3 3 4" xfId="28268" xr:uid="{00000000-0005-0000-0000-0000F5640000}"/>
    <cellStyle name="SAPBEXHLevel2 3 3 5" xfId="26070" xr:uid="{00000000-0005-0000-0000-0000AE620000}"/>
    <cellStyle name="SAPBEXHLevel2 3 4" xfId="24655" xr:uid="{00000000-0005-0000-0000-00009D620000}"/>
    <cellStyle name="SAPBEXHLevel2 3 4 2" xfId="25451" xr:uid="{00000000-0005-0000-0000-00009E620000}"/>
    <cellStyle name="SAPBEXHLevel2 3 4 2 2" xfId="27607" xr:uid="{00000000-0005-0000-0000-0000B1620000}"/>
    <cellStyle name="SAPBEXHLevel2 3 4 2 3" xfId="28271" xr:uid="{00000000-0005-0000-0000-0000F8640000}"/>
    <cellStyle name="SAPBEXHLevel2 3 4 2 4" xfId="26166" xr:uid="{00000000-0005-0000-0000-0000B1620000}"/>
    <cellStyle name="SAPBEXHLevel2 3 4 3" xfId="25621" xr:uid="{00000000-0005-0000-0000-00009F620000}"/>
    <cellStyle name="SAPBEXHLevel2 3 4 3 2" xfId="27776" xr:uid="{00000000-0005-0000-0000-0000B2620000}"/>
    <cellStyle name="SAPBEXHLevel2 3 4 3 3" xfId="28272" xr:uid="{00000000-0005-0000-0000-0000F9640000}"/>
    <cellStyle name="SAPBEXHLevel2 3 4 3 4" xfId="26089" xr:uid="{00000000-0005-0000-0000-0000B2620000}"/>
    <cellStyle name="SAPBEXHLevel2 3 4 4" xfId="27250" xr:uid="{00000000-0005-0000-0000-0000B0620000}"/>
    <cellStyle name="SAPBEXHLevel2 3 4 5" xfId="28270" xr:uid="{00000000-0005-0000-0000-0000F7640000}"/>
    <cellStyle name="SAPBEXHLevel2 3 4 6" xfId="26774" xr:uid="{00000000-0005-0000-0000-0000B0620000}"/>
    <cellStyle name="SAPBEXHLevel2 3 5" xfId="25118" xr:uid="{00000000-0005-0000-0000-0000A0620000}"/>
    <cellStyle name="SAPBEXHLevel2 3 5 2" xfId="25420" xr:uid="{00000000-0005-0000-0000-0000A1620000}"/>
    <cellStyle name="SAPBEXHLevel2 3 5 2 2" xfId="27576" xr:uid="{00000000-0005-0000-0000-0000B4620000}"/>
    <cellStyle name="SAPBEXHLevel2 3 5 2 3" xfId="28274" xr:uid="{00000000-0005-0000-0000-0000FB640000}"/>
    <cellStyle name="SAPBEXHLevel2 3 5 2 4" xfId="26245" xr:uid="{00000000-0005-0000-0000-0000B4620000}"/>
    <cellStyle name="SAPBEXHLevel2 3 5 3" xfId="25716" xr:uid="{00000000-0005-0000-0000-0000A2620000}"/>
    <cellStyle name="SAPBEXHLevel2 3 5 3 2" xfId="27871" xr:uid="{00000000-0005-0000-0000-0000B5620000}"/>
    <cellStyle name="SAPBEXHLevel2 3 5 3 3" xfId="28275" xr:uid="{00000000-0005-0000-0000-0000FC640000}"/>
    <cellStyle name="SAPBEXHLevel2 3 5 3 4" xfId="26746" xr:uid="{00000000-0005-0000-0000-0000B5620000}"/>
    <cellStyle name="SAPBEXHLevel2 3 5 4" xfId="27405" xr:uid="{00000000-0005-0000-0000-0000B3620000}"/>
    <cellStyle name="SAPBEXHLevel2 3 5 5" xfId="28273" xr:uid="{00000000-0005-0000-0000-0000FA640000}"/>
    <cellStyle name="SAPBEXHLevel2 3 5 6" xfId="26351" xr:uid="{00000000-0005-0000-0000-0000B3620000}"/>
    <cellStyle name="SAPBEXHLevel2 3 6" xfId="25854" xr:uid="{00000000-0005-0000-0000-0000AB620000}"/>
    <cellStyle name="SAPBEXHLevel2 3 7" xfId="28265" xr:uid="{00000000-0005-0000-0000-0000F2640000}"/>
    <cellStyle name="SAPBEXHLevel2 3 8" xfId="29249" xr:uid="{00000000-0005-0000-0000-0000AB620000}"/>
    <cellStyle name="SAPBEXHLevel2 4" xfId="122" xr:uid="{00000000-0005-0000-0000-0000A3620000}"/>
    <cellStyle name="SAPBEXHLevel2 4 2" xfId="13656" xr:uid="{00000000-0005-0000-0000-0000A4620000}"/>
    <cellStyle name="SAPBEXHLevel2 4 2 2" xfId="25494" xr:uid="{00000000-0005-0000-0000-0000A5620000}"/>
    <cellStyle name="SAPBEXHLevel2 4 2 2 2" xfId="27649" xr:uid="{00000000-0005-0000-0000-0000B8620000}"/>
    <cellStyle name="SAPBEXHLevel2 4 2 2 3" xfId="28278" xr:uid="{00000000-0005-0000-0000-0000FF640000}"/>
    <cellStyle name="SAPBEXHLevel2 4 2 2 4" xfId="26917" xr:uid="{00000000-0005-0000-0000-0000B8620000}"/>
    <cellStyle name="SAPBEXHLevel2 4 2 3" xfId="26600" xr:uid="{00000000-0005-0000-0000-0000B7620000}"/>
    <cellStyle name="SAPBEXHLevel2 4 2 4" xfId="28277" xr:uid="{00000000-0005-0000-0000-0000FE640000}"/>
    <cellStyle name="SAPBEXHLevel2 4 2 5" xfId="27027" xr:uid="{00000000-0005-0000-0000-0000B7620000}"/>
    <cellStyle name="SAPBEXHLevel2 4 3" xfId="25855" xr:uid="{00000000-0005-0000-0000-0000B6620000}"/>
    <cellStyle name="SAPBEXHLevel2 4 4" xfId="28276" xr:uid="{00000000-0005-0000-0000-0000FD640000}"/>
    <cellStyle name="SAPBEXHLevel2 4 5" xfId="29194" xr:uid="{00000000-0005-0000-0000-0000B6620000}"/>
    <cellStyle name="SAPBEXHLevel2 5" xfId="254" xr:uid="{00000000-0005-0000-0000-0000A6620000}"/>
    <cellStyle name="SAPBEXHLevel2 5 2" xfId="13719" xr:uid="{00000000-0005-0000-0000-0000A7620000}"/>
    <cellStyle name="SAPBEXHLevel2 5 2 2" xfId="25532" xr:uid="{00000000-0005-0000-0000-0000A8620000}"/>
    <cellStyle name="SAPBEXHLevel2 5 2 2 2" xfId="27687" xr:uid="{00000000-0005-0000-0000-0000BB620000}"/>
    <cellStyle name="SAPBEXHLevel2 5 2 2 3" xfId="28281" xr:uid="{00000000-0005-0000-0000-000002650000}"/>
    <cellStyle name="SAPBEXHLevel2 5 2 2 4" xfId="26128" xr:uid="{00000000-0005-0000-0000-0000BB620000}"/>
    <cellStyle name="SAPBEXHLevel2 5 2 3" xfId="26641" xr:uid="{00000000-0005-0000-0000-0000BA620000}"/>
    <cellStyle name="SAPBEXHLevel2 5 2 4" xfId="28280" xr:uid="{00000000-0005-0000-0000-000001650000}"/>
    <cellStyle name="SAPBEXHLevel2 5 2 5" xfId="27352" xr:uid="{00000000-0005-0000-0000-0000BA620000}"/>
    <cellStyle name="SAPBEXHLevel2 5 3" xfId="25924" xr:uid="{00000000-0005-0000-0000-0000B9620000}"/>
    <cellStyle name="SAPBEXHLevel2 5 4" xfId="28279" xr:uid="{00000000-0005-0000-0000-000000650000}"/>
    <cellStyle name="SAPBEXHLevel2 5 5" xfId="28569" xr:uid="{00000000-0005-0000-0000-0000B9620000}"/>
    <cellStyle name="SAPBEXHLevel2 6" xfId="13653" xr:uid="{00000000-0005-0000-0000-0000A9620000}"/>
    <cellStyle name="SAPBEXHLevel2 6 2" xfId="25491" xr:uid="{00000000-0005-0000-0000-0000AA620000}"/>
    <cellStyle name="SAPBEXHLevel2 6 2 2" xfId="27646" xr:uid="{00000000-0005-0000-0000-0000BD620000}"/>
    <cellStyle name="SAPBEXHLevel2 6 2 3" xfId="28283" xr:uid="{00000000-0005-0000-0000-000004650000}"/>
    <cellStyle name="SAPBEXHLevel2 6 2 4" xfId="26102" xr:uid="{00000000-0005-0000-0000-0000BD620000}"/>
    <cellStyle name="SAPBEXHLevel2 6 3" xfId="26597" xr:uid="{00000000-0005-0000-0000-0000BC620000}"/>
    <cellStyle name="SAPBEXHLevel2 6 4" xfId="28282" xr:uid="{00000000-0005-0000-0000-000003650000}"/>
    <cellStyle name="SAPBEXHLevel2 6 5" xfId="26928" xr:uid="{00000000-0005-0000-0000-0000BC620000}"/>
    <cellStyle name="SAPBEXHLevel2 7" xfId="24657" xr:uid="{00000000-0005-0000-0000-0000AB620000}"/>
    <cellStyle name="SAPBEXHLevel2 7 2" xfId="25300" xr:uid="{00000000-0005-0000-0000-0000AC620000}"/>
    <cellStyle name="SAPBEXHLevel2 7 2 2" xfId="27456" xr:uid="{00000000-0005-0000-0000-0000BF620000}"/>
    <cellStyle name="SAPBEXHLevel2 7 2 3" xfId="28285" xr:uid="{00000000-0005-0000-0000-000006650000}"/>
    <cellStyle name="SAPBEXHLevel2 7 2 4" xfId="26338" xr:uid="{00000000-0005-0000-0000-0000BF620000}"/>
    <cellStyle name="SAPBEXHLevel2 7 3" xfId="25623" xr:uid="{00000000-0005-0000-0000-0000AD620000}"/>
    <cellStyle name="SAPBEXHLevel2 7 3 2" xfId="27778" xr:uid="{00000000-0005-0000-0000-0000C0620000}"/>
    <cellStyle name="SAPBEXHLevel2 7 3 3" xfId="28286" xr:uid="{00000000-0005-0000-0000-000007650000}"/>
    <cellStyle name="SAPBEXHLevel2 7 3 4" xfId="26096" xr:uid="{00000000-0005-0000-0000-0000C0620000}"/>
    <cellStyle name="SAPBEXHLevel2 7 4" xfId="27252" xr:uid="{00000000-0005-0000-0000-0000BE620000}"/>
    <cellStyle name="SAPBEXHLevel2 7 5" xfId="28284" xr:uid="{00000000-0005-0000-0000-000005650000}"/>
    <cellStyle name="SAPBEXHLevel2 7 6" xfId="26467" xr:uid="{00000000-0005-0000-0000-0000BE620000}"/>
    <cellStyle name="SAPBEXHLevel2 8" xfId="25116" xr:uid="{00000000-0005-0000-0000-0000AE620000}"/>
    <cellStyle name="SAPBEXHLevel2 8 2" xfId="25406" xr:uid="{00000000-0005-0000-0000-0000AF620000}"/>
    <cellStyle name="SAPBEXHLevel2 8 2 2" xfId="27562" xr:uid="{00000000-0005-0000-0000-0000C2620000}"/>
    <cellStyle name="SAPBEXHLevel2 8 2 3" xfId="28288" xr:uid="{00000000-0005-0000-0000-000009650000}"/>
    <cellStyle name="SAPBEXHLevel2 8 2 4" xfId="26732" xr:uid="{00000000-0005-0000-0000-0000C2620000}"/>
    <cellStyle name="SAPBEXHLevel2 8 3" xfId="25714" xr:uid="{00000000-0005-0000-0000-0000B0620000}"/>
    <cellStyle name="SAPBEXHLevel2 8 3 2" xfId="27869" xr:uid="{00000000-0005-0000-0000-0000C3620000}"/>
    <cellStyle name="SAPBEXHLevel2 8 3 3" xfId="28289" xr:uid="{00000000-0005-0000-0000-00000A650000}"/>
    <cellStyle name="SAPBEXHLevel2 8 3 4" xfId="26376" xr:uid="{00000000-0005-0000-0000-0000C3620000}"/>
    <cellStyle name="SAPBEXHLevel2 8 4" xfId="27403" xr:uid="{00000000-0005-0000-0000-0000C1620000}"/>
    <cellStyle name="SAPBEXHLevel2 8 5" xfId="28287" xr:uid="{00000000-0005-0000-0000-000008650000}"/>
    <cellStyle name="SAPBEXHLevel2 8 6" xfId="26258" xr:uid="{00000000-0005-0000-0000-0000C1620000}"/>
    <cellStyle name="SAPBEXHLevel2 9" xfId="25852" xr:uid="{00000000-0005-0000-0000-00009F620000}"/>
    <cellStyle name="SAPBEXHLevel2X" xfId="123" xr:uid="{00000000-0005-0000-0000-0000B1620000}"/>
    <cellStyle name="SAPBEXHLevel2X 10" xfId="28290" xr:uid="{00000000-0005-0000-0000-00000B650000}"/>
    <cellStyle name="SAPBEXHLevel2X 11" xfId="26053" xr:uid="{00000000-0005-0000-0000-0000C4620000}"/>
    <cellStyle name="SAPBEXHLevel2X 2" xfId="124" xr:uid="{00000000-0005-0000-0000-0000B2620000}"/>
    <cellStyle name="SAPBEXHLevel2X 2 2" xfId="13658" xr:uid="{00000000-0005-0000-0000-0000B3620000}"/>
    <cellStyle name="SAPBEXHLevel2X 2 2 2" xfId="25496" xr:uid="{00000000-0005-0000-0000-0000B4620000}"/>
    <cellStyle name="SAPBEXHLevel2X 2 2 2 2" xfId="27651" xr:uid="{00000000-0005-0000-0000-0000C7620000}"/>
    <cellStyle name="SAPBEXHLevel2X 2 2 2 3" xfId="28293" xr:uid="{00000000-0005-0000-0000-00000E650000}"/>
    <cellStyle name="SAPBEXHLevel2X 2 2 2 4" xfId="26396" xr:uid="{00000000-0005-0000-0000-0000C7620000}"/>
    <cellStyle name="SAPBEXHLevel2X 2 2 3" xfId="26602" xr:uid="{00000000-0005-0000-0000-0000C6620000}"/>
    <cellStyle name="SAPBEXHLevel2X 2 2 4" xfId="28292" xr:uid="{00000000-0005-0000-0000-00000D650000}"/>
    <cellStyle name="SAPBEXHLevel2X 2 2 5" xfId="26151" xr:uid="{00000000-0005-0000-0000-0000C6620000}"/>
    <cellStyle name="SAPBEXHLevel2X 2 3" xfId="24264" xr:uid="{00000000-0005-0000-0000-0000B5620000}"/>
    <cellStyle name="SAPBEXHLevel2X 2 3 2" xfId="25585" xr:uid="{00000000-0005-0000-0000-0000B6620000}"/>
    <cellStyle name="SAPBEXHLevel2X 2 3 2 2" xfId="27740" xr:uid="{00000000-0005-0000-0000-0000C9620000}"/>
    <cellStyle name="SAPBEXHLevel2X 2 3 2 3" xfId="28295" xr:uid="{00000000-0005-0000-0000-000010650000}"/>
    <cellStyle name="SAPBEXHLevel2X 2 3 2 4" xfId="27361" xr:uid="{00000000-0005-0000-0000-0000C9620000}"/>
    <cellStyle name="SAPBEXHLevel2X 2 3 3" xfId="27120" xr:uid="{00000000-0005-0000-0000-0000C8620000}"/>
    <cellStyle name="SAPBEXHLevel2X 2 3 4" xfId="28294" xr:uid="{00000000-0005-0000-0000-00000F650000}"/>
    <cellStyle name="SAPBEXHLevel2X 2 3 5" xfId="26119" xr:uid="{00000000-0005-0000-0000-0000C8620000}"/>
    <cellStyle name="SAPBEXHLevel2X 2 4" xfId="24653" xr:uid="{00000000-0005-0000-0000-0000B7620000}"/>
    <cellStyle name="SAPBEXHLevel2X 2 4 2" xfId="25434" xr:uid="{00000000-0005-0000-0000-0000B8620000}"/>
    <cellStyle name="SAPBEXHLevel2X 2 4 2 2" xfId="27590" xr:uid="{00000000-0005-0000-0000-0000CB620000}"/>
    <cellStyle name="SAPBEXHLevel2X 2 4 2 3" xfId="28297" xr:uid="{00000000-0005-0000-0000-000012650000}"/>
    <cellStyle name="SAPBEXHLevel2X 2 4 2 4" xfId="26765" xr:uid="{00000000-0005-0000-0000-0000CB620000}"/>
    <cellStyle name="SAPBEXHLevel2X 2 4 3" xfId="25619" xr:uid="{00000000-0005-0000-0000-0000B9620000}"/>
    <cellStyle name="SAPBEXHLevel2X 2 4 3 2" xfId="27774" xr:uid="{00000000-0005-0000-0000-0000CC620000}"/>
    <cellStyle name="SAPBEXHLevel2X 2 4 3 3" xfId="28298" xr:uid="{00000000-0005-0000-0000-000013650000}"/>
    <cellStyle name="SAPBEXHLevel2X 2 4 3 4" xfId="26852" xr:uid="{00000000-0005-0000-0000-0000CC620000}"/>
    <cellStyle name="SAPBEXHLevel2X 2 4 4" xfId="27248" xr:uid="{00000000-0005-0000-0000-0000CA620000}"/>
    <cellStyle name="SAPBEXHLevel2X 2 4 5" xfId="28296" xr:uid="{00000000-0005-0000-0000-000011650000}"/>
    <cellStyle name="SAPBEXHLevel2X 2 4 6" xfId="27008" xr:uid="{00000000-0005-0000-0000-0000CA620000}"/>
    <cellStyle name="SAPBEXHLevel2X 2 5" xfId="25120" xr:uid="{00000000-0005-0000-0000-0000BA620000}"/>
    <cellStyle name="SAPBEXHLevel2X 2 5 2" xfId="25437" xr:uid="{00000000-0005-0000-0000-0000BB620000}"/>
    <cellStyle name="SAPBEXHLevel2X 2 5 2 2" xfId="27593" xr:uid="{00000000-0005-0000-0000-0000CE620000}"/>
    <cellStyle name="SAPBEXHLevel2X 2 5 2 3" xfId="28300" xr:uid="{00000000-0005-0000-0000-000015650000}"/>
    <cellStyle name="SAPBEXHLevel2X 2 5 2 4" xfId="26509" xr:uid="{00000000-0005-0000-0000-0000CE620000}"/>
    <cellStyle name="SAPBEXHLevel2X 2 5 3" xfId="25718" xr:uid="{00000000-0005-0000-0000-0000BC620000}"/>
    <cellStyle name="SAPBEXHLevel2X 2 5 3 2" xfId="27873" xr:uid="{00000000-0005-0000-0000-0000CF620000}"/>
    <cellStyle name="SAPBEXHLevel2X 2 5 3 3" xfId="28301" xr:uid="{00000000-0005-0000-0000-000016650000}"/>
    <cellStyle name="SAPBEXHLevel2X 2 5 3 4" xfId="26530" xr:uid="{00000000-0005-0000-0000-0000CF620000}"/>
    <cellStyle name="SAPBEXHLevel2X 2 5 4" xfId="27407" xr:uid="{00000000-0005-0000-0000-0000CD620000}"/>
    <cellStyle name="SAPBEXHLevel2X 2 5 5" xfId="28299" xr:uid="{00000000-0005-0000-0000-000014650000}"/>
    <cellStyle name="SAPBEXHLevel2X 2 5 6" xfId="26734" xr:uid="{00000000-0005-0000-0000-0000CD620000}"/>
    <cellStyle name="SAPBEXHLevel2X 2 6" xfId="25857" xr:uid="{00000000-0005-0000-0000-0000C5620000}"/>
    <cellStyle name="SAPBEXHLevel2X 2 7" xfId="28291" xr:uid="{00000000-0005-0000-0000-00000C650000}"/>
    <cellStyle name="SAPBEXHLevel2X 2 8" xfId="29234" xr:uid="{00000000-0005-0000-0000-0000C5620000}"/>
    <cellStyle name="SAPBEXHLevel2X 3" xfId="125" xr:uid="{00000000-0005-0000-0000-0000BD620000}"/>
    <cellStyle name="SAPBEXHLevel2X 3 2" xfId="13659" xr:uid="{00000000-0005-0000-0000-0000BE620000}"/>
    <cellStyle name="SAPBEXHLevel2X 3 2 2" xfId="25497" xr:uid="{00000000-0005-0000-0000-0000BF620000}"/>
    <cellStyle name="SAPBEXHLevel2X 3 2 2 2" xfId="27652" xr:uid="{00000000-0005-0000-0000-0000D2620000}"/>
    <cellStyle name="SAPBEXHLevel2X 3 2 2 3" xfId="28304" xr:uid="{00000000-0005-0000-0000-000019650000}"/>
    <cellStyle name="SAPBEXHLevel2X 3 2 2 4" xfId="26314" xr:uid="{00000000-0005-0000-0000-0000D2620000}"/>
    <cellStyle name="SAPBEXHLevel2X 3 2 3" xfId="26603" xr:uid="{00000000-0005-0000-0000-0000D1620000}"/>
    <cellStyle name="SAPBEXHLevel2X 3 2 4" xfId="28303" xr:uid="{00000000-0005-0000-0000-000018650000}"/>
    <cellStyle name="SAPBEXHLevel2X 3 2 5" xfId="26537" xr:uid="{00000000-0005-0000-0000-0000D1620000}"/>
    <cellStyle name="SAPBEXHLevel2X 3 3" xfId="24265" xr:uid="{00000000-0005-0000-0000-0000C0620000}"/>
    <cellStyle name="SAPBEXHLevel2X 3 3 2" xfId="25586" xr:uid="{00000000-0005-0000-0000-0000C1620000}"/>
    <cellStyle name="SAPBEXHLevel2X 3 3 2 2" xfId="27741" xr:uid="{00000000-0005-0000-0000-0000D4620000}"/>
    <cellStyle name="SAPBEXHLevel2X 3 3 2 3" xfId="28306" xr:uid="{00000000-0005-0000-0000-00001B650000}"/>
    <cellStyle name="SAPBEXHLevel2X 3 3 2 4" xfId="26817" xr:uid="{00000000-0005-0000-0000-0000D4620000}"/>
    <cellStyle name="SAPBEXHLevel2X 3 3 3" xfId="27121" xr:uid="{00000000-0005-0000-0000-0000D3620000}"/>
    <cellStyle name="SAPBEXHLevel2X 3 3 4" xfId="28305" xr:uid="{00000000-0005-0000-0000-00001A650000}"/>
    <cellStyle name="SAPBEXHLevel2X 3 3 5" xfId="26321" xr:uid="{00000000-0005-0000-0000-0000D3620000}"/>
    <cellStyle name="SAPBEXHLevel2X 3 4" xfId="24652" xr:uid="{00000000-0005-0000-0000-0000C2620000}"/>
    <cellStyle name="SAPBEXHLevel2X 3 4 2" xfId="25333" xr:uid="{00000000-0005-0000-0000-0000C3620000}"/>
    <cellStyle name="SAPBEXHLevel2X 3 4 2 2" xfId="27489" xr:uid="{00000000-0005-0000-0000-0000D6620000}"/>
    <cellStyle name="SAPBEXHLevel2X 3 4 2 3" xfId="28308" xr:uid="{00000000-0005-0000-0000-00001D650000}"/>
    <cellStyle name="SAPBEXHLevel2X 3 4 2 4" xfId="26365" xr:uid="{00000000-0005-0000-0000-0000D6620000}"/>
    <cellStyle name="SAPBEXHLevel2X 3 4 3" xfId="25618" xr:uid="{00000000-0005-0000-0000-0000C4620000}"/>
    <cellStyle name="SAPBEXHLevel2X 3 4 3 2" xfId="27773" xr:uid="{00000000-0005-0000-0000-0000D7620000}"/>
    <cellStyle name="SAPBEXHLevel2X 3 4 3 3" xfId="28309" xr:uid="{00000000-0005-0000-0000-00001E650000}"/>
    <cellStyle name="SAPBEXHLevel2X 3 4 3 4" xfId="26518" xr:uid="{00000000-0005-0000-0000-0000D7620000}"/>
    <cellStyle name="SAPBEXHLevel2X 3 4 4" xfId="27247" xr:uid="{00000000-0005-0000-0000-0000D5620000}"/>
    <cellStyle name="SAPBEXHLevel2X 3 4 5" xfId="28307" xr:uid="{00000000-0005-0000-0000-00001C650000}"/>
    <cellStyle name="SAPBEXHLevel2X 3 4 6" xfId="26713" xr:uid="{00000000-0005-0000-0000-0000D5620000}"/>
    <cellStyle name="SAPBEXHLevel2X 3 5" xfId="25121" xr:uid="{00000000-0005-0000-0000-0000C5620000}"/>
    <cellStyle name="SAPBEXHLevel2X 3 5 2" xfId="25354" xr:uid="{00000000-0005-0000-0000-0000C6620000}"/>
    <cellStyle name="SAPBEXHLevel2X 3 5 2 2" xfId="27510" xr:uid="{00000000-0005-0000-0000-0000D9620000}"/>
    <cellStyle name="SAPBEXHLevel2X 3 5 2 3" xfId="28311" xr:uid="{00000000-0005-0000-0000-000020650000}"/>
    <cellStyle name="SAPBEXHLevel2X 3 5 2 4" xfId="26957" xr:uid="{00000000-0005-0000-0000-0000D9620000}"/>
    <cellStyle name="SAPBEXHLevel2X 3 5 3" xfId="25719" xr:uid="{00000000-0005-0000-0000-0000C7620000}"/>
    <cellStyle name="SAPBEXHLevel2X 3 5 3 2" xfId="27874" xr:uid="{00000000-0005-0000-0000-0000DA620000}"/>
    <cellStyle name="SAPBEXHLevel2X 3 5 3 3" xfId="28312" xr:uid="{00000000-0005-0000-0000-000021650000}"/>
    <cellStyle name="SAPBEXHLevel2X 3 5 3 4" xfId="26515" xr:uid="{00000000-0005-0000-0000-0000DA620000}"/>
    <cellStyle name="SAPBEXHLevel2X 3 5 4" xfId="27408" xr:uid="{00000000-0005-0000-0000-0000D8620000}"/>
    <cellStyle name="SAPBEXHLevel2X 3 5 5" xfId="28310" xr:uid="{00000000-0005-0000-0000-00001F650000}"/>
    <cellStyle name="SAPBEXHLevel2X 3 5 6" xfId="26143" xr:uid="{00000000-0005-0000-0000-0000D8620000}"/>
    <cellStyle name="SAPBEXHLevel2X 3 6" xfId="25858" xr:uid="{00000000-0005-0000-0000-0000D0620000}"/>
    <cellStyle name="SAPBEXHLevel2X 3 7" xfId="28302" xr:uid="{00000000-0005-0000-0000-000017650000}"/>
    <cellStyle name="SAPBEXHLevel2X 3 8" xfId="29216" xr:uid="{00000000-0005-0000-0000-0000D0620000}"/>
    <cellStyle name="SAPBEXHLevel2X 4" xfId="126" xr:uid="{00000000-0005-0000-0000-0000C8620000}"/>
    <cellStyle name="SAPBEXHLevel2X 4 2" xfId="13660" xr:uid="{00000000-0005-0000-0000-0000C9620000}"/>
    <cellStyle name="SAPBEXHLevel2X 4 2 2" xfId="25498" xr:uid="{00000000-0005-0000-0000-0000CA620000}"/>
    <cellStyle name="SAPBEXHLevel2X 4 2 2 2" xfId="27653" xr:uid="{00000000-0005-0000-0000-0000DD620000}"/>
    <cellStyle name="SAPBEXHLevel2X 4 2 2 3" xfId="28315" xr:uid="{00000000-0005-0000-0000-000024650000}"/>
    <cellStyle name="SAPBEXHLevel2X 4 2 2 4" xfId="27350" xr:uid="{00000000-0005-0000-0000-0000DD620000}"/>
    <cellStyle name="SAPBEXHLevel2X 4 2 3" xfId="26604" xr:uid="{00000000-0005-0000-0000-0000DC620000}"/>
    <cellStyle name="SAPBEXHLevel2X 4 2 4" xfId="28314" xr:uid="{00000000-0005-0000-0000-000023650000}"/>
    <cellStyle name="SAPBEXHLevel2X 4 2 5" xfId="27084" xr:uid="{00000000-0005-0000-0000-0000DC620000}"/>
    <cellStyle name="SAPBEXHLevel2X 4 3" xfId="25859" xr:uid="{00000000-0005-0000-0000-0000DB620000}"/>
    <cellStyle name="SAPBEXHLevel2X 4 4" xfId="28313" xr:uid="{00000000-0005-0000-0000-000022650000}"/>
    <cellStyle name="SAPBEXHLevel2X 4 5" xfId="26372" xr:uid="{00000000-0005-0000-0000-0000DB620000}"/>
    <cellStyle name="SAPBEXHLevel2X 5" xfId="255" xr:uid="{00000000-0005-0000-0000-0000CB620000}"/>
    <cellStyle name="SAPBEXHLevel2X 5 2" xfId="13720" xr:uid="{00000000-0005-0000-0000-0000CC620000}"/>
    <cellStyle name="SAPBEXHLevel2X 5 2 2" xfId="25533" xr:uid="{00000000-0005-0000-0000-0000CD620000}"/>
    <cellStyle name="SAPBEXHLevel2X 5 2 2 2" xfId="27688" xr:uid="{00000000-0005-0000-0000-0000E0620000}"/>
    <cellStyle name="SAPBEXHLevel2X 5 2 2 3" xfId="28318" xr:uid="{00000000-0005-0000-0000-000027650000}"/>
    <cellStyle name="SAPBEXHLevel2X 5 2 2 4" xfId="26216" xr:uid="{00000000-0005-0000-0000-0000E0620000}"/>
    <cellStyle name="SAPBEXHLevel2X 5 2 3" xfId="26642" xr:uid="{00000000-0005-0000-0000-0000DF620000}"/>
    <cellStyle name="SAPBEXHLevel2X 5 2 4" xfId="28317" xr:uid="{00000000-0005-0000-0000-000026650000}"/>
    <cellStyle name="SAPBEXHLevel2X 5 2 5" xfId="27010" xr:uid="{00000000-0005-0000-0000-0000DF620000}"/>
    <cellStyle name="SAPBEXHLevel2X 5 3" xfId="25925" xr:uid="{00000000-0005-0000-0000-0000DE620000}"/>
    <cellStyle name="SAPBEXHLevel2X 5 4" xfId="28316" xr:uid="{00000000-0005-0000-0000-000025650000}"/>
    <cellStyle name="SAPBEXHLevel2X 5 5" xfId="27926" xr:uid="{00000000-0005-0000-0000-0000DE620000}"/>
    <cellStyle name="SAPBEXHLevel2X 6" xfId="13657" xr:uid="{00000000-0005-0000-0000-0000CE620000}"/>
    <cellStyle name="SAPBEXHLevel2X 6 2" xfId="25495" xr:uid="{00000000-0005-0000-0000-0000CF620000}"/>
    <cellStyle name="SAPBEXHLevel2X 6 2 2" xfId="27650" xr:uid="{00000000-0005-0000-0000-0000E2620000}"/>
    <cellStyle name="SAPBEXHLevel2X 6 2 3" xfId="28320" xr:uid="{00000000-0005-0000-0000-000029650000}"/>
    <cellStyle name="SAPBEXHLevel2X 6 2 4" xfId="27323" xr:uid="{00000000-0005-0000-0000-0000E2620000}"/>
    <cellStyle name="SAPBEXHLevel2X 6 3" xfId="26601" xr:uid="{00000000-0005-0000-0000-0000E1620000}"/>
    <cellStyle name="SAPBEXHLevel2X 6 4" xfId="28319" xr:uid="{00000000-0005-0000-0000-000028650000}"/>
    <cellStyle name="SAPBEXHLevel2X 6 5" xfId="26354" xr:uid="{00000000-0005-0000-0000-0000E1620000}"/>
    <cellStyle name="SAPBEXHLevel2X 7" xfId="24654" xr:uid="{00000000-0005-0000-0000-0000D0620000}"/>
    <cellStyle name="SAPBEXHLevel2X 7 2" xfId="25350" xr:uid="{00000000-0005-0000-0000-0000D1620000}"/>
    <cellStyle name="SAPBEXHLevel2X 7 2 2" xfId="27506" xr:uid="{00000000-0005-0000-0000-0000E4620000}"/>
    <cellStyle name="SAPBEXHLevel2X 7 2 3" xfId="28322" xr:uid="{00000000-0005-0000-0000-00002B650000}"/>
    <cellStyle name="SAPBEXHLevel2X 7 2 4" xfId="26208" xr:uid="{00000000-0005-0000-0000-0000E4620000}"/>
    <cellStyle name="SAPBEXHLevel2X 7 3" xfId="25620" xr:uid="{00000000-0005-0000-0000-0000D2620000}"/>
    <cellStyle name="SAPBEXHLevel2X 7 3 2" xfId="27775" xr:uid="{00000000-0005-0000-0000-0000E5620000}"/>
    <cellStyle name="SAPBEXHLevel2X 7 3 3" xfId="28323" xr:uid="{00000000-0005-0000-0000-00002C650000}"/>
    <cellStyle name="SAPBEXHLevel2X 7 3 4" xfId="26890" xr:uid="{00000000-0005-0000-0000-0000E5620000}"/>
    <cellStyle name="SAPBEXHLevel2X 7 4" xfId="27249" xr:uid="{00000000-0005-0000-0000-0000E3620000}"/>
    <cellStyle name="SAPBEXHLevel2X 7 5" xfId="28321" xr:uid="{00000000-0005-0000-0000-00002A650000}"/>
    <cellStyle name="SAPBEXHLevel2X 7 6" xfId="26117" xr:uid="{00000000-0005-0000-0000-0000E3620000}"/>
    <cellStyle name="SAPBEXHLevel2X 8" xfId="25119" xr:uid="{00000000-0005-0000-0000-0000D3620000}"/>
    <cellStyle name="SAPBEXHLevel2X 8 2" xfId="25337" xr:uid="{00000000-0005-0000-0000-0000D4620000}"/>
    <cellStyle name="SAPBEXHLevel2X 8 2 2" xfId="27493" xr:uid="{00000000-0005-0000-0000-0000E7620000}"/>
    <cellStyle name="SAPBEXHLevel2X 8 2 3" xfId="28325" xr:uid="{00000000-0005-0000-0000-00002E650000}"/>
    <cellStyle name="SAPBEXHLevel2X 8 2 4" xfId="26140" xr:uid="{00000000-0005-0000-0000-0000E7620000}"/>
    <cellStyle name="SAPBEXHLevel2X 8 3" xfId="25717" xr:uid="{00000000-0005-0000-0000-0000D5620000}"/>
    <cellStyle name="SAPBEXHLevel2X 8 3 2" xfId="27872" xr:uid="{00000000-0005-0000-0000-0000E8620000}"/>
    <cellStyle name="SAPBEXHLevel2X 8 3 3" xfId="28326" xr:uid="{00000000-0005-0000-0000-00002F650000}"/>
    <cellStyle name="SAPBEXHLevel2X 8 3 4" xfId="26824" xr:uid="{00000000-0005-0000-0000-0000E8620000}"/>
    <cellStyle name="SAPBEXHLevel2X 8 4" xfId="27406" xr:uid="{00000000-0005-0000-0000-0000E6620000}"/>
    <cellStyle name="SAPBEXHLevel2X 8 5" xfId="28324" xr:uid="{00000000-0005-0000-0000-00002D650000}"/>
    <cellStyle name="SAPBEXHLevel2X 8 6" xfId="26828" xr:uid="{00000000-0005-0000-0000-0000E6620000}"/>
    <cellStyle name="SAPBEXHLevel2X 9" xfId="25856" xr:uid="{00000000-0005-0000-0000-0000C4620000}"/>
    <cellStyle name="SAPBEXHLevel3" xfId="127" xr:uid="{00000000-0005-0000-0000-0000D6620000}"/>
    <cellStyle name="SAPBEXHLevel3 10" xfId="28327" xr:uid="{00000000-0005-0000-0000-000030650000}"/>
    <cellStyle name="SAPBEXHLevel3 11" xfId="26728" xr:uid="{00000000-0005-0000-0000-0000E9620000}"/>
    <cellStyle name="SAPBEXHLevel3 2" xfId="128" xr:uid="{00000000-0005-0000-0000-0000D7620000}"/>
    <cellStyle name="SAPBEXHLevel3 2 2" xfId="13662" xr:uid="{00000000-0005-0000-0000-0000D8620000}"/>
    <cellStyle name="SAPBEXHLevel3 2 2 2" xfId="25500" xr:uid="{00000000-0005-0000-0000-0000D9620000}"/>
    <cellStyle name="SAPBEXHLevel3 2 2 2 2" xfId="27655" xr:uid="{00000000-0005-0000-0000-0000EC620000}"/>
    <cellStyle name="SAPBEXHLevel3 2 2 2 3" xfId="28330" xr:uid="{00000000-0005-0000-0000-000033650000}"/>
    <cellStyle name="SAPBEXHLevel3 2 2 2 4" xfId="26784" xr:uid="{00000000-0005-0000-0000-0000EC620000}"/>
    <cellStyle name="SAPBEXHLevel3 2 2 3" xfId="26606" xr:uid="{00000000-0005-0000-0000-0000EB620000}"/>
    <cellStyle name="SAPBEXHLevel3 2 2 4" xfId="28329" xr:uid="{00000000-0005-0000-0000-000032650000}"/>
    <cellStyle name="SAPBEXHLevel3 2 2 5" xfId="26544" xr:uid="{00000000-0005-0000-0000-0000EB620000}"/>
    <cellStyle name="SAPBEXHLevel3 2 3" xfId="24266" xr:uid="{00000000-0005-0000-0000-0000DA620000}"/>
    <cellStyle name="SAPBEXHLevel3 2 3 2" xfId="25587" xr:uid="{00000000-0005-0000-0000-0000DB620000}"/>
    <cellStyle name="SAPBEXHLevel3 2 3 2 2" xfId="27742" xr:uid="{00000000-0005-0000-0000-0000EE620000}"/>
    <cellStyle name="SAPBEXHLevel3 2 3 2 3" xfId="28332" xr:uid="{00000000-0005-0000-0000-000035650000}"/>
    <cellStyle name="SAPBEXHLevel3 2 3 2 4" xfId="26453" xr:uid="{00000000-0005-0000-0000-0000EE620000}"/>
    <cellStyle name="SAPBEXHLevel3 2 3 3" xfId="27122" xr:uid="{00000000-0005-0000-0000-0000ED620000}"/>
    <cellStyle name="SAPBEXHLevel3 2 3 4" xfId="28331" xr:uid="{00000000-0005-0000-0000-000034650000}"/>
    <cellStyle name="SAPBEXHLevel3 2 3 5" xfId="26178" xr:uid="{00000000-0005-0000-0000-0000ED620000}"/>
    <cellStyle name="SAPBEXHLevel3 2 4" xfId="24650" xr:uid="{00000000-0005-0000-0000-0000DC620000}"/>
    <cellStyle name="SAPBEXHLevel3 2 4 2" xfId="25317" xr:uid="{00000000-0005-0000-0000-0000DD620000}"/>
    <cellStyle name="SAPBEXHLevel3 2 4 2 2" xfId="27473" xr:uid="{00000000-0005-0000-0000-0000F0620000}"/>
    <cellStyle name="SAPBEXHLevel3 2 4 2 3" xfId="28334" xr:uid="{00000000-0005-0000-0000-000037650000}"/>
    <cellStyle name="SAPBEXHLevel3 2 4 2 4" xfId="26322" xr:uid="{00000000-0005-0000-0000-0000F0620000}"/>
    <cellStyle name="SAPBEXHLevel3 2 4 3" xfId="25616" xr:uid="{00000000-0005-0000-0000-0000DE620000}"/>
    <cellStyle name="SAPBEXHLevel3 2 4 3 2" xfId="27771" xr:uid="{00000000-0005-0000-0000-0000F1620000}"/>
    <cellStyle name="SAPBEXHLevel3 2 4 3 3" xfId="28335" xr:uid="{00000000-0005-0000-0000-000038650000}"/>
    <cellStyle name="SAPBEXHLevel3 2 4 3 4" xfId="26126" xr:uid="{00000000-0005-0000-0000-0000F1620000}"/>
    <cellStyle name="SAPBEXHLevel3 2 4 4" xfId="27245" xr:uid="{00000000-0005-0000-0000-0000EF620000}"/>
    <cellStyle name="SAPBEXHLevel3 2 4 5" xfId="28333" xr:uid="{00000000-0005-0000-0000-000036650000}"/>
    <cellStyle name="SAPBEXHLevel3 2 4 6" xfId="26781" xr:uid="{00000000-0005-0000-0000-0000EF620000}"/>
    <cellStyle name="SAPBEXHLevel3 2 5" xfId="25123" xr:uid="{00000000-0005-0000-0000-0000DF620000}"/>
    <cellStyle name="SAPBEXHLevel3 2 5 2" xfId="25402" xr:uid="{00000000-0005-0000-0000-0000E0620000}"/>
    <cellStyle name="SAPBEXHLevel3 2 5 2 2" xfId="27558" xr:uid="{00000000-0005-0000-0000-0000F3620000}"/>
    <cellStyle name="SAPBEXHLevel3 2 5 2 3" xfId="28337" xr:uid="{00000000-0005-0000-0000-00003A650000}"/>
    <cellStyle name="SAPBEXHLevel3 2 5 2 4" xfId="26991" xr:uid="{00000000-0005-0000-0000-0000F3620000}"/>
    <cellStyle name="SAPBEXHLevel3 2 5 3" xfId="25721" xr:uid="{00000000-0005-0000-0000-0000E1620000}"/>
    <cellStyle name="SAPBEXHLevel3 2 5 3 2" xfId="27876" xr:uid="{00000000-0005-0000-0000-0000F4620000}"/>
    <cellStyle name="SAPBEXHLevel3 2 5 3 3" xfId="28338" xr:uid="{00000000-0005-0000-0000-00003B650000}"/>
    <cellStyle name="SAPBEXHLevel3 2 5 3 4" xfId="26132" xr:uid="{00000000-0005-0000-0000-0000F4620000}"/>
    <cellStyle name="SAPBEXHLevel3 2 5 4" xfId="27410" xr:uid="{00000000-0005-0000-0000-0000F2620000}"/>
    <cellStyle name="SAPBEXHLevel3 2 5 5" xfId="28336" xr:uid="{00000000-0005-0000-0000-000039650000}"/>
    <cellStyle name="SAPBEXHLevel3 2 5 6" xfId="26960" xr:uid="{00000000-0005-0000-0000-0000F2620000}"/>
    <cellStyle name="SAPBEXHLevel3 2 6" xfId="25861" xr:uid="{00000000-0005-0000-0000-0000EA620000}"/>
    <cellStyle name="SAPBEXHLevel3 2 7" xfId="28328" xr:uid="{00000000-0005-0000-0000-000031650000}"/>
    <cellStyle name="SAPBEXHLevel3 2 8" xfId="26805" xr:uid="{00000000-0005-0000-0000-0000EA620000}"/>
    <cellStyle name="SAPBEXHLevel3 3" xfId="129" xr:uid="{00000000-0005-0000-0000-0000E2620000}"/>
    <cellStyle name="SAPBEXHLevel3 3 2" xfId="13663" xr:uid="{00000000-0005-0000-0000-0000E3620000}"/>
    <cellStyle name="SAPBEXHLevel3 3 2 2" xfId="25501" xr:uid="{00000000-0005-0000-0000-0000E4620000}"/>
    <cellStyle name="SAPBEXHLevel3 3 2 2 2" xfId="27656" xr:uid="{00000000-0005-0000-0000-0000F7620000}"/>
    <cellStyle name="SAPBEXHLevel3 3 2 2 3" xfId="28341" xr:uid="{00000000-0005-0000-0000-00003E650000}"/>
    <cellStyle name="SAPBEXHLevel3 3 2 2 4" xfId="26542" xr:uid="{00000000-0005-0000-0000-0000F7620000}"/>
    <cellStyle name="SAPBEXHLevel3 3 2 3" xfId="26607" xr:uid="{00000000-0005-0000-0000-0000F6620000}"/>
    <cellStyle name="SAPBEXHLevel3 3 2 4" xfId="28340" xr:uid="{00000000-0005-0000-0000-00003D650000}"/>
    <cellStyle name="SAPBEXHLevel3 3 2 5" xfId="26714" xr:uid="{00000000-0005-0000-0000-0000F6620000}"/>
    <cellStyle name="SAPBEXHLevel3 3 3" xfId="24267" xr:uid="{00000000-0005-0000-0000-0000E5620000}"/>
    <cellStyle name="SAPBEXHLevel3 3 3 2" xfId="25588" xr:uid="{00000000-0005-0000-0000-0000E6620000}"/>
    <cellStyle name="SAPBEXHLevel3 3 3 2 2" xfId="27743" xr:uid="{00000000-0005-0000-0000-0000F9620000}"/>
    <cellStyle name="SAPBEXHLevel3 3 3 2 3" xfId="28343" xr:uid="{00000000-0005-0000-0000-000040650000}"/>
    <cellStyle name="SAPBEXHLevel3 3 3 2 4" xfId="26690" xr:uid="{00000000-0005-0000-0000-0000F9620000}"/>
    <cellStyle name="SAPBEXHLevel3 3 3 3" xfId="27123" xr:uid="{00000000-0005-0000-0000-0000F8620000}"/>
    <cellStyle name="SAPBEXHLevel3 3 3 4" xfId="28342" xr:uid="{00000000-0005-0000-0000-00003F650000}"/>
    <cellStyle name="SAPBEXHLevel3 3 3 5" xfId="26290" xr:uid="{00000000-0005-0000-0000-0000F8620000}"/>
    <cellStyle name="SAPBEXHLevel3 3 4" xfId="24649" xr:uid="{00000000-0005-0000-0000-0000E7620000}"/>
    <cellStyle name="SAPBEXHLevel3 3 4 2" xfId="25405" xr:uid="{00000000-0005-0000-0000-0000E8620000}"/>
    <cellStyle name="SAPBEXHLevel3 3 4 2 2" xfId="27561" xr:uid="{00000000-0005-0000-0000-0000FB620000}"/>
    <cellStyle name="SAPBEXHLevel3 3 4 2 3" xfId="28345" xr:uid="{00000000-0005-0000-0000-000042650000}"/>
    <cellStyle name="SAPBEXHLevel3 3 4 2 4" xfId="26750" xr:uid="{00000000-0005-0000-0000-0000FB620000}"/>
    <cellStyle name="SAPBEXHLevel3 3 4 3" xfId="25615" xr:uid="{00000000-0005-0000-0000-0000E9620000}"/>
    <cellStyle name="SAPBEXHLevel3 3 4 3 2" xfId="27770" xr:uid="{00000000-0005-0000-0000-0000FC620000}"/>
    <cellStyle name="SAPBEXHLevel3 3 4 3 3" xfId="28346" xr:uid="{00000000-0005-0000-0000-000043650000}"/>
    <cellStyle name="SAPBEXHLevel3 3 4 3 4" xfId="26284" xr:uid="{00000000-0005-0000-0000-0000FC620000}"/>
    <cellStyle name="SAPBEXHLevel3 3 4 4" xfId="27244" xr:uid="{00000000-0005-0000-0000-0000FA620000}"/>
    <cellStyle name="SAPBEXHLevel3 3 4 5" xfId="28344" xr:uid="{00000000-0005-0000-0000-000041650000}"/>
    <cellStyle name="SAPBEXHLevel3 3 4 6" xfId="26370" xr:uid="{00000000-0005-0000-0000-0000FA620000}"/>
    <cellStyle name="SAPBEXHLevel3 3 5" xfId="25124" xr:uid="{00000000-0005-0000-0000-0000EA620000}"/>
    <cellStyle name="SAPBEXHLevel3 3 5 2" xfId="25313" xr:uid="{00000000-0005-0000-0000-0000EB620000}"/>
    <cellStyle name="SAPBEXHLevel3 3 5 2 2" xfId="27469" xr:uid="{00000000-0005-0000-0000-0000FE620000}"/>
    <cellStyle name="SAPBEXHLevel3 3 5 2 3" xfId="28348" xr:uid="{00000000-0005-0000-0000-000045650000}"/>
    <cellStyle name="SAPBEXHLevel3 3 5 2 4" xfId="26768" xr:uid="{00000000-0005-0000-0000-0000FE620000}"/>
    <cellStyle name="SAPBEXHLevel3 3 5 3" xfId="25722" xr:uid="{00000000-0005-0000-0000-0000EC620000}"/>
    <cellStyle name="SAPBEXHLevel3 3 5 3 2" xfId="27877" xr:uid="{00000000-0005-0000-0000-0000FF620000}"/>
    <cellStyle name="SAPBEXHLevel3 3 5 3 3" xfId="28349" xr:uid="{00000000-0005-0000-0000-000046650000}"/>
    <cellStyle name="SAPBEXHLevel3 3 5 3 4" xfId="26949" xr:uid="{00000000-0005-0000-0000-0000FF620000}"/>
    <cellStyle name="SAPBEXHLevel3 3 5 4" xfId="27411" xr:uid="{00000000-0005-0000-0000-0000FD620000}"/>
    <cellStyle name="SAPBEXHLevel3 3 5 5" xfId="28347" xr:uid="{00000000-0005-0000-0000-000044650000}"/>
    <cellStyle name="SAPBEXHLevel3 3 5 6" xfId="26252" xr:uid="{00000000-0005-0000-0000-0000FD620000}"/>
    <cellStyle name="SAPBEXHLevel3 3 6" xfId="25862" xr:uid="{00000000-0005-0000-0000-0000F5620000}"/>
    <cellStyle name="SAPBEXHLevel3 3 7" xfId="28339" xr:uid="{00000000-0005-0000-0000-00003C650000}"/>
    <cellStyle name="SAPBEXHLevel3 3 8" xfId="26279" xr:uid="{00000000-0005-0000-0000-0000F5620000}"/>
    <cellStyle name="SAPBEXHLevel3 4" xfId="130" xr:uid="{00000000-0005-0000-0000-0000ED620000}"/>
    <cellStyle name="SAPBEXHLevel3 4 2" xfId="13664" xr:uid="{00000000-0005-0000-0000-0000EE620000}"/>
    <cellStyle name="SAPBEXHLevel3 4 2 2" xfId="25502" xr:uid="{00000000-0005-0000-0000-0000EF620000}"/>
    <cellStyle name="SAPBEXHLevel3 4 2 2 2" xfId="27657" xr:uid="{00000000-0005-0000-0000-000002630000}"/>
    <cellStyle name="SAPBEXHLevel3 4 2 2 3" xfId="28352" xr:uid="{00000000-0005-0000-0000-000049650000}"/>
    <cellStyle name="SAPBEXHLevel3 4 2 2 4" xfId="26711" xr:uid="{00000000-0005-0000-0000-000002630000}"/>
    <cellStyle name="SAPBEXHLevel3 4 2 3" xfId="26608" xr:uid="{00000000-0005-0000-0000-000001630000}"/>
    <cellStyle name="SAPBEXHLevel3 4 2 4" xfId="28351" xr:uid="{00000000-0005-0000-0000-000048650000}"/>
    <cellStyle name="SAPBEXHLevel3 4 2 5" xfId="26533" xr:uid="{00000000-0005-0000-0000-000001630000}"/>
    <cellStyle name="SAPBEXHLevel3 4 3" xfId="25863" xr:uid="{00000000-0005-0000-0000-000000630000}"/>
    <cellStyle name="SAPBEXHLevel3 4 4" xfId="28350" xr:uid="{00000000-0005-0000-0000-000047650000}"/>
    <cellStyle name="SAPBEXHLevel3 4 5" xfId="26874" xr:uid="{00000000-0005-0000-0000-000000630000}"/>
    <cellStyle name="SAPBEXHLevel3 5" xfId="256" xr:uid="{00000000-0005-0000-0000-0000F0620000}"/>
    <cellStyle name="SAPBEXHLevel3 5 2" xfId="13721" xr:uid="{00000000-0005-0000-0000-0000F1620000}"/>
    <cellStyle name="SAPBEXHLevel3 5 2 2" xfId="25534" xr:uid="{00000000-0005-0000-0000-0000F2620000}"/>
    <cellStyle name="SAPBEXHLevel3 5 2 2 2" xfId="27689" xr:uid="{00000000-0005-0000-0000-000005630000}"/>
    <cellStyle name="SAPBEXHLevel3 5 2 2 3" xfId="28355" xr:uid="{00000000-0005-0000-0000-00004C650000}"/>
    <cellStyle name="SAPBEXHLevel3 5 2 2 4" xfId="26369" xr:uid="{00000000-0005-0000-0000-000005630000}"/>
    <cellStyle name="SAPBEXHLevel3 5 2 3" xfId="26643" xr:uid="{00000000-0005-0000-0000-000004630000}"/>
    <cellStyle name="SAPBEXHLevel3 5 2 4" xfId="28354" xr:uid="{00000000-0005-0000-0000-00004B650000}"/>
    <cellStyle name="SAPBEXHLevel3 5 2 5" xfId="26149" xr:uid="{00000000-0005-0000-0000-000004630000}"/>
    <cellStyle name="SAPBEXHLevel3 5 3" xfId="25926" xr:uid="{00000000-0005-0000-0000-000003630000}"/>
    <cellStyle name="SAPBEXHLevel3 5 4" xfId="28353" xr:uid="{00000000-0005-0000-0000-00004A650000}"/>
    <cellStyle name="SAPBEXHLevel3 5 5" xfId="27927" xr:uid="{00000000-0005-0000-0000-000003630000}"/>
    <cellStyle name="SAPBEXHLevel3 6" xfId="13661" xr:uid="{00000000-0005-0000-0000-0000F3620000}"/>
    <cellStyle name="SAPBEXHLevel3 6 2" xfId="25499" xr:uid="{00000000-0005-0000-0000-0000F4620000}"/>
    <cellStyle name="SAPBEXHLevel3 6 2 2" xfId="27654" xr:uid="{00000000-0005-0000-0000-000007630000}"/>
    <cellStyle name="SAPBEXHLevel3 6 2 3" xfId="28357" xr:uid="{00000000-0005-0000-0000-00004E650000}"/>
    <cellStyle name="SAPBEXHLevel3 6 2 4" xfId="26796" xr:uid="{00000000-0005-0000-0000-000007630000}"/>
    <cellStyle name="SAPBEXHLevel3 6 3" xfId="26605" xr:uid="{00000000-0005-0000-0000-000006630000}"/>
    <cellStyle name="SAPBEXHLevel3 6 4" xfId="28356" xr:uid="{00000000-0005-0000-0000-00004D650000}"/>
    <cellStyle name="SAPBEXHLevel3 6 5" xfId="26395" xr:uid="{00000000-0005-0000-0000-000006630000}"/>
    <cellStyle name="SAPBEXHLevel3 7" xfId="24651" xr:uid="{00000000-0005-0000-0000-0000F5620000}"/>
    <cellStyle name="SAPBEXHLevel3 7 2" xfId="25418" xr:uid="{00000000-0005-0000-0000-0000F6620000}"/>
    <cellStyle name="SAPBEXHLevel3 7 2 2" xfId="27574" xr:uid="{00000000-0005-0000-0000-000009630000}"/>
    <cellStyle name="SAPBEXHLevel3 7 2 3" xfId="28359" xr:uid="{00000000-0005-0000-0000-000050650000}"/>
    <cellStyle name="SAPBEXHLevel3 7 2 4" xfId="26387" xr:uid="{00000000-0005-0000-0000-000009630000}"/>
    <cellStyle name="SAPBEXHLevel3 7 3" xfId="25617" xr:uid="{00000000-0005-0000-0000-0000F7620000}"/>
    <cellStyle name="SAPBEXHLevel3 7 3 2" xfId="27772" xr:uid="{00000000-0005-0000-0000-00000A630000}"/>
    <cellStyle name="SAPBEXHLevel3 7 3 3" xfId="28360" xr:uid="{00000000-0005-0000-0000-000051650000}"/>
    <cellStyle name="SAPBEXHLevel3 7 3 4" xfId="27044" xr:uid="{00000000-0005-0000-0000-00000A630000}"/>
    <cellStyle name="SAPBEXHLevel3 7 4" xfId="27246" xr:uid="{00000000-0005-0000-0000-000008630000}"/>
    <cellStyle name="SAPBEXHLevel3 7 5" xfId="28358" xr:uid="{00000000-0005-0000-0000-00004F650000}"/>
    <cellStyle name="SAPBEXHLevel3 7 6" xfId="26438" xr:uid="{00000000-0005-0000-0000-000008630000}"/>
    <cellStyle name="SAPBEXHLevel3 8" xfId="25122" xr:uid="{00000000-0005-0000-0000-0000F8620000}"/>
    <cellStyle name="SAPBEXHLevel3 8 2" xfId="25388" xr:uid="{00000000-0005-0000-0000-0000F9620000}"/>
    <cellStyle name="SAPBEXHLevel3 8 2 2" xfId="27544" xr:uid="{00000000-0005-0000-0000-00000C630000}"/>
    <cellStyle name="SAPBEXHLevel3 8 2 3" xfId="28362" xr:uid="{00000000-0005-0000-0000-000053650000}"/>
    <cellStyle name="SAPBEXHLevel3 8 2 4" xfId="26169" xr:uid="{00000000-0005-0000-0000-00000C630000}"/>
    <cellStyle name="SAPBEXHLevel3 8 3" xfId="25720" xr:uid="{00000000-0005-0000-0000-0000FA620000}"/>
    <cellStyle name="SAPBEXHLevel3 8 3 2" xfId="27875" xr:uid="{00000000-0005-0000-0000-00000D630000}"/>
    <cellStyle name="SAPBEXHLevel3 8 3 3" xfId="28363" xr:uid="{00000000-0005-0000-0000-000054650000}"/>
    <cellStyle name="SAPBEXHLevel3 8 3 4" xfId="27009" xr:uid="{00000000-0005-0000-0000-00000D630000}"/>
    <cellStyle name="SAPBEXHLevel3 8 4" xfId="27409" xr:uid="{00000000-0005-0000-0000-00000B630000}"/>
    <cellStyle name="SAPBEXHLevel3 8 5" xfId="28361" xr:uid="{00000000-0005-0000-0000-000052650000}"/>
    <cellStyle name="SAPBEXHLevel3 8 6" xfId="27013" xr:uid="{00000000-0005-0000-0000-00000B630000}"/>
    <cellStyle name="SAPBEXHLevel3 9" xfId="25860" xr:uid="{00000000-0005-0000-0000-0000E9620000}"/>
    <cellStyle name="SAPBEXHLevel3X" xfId="131" xr:uid="{00000000-0005-0000-0000-0000FB620000}"/>
    <cellStyle name="SAPBEXHLevel3X 10" xfId="28364" xr:uid="{00000000-0005-0000-0000-000055650000}"/>
    <cellStyle name="SAPBEXHLevel3X 11" xfId="26348" xr:uid="{00000000-0005-0000-0000-00000E630000}"/>
    <cellStyle name="SAPBEXHLevel3X 2" xfId="132" xr:uid="{00000000-0005-0000-0000-0000FC620000}"/>
    <cellStyle name="SAPBEXHLevel3X 2 2" xfId="13666" xr:uid="{00000000-0005-0000-0000-0000FD620000}"/>
    <cellStyle name="SAPBEXHLevel3X 2 2 2" xfId="25504" xr:uid="{00000000-0005-0000-0000-0000FE620000}"/>
    <cellStyle name="SAPBEXHLevel3X 2 2 2 2" xfId="27659" xr:uid="{00000000-0005-0000-0000-000011630000}"/>
    <cellStyle name="SAPBEXHLevel3X 2 2 2 3" xfId="28367" xr:uid="{00000000-0005-0000-0000-000058650000}"/>
    <cellStyle name="SAPBEXHLevel3X 2 2 2 4" xfId="26990" xr:uid="{00000000-0005-0000-0000-000011630000}"/>
    <cellStyle name="SAPBEXHLevel3X 2 2 3" xfId="26610" xr:uid="{00000000-0005-0000-0000-000010630000}"/>
    <cellStyle name="SAPBEXHLevel3X 2 2 4" xfId="28366" xr:uid="{00000000-0005-0000-0000-000057650000}"/>
    <cellStyle name="SAPBEXHLevel3X 2 2 5" xfId="26391" xr:uid="{00000000-0005-0000-0000-000010630000}"/>
    <cellStyle name="SAPBEXHLevel3X 2 3" xfId="24268" xr:uid="{00000000-0005-0000-0000-0000FF620000}"/>
    <cellStyle name="SAPBEXHLevel3X 2 3 2" xfId="25589" xr:uid="{00000000-0005-0000-0000-000000630000}"/>
    <cellStyle name="SAPBEXHLevel3X 2 3 2 2" xfId="27744" xr:uid="{00000000-0005-0000-0000-000013630000}"/>
    <cellStyle name="SAPBEXHLevel3X 2 3 2 3" xfId="28369" xr:uid="{00000000-0005-0000-0000-00005A650000}"/>
    <cellStyle name="SAPBEXHLevel3X 2 3 2 4" xfId="26924" xr:uid="{00000000-0005-0000-0000-000013630000}"/>
    <cellStyle name="SAPBEXHLevel3X 2 3 3" xfId="27124" xr:uid="{00000000-0005-0000-0000-000012630000}"/>
    <cellStyle name="SAPBEXHLevel3X 2 3 4" xfId="28368" xr:uid="{00000000-0005-0000-0000-000059650000}"/>
    <cellStyle name="SAPBEXHLevel3X 2 3 5" xfId="27166" xr:uid="{00000000-0005-0000-0000-000012630000}"/>
    <cellStyle name="SAPBEXHLevel3X 2 4" xfId="24647" xr:uid="{00000000-0005-0000-0000-000001630000}"/>
    <cellStyle name="SAPBEXHLevel3X 2 4 2" xfId="25358" xr:uid="{00000000-0005-0000-0000-000002630000}"/>
    <cellStyle name="SAPBEXHLevel3X 2 4 2 2" xfId="27514" xr:uid="{00000000-0005-0000-0000-000015630000}"/>
    <cellStyle name="SAPBEXHLevel3X 2 4 2 3" xfId="28371" xr:uid="{00000000-0005-0000-0000-00005C650000}"/>
    <cellStyle name="SAPBEXHLevel3X 2 4 2 4" xfId="26139" xr:uid="{00000000-0005-0000-0000-000015630000}"/>
    <cellStyle name="SAPBEXHLevel3X 2 4 3" xfId="25613" xr:uid="{00000000-0005-0000-0000-000003630000}"/>
    <cellStyle name="SAPBEXHLevel3X 2 4 3 2" xfId="27768" xr:uid="{00000000-0005-0000-0000-000016630000}"/>
    <cellStyle name="SAPBEXHLevel3X 2 4 3 3" xfId="28372" xr:uid="{00000000-0005-0000-0000-00005D650000}"/>
    <cellStyle name="SAPBEXHLevel3X 2 4 3 4" xfId="26418" xr:uid="{00000000-0005-0000-0000-000016630000}"/>
    <cellStyle name="SAPBEXHLevel3X 2 4 4" xfId="27242" xr:uid="{00000000-0005-0000-0000-000014630000}"/>
    <cellStyle name="SAPBEXHLevel3X 2 4 5" xfId="28370" xr:uid="{00000000-0005-0000-0000-00005B650000}"/>
    <cellStyle name="SAPBEXHLevel3X 2 4 6" xfId="26147" xr:uid="{00000000-0005-0000-0000-000014630000}"/>
    <cellStyle name="SAPBEXHLevel3X 2 5" xfId="25126" xr:uid="{00000000-0005-0000-0000-000004630000}"/>
    <cellStyle name="SAPBEXHLevel3X 2 5 2" xfId="25327" xr:uid="{00000000-0005-0000-0000-000005630000}"/>
    <cellStyle name="SAPBEXHLevel3X 2 5 2 2" xfId="27483" xr:uid="{00000000-0005-0000-0000-000018630000}"/>
    <cellStyle name="SAPBEXHLevel3X 2 5 2 3" xfId="28374" xr:uid="{00000000-0005-0000-0000-00005F650000}"/>
    <cellStyle name="SAPBEXHLevel3X 2 5 2 4" xfId="27086" xr:uid="{00000000-0005-0000-0000-000018630000}"/>
    <cellStyle name="SAPBEXHLevel3X 2 5 3" xfId="25724" xr:uid="{00000000-0005-0000-0000-000006630000}"/>
    <cellStyle name="SAPBEXHLevel3X 2 5 3 2" xfId="27879" xr:uid="{00000000-0005-0000-0000-000019630000}"/>
    <cellStyle name="SAPBEXHLevel3X 2 5 3 3" xfId="28375" xr:uid="{00000000-0005-0000-0000-000060650000}"/>
    <cellStyle name="SAPBEXHLevel3X 2 5 3 4" xfId="26469" xr:uid="{00000000-0005-0000-0000-000019630000}"/>
    <cellStyle name="SAPBEXHLevel3X 2 5 4" xfId="27413" xr:uid="{00000000-0005-0000-0000-000017630000}"/>
    <cellStyle name="SAPBEXHLevel3X 2 5 5" xfId="28373" xr:uid="{00000000-0005-0000-0000-00005E650000}"/>
    <cellStyle name="SAPBEXHLevel3X 2 5 6" xfId="27351" xr:uid="{00000000-0005-0000-0000-000017630000}"/>
    <cellStyle name="SAPBEXHLevel3X 2 6" xfId="25865" xr:uid="{00000000-0005-0000-0000-00000F630000}"/>
    <cellStyle name="SAPBEXHLevel3X 2 7" xfId="28365" xr:uid="{00000000-0005-0000-0000-000056650000}"/>
    <cellStyle name="SAPBEXHLevel3X 2 8" xfId="26940" xr:uid="{00000000-0005-0000-0000-00000F630000}"/>
    <cellStyle name="SAPBEXHLevel3X 3" xfId="133" xr:uid="{00000000-0005-0000-0000-000007630000}"/>
    <cellStyle name="SAPBEXHLevel3X 3 2" xfId="13667" xr:uid="{00000000-0005-0000-0000-000008630000}"/>
    <cellStyle name="SAPBEXHLevel3X 3 2 2" xfId="25505" xr:uid="{00000000-0005-0000-0000-000009630000}"/>
    <cellStyle name="SAPBEXHLevel3X 3 2 2 2" xfId="27660" xr:uid="{00000000-0005-0000-0000-00001C630000}"/>
    <cellStyle name="SAPBEXHLevel3X 3 2 2 3" xfId="28378" xr:uid="{00000000-0005-0000-0000-000063650000}"/>
    <cellStyle name="SAPBEXHLevel3X 3 2 2 4" xfId="26389" xr:uid="{00000000-0005-0000-0000-00001C630000}"/>
    <cellStyle name="SAPBEXHLevel3X 3 2 3" xfId="26611" xr:uid="{00000000-0005-0000-0000-00001B630000}"/>
    <cellStyle name="SAPBEXHLevel3X 3 2 4" xfId="28377" xr:uid="{00000000-0005-0000-0000-000062650000}"/>
    <cellStyle name="SAPBEXHLevel3X 3 2 5" xfId="26229" xr:uid="{00000000-0005-0000-0000-00001B630000}"/>
    <cellStyle name="SAPBEXHLevel3X 3 3" xfId="24269" xr:uid="{00000000-0005-0000-0000-00000A630000}"/>
    <cellStyle name="SAPBEXHLevel3X 3 3 2" xfId="25590" xr:uid="{00000000-0005-0000-0000-00000B630000}"/>
    <cellStyle name="SAPBEXHLevel3X 3 3 2 2" xfId="27745" xr:uid="{00000000-0005-0000-0000-00001E630000}"/>
    <cellStyle name="SAPBEXHLevel3X 3 3 2 3" xfId="28380" xr:uid="{00000000-0005-0000-0000-000065650000}"/>
    <cellStyle name="SAPBEXHLevel3X 3 3 2 4" xfId="26858" xr:uid="{00000000-0005-0000-0000-00001E630000}"/>
    <cellStyle name="SAPBEXHLevel3X 3 3 3" xfId="27125" xr:uid="{00000000-0005-0000-0000-00001D630000}"/>
    <cellStyle name="SAPBEXHLevel3X 3 3 4" xfId="28379" xr:uid="{00000000-0005-0000-0000-000064650000}"/>
    <cellStyle name="SAPBEXHLevel3X 3 3 5" xfId="26222" xr:uid="{00000000-0005-0000-0000-00001D630000}"/>
    <cellStyle name="SAPBEXHLevel3X 3 4" xfId="24646" xr:uid="{00000000-0005-0000-0000-00000C630000}"/>
    <cellStyle name="SAPBEXHLevel3X 3 4 2" xfId="25442" xr:uid="{00000000-0005-0000-0000-00000D630000}"/>
    <cellStyle name="SAPBEXHLevel3X 3 4 2 2" xfId="27598" xr:uid="{00000000-0005-0000-0000-000020630000}"/>
    <cellStyle name="SAPBEXHLevel3X 3 4 2 3" xfId="28382" xr:uid="{00000000-0005-0000-0000-000067650000}"/>
    <cellStyle name="SAPBEXHLevel3X 3 4 2 4" xfId="27056" xr:uid="{00000000-0005-0000-0000-000020630000}"/>
    <cellStyle name="SAPBEXHLevel3X 3 4 3" xfId="25612" xr:uid="{00000000-0005-0000-0000-00000E630000}"/>
    <cellStyle name="SAPBEXHLevel3X 3 4 3 2" xfId="27767" xr:uid="{00000000-0005-0000-0000-000021630000}"/>
    <cellStyle name="SAPBEXHLevel3X 3 4 3 3" xfId="28383" xr:uid="{00000000-0005-0000-0000-000068650000}"/>
    <cellStyle name="SAPBEXHLevel3X 3 4 3 4" xfId="26930" xr:uid="{00000000-0005-0000-0000-000021630000}"/>
    <cellStyle name="SAPBEXHLevel3X 3 4 4" xfId="27241" xr:uid="{00000000-0005-0000-0000-00001F630000}"/>
    <cellStyle name="SAPBEXHLevel3X 3 4 5" xfId="28381" xr:uid="{00000000-0005-0000-0000-000066650000}"/>
    <cellStyle name="SAPBEXHLevel3X 3 4 6" xfId="26460" xr:uid="{00000000-0005-0000-0000-00001F630000}"/>
    <cellStyle name="SAPBEXHLevel3X 3 5" xfId="25127" xr:uid="{00000000-0005-0000-0000-00000F630000}"/>
    <cellStyle name="SAPBEXHLevel3X 3 5 2" xfId="25428" xr:uid="{00000000-0005-0000-0000-000010630000}"/>
    <cellStyle name="SAPBEXHLevel3X 3 5 2 2" xfId="27584" xr:uid="{00000000-0005-0000-0000-000023630000}"/>
    <cellStyle name="SAPBEXHLevel3X 3 5 2 3" xfId="28385" xr:uid="{00000000-0005-0000-0000-00006A650000}"/>
    <cellStyle name="SAPBEXHLevel3X 3 5 2 4" xfId="26105" xr:uid="{00000000-0005-0000-0000-000023630000}"/>
    <cellStyle name="SAPBEXHLevel3X 3 5 3" xfId="25725" xr:uid="{00000000-0005-0000-0000-000011630000}"/>
    <cellStyle name="SAPBEXHLevel3X 3 5 3 2" xfId="27880" xr:uid="{00000000-0005-0000-0000-000024630000}"/>
    <cellStyle name="SAPBEXHLevel3X 3 5 3 3" xfId="28386" xr:uid="{00000000-0005-0000-0000-00006B650000}"/>
    <cellStyle name="SAPBEXHLevel3X 3 5 3 4" xfId="26510" xr:uid="{00000000-0005-0000-0000-000024630000}"/>
    <cellStyle name="SAPBEXHLevel3X 3 5 4" xfId="27414" xr:uid="{00000000-0005-0000-0000-000022630000}"/>
    <cellStyle name="SAPBEXHLevel3X 3 5 5" xfId="28384" xr:uid="{00000000-0005-0000-0000-000069650000}"/>
    <cellStyle name="SAPBEXHLevel3X 3 5 6" xfId="26498" xr:uid="{00000000-0005-0000-0000-000022630000}"/>
    <cellStyle name="SAPBEXHLevel3X 3 6" xfId="25866" xr:uid="{00000000-0005-0000-0000-00001A630000}"/>
    <cellStyle name="SAPBEXHLevel3X 3 7" xfId="28376" xr:uid="{00000000-0005-0000-0000-000061650000}"/>
    <cellStyle name="SAPBEXHLevel3X 3 8" xfId="26415" xr:uid="{00000000-0005-0000-0000-00001A630000}"/>
    <cellStyle name="SAPBEXHLevel3X 4" xfId="134" xr:uid="{00000000-0005-0000-0000-000012630000}"/>
    <cellStyle name="SAPBEXHLevel3X 4 2" xfId="13668" xr:uid="{00000000-0005-0000-0000-000013630000}"/>
    <cellStyle name="SAPBEXHLevel3X 4 2 2" xfId="25506" xr:uid="{00000000-0005-0000-0000-000014630000}"/>
    <cellStyle name="SAPBEXHLevel3X 4 2 2 2" xfId="27661" xr:uid="{00000000-0005-0000-0000-000027630000}"/>
    <cellStyle name="SAPBEXHLevel3X 4 2 2 3" xfId="28389" xr:uid="{00000000-0005-0000-0000-00006E650000}"/>
    <cellStyle name="SAPBEXHLevel3X 4 2 2 4" xfId="26129" xr:uid="{00000000-0005-0000-0000-000027630000}"/>
    <cellStyle name="SAPBEXHLevel3X 4 2 3" xfId="26612" xr:uid="{00000000-0005-0000-0000-000026630000}"/>
    <cellStyle name="SAPBEXHLevel3X 4 2 4" xfId="28388" xr:uid="{00000000-0005-0000-0000-00006D650000}"/>
    <cellStyle name="SAPBEXHLevel3X 4 2 5" xfId="26358" xr:uid="{00000000-0005-0000-0000-000026630000}"/>
    <cellStyle name="SAPBEXHLevel3X 4 3" xfId="25867" xr:uid="{00000000-0005-0000-0000-000025630000}"/>
    <cellStyle name="SAPBEXHLevel3X 4 4" xfId="28387" xr:uid="{00000000-0005-0000-0000-00006C650000}"/>
    <cellStyle name="SAPBEXHLevel3X 4 5" xfId="26998" xr:uid="{00000000-0005-0000-0000-000025630000}"/>
    <cellStyle name="SAPBEXHLevel3X 5" xfId="257" xr:uid="{00000000-0005-0000-0000-000015630000}"/>
    <cellStyle name="SAPBEXHLevel3X 5 2" xfId="13722" xr:uid="{00000000-0005-0000-0000-000016630000}"/>
    <cellStyle name="SAPBEXHLevel3X 5 2 2" xfId="25535" xr:uid="{00000000-0005-0000-0000-000017630000}"/>
    <cellStyle name="SAPBEXHLevel3X 5 2 2 2" xfId="27690" xr:uid="{00000000-0005-0000-0000-00002A630000}"/>
    <cellStyle name="SAPBEXHLevel3X 5 2 2 3" xfId="28392" xr:uid="{00000000-0005-0000-0000-000071650000}"/>
    <cellStyle name="SAPBEXHLevel3X 5 2 2 4" xfId="26539" xr:uid="{00000000-0005-0000-0000-00002A630000}"/>
    <cellStyle name="SAPBEXHLevel3X 5 2 3" xfId="26644" xr:uid="{00000000-0005-0000-0000-000029630000}"/>
    <cellStyle name="SAPBEXHLevel3X 5 2 4" xfId="28391" xr:uid="{00000000-0005-0000-0000-000070650000}"/>
    <cellStyle name="SAPBEXHLevel3X 5 2 5" xfId="26249" xr:uid="{00000000-0005-0000-0000-000029630000}"/>
    <cellStyle name="SAPBEXHLevel3X 5 3" xfId="25927" xr:uid="{00000000-0005-0000-0000-000028630000}"/>
    <cellStyle name="SAPBEXHLevel3X 5 4" xfId="28390" xr:uid="{00000000-0005-0000-0000-00006F650000}"/>
    <cellStyle name="SAPBEXHLevel3X 5 5" xfId="27928" xr:uid="{00000000-0005-0000-0000-000028630000}"/>
    <cellStyle name="SAPBEXHLevel3X 6" xfId="13665" xr:uid="{00000000-0005-0000-0000-000018630000}"/>
    <cellStyle name="SAPBEXHLevel3X 6 2" xfId="25503" xr:uid="{00000000-0005-0000-0000-000019630000}"/>
    <cellStyle name="SAPBEXHLevel3X 6 2 2" xfId="27658" xr:uid="{00000000-0005-0000-0000-00002C630000}"/>
    <cellStyle name="SAPBEXHLevel3X 6 2 3" xfId="28394" xr:uid="{00000000-0005-0000-0000-000073650000}"/>
    <cellStyle name="SAPBEXHLevel3X 6 2 4" xfId="26807" xr:uid="{00000000-0005-0000-0000-00002C630000}"/>
    <cellStyle name="SAPBEXHLevel3X 6 3" xfId="26609" xr:uid="{00000000-0005-0000-0000-00002B630000}"/>
    <cellStyle name="SAPBEXHLevel3X 6 4" xfId="28393" xr:uid="{00000000-0005-0000-0000-000072650000}"/>
    <cellStyle name="SAPBEXHLevel3X 6 5" xfId="26122" xr:uid="{00000000-0005-0000-0000-00002B630000}"/>
    <cellStyle name="SAPBEXHLevel3X 7" xfId="24648" xr:uid="{00000000-0005-0000-0000-00001A630000}"/>
    <cellStyle name="SAPBEXHLevel3X 7 2" xfId="25392" xr:uid="{00000000-0005-0000-0000-00001B630000}"/>
    <cellStyle name="SAPBEXHLevel3X 7 2 2" xfId="27548" xr:uid="{00000000-0005-0000-0000-00002E630000}"/>
    <cellStyle name="SAPBEXHLevel3X 7 2 3" xfId="28396" xr:uid="{00000000-0005-0000-0000-000075650000}"/>
    <cellStyle name="SAPBEXHLevel3X 7 2 4" xfId="26529" xr:uid="{00000000-0005-0000-0000-00002E630000}"/>
    <cellStyle name="SAPBEXHLevel3X 7 3" xfId="25614" xr:uid="{00000000-0005-0000-0000-00001C630000}"/>
    <cellStyle name="SAPBEXHLevel3X 7 3 2" xfId="27769" xr:uid="{00000000-0005-0000-0000-00002F630000}"/>
    <cellStyle name="SAPBEXHLevel3X 7 3 3" xfId="28397" xr:uid="{00000000-0005-0000-0000-000076650000}"/>
    <cellStyle name="SAPBEXHLevel3X 7 3 4" xfId="26894" xr:uid="{00000000-0005-0000-0000-00002F630000}"/>
    <cellStyle name="SAPBEXHLevel3X 7 4" xfId="27243" xr:uid="{00000000-0005-0000-0000-00002D630000}"/>
    <cellStyle name="SAPBEXHLevel3X 7 5" xfId="28395" xr:uid="{00000000-0005-0000-0000-000074650000}"/>
    <cellStyle name="SAPBEXHLevel3X 7 6" xfId="26428" xr:uid="{00000000-0005-0000-0000-00002D630000}"/>
    <cellStyle name="SAPBEXHLevel3X 8" xfId="25125" xr:uid="{00000000-0005-0000-0000-00001D630000}"/>
    <cellStyle name="SAPBEXHLevel3X 8 2" xfId="25414" xr:uid="{00000000-0005-0000-0000-00001E630000}"/>
    <cellStyle name="SAPBEXHLevel3X 8 2 2" xfId="27570" xr:uid="{00000000-0005-0000-0000-000031630000}"/>
    <cellStyle name="SAPBEXHLevel3X 8 2 3" xfId="28399" xr:uid="{00000000-0005-0000-0000-000078650000}"/>
    <cellStyle name="SAPBEXHLevel3X 8 2 4" xfId="26412" xr:uid="{00000000-0005-0000-0000-000031630000}"/>
    <cellStyle name="SAPBEXHLevel3X 8 3" xfId="25723" xr:uid="{00000000-0005-0000-0000-00001F630000}"/>
    <cellStyle name="SAPBEXHLevel3X 8 3 2" xfId="27878" xr:uid="{00000000-0005-0000-0000-000032630000}"/>
    <cellStyle name="SAPBEXHLevel3X 8 3 3" xfId="28400" xr:uid="{00000000-0005-0000-0000-000079650000}"/>
    <cellStyle name="SAPBEXHLevel3X 8 3 4" xfId="26561" xr:uid="{00000000-0005-0000-0000-000032630000}"/>
    <cellStyle name="SAPBEXHLevel3X 8 4" xfId="27412" xr:uid="{00000000-0005-0000-0000-000030630000}"/>
    <cellStyle name="SAPBEXHLevel3X 8 5" xfId="28398" xr:uid="{00000000-0005-0000-0000-000077650000}"/>
    <cellStyle name="SAPBEXHLevel3X 8 6" xfId="26891" xr:uid="{00000000-0005-0000-0000-000030630000}"/>
    <cellStyle name="SAPBEXHLevel3X 9" xfId="25864" xr:uid="{00000000-0005-0000-0000-00000E630000}"/>
    <cellStyle name="SAPBEXinputData" xfId="24270" xr:uid="{00000000-0005-0000-0000-000020630000}"/>
    <cellStyle name="SAPBEXinputData 2" xfId="24271" xr:uid="{00000000-0005-0000-0000-000021630000}"/>
    <cellStyle name="SAPBEXinputData 2 2" xfId="24927" xr:uid="{00000000-0005-0000-0000-000022630000}"/>
    <cellStyle name="SAPBEXinputData 2 2 2" xfId="27338" xr:uid="{00000000-0005-0000-0000-000035630000}"/>
    <cellStyle name="SAPBEXinputData 2 3" xfId="27127" xr:uid="{00000000-0005-0000-0000-000034630000}"/>
    <cellStyle name="SAPBEXinputData 3" xfId="24272" xr:uid="{00000000-0005-0000-0000-000023630000}"/>
    <cellStyle name="SAPBEXinputData 3 2" xfId="24924" xr:uid="{00000000-0005-0000-0000-000024630000}"/>
    <cellStyle name="SAPBEXinputData 3 2 2" xfId="27335" xr:uid="{00000000-0005-0000-0000-000037630000}"/>
    <cellStyle name="SAPBEXinputData 3 3" xfId="27128" xr:uid="{00000000-0005-0000-0000-000036630000}"/>
    <cellStyle name="SAPBEXinputData 4" xfId="24771" xr:uid="{00000000-0005-0000-0000-000025630000}"/>
    <cellStyle name="SAPBEXinputData 4 2" xfId="27314" xr:uid="{00000000-0005-0000-0000-000038630000}"/>
    <cellStyle name="SAPBEXinputData 5" xfId="27126" xr:uid="{00000000-0005-0000-0000-000033630000}"/>
    <cellStyle name="SAPBEXresData" xfId="135" xr:uid="{00000000-0005-0000-0000-000026630000}"/>
    <cellStyle name="SAPBEXresData 2" xfId="13669" xr:uid="{00000000-0005-0000-0000-000027630000}"/>
    <cellStyle name="SAPBEXresData 2 2" xfId="25507" xr:uid="{00000000-0005-0000-0000-000028630000}"/>
    <cellStyle name="SAPBEXresData 2 2 2" xfId="27662" xr:uid="{00000000-0005-0000-0000-00003B630000}"/>
    <cellStyle name="SAPBEXresData 2 2 3" xfId="28403" xr:uid="{00000000-0005-0000-0000-000082650000}"/>
    <cellStyle name="SAPBEXresData 2 2 4" xfId="26501" xr:uid="{00000000-0005-0000-0000-00003B630000}"/>
    <cellStyle name="SAPBEXresData 2 3" xfId="26613" xr:uid="{00000000-0005-0000-0000-00003A630000}"/>
    <cellStyle name="SAPBEXresData 2 4" xfId="28402" xr:uid="{00000000-0005-0000-0000-000081650000}"/>
    <cellStyle name="SAPBEXresData 2 5" xfId="26717" xr:uid="{00000000-0005-0000-0000-00003A630000}"/>
    <cellStyle name="SAPBEXresData 3" xfId="24645" xr:uid="{00000000-0005-0000-0000-000029630000}"/>
    <cellStyle name="SAPBEXresData 3 2" xfId="25341" xr:uid="{00000000-0005-0000-0000-00002A630000}"/>
    <cellStyle name="SAPBEXresData 3 2 2" xfId="27497" xr:uid="{00000000-0005-0000-0000-00003D630000}"/>
    <cellStyle name="SAPBEXresData 3 2 3" xfId="28405" xr:uid="{00000000-0005-0000-0000-000084650000}"/>
    <cellStyle name="SAPBEXresData 3 2 4" xfId="26543" xr:uid="{00000000-0005-0000-0000-00003D630000}"/>
    <cellStyle name="SAPBEXresData 3 3" xfId="25611" xr:uid="{00000000-0005-0000-0000-00002B630000}"/>
    <cellStyle name="SAPBEXresData 3 3 2" xfId="27766" xr:uid="{00000000-0005-0000-0000-00003E630000}"/>
    <cellStyle name="SAPBEXresData 3 3 3" xfId="28406" xr:uid="{00000000-0005-0000-0000-000085650000}"/>
    <cellStyle name="SAPBEXresData 3 3 4" xfId="26332" xr:uid="{00000000-0005-0000-0000-00003E630000}"/>
    <cellStyle name="SAPBEXresData 3 4" xfId="27240" xr:uid="{00000000-0005-0000-0000-00003C630000}"/>
    <cellStyle name="SAPBEXresData 3 5" xfId="28404" xr:uid="{00000000-0005-0000-0000-000083650000}"/>
    <cellStyle name="SAPBEXresData 3 6" xfId="26753" xr:uid="{00000000-0005-0000-0000-00003C630000}"/>
    <cellStyle name="SAPBEXresData 4" xfId="25128" xr:uid="{00000000-0005-0000-0000-00002C630000}"/>
    <cellStyle name="SAPBEXresData 4 2" xfId="25344" xr:uid="{00000000-0005-0000-0000-00002D630000}"/>
    <cellStyle name="SAPBEXresData 4 2 2" xfId="27500" xr:uid="{00000000-0005-0000-0000-000040630000}"/>
    <cellStyle name="SAPBEXresData 4 2 3" xfId="28408" xr:uid="{00000000-0005-0000-0000-000087650000}"/>
    <cellStyle name="SAPBEXresData 4 2 4" xfId="26109" xr:uid="{00000000-0005-0000-0000-000040630000}"/>
    <cellStyle name="SAPBEXresData 4 3" xfId="25726" xr:uid="{00000000-0005-0000-0000-00002E630000}"/>
    <cellStyle name="SAPBEXresData 4 3 2" xfId="27881" xr:uid="{00000000-0005-0000-0000-000041630000}"/>
    <cellStyle name="SAPBEXresData 4 3 3" xfId="28409" xr:uid="{00000000-0005-0000-0000-000088650000}"/>
    <cellStyle name="SAPBEXresData 4 3 4" xfId="26864" xr:uid="{00000000-0005-0000-0000-000041630000}"/>
    <cellStyle name="SAPBEXresData 4 4" xfId="27415" xr:uid="{00000000-0005-0000-0000-00003F630000}"/>
    <cellStyle name="SAPBEXresData 4 5" xfId="28407" xr:uid="{00000000-0005-0000-0000-000086650000}"/>
    <cellStyle name="SAPBEXresData 4 6" xfId="26112" xr:uid="{00000000-0005-0000-0000-00003F630000}"/>
    <cellStyle name="SAPBEXresData 5" xfId="25868" xr:uid="{00000000-0005-0000-0000-000039630000}"/>
    <cellStyle name="SAPBEXresData 6" xfId="28401" xr:uid="{00000000-0005-0000-0000-000080650000}"/>
    <cellStyle name="SAPBEXresData 7" xfId="26491" xr:uid="{00000000-0005-0000-0000-000039630000}"/>
    <cellStyle name="SAPBEXresDataEmph" xfId="136" xr:uid="{00000000-0005-0000-0000-00002F630000}"/>
    <cellStyle name="SAPBEXresDataEmph 2" xfId="13670" xr:uid="{00000000-0005-0000-0000-000030630000}"/>
    <cellStyle name="SAPBEXresDataEmph 2 2" xfId="25508" xr:uid="{00000000-0005-0000-0000-000031630000}"/>
    <cellStyle name="SAPBEXresDataEmph 2 2 2" xfId="27663" xr:uid="{00000000-0005-0000-0000-000044630000}"/>
    <cellStyle name="SAPBEXresDataEmph 2 2 3" xfId="28412" xr:uid="{00000000-0005-0000-0000-00008B650000}"/>
    <cellStyle name="SAPBEXresDataEmph 2 2 4" xfId="26896" xr:uid="{00000000-0005-0000-0000-000044630000}"/>
    <cellStyle name="SAPBEXresDataEmph 2 3" xfId="26614" xr:uid="{00000000-0005-0000-0000-000043630000}"/>
    <cellStyle name="SAPBEXresDataEmph 2 4" xfId="28411" xr:uid="{00000000-0005-0000-0000-00008A650000}"/>
    <cellStyle name="SAPBEXresDataEmph 2 5" xfId="26541" xr:uid="{00000000-0005-0000-0000-000043630000}"/>
    <cellStyle name="SAPBEXresDataEmph 3" xfId="24644" xr:uid="{00000000-0005-0000-0000-000032630000}"/>
    <cellStyle name="SAPBEXresDataEmph 3 2" xfId="25425" xr:uid="{00000000-0005-0000-0000-000033630000}"/>
    <cellStyle name="SAPBEXresDataEmph 3 2 2" xfId="27581" xr:uid="{00000000-0005-0000-0000-000046630000}"/>
    <cellStyle name="SAPBEXresDataEmph 3 2 3" xfId="28414" xr:uid="{00000000-0005-0000-0000-00008D650000}"/>
    <cellStyle name="SAPBEXresDataEmph 3 2 4" xfId="26860" xr:uid="{00000000-0005-0000-0000-000046630000}"/>
    <cellStyle name="SAPBEXresDataEmph 3 3" xfId="25610" xr:uid="{00000000-0005-0000-0000-000034630000}"/>
    <cellStyle name="SAPBEXresDataEmph 3 3 2" xfId="27765" xr:uid="{00000000-0005-0000-0000-000047630000}"/>
    <cellStyle name="SAPBEXresDataEmph 3 3 3" xfId="28415" xr:uid="{00000000-0005-0000-0000-00008E650000}"/>
    <cellStyle name="SAPBEXresDataEmph 3 3 4" xfId="26397" xr:uid="{00000000-0005-0000-0000-000047630000}"/>
    <cellStyle name="SAPBEXresDataEmph 3 4" xfId="27239" xr:uid="{00000000-0005-0000-0000-000045630000}"/>
    <cellStyle name="SAPBEXresDataEmph 3 5" xfId="28413" xr:uid="{00000000-0005-0000-0000-00008C650000}"/>
    <cellStyle name="SAPBEXresDataEmph 3 6" xfId="26944" xr:uid="{00000000-0005-0000-0000-000045630000}"/>
    <cellStyle name="SAPBEXresDataEmph 4" xfId="25129" xr:uid="{00000000-0005-0000-0000-000035630000}"/>
    <cellStyle name="SAPBEXresDataEmph 4 2" xfId="25445" xr:uid="{00000000-0005-0000-0000-000036630000}"/>
    <cellStyle name="SAPBEXresDataEmph 4 2 2" xfId="27601" xr:uid="{00000000-0005-0000-0000-000049630000}"/>
    <cellStyle name="SAPBEXresDataEmph 4 2 3" xfId="28417" xr:uid="{00000000-0005-0000-0000-000090650000}"/>
    <cellStyle name="SAPBEXresDataEmph 4 2 4" xfId="26504" xr:uid="{00000000-0005-0000-0000-000049630000}"/>
    <cellStyle name="SAPBEXresDataEmph 4 3" xfId="25727" xr:uid="{00000000-0005-0000-0000-000037630000}"/>
    <cellStyle name="SAPBEXresDataEmph 4 3 2" xfId="27882" xr:uid="{00000000-0005-0000-0000-00004A630000}"/>
    <cellStyle name="SAPBEXresDataEmph 4 3 3" xfId="28418" xr:uid="{00000000-0005-0000-0000-000091650000}"/>
    <cellStyle name="SAPBEXresDataEmph 4 3 4" xfId="26846" xr:uid="{00000000-0005-0000-0000-00004A630000}"/>
    <cellStyle name="SAPBEXresDataEmph 4 4" xfId="27416" xr:uid="{00000000-0005-0000-0000-000048630000}"/>
    <cellStyle name="SAPBEXresDataEmph 4 5" xfId="28416" xr:uid="{00000000-0005-0000-0000-00008F650000}"/>
    <cellStyle name="SAPBEXresDataEmph 4 6" xfId="26247" xr:uid="{00000000-0005-0000-0000-000048630000}"/>
    <cellStyle name="SAPBEXresDataEmph 5" xfId="25869" xr:uid="{00000000-0005-0000-0000-000042630000}"/>
    <cellStyle name="SAPBEXresDataEmph 6" xfId="28410" xr:uid="{00000000-0005-0000-0000-000089650000}"/>
    <cellStyle name="SAPBEXresDataEmph 7" xfId="26205" xr:uid="{00000000-0005-0000-0000-000042630000}"/>
    <cellStyle name="SAPBEXresItem" xfId="137" xr:uid="{00000000-0005-0000-0000-000038630000}"/>
    <cellStyle name="SAPBEXresItem 2" xfId="13671" xr:uid="{00000000-0005-0000-0000-000039630000}"/>
    <cellStyle name="SAPBEXresItem 2 2" xfId="25509" xr:uid="{00000000-0005-0000-0000-00003A630000}"/>
    <cellStyle name="SAPBEXresItem 2 2 2" xfId="27664" xr:uid="{00000000-0005-0000-0000-00004D630000}"/>
    <cellStyle name="SAPBEXresItem 2 2 3" xfId="28421" xr:uid="{00000000-0005-0000-0000-000094650000}"/>
    <cellStyle name="SAPBEXresItem 2 2 4" xfId="27045" xr:uid="{00000000-0005-0000-0000-00004D630000}"/>
    <cellStyle name="SAPBEXresItem 2 3" xfId="26615" xr:uid="{00000000-0005-0000-0000-00004C630000}"/>
    <cellStyle name="SAPBEXresItem 2 4" xfId="28420" xr:uid="{00000000-0005-0000-0000-000093650000}"/>
    <cellStyle name="SAPBEXresItem 2 5" xfId="26241" xr:uid="{00000000-0005-0000-0000-00004C630000}"/>
    <cellStyle name="SAPBEXresItem 3" xfId="24643" xr:uid="{00000000-0005-0000-0000-00003B630000}"/>
    <cellStyle name="SAPBEXresItem 3 2" xfId="25324" xr:uid="{00000000-0005-0000-0000-00003C630000}"/>
    <cellStyle name="SAPBEXresItem 3 2 2" xfId="27480" xr:uid="{00000000-0005-0000-0000-00004F630000}"/>
    <cellStyle name="SAPBEXresItem 3 2 3" xfId="28423" xr:uid="{00000000-0005-0000-0000-000096650000}"/>
    <cellStyle name="SAPBEXresItem 3 2 4" xfId="26287" xr:uid="{00000000-0005-0000-0000-00004F630000}"/>
    <cellStyle name="SAPBEXresItem 3 3" xfId="25609" xr:uid="{00000000-0005-0000-0000-00003D630000}"/>
    <cellStyle name="SAPBEXresItem 3 3 2" xfId="27764" xr:uid="{00000000-0005-0000-0000-000050630000}"/>
    <cellStyle name="SAPBEXresItem 3 3 3" xfId="28424" xr:uid="{00000000-0005-0000-0000-000097650000}"/>
    <cellStyle name="SAPBEXresItem 3 3 4" xfId="26760" xr:uid="{00000000-0005-0000-0000-000050630000}"/>
    <cellStyle name="SAPBEXresItem 3 4" xfId="27238" xr:uid="{00000000-0005-0000-0000-00004E630000}"/>
    <cellStyle name="SAPBEXresItem 3 5" xfId="28422" xr:uid="{00000000-0005-0000-0000-000095650000}"/>
    <cellStyle name="SAPBEXresItem 3 6" xfId="26264" xr:uid="{00000000-0005-0000-0000-00004E630000}"/>
    <cellStyle name="SAPBEXresItem 4" xfId="25130" xr:uid="{00000000-0005-0000-0000-00003E630000}"/>
    <cellStyle name="SAPBEXresItem 4 2" xfId="25359" xr:uid="{00000000-0005-0000-0000-00003F630000}"/>
    <cellStyle name="SAPBEXresItem 4 2 2" xfId="27515" xr:uid="{00000000-0005-0000-0000-000052630000}"/>
    <cellStyle name="SAPBEXresItem 4 2 3" xfId="28426" xr:uid="{00000000-0005-0000-0000-000099650000}"/>
    <cellStyle name="SAPBEXresItem 4 2 4" xfId="26392" xr:uid="{00000000-0005-0000-0000-000052630000}"/>
    <cellStyle name="SAPBEXresItem 4 3" xfId="25728" xr:uid="{00000000-0005-0000-0000-000040630000}"/>
    <cellStyle name="SAPBEXresItem 4 3 2" xfId="27883" xr:uid="{00000000-0005-0000-0000-000053630000}"/>
    <cellStyle name="SAPBEXresItem 4 3 3" xfId="28427" xr:uid="{00000000-0005-0000-0000-00009A650000}"/>
    <cellStyle name="SAPBEXresItem 4 3 4" xfId="26091" xr:uid="{00000000-0005-0000-0000-000053630000}"/>
    <cellStyle name="SAPBEXresItem 4 4" xfId="27417" xr:uid="{00000000-0005-0000-0000-000051630000}"/>
    <cellStyle name="SAPBEXresItem 4 5" xfId="28425" xr:uid="{00000000-0005-0000-0000-000098650000}"/>
    <cellStyle name="SAPBEXresItem 4 6" xfId="26175" xr:uid="{00000000-0005-0000-0000-000051630000}"/>
    <cellStyle name="SAPBEXresItem 5" xfId="25870" xr:uid="{00000000-0005-0000-0000-00004B630000}"/>
    <cellStyle name="SAPBEXresItem 6" xfId="28419" xr:uid="{00000000-0005-0000-0000-000092650000}"/>
    <cellStyle name="SAPBEXresItem 7" xfId="26062" xr:uid="{00000000-0005-0000-0000-00004B630000}"/>
    <cellStyle name="SAPBEXresItemX" xfId="138" xr:uid="{00000000-0005-0000-0000-000041630000}"/>
    <cellStyle name="SAPBEXresItemX 2" xfId="13672" xr:uid="{00000000-0005-0000-0000-000042630000}"/>
    <cellStyle name="SAPBEXresItemX 2 2" xfId="25510" xr:uid="{00000000-0005-0000-0000-000043630000}"/>
    <cellStyle name="SAPBEXresItemX 2 2 2" xfId="27665" xr:uid="{00000000-0005-0000-0000-000056630000}"/>
    <cellStyle name="SAPBEXresItemX 2 2 3" xfId="28430" xr:uid="{00000000-0005-0000-0000-00009D650000}"/>
    <cellStyle name="SAPBEXresItemX 2 2 4" xfId="29186" xr:uid="{00000000-0005-0000-0000-000056630000}"/>
    <cellStyle name="SAPBEXresItemX 2 3" xfId="26616" xr:uid="{00000000-0005-0000-0000-000055630000}"/>
    <cellStyle name="SAPBEXresItemX 2 4" xfId="28429" xr:uid="{00000000-0005-0000-0000-00009C650000}"/>
    <cellStyle name="SAPBEXresItemX 2 5" xfId="26966" xr:uid="{00000000-0005-0000-0000-000055630000}"/>
    <cellStyle name="SAPBEXresItemX 3" xfId="24642" xr:uid="{00000000-0005-0000-0000-000044630000}"/>
    <cellStyle name="SAPBEXresItemX 3 2" xfId="25411" xr:uid="{00000000-0005-0000-0000-000045630000}"/>
    <cellStyle name="SAPBEXresItemX 3 2 2" xfId="27567" xr:uid="{00000000-0005-0000-0000-000058630000}"/>
    <cellStyle name="SAPBEXresItemX 3 2 3" xfId="28432" xr:uid="{00000000-0005-0000-0000-00009F650000}"/>
    <cellStyle name="SAPBEXresItemX 3 2 4" xfId="27363" xr:uid="{00000000-0005-0000-0000-000058630000}"/>
    <cellStyle name="SAPBEXresItemX 3 3" xfId="25608" xr:uid="{00000000-0005-0000-0000-000046630000}"/>
    <cellStyle name="SAPBEXresItemX 3 3 2" xfId="27763" xr:uid="{00000000-0005-0000-0000-000059630000}"/>
    <cellStyle name="SAPBEXresItemX 3 3 3" xfId="28433" xr:uid="{00000000-0005-0000-0000-0000A0650000}"/>
    <cellStyle name="SAPBEXresItemX 3 3 4" xfId="26729" xr:uid="{00000000-0005-0000-0000-000059630000}"/>
    <cellStyle name="SAPBEXresItemX 3 4" xfId="27237" xr:uid="{00000000-0005-0000-0000-000057630000}"/>
    <cellStyle name="SAPBEXresItemX 3 5" xfId="28431" xr:uid="{00000000-0005-0000-0000-00009E650000}"/>
    <cellStyle name="SAPBEXresItemX 3 6" xfId="26788" xr:uid="{00000000-0005-0000-0000-000057630000}"/>
    <cellStyle name="SAPBEXresItemX 4" xfId="25131" xr:uid="{00000000-0005-0000-0000-000047630000}"/>
    <cellStyle name="SAPBEXresItemX 4 2" xfId="25296" xr:uid="{00000000-0005-0000-0000-000048630000}"/>
    <cellStyle name="SAPBEXresItemX 4 2 2" xfId="27452" xr:uid="{00000000-0005-0000-0000-00005B630000}"/>
    <cellStyle name="SAPBEXresItemX 4 2 3" xfId="28435" xr:uid="{00000000-0005-0000-0000-0000A2650000}"/>
    <cellStyle name="SAPBEXresItemX 4 2 4" xfId="26850" xr:uid="{00000000-0005-0000-0000-00005B630000}"/>
    <cellStyle name="SAPBEXresItemX 4 3" xfId="25729" xr:uid="{00000000-0005-0000-0000-000049630000}"/>
    <cellStyle name="SAPBEXresItemX 4 3 2" xfId="27884" xr:uid="{00000000-0005-0000-0000-00005C630000}"/>
    <cellStyle name="SAPBEXresItemX 4 3 3" xfId="28436" xr:uid="{00000000-0005-0000-0000-0000A3650000}"/>
    <cellStyle name="SAPBEXresItemX 4 3 4" xfId="26736" xr:uid="{00000000-0005-0000-0000-00005C630000}"/>
    <cellStyle name="SAPBEXresItemX 4 4" xfId="27418" xr:uid="{00000000-0005-0000-0000-00005A630000}"/>
    <cellStyle name="SAPBEXresItemX 4 5" xfId="28434" xr:uid="{00000000-0005-0000-0000-0000A1650000}"/>
    <cellStyle name="SAPBEXresItemX 4 6" xfId="26741" xr:uid="{00000000-0005-0000-0000-00005A630000}"/>
    <cellStyle name="SAPBEXresItemX 5" xfId="25871" xr:uid="{00000000-0005-0000-0000-000054630000}"/>
    <cellStyle name="SAPBEXresItemX 6" xfId="28428" xr:uid="{00000000-0005-0000-0000-00009B650000}"/>
    <cellStyle name="SAPBEXresItemX 7" xfId="29258" xr:uid="{00000000-0005-0000-0000-000054630000}"/>
    <cellStyle name="SAPBEXstdData" xfId="139" xr:uid="{00000000-0005-0000-0000-00004A630000}"/>
    <cellStyle name="SAPBEXstdData 10" xfId="24641" xr:uid="{00000000-0005-0000-0000-00004B630000}"/>
    <cellStyle name="SAPBEXstdData 10 2" xfId="25309" xr:uid="{00000000-0005-0000-0000-00004C630000}"/>
    <cellStyle name="SAPBEXstdData 10 2 2" xfId="27465" xr:uid="{00000000-0005-0000-0000-00005F630000}"/>
    <cellStyle name="SAPBEXstdData 10 2 3" xfId="28439" xr:uid="{00000000-0005-0000-0000-0000A6650000}"/>
    <cellStyle name="SAPBEXstdData 10 2 4" xfId="26800" xr:uid="{00000000-0005-0000-0000-00005F630000}"/>
    <cellStyle name="SAPBEXstdData 10 3" xfId="25607" xr:uid="{00000000-0005-0000-0000-00004D630000}"/>
    <cellStyle name="SAPBEXstdData 10 3 2" xfId="27762" xr:uid="{00000000-0005-0000-0000-000060630000}"/>
    <cellStyle name="SAPBEXstdData 10 3 3" xfId="28440" xr:uid="{00000000-0005-0000-0000-0000A7650000}"/>
    <cellStyle name="SAPBEXstdData 10 3 4" xfId="26292" xr:uid="{00000000-0005-0000-0000-000060630000}"/>
    <cellStyle name="SAPBEXstdData 10 4" xfId="27236" xr:uid="{00000000-0005-0000-0000-00005E630000}"/>
    <cellStyle name="SAPBEXstdData 10 5" xfId="28438" xr:uid="{00000000-0005-0000-0000-0000A5650000}"/>
    <cellStyle name="SAPBEXstdData 10 6" xfId="26329" xr:uid="{00000000-0005-0000-0000-00005E630000}"/>
    <cellStyle name="SAPBEXstdData 11" xfId="25132" xr:uid="{00000000-0005-0000-0000-00004E630000}"/>
    <cellStyle name="SAPBEXstdData 11 2" xfId="25282" xr:uid="{00000000-0005-0000-0000-00004F630000}"/>
    <cellStyle name="SAPBEXstdData 11 2 2" xfId="27439" xr:uid="{00000000-0005-0000-0000-000062630000}"/>
    <cellStyle name="SAPBEXstdData 11 2 3" xfId="28442" xr:uid="{00000000-0005-0000-0000-0000A9650000}"/>
    <cellStyle name="SAPBEXstdData 11 2 4" xfId="27016" xr:uid="{00000000-0005-0000-0000-000062630000}"/>
    <cellStyle name="SAPBEXstdData 11 3" xfId="25730" xr:uid="{00000000-0005-0000-0000-000050630000}"/>
    <cellStyle name="SAPBEXstdData 11 3 2" xfId="27885" xr:uid="{00000000-0005-0000-0000-000063630000}"/>
    <cellStyle name="SAPBEXstdData 11 3 3" xfId="28443" xr:uid="{00000000-0005-0000-0000-0000AA650000}"/>
    <cellStyle name="SAPBEXstdData 11 3 4" xfId="26153" xr:uid="{00000000-0005-0000-0000-000063630000}"/>
    <cellStyle name="SAPBEXstdData 11 4" xfId="27419" xr:uid="{00000000-0005-0000-0000-000061630000}"/>
    <cellStyle name="SAPBEXstdData 11 5" xfId="28441" xr:uid="{00000000-0005-0000-0000-0000A8650000}"/>
    <cellStyle name="SAPBEXstdData 11 6" xfId="27304" xr:uid="{00000000-0005-0000-0000-000061630000}"/>
    <cellStyle name="SAPBEXstdData 12" xfId="25872" xr:uid="{00000000-0005-0000-0000-00005D630000}"/>
    <cellStyle name="SAPBEXstdData 13" xfId="28437" xr:uid="{00000000-0005-0000-0000-0000A4650000}"/>
    <cellStyle name="SAPBEXstdData 14" xfId="29200" xr:uid="{00000000-0005-0000-0000-00005D630000}"/>
    <cellStyle name="SAPBEXstdData 2" xfId="140" xr:uid="{00000000-0005-0000-0000-000051630000}"/>
    <cellStyle name="SAPBEXstdData 2 2" xfId="13674" xr:uid="{00000000-0005-0000-0000-000052630000}"/>
    <cellStyle name="SAPBEXstdData 2 2 2" xfId="25512" xr:uid="{00000000-0005-0000-0000-000053630000}"/>
    <cellStyle name="SAPBEXstdData 2 2 2 2" xfId="27667" xr:uid="{00000000-0005-0000-0000-000066630000}"/>
    <cellStyle name="SAPBEXstdData 2 2 2 3" xfId="28446" xr:uid="{00000000-0005-0000-0000-0000AD650000}"/>
    <cellStyle name="SAPBEXstdData 2 2 2 4" xfId="26231" xr:uid="{00000000-0005-0000-0000-000066630000}"/>
    <cellStyle name="SAPBEXstdData 2 2 3" xfId="26618" xr:uid="{00000000-0005-0000-0000-000065630000}"/>
    <cellStyle name="SAPBEXstdData 2 2 4" xfId="28445" xr:uid="{00000000-0005-0000-0000-0000AC650000}"/>
    <cellStyle name="SAPBEXstdData 2 2 5" xfId="26402" xr:uid="{00000000-0005-0000-0000-000065630000}"/>
    <cellStyle name="SAPBEXstdData 2 3" xfId="25873" xr:uid="{00000000-0005-0000-0000-000064630000}"/>
    <cellStyle name="SAPBEXstdData 2 4" xfId="28444" xr:uid="{00000000-0005-0000-0000-0000AB650000}"/>
    <cellStyle name="SAPBEXstdData 2 5" xfId="29184" xr:uid="{00000000-0005-0000-0000-000064630000}"/>
    <cellStyle name="SAPBEXstdData 3" xfId="258" xr:uid="{00000000-0005-0000-0000-000054630000}"/>
    <cellStyle name="SAPBEXstdData 3 2" xfId="13723" xr:uid="{00000000-0005-0000-0000-000055630000}"/>
    <cellStyle name="SAPBEXstdData 3 2 2" xfId="25536" xr:uid="{00000000-0005-0000-0000-000056630000}"/>
    <cellStyle name="SAPBEXstdData 3 2 2 2" xfId="27691" xr:uid="{00000000-0005-0000-0000-000069630000}"/>
    <cellStyle name="SAPBEXstdData 3 2 2 3" xfId="28449" xr:uid="{00000000-0005-0000-0000-0000B0650000}"/>
    <cellStyle name="SAPBEXstdData 3 2 2 4" xfId="26477" xr:uid="{00000000-0005-0000-0000-000069630000}"/>
    <cellStyle name="SAPBEXstdData 3 2 3" xfId="26645" xr:uid="{00000000-0005-0000-0000-000068630000}"/>
    <cellStyle name="SAPBEXstdData 3 2 4" xfId="28448" xr:uid="{00000000-0005-0000-0000-0000AF650000}"/>
    <cellStyle name="SAPBEXstdData 3 2 5" xfId="26484" xr:uid="{00000000-0005-0000-0000-000068630000}"/>
    <cellStyle name="SAPBEXstdData 3 3" xfId="25928" xr:uid="{00000000-0005-0000-0000-000067630000}"/>
    <cellStyle name="SAPBEXstdData 3 4" xfId="28447" xr:uid="{00000000-0005-0000-0000-0000AE650000}"/>
    <cellStyle name="SAPBEXstdData 3 5" xfId="27929" xr:uid="{00000000-0005-0000-0000-000067630000}"/>
    <cellStyle name="SAPBEXstdData 4" xfId="259" xr:uid="{00000000-0005-0000-0000-000057630000}"/>
    <cellStyle name="SAPBEXstdData 4 2" xfId="13724" xr:uid="{00000000-0005-0000-0000-000058630000}"/>
    <cellStyle name="SAPBEXstdData 4 2 2" xfId="25537" xr:uid="{00000000-0005-0000-0000-000059630000}"/>
    <cellStyle name="SAPBEXstdData 4 2 2 2" xfId="27692" xr:uid="{00000000-0005-0000-0000-00006C630000}"/>
    <cellStyle name="SAPBEXstdData 4 2 2 3" xfId="28452" xr:uid="{00000000-0005-0000-0000-0000B3650000}"/>
    <cellStyle name="SAPBEXstdData 4 2 2 4" xfId="26440" xr:uid="{00000000-0005-0000-0000-00006C630000}"/>
    <cellStyle name="SAPBEXstdData 4 2 3" xfId="26646" xr:uid="{00000000-0005-0000-0000-00006B630000}"/>
    <cellStyle name="SAPBEXstdData 4 2 4" xfId="28451" xr:uid="{00000000-0005-0000-0000-0000B2650000}"/>
    <cellStyle name="SAPBEXstdData 4 2 5" xfId="26743" xr:uid="{00000000-0005-0000-0000-00006B630000}"/>
    <cellStyle name="SAPBEXstdData 4 3" xfId="25929" xr:uid="{00000000-0005-0000-0000-00006A630000}"/>
    <cellStyle name="SAPBEXstdData 4 4" xfId="28450" xr:uid="{00000000-0005-0000-0000-0000B1650000}"/>
    <cellStyle name="SAPBEXstdData 4 5" xfId="27930" xr:uid="{00000000-0005-0000-0000-00006A630000}"/>
    <cellStyle name="SAPBEXstdData 5" xfId="260" xr:uid="{00000000-0005-0000-0000-00005A630000}"/>
    <cellStyle name="SAPBEXstdData 5 2" xfId="13725" xr:uid="{00000000-0005-0000-0000-00005B630000}"/>
    <cellStyle name="SAPBEXstdData 5 2 2" xfId="25538" xr:uid="{00000000-0005-0000-0000-00005C630000}"/>
    <cellStyle name="SAPBEXstdData 5 2 2 2" xfId="27693" xr:uid="{00000000-0005-0000-0000-00006F630000}"/>
    <cellStyle name="SAPBEXstdData 5 2 2 3" xfId="28455" xr:uid="{00000000-0005-0000-0000-0000B6650000}"/>
    <cellStyle name="SAPBEXstdData 5 2 2 4" xfId="26421" xr:uid="{00000000-0005-0000-0000-00006F630000}"/>
    <cellStyle name="SAPBEXstdData 5 2 3" xfId="26647" xr:uid="{00000000-0005-0000-0000-00006E630000}"/>
    <cellStyle name="SAPBEXstdData 5 2 4" xfId="28454" xr:uid="{00000000-0005-0000-0000-0000B5650000}"/>
    <cellStyle name="SAPBEXstdData 5 2 5" xfId="26261" xr:uid="{00000000-0005-0000-0000-00006E630000}"/>
    <cellStyle name="SAPBEXstdData 5 3" xfId="25930" xr:uid="{00000000-0005-0000-0000-00006D630000}"/>
    <cellStyle name="SAPBEXstdData 5 4" xfId="28453" xr:uid="{00000000-0005-0000-0000-0000B4650000}"/>
    <cellStyle name="SAPBEXstdData 5 5" xfId="28570" xr:uid="{00000000-0005-0000-0000-00006D630000}"/>
    <cellStyle name="SAPBEXstdData 6" xfId="261" xr:uid="{00000000-0005-0000-0000-00005D630000}"/>
    <cellStyle name="SAPBEXstdData 6 2" xfId="13726" xr:uid="{00000000-0005-0000-0000-00005E630000}"/>
    <cellStyle name="SAPBEXstdData 6 2 2" xfId="25539" xr:uid="{00000000-0005-0000-0000-00005F630000}"/>
    <cellStyle name="SAPBEXstdData 6 2 2 2" xfId="27694" xr:uid="{00000000-0005-0000-0000-000072630000}"/>
    <cellStyle name="SAPBEXstdData 6 2 2 3" xfId="28458" xr:uid="{00000000-0005-0000-0000-0000B9650000}"/>
    <cellStyle name="SAPBEXstdData 6 2 2 4" xfId="26100" xr:uid="{00000000-0005-0000-0000-000072630000}"/>
    <cellStyle name="SAPBEXstdData 6 2 3" xfId="26648" xr:uid="{00000000-0005-0000-0000-000071630000}"/>
    <cellStyle name="SAPBEXstdData 6 2 4" xfId="28457" xr:uid="{00000000-0005-0000-0000-0000B8650000}"/>
    <cellStyle name="SAPBEXstdData 6 2 5" xfId="26865" xr:uid="{00000000-0005-0000-0000-000071630000}"/>
    <cellStyle name="SAPBEXstdData 6 3" xfId="25931" xr:uid="{00000000-0005-0000-0000-000070630000}"/>
    <cellStyle name="SAPBEXstdData 6 4" xfId="28456" xr:uid="{00000000-0005-0000-0000-0000B7650000}"/>
    <cellStyle name="SAPBEXstdData 6 5" xfId="28571" xr:uid="{00000000-0005-0000-0000-000070630000}"/>
    <cellStyle name="SAPBEXstdData 7" xfId="262" xr:uid="{00000000-0005-0000-0000-000060630000}"/>
    <cellStyle name="SAPBEXstdData 8" xfId="415" xr:uid="{00000000-0005-0000-0000-000061630000}"/>
    <cellStyle name="SAPBEXstdData 8 2" xfId="13794" xr:uid="{00000000-0005-0000-0000-000062630000}"/>
    <cellStyle name="SAPBEXstdData 8 2 2" xfId="25552" xr:uid="{00000000-0005-0000-0000-000063630000}"/>
    <cellStyle name="SAPBEXstdData 8 2 2 2" xfId="27707" xr:uid="{00000000-0005-0000-0000-000076630000}"/>
    <cellStyle name="SAPBEXstdData 8 2 2 3" xfId="28461" xr:uid="{00000000-0005-0000-0000-0000BD650000}"/>
    <cellStyle name="SAPBEXstdData 8 2 2 4" xfId="26458" xr:uid="{00000000-0005-0000-0000-000076630000}"/>
    <cellStyle name="SAPBEXstdData 8 2 3" xfId="26671" xr:uid="{00000000-0005-0000-0000-000075630000}"/>
    <cellStyle name="SAPBEXstdData 8 2 4" xfId="28460" xr:uid="{00000000-0005-0000-0000-0000BC650000}"/>
    <cellStyle name="SAPBEXstdData 8 2 5" xfId="26078" xr:uid="{00000000-0005-0000-0000-000075630000}"/>
    <cellStyle name="SAPBEXstdData 8 3" xfId="26012" xr:uid="{00000000-0005-0000-0000-000074630000}"/>
    <cellStyle name="SAPBEXstdData 8 4" xfId="28459" xr:uid="{00000000-0005-0000-0000-0000BB650000}"/>
    <cellStyle name="SAPBEXstdData 8 5" xfId="29218" xr:uid="{00000000-0005-0000-0000-000074630000}"/>
    <cellStyle name="SAPBEXstdData 9" xfId="13673" xr:uid="{00000000-0005-0000-0000-000064630000}"/>
    <cellStyle name="SAPBEXstdData 9 2" xfId="25511" xr:uid="{00000000-0005-0000-0000-000065630000}"/>
    <cellStyle name="SAPBEXstdData 9 2 2" xfId="27666" xr:uid="{00000000-0005-0000-0000-000078630000}"/>
    <cellStyle name="SAPBEXstdData 9 2 3" xfId="28463" xr:uid="{00000000-0005-0000-0000-0000BF650000}"/>
    <cellStyle name="SAPBEXstdData 9 2 4" xfId="26051" xr:uid="{00000000-0005-0000-0000-000078630000}"/>
    <cellStyle name="SAPBEXstdData 9 3" xfId="26617" xr:uid="{00000000-0005-0000-0000-000077630000}"/>
    <cellStyle name="SAPBEXstdData 9 4" xfId="28462" xr:uid="{00000000-0005-0000-0000-0000BE650000}"/>
    <cellStyle name="SAPBEXstdData 9 5" xfId="26331" xr:uid="{00000000-0005-0000-0000-000077630000}"/>
    <cellStyle name="SAPBEXstdData_Copy of xSAPtemp5457" xfId="263" xr:uid="{00000000-0005-0000-0000-000066630000}"/>
    <cellStyle name="SAPBEXstdDataEmph" xfId="141" xr:uid="{00000000-0005-0000-0000-000067630000}"/>
    <cellStyle name="SAPBEXstdDataEmph 2" xfId="13675" xr:uid="{00000000-0005-0000-0000-000068630000}"/>
    <cellStyle name="SAPBEXstdDataEmph 2 2" xfId="25513" xr:uid="{00000000-0005-0000-0000-000069630000}"/>
    <cellStyle name="SAPBEXstdDataEmph 2 2 2" xfId="27668" xr:uid="{00000000-0005-0000-0000-00007C630000}"/>
    <cellStyle name="SAPBEXstdDataEmph 2 2 3" xfId="28466" xr:uid="{00000000-0005-0000-0000-0000C3650000}"/>
    <cellStyle name="SAPBEXstdDataEmph 2 2 4" xfId="26987" xr:uid="{00000000-0005-0000-0000-00007C630000}"/>
    <cellStyle name="SAPBEXstdDataEmph 2 3" xfId="26619" xr:uid="{00000000-0005-0000-0000-00007B630000}"/>
    <cellStyle name="SAPBEXstdDataEmph 2 4" xfId="28465" xr:uid="{00000000-0005-0000-0000-0000C2650000}"/>
    <cellStyle name="SAPBEXstdDataEmph 2 5" xfId="26825" xr:uid="{00000000-0005-0000-0000-00007B630000}"/>
    <cellStyle name="SAPBEXstdDataEmph 3" xfId="24640" xr:uid="{00000000-0005-0000-0000-00006A630000}"/>
    <cellStyle name="SAPBEXstdDataEmph 3 2" xfId="25401" xr:uid="{00000000-0005-0000-0000-00006B630000}"/>
    <cellStyle name="SAPBEXstdDataEmph 3 2 2" xfId="27557" xr:uid="{00000000-0005-0000-0000-00007E630000}"/>
    <cellStyle name="SAPBEXstdDataEmph 3 2 3" xfId="28468" xr:uid="{00000000-0005-0000-0000-0000C5650000}"/>
    <cellStyle name="SAPBEXstdDataEmph 3 2 4" xfId="26464" xr:uid="{00000000-0005-0000-0000-00007E630000}"/>
    <cellStyle name="SAPBEXstdDataEmph 3 3" xfId="25606" xr:uid="{00000000-0005-0000-0000-00006C630000}"/>
    <cellStyle name="SAPBEXstdDataEmph 3 3 2" xfId="27761" xr:uid="{00000000-0005-0000-0000-00007F630000}"/>
    <cellStyle name="SAPBEXstdDataEmph 3 3 3" xfId="28469" xr:uid="{00000000-0005-0000-0000-0000C6650000}"/>
    <cellStyle name="SAPBEXstdDataEmph 3 3 4" xfId="27301" xr:uid="{00000000-0005-0000-0000-00007F630000}"/>
    <cellStyle name="SAPBEXstdDataEmph 3 4" xfId="27235" xr:uid="{00000000-0005-0000-0000-00007D630000}"/>
    <cellStyle name="SAPBEXstdDataEmph 3 5" xfId="28467" xr:uid="{00000000-0005-0000-0000-0000C4650000}"/>
    <cellStyle name="SAPBEXstdDataEmph 3 6" xfId="26311" xr:uid="{00000000-0005-0000-0000-00007D630000}"/>
    <cellStyle name="SAPBEXstdDataEmph 4" xfId="25133" xr:uid="{00000000-0005-0000-0000-00006D630000}"/>
    <cellStyle name="SAPBEXstdDataEmph 4 2" xfId="25365" xr:uid="{00000000-0005-0000-0000-00006E630000}"/>
    <cellStyle name="SAPBEXstdDataEmph 4 2 2" xfId="27521" xr:uid="{00000000-0005-0000-0000-000081630000}"/>
    <cellStyle name="SAPBEXstdDataEmph 4 2 3" xfId="28471" xr:uid="{00000000-0005-0000-0000-0000C8650000}"/>
    <cellStyle name="SAPBEXstdDataEmph 4 2 4" xfId="26108" xr:uid="{00000000-0005-0000-0000-000081630000}"/>
    <cellStyle name="SAPBEXstdDataEmph 4 3" xfId="25731" xr:uid="{00000000-0005-0000-0000-00006F630000}"/>
    <cellStyle name="SAPBEXstdDataEmph 4 3 2" xfId="27886" xr:uid="{00000000-0005-0000-0000-000082630000}"/>
    <cellStyle name="SAPBEXstdDataEmph 4 3 3" xfId="28472" xr:uid="{00000000-0005-0000-0000-0000C9650000}"/>
    <cellStyle name="SAPBEXstdDataEmph 4 3 4" xfId="27015" xr:uid="{00000000-0005-0000-0000-000082630000}"/>
    <cellStyle name="SAPBEXstdDataEmph 4 4" xfId="27420" xr:uid="{00000000-0005-0000-0000-000080630000}"/>
    <cellStyle name="SAPBEXstdDataEmph 4 5" xfId="28470" xr:uid="{00000000-0005-0000-0000-0000C7650000}"/>
    <cellStyle name="SAPBEXstdDataEmph 4 6" xfId="26818" xr:uid="{00000000-0005-0000-0000-000080630000}"/>
    <cellStyle name="SAPBEXstdDataEmph 5" xfId="25874" xr:uid="{00000000-0005-0000-0000-00007A630000}"/>
    <cellStyle name="SAPBEXstdDataEmph 6" xfId="28464" xr:uid="{00000000-0005-0000-0000-0000C1650000}"/>
    <cellStyle name="SAPBEXstdDataEmph 7" xfId="29248" xr:uid="{00000000-0005-0000-0000-00007A630000}"/>
    <cellStyle name="SAPBEXstdItem" xfId="142" xr:uid="{00000000-0005-0000-0000-000070630000}"/>
    <cellStyle name="SAPBEXstdItem 10" xfId="13676" xr:uid="{00000000-0005-0000-0000-000071630000}"/>
    <cellStyle name="SAPBEXstdItem 10 2" xfId="25514" xr:uid="{00000000-0005-0000-0000-000072630000}"/>
    <cellStyle name="SAPBEXstdItem 10 2 2" xfId="27669" xr:uid="{00000000-0005-0000-0000-000085630000}"/>
    <cellStyle name="SAPBEXstdItem 10 2 3" xfId="28475" xr:uid="{00000000-0005-0000-0000-0000CC650000}"/>
    <cellStyle name="SAPBEXstdItem 10 2 4" xfId="26958" xr:uid="{00000000-0005-0000-0000-000085630000}"/>
    <cellStyle name="SAPBEXstdItem 10 3" xfId="26620" xr:uid="{00000000-0005-0000-0000-000084630000}"/>
    <cellStyle name="SAPBEXstdItem 10 4" xfId="28474" xr:uid="{00000000-0005-0000-0000-0000CB650000}"/>
    <cellStyle name="SAPBEXstdItem 10 5" xfId="26496" xr:uid="{00000000-0005-0000-0000-000084630000}"/>
    <cellStyle name="SAPBEXstdItem 11" xfId="24639" xr:uid="{00000000-0005-0000-0000-000073630000}"/>
    <cellStyle name="SAPBEXstdItem 11 2" xfId="25385" xr:uid="{00000000-0005-0000-0000-000074630000}"/>
    <cellStyle name="SAPBEXstdItem 11 2 2" xfId="27541" xr:uid="{00000000-0005-0000-0000-000087630000}"/>
    <cellStyle name="SAPBEXstdItem 11 2 3" xfId="28477" xr:uid="{00000000-0005-0000-0000-0000CE650000}"/>
    <cellStyle name="SAPBEXstdItem 11 2 4" xfId="26457" xr:uid="{00000000-0005-0000-0000-000087630000}"/>
    <cellStyle name="SAPBEXstdItem 11 3" xfId="25605" xr:uid="{00000000-0005-0000-0000-000075630000}"/>
    <cellStyle name="SAPBEXstdItem 11 3 2" xfId="27760" xr:uid="{00000000-0005-0000-0000-000088630000}"/>
    <cellStyle name="SAPBEXstdItem 11 3 3" xfId="28478" xr:uid="{00000000-0005-0000-0000-0000CF650000}"/>
    <cellStyle name="SAPBEXstdItem 11 3 4" xfId="26814" xr:uid="{00000000-0005-0000-0000-000088630000}"/>
    <cellStyle name="SAPBEXstdItem 11 4" xfId="27234" xr:uid="{00000000-0005-0000-0000-000086630000}"/>
    <cellStyle name="SAPBEXstdItem 11 5" xfId="28476" xr:uid="{00000000-0005-0000-0000-0000CD650000}"/>
    <cellStyle name="SAPBEXstdItem 11 6" xfId="26386" xr:uid="{00000000-0005-0000-0000-000086630000}"/>
    <cellStyle name="SAPBEXstdItem 12" xfId="25134" xr:uid="{00000000-0005-0000-0000-000076630000}"/>
    <cellStyle name="SAPBEXstdItem 12 2" xfId="25379" xr:uid="{00000000-0005-0000-0000-000077630000}"/>
    <cellStyle name="SAPBEXstdItem 12 2 2" xfId="27535" xr:uid="{00000000-0005-0000-0000-00008A630000}"/>
    <cellStyle name="SAPBEXstdItem 12 2 3" xfId="28480" xr:uid="{00000000-0005-0000-0000-0000D1650000}"/>
    <cellStyle name="SAPBEXstdItem 12 2 4" xfId="26138" xr:uid="{00000000-0005-0000-0000-00008A630000}"/>
    <cellStyle name="SAPBEXstdItem 12 3" xfId="25732" xr:uid="{00000000-0005-0000-0000-000078630000}"/>
    <cellStyle name="SAPBEXstdItem 12 3 2" xfId="27887" xr:uid="{00000000-0005-0000-0000-00008B630000}"/>
    <cellStyle name="SAPBEXstdItem 12 3 3" xfId="28481" xr:uid="{00000000-0005-0000-0000-0000D2650000}"/>
    <cellStyle name="SAPBEXstdItem 12 3 4" xfId="26371" xr:uid="{00000000-0005-0000-0000-00008B630000}"/>
    <cellStyle name="SAPBEXstdItem 12 4" xfId="27421" xr:uid="{00000000-0005-0000-0000-000089630000}"/>
    <cellStyle name="SAPBEXstdItem 12 5" xfId="28479" xr:uid="{00000000-0005-0000-0000-0000D0650000}"/>
    <cellStyle name="SAPBEXstdItem 12 6" xfId="26454" xr:uid="{00000000-0005-0000-0000-000089630000}"/>
    <cellStyle name="SAPBEXstdItem 13" xfId="25875" xr:uid="{00000000-0005-0000-0000-000083630000}"/>
    <cellStyle name="SAPBEXstdItem 14" xfId="28473" xr:uid="{00000000-0005-0000-0000-0000CA650000}"/>
    <cellStyle name="SAPBEXstdItem 15" xfId="29211" xr:uid="{00000000-0005-0000-0000-000083630000}"/>
    <cellStyle name="SAPBEXstdItem 2" xfId="143" xr:uid="{00000000-0005-0000-0000-000079630000}"/>
    <cellStyle name="SAPBEXstdItem 2 2" xfId="13677" xr:uid="{00000000-0005-0000-0000-00007A630000}"/>
    <cellStyle name="SAPBEXstdItem 2 2 2" xfId="25515" xr:uid="{00000000-0005-0000-0000-00007B630000}"/>
    <cellStyle name="SAPBEXstdItem 2 2 2 2" xfId="27670" xr:uid="{00000000-0005-0000-0000-00008E630000}"/>
    <cellStyle name="SAPBEXstdItem 2 2 2 3" xfId="28484" xr:uid="{00000000-0005-0000-0000-0000D5650000}"/>
    <cellStyle name="SAPBEXstdItem 2 2 2 4" xfId="26945" xr:uid="{00000000-0005-0000-0000-00008E630000}"/>
    <cellStyle name="SAPBEXstdItem 2 2 3" xfId="26621" xr:uid="{00000000-0005-0000-0000-00008D630000}"/>
    <cellStyle name="SAPBEXstdItem 2 2 4" xfId="28483" xr:uid="{00000000-0005-0000-0000-0000D4650000}"/>
    <cellStyle name="SAPBEXstdItem 2 2 5" xfId="26516" xr:uid="{00000000-0005-0000-0000-00008D630000}"/>
    <cellStyle name="SAPBEXstdItem 2 3" xfId="25876" xr:uid="{00000000-0005-0000-0000-00008C630000}"/>
    <cellStyle name="SAPBEXstdItem 2 4" xfId="28482" xr:uid="{00000000-0005-0000-0000-0000D3650000}"/>
    <cellStyle name="SAPBEXstdItem 2 5" xfId="26052" xr:uid="{00000000-0005-0000-0000-00008C630000}"/>
    <cellStyle name="SAPBEXstdItem 3" xfId="264" xr:uid="{00000000-0005-0000-0000-00007C630000}"/>
    <cellStyle name="SAPBEXstdItem 3 2" xfId="13727" xr:uid="{00000000-0005-0000-0000-00007D630000}"/>
    <cellStyle name="SAPBEXstdItem 3 2 2" xfId="25540" xr:uid="{00000000-0005-0000-0000-00007E630000}"/>
    <cellStyle name="SAPBEXstdItem 3 2 2 2" xfId="27695" xr:uid="{00000000-0005-0000-0000-000091630000}"/>
    <cellStyle name="SAPBEXstdItem 3 2 2 3" xfId="28487" xr:uid="{00000000-0005-0000-0000-0000D8650000}"/>
    <cellStyle name="SAPBEXstdItem 3 2 2 4" xfId="26698" xr:uid="{00000000-0005-0000-0000-000091630000}"/>
    <cellStyle name="SAPBEXstdItem 3 2 3" xfId="26649" xr:uid="{00000000-0005-0000-0000-000090630000}"/>
    <cellStyle name="SAPBEXstdItem 3 2 4" xfId="28486" xr:uid="{00000000-0005-0000-0000-0000D7650000}"/>
    <cellStyle name="SAPBEXstdItem 3 2 5" xfId="26244" xr:uid="{00000000-0005-0000-0000-000090630000}"/>
    <cellStyle name="SAPBEXstdItem 3 3" xfId="25932" xr:uid="{00000000-0005-0000-0000-00008F630000}"/>
    <cellStyle name="SAPBEXstdItem 3 4" xfId="28485" xr:uid="{00000000-0005-0000-0000-0000D6650000}"/>
    <cellStyle name="SAPBEXstdItem 3 5" xfId="27931" xr:uid="{00000000-0005-0000-0000-00008F630000}"/>
    <cellStyle name="SAPBEXstdItem 4" xfId="265" xr:uid="{00000000-0005-0000-0000-00007F630000}"/>
    <cellStyle name="SAPBEXstdItem 4 2" xfId="13728" xr:uid="{00000000-0005-0000-0000-000080630000}"/>
    <cellStyle name="SAPBEXstdItem 4 2 2" xfId="25541" xr:uid="{00000000-0005-0000-0000-000081630000}"/>
    <cellStyle name="SAPBEXstdItem 4 2 2 2" xfId="27696" xr:uid="{00000000-0005-0000-0000-000094630000}"/>
    <cellStyle name="SAPBEXstdItem 4 2 2 3" xfId="28490" xr:uid="{00000000-0005-0000-0000-0000DB650000}"/>
    <cellStyle name="SAPBEXstdItem 4 2 2 4" xfId="26162" xr:uid="{00000000-0005-0000-0000-000094630000}"/>
    <cellStyle name="SAPBEXstdItem 4 2 3" xfId="26650" xr:uid="{00000000-0005-0000-0000-000093630000}"/>
    <cellStyle name="SAPBEXstdItem 4 2 4" xfId="28489" xr:uid="{00000000-0005-0000-0000-0000DA650000}"/>
    <cellStyle name="SAPBEXstdItem 4 2 5" xfId="26120" xr:uid="{00000000-0005-0000-0000-000093630000}"/>
    <cellStyle name="SAPBEXstdItem 4 3" xfId="25933" xr:uid="{00000000-0005-0000-0000-000092630000}"/>
    <cellStyle name="SAPBEXstdItem 4 4" xfId="28488" xr:uid="{00000000-0005-0000-0000-0000D9650000}"/>
    <cellStyle name="SAPBEXstdItem 4 5" xfId="29219" xr:uid="{00000000-0005-0000-0000-000092630000}"/>
    <cellStyle name="SAPBEXstdItem 5" xfId="266" xr:uid="{00000000-0005-0000-0000-000082630000}"/>
    <cellStyle name="SAPBEXstdItem 5 2" xfId="13729" xr:uid="{00000000-0005-0000-0000-000083630000}"/>
    <cellStyle name="SAPBEXstdItem 5 2 2" xfId="25542" xr:uid="{00000000-0005-0000-0000-000084630000}"/>
    <cellStyle name="SAPBEXstdItem 5 2 2 2" xfId="27697" xr:uid="{00000000-0005-0000-0000-000097630000}"/>
    <cellStyle name="SAPBEXstdItem 5 2 2 3" xfId="28493" xr:uid="{00000000-0005-0000-0000-0000DE650000}"/>
    <cellStyle name="SAPBEXstdItem 5 2 2 4" xfId="26981" xr:uid="{00000000-0005-0000-0000-000097630000}"/>
    <cellStyle name="SAPBEXstdItem 5 2 3" xfId="26651" xr:uid="{00000000-0005-0000-0000-000096630000}"/>
    <cellStyle name="SAPBEXstdItem 5 2 4" xfId="28492" xr:uid="{00000000-0005-0000-0000-0000DD650000}"/>
    <cellStyle name="SAPBEXstdItem 5 2 5" xfId="26738" xr:uid="{00000000-0005-0000-0000-000096630000}"/>
    <cellStyle name="SAPBEXstdItem 5 3" xfId="25934" xr:uid="{00000000-0005-0000-0000-000095630000}"/>
    <cellStyle name="SAPBEXstdItem 5 4" xfId="28491" xr:uid="{00000000-0005-0000-0000-0000DC650000}"/>
    <cellStyle name="SAPBEXstdItem 5 5" xfId="26820" xr:uid="{00000000-0005-0000-0000-000095630000}"/>
    <cellStyle name="SAPBEXstdItem 6" xfId="267" xr:uid="{00000000-0005-0000-0000-000085630000}"/>
    <cellStyle name="SAPBEXstdItem 6 2" xfId="13730" xr:uid="{00000000-0005-0000-0000-000086630000}"/>
    <cellStyle name="SAPBEXstdItem 6 2 2" xfId="25543" xr:uid="{00000000-0005-0000-0000-000087630000}"/>
    <cellStyle name="SAPBEXstdItem 6 2 2 2" xfId="27698" xr:uid="{00000000-0005-0000-0000-00009A630000}"/>
    <cellStyle name="SAPBEXstdItem 6 2 2 3" xfId="28496" xr:uid="{00000000-0005-0000-0000-0000E1650000}"/>
    <cellStyle name="SAPBEXstdItem 6 2 2 4" xfId="26992" xr:uid="{00000000-0005-0000-0000-00009A630000}"/>
    <cellStyle name="SAPBEXstdItem 6 2 3" xfId="26652" xr:uid="{00000000-0005-0000-0000-000099630000}"/>
    <cellStyle name="SAPBEXstdItem 6 2 4" xfId="28495" xr:uid="{00000000-0005-0000-0000-0000E0650000}"/>
    <cellStyle name="SAPBEXstdItem 6 2 5" xfId="26716" xr:uid="{00000000-0005-0000-0000-000099630000}"/>
    <cellStyle name="SAPBEXstdItem 6 3" xfId="25935" xr:uid="{00000000-0005-0000-0000-000098630000}"/>
    <cellStyle name="SAPBEXstdItem 6 4" xfId="28494" xr:uid="{00000000-0005-0000-0000-0000DF650000}"/>
    <cellStyle name="SAPBEXstdItem 6 5" xfId="29224" xr:uid="{00000000-0005-0000-0000-000098630000}"/>
    <cellStyle name="SAPBEXstdItem 7" xfId="268" xr:uid="{00000000-0005-0000-0000-000088630000}"/>
    <cellStyle name="SAPBEXstdItem 7 2" xfId="13731" xr:uid="{00000000-0005-0000-0000-000089630000}"/>
    <cellStyle name="SAPBEXstdItem 7 2 2" xfId="25544" xr:uid="{00000000-0005-0000-0000-00008A630000}"/>
    <cellStyle name="SAPBEXstdItem 7 2 2 2" xfId="27699" xr:uid="{00000000-0005-0000-0000-00009D630000}"/>
    <cellStyle name="SAPBEXstdItem 7 2 2 3" xfId="28499" xr:uid="{00000000-0005-0000-0000-0000E4650000}"/>
    <cellStyle name="SAPBEXstdItem 7 2 2 4" xfId="26470" xr:uid="{00000000-0005-0000-0000-00009D630000}"/>
    <cellStyle name="SAPBEXstdItem 7 2 3" xfId="26653" xr:uid="{00000000-0005-0000-0000-00009C630000}"/>
    <cellStyle name="SAPBEXstdItem 7 2 4" xfId="28498" xr:uid="{00000000-0005-0000-0000-0000E3650000}"/>
    <cellStyle name="SAPBEXstdItem 7 2 5" xfId="27017" xr:uid="{00000000-0005-0000-0000-00009C630000}"/>
    <cellStyle name="SAPBEXstdItem 7 3" xfId="25936" xr:uid="{00000000-0005-0000-0000-00009B630000}"/>
    <cellStyle name="SAPBEXstdItem 7 4" xfId="28497" xr:uid="{00000000-0005-0000-0000-0000E2650000}"/>
    <cellStyle name="SAPBEXstdItem 7 5" xfId="26225" xr:uid="{00000000-0005-0000-0000-00009B630000}"/>
    <cellStyle name="SAPBEXstdItem 8" xfId="416" xr:uid="{00000000-0005-0000-0000-00008B630000}"/>
    <cellStyle name="SAPBEXstdItem 8 2" xfId="13795" xr:uid="{00000000-0005-0000-0000-00008C630000}"/>
    <cellStyle name="SAPBEXstdItem 8 2 2" xfId="25553" xr:uid="{00000000-0005-0000-0000-00008D630000}"/>
    <cellStyle name="SAPBEXstdItem 8 2 2 2" xfId="27708" xr:uid="{00000000-0005-0000-0000-0000A0630000}"/>
    <cellStyle name="SAPBEXstdItem 8 2 2 3" xfId="28502" xr:uid="{00000000-0005-0000-0000-0000E7650000}"/>
    <cellStyle name="SAPBEXstdItem 8 2 2 4" xfId="26131" xr:uid="{00000000-0005-0000-0000-0000A0630000}"/>
    <cellStyle name="SAPBEXstdItem 8 2 3" xfId="26672" xr:uid="{00000000-0005-0000-0000-00009F630000}"/>
    <cellStyle name="SAPBEXstdItem 8 2 4" xfId="28501" xr:uid="{00000000-0005-0000-0000-0000E6650000}"/>
    <cellStyle name="SAPBEXstdItem 8 2 5" xfId="26409" xr:uid="{00000000-0005-0000-0000-00009F630000}"/>
    <cellStyle name="SAPBEXstdItem 8 3" xfId="26013" xr:uid="{00000000-0005-0000-0000-00009E630000}"/>
    <cellStyle name="SAPBEXstdItem 8 4" xfId="28500" xr:uid="{00000000-0005-0000-0000-0000E5650000}"/>
    <cellStyle name="SAPBEXstdItem 8 5" xfId="26785" xr:uid="{00000000-0005-0000-0000-00009E630000}"/>
    <cellStyle name="SAPBEXstdItem 9" xfId="390" xr:uid="{00000000-0005-0000-0000-00008E630000}"/>
    <cellStyle name="SAPBEXstdItem 9 2" xfId="13785" xr:uid="{00000000-0005-0000-0000-00008F630000}"/>
    <cellStyle name="SAPBEXstdItem 9 2 2" xfId="25550" xr:uid="{00000000-0005-0000-0000-000090630000}"/>
    <cellStyle name="SAPBEXstdItem 9 2 2 2" xfId="27705" xr:uid="{00000000-0005-0000-0000-0000A3630000}"/>
    <cellStyle name="SAPBEXstdItem 9 2 2 3" xfId="28505" xr:uid="{00000000-0005-0000-0000-0000EA650000}"/>
    <cellStyle name="SAPBEXstdItem 9 2 2 4" xfId="26876" xr:uid="{00000000-0005-0000-0000-0000A3630000}"/>
    <cellStyle name="SAPBEXstdItem 9 2 3" xfId="26668" xr:uid="{00000000-0005-0000-0000-0000A2630000}"/>
    <cellStyle name="SAPBEXstdItem 9 2 4" xfId="28504" xr:uid="{00000000-0005-0000-0000-0000E9650000}"/>
    <cellStyle name="SAPBEXstdItem 9 2 5" xfId="26916" xr:uid="{00000000-0005-0000-0000-0000A2630000}"/>
    <cellStyle name="SAPBEXstdItem 9 3" xfId="26003" xr:uid="{00000000-0005-0000-0000-0000A1630000}"/>
    <cellStyle name="SAPBEXstdItem 9 4" xfId="28503" xr:uid="{00000000-0005-0000-0000-0000E8650000}"/>
    <cellStyle name="SAPBEXstdItem 9 5" xfId="26187" xr:uid="{00000000-0005-0000-0000-0000A1630000}"/>
    <cellStyle name="SAPBEXstdItem_Copy of xSAPtemp5457" xfId="269" xr:uid="{00000000-0005-0000-0000-000091630000}"/>
    <cellStyle name="SAPBEXstdItemX" xfId="144" xr:uid="{00000000-0005-0000-0000-000092630000}"/>
    <cellStyle name="SAPBEXstdItemX 10" xfId="24638" xr:uid="{00000000-0005-0000-0000-000093630000}"/>
    <cellStyle name="SAPBEXstdItemX 10 2" xfId="25372" xr:uid="{00000000-0005-0000-0000-000094630000}"/>
    <cellStyle name="SAPBEXstdItemX 10 2 2" xfId="27528" xr:uid="{00000000-0005-0000-0000-0000A7630000}"/>
    <cellStyle name="SAPBEXstdItemX 10 2 3" xfId="28508" xr:uid="{00000000-0005-0000-0000-0000EE650000}"/>
    <cellStyle name="SAPBEXstdItemX 10 2 4" xfId="26345" xr:uid="{00000000-0005-0000-0000-0000A7630000}"/>
    <cellStyle name="SAPBEXstdItemX 10 3" xfId="25604" xr:uid="{00000000-0005-0000-0000-000095630000}"/>
    <cellStyle name="SAPBEXstdItemX 10 3 2" xfId="27759" xr:uid="{00000000-0005-0000-0000-0000A8630000}"/>
    <cellStyle name="SAPBEXstdItemX 10 3 3" xfId="28509" xr:uid="{00000000-0005-0000-0000-0000EF650000}"/>
    <cellStyle name="SAPBEXstdItemX 10 3 4" xfId="26159" xr:uid="{00000000-0005-0000-0000-0000A8630000}"/>
    <cellStyle name="SAPBEXstdItemX 10 4" xfId="27233" xr:uid="{00000000-0005-0000-0000-0000A6630000}"/>
    <cellStyle name="SAPBEXstdItemX 10 5" xfId="28507" xr:uid="{00000000-0005-0000-0000-0000ED650000}"/>
    <cellStyle name="SAPBEXstdItemX 10 6" xfId="26819" xr:uid="{00000000-0005-0000-0000-0000A6630000}"/>
    <cellStyle name="SAPBEXstdItemX 11" xfId="25135" xr:uid="{00000000-0005-0000-0000-000096630000}"/>
    <cellStyle name="SAPBEXstdItemX 11 2" xfId="25393" xr:uid="{00000000-0005-0000-0000-000097630000}"/>
    <cellStyle name="SAPBEXstdItemX 11 2 2" xfId="27549" xr:uid="{00000000-0005-0000-0000-0000AA630000}"/>
    <cellStyle name="SAPBEXstdItemX 11 2 3" xfId="28511" xr:uid="{00000000-0005-0000-0000-0000F1650000}"/>
    <cellStyle name="SAPBEXstdItemX 11 2 4" xfId="26938" xr:uid="{00000000-0005-0000-0000-0000AA630000}"/>
    <cellStyle name="SAPBEXstdItemX 11 3" xfId="25733" xr:uid="{00000000-0005-0000-0000-000098630000}"/>
    <cellStyle name="SAPBEXstdItemX 11 3 2" xfId="27888" xr:uid="{00000000-0005-0000-0000-0000AB630000}"/>
    <cellStyle name="SAPBEXstdItemX 11 3 3" xfId="28512" xr:uid="{00000000-0005-0000-0000-0000F2650000}"/>
    <cellStyle name="SAPBEXstdItemX 11 3 4" xfId="26505" xr:uid="{00000000-0005-0000-0000-0000AB630000}"/>
    <cellStyle name="SAPBEXstdItemX 11 4" xfId="27422" xr:uid="{00000000-0005-0000-0000-0000A9630000}"/>
    <cellStyle name="SAPBEXstdItemX 11 5" xfId="28510" xr:uid="{00000000-0005-0000-0000-0000F0650000}"/>
    <cellStyle name="SAPBEXstdItemX 11 6" xfId="26903" xr:uid="{00000000-0005-0000-0000-0000A9630000}"/>
    <cellStyle name="SAPBEXstdItemX 12" xfId="25877" xr:uid="{00000000-0005-0000-0000-0000A5630000}"/>
    <cellStyle name="SAPBEXstdItemX 13" xfId="28506" xr:uid="{00000000-0005-0000-0000-0000EC650000}"/>
    <cellStyle name="SAPBEXstdItemX 14" xfId="29233" xr:uid="{00000000-0005-0000-0000-0000A5630000}"/>
    <cellStyle name="SAPBEXstdItemX 2" xfId="145" xr:uid="{00000000-0005-0000-0000-000099630000}"/>
    <cellStyle name="SAPBEXstdItemX 2 2" xfId="13679" xr:uid="{00000000-0005-0000-0000-00009A630000}"/>
    <cellStyle name="SAPBEXstdItemX 2 2 2" xfId="25517" xr:uid="{00000000-0005-0000-0000-00009B630000}"/>
    <cellStyle name="SAPBEXstdItemX 2 2 2 2" xfId="27672" xr:uid="{00000000-0005-0000-0000-0000AE630000}"/>
    <cellStyle name="SAPBEXstdItemX 2 2 2 3" xfId="28515" xr:uid="{00000000-0005-0000-0000-0000F5650000}"/>
    <cellStyle name="SAPBEXstdItemX 2 2 2 4" xfId="26535" xr:uid="{00000000-0005-0000-0000-0000AE630000}"/>
    <cellStyle name="SAPBEXstdItemX 2 2 3" xfId="26623" xr:uid="{00000000-0005-0000-0000-0000AD630000}"/>
    <cellStyle name="SAPBEXstdItemX 2 2 4" xfId="28514" xr:uid="{00000000-0005-0000-0000-0000F4650000}"/>
    <cellStyle name="SAPBEXstdItemX 2 2 5" xfId="26150" xr:uid="{00000000-0005-0000-0000-0000AD630000}"/>
    <cellStyle name="SAPBEXstdItemX 2 3" xfId="25878" xr:uid="{00000000-0005-0000-0000-0000AC630000}"/>
    <cellStyle name="SAPBEXstdItemX 2 4" xfId="28513" xr:uid="{00000000-0005-0000-0000-0000F3650000}"/>
    <cellStyle name="SAPBEXstdItemX 2 5" xfId="29197" xr:uid="{00000000-0005-0000-0000-0000AC630000}"/>
    <cellStyle name="SAPBEXstdItemX 3" xfId="270" xr:uid="{00000000-0005-0000-0000-00009C630000}"/>
    <cellStyle name="SAPBEXstdItemX 3 2" xfId="13732" xr:uid="{00000000-0005-0000-0000-00009D630000}"/>
    <cellStyle name="SAPBEXstdItemX 3 2 2" xfId="25545" xr:uid="{00000000-0005-0000-0000-00009E630000}"/>
    <cellStyle name="SAPBEXstdItemX 3 2 2 2" xfId="27700" xr:uid="{00000000-0005-0000-0000-0000B1630000}"/>
    <cellStyle name="SAPBEXstdItemX 3 2 2 3" xfId="28518" xr:uid="{00000000-0005-0000-0000-0000F8650000}"/>
    <cellStyle name="SAPBEXstdItemX 3 2 2 4" xfId="26384" xr:uid="{00000000-0005-0000-0000-0000B1630000}"/>
    <cellStyle name="SAPBEXstdItemX 3 2 3" xfId="26654" xr:uid="{00000000-0005-0000-0000-0000B0630000}"/>
    <cellStyle name="SAPBEXstdItemX 3 2 4" xfId="28517" xr:uid="{00000000-0005-0000-0000-0000F7650000}"/>
    <cellStyle name="SAPBEXstdItemX 3 2 5" xfId="26868" xr:uid="{00000000-0005-0000-0000-0000B0630000}"/>
    <cellStyle name="SAPBEXstdItemX 3 3" xfId="25937" xr:uid="{00000000-0005-0000-0000-0000AF630000}"/>
    <cellStyle name="SAPBEXstdItemX 3 4" xfId="28516" xr:uid="{00000000-0005-0000-0000-0000F6650000}"/>
    <cellStyle name="SAPBEXstdItemX 3 5" xfId="29223" xr:uid="{00000000-0005-0000-0000-0000AF630000}"/>
    <cellStyle name="SAPBEXstdItemX 4" xfId="271" xr:uid="{00000000-0005-0000-0000-00009F630000}"/>
    <cellStyle name="SAPBEXstdItemX 4 2" xfId="13733" xr:uid="{00000000-0005-0000-0000-0000A0630000}"/>
    <cellStyle name="SAPBEXstdItemX 4 2 2" xfId="25546" xr:uid="{00000000-0005-0000-0000-0000A1630000}"/>
    <cellStyle name="SAPBEXstdItemX 4 2 2 2" xfId="27701" xr:uid="{00000000-0005-0000-0000-0000B4630000}"/>
    <cellStyle name="SAPBEXstdItemX 4 2 2 3" xfId="28521" xr:uid="{00000000-0005-0000-0000-0000FB650000}"/>
    <cellStyle name="SAPBEXstdItemX 4 2 2 4" xfId="26061" xr:uid="{00000000-0005-0000-0000-0000B4630000}"/>
    <cellStyle name="SAPBEXstdItemX 4 2 3" xfId="26655" xr:uid="{00000000-0005-0000-0000-0000B3630000}"/>
    <cellStyle name="SAPBEXstdItemX 4 2 4" xfId="28520" xr:uid="{00000000-0005-0000-0000-0000FA650000}"/>
    <cellStyle name="SAPBEXstdItemX 4 2 5" xfId="26254" xr:uid="{00000000-0005-0000-0000-0000B3630000}"/>
    <cellStyle name="SAPBEXstdItemX 4 3" xfId="25938" xr:uid="{00000000-0005-0000-0000-0000B2630000}"/>
    <cellStyle name="SAPBEXstdItemX 4 4" xfId="28519" xr:uid="{00000000-0005-0000-0000-0000F9650000}"/>
    <cellStyle name="SAPBEXstdItemX 4 5" xfId="26435" xr:uid="{00000000-0005-0000-0000-0000B2630000}"/>
    <cellStyle name="SAPBEXstdItemX 5" xfId="272" xr:uid="{00000000-0005-0000-0000-0000A2630000}"/>
    <cellStyle name="SAPBEXstdItemX 5 2" xfId="13734" xr:uid="{00000000-0005-0000-0000-0000A3630000}"/>
    <cellStyle name="SAPBEXstdItemX 5 2 2" xfId="25547" xr:uid="{00000000-0005-0000-0000-0000A4630000}"/>
    <cellStyle name="SAPBEXstdItemX 5 2 2 2" xfId="27702" xr:uid="{00000000-0005-0000-0000-0000B7630000}"/>
    <cellStyle name="SAPBEXstdItemX 5 2 2 3" xfId="28524" xr:uid="{00000000-0005-0000-0000-0000FE650000}"/>
    <cellStyle name="SAPBEXstdItemX 5 2 2 4" xfId="26855" xr:uid="{00000000-0005-0000-0000-0000B7630000}"/>
    <cellStyle name="SAPBEXstdItemX 5 2 3" xfId="26656" xr:uid="{00000000-0005-0000-0000-0000B6630000}"/>
    <cellStyle name="SAPBEXstdItemX 5 2 4" xfId="28523" xr:uid="{00000000-0005-0000-0000-0000FD650000}"/>
    <cellStyle name="SAPBEXstdItemX 5 2 5" xfId="26909" xr:uid="{00000000-0005-0000-0000-0000B6630000}"/>
    <cellStyle name="SAPBEXstdItemX 5 3" xfId="25939" xr:uid="{00000000-0005-0000-0000-0000B5630000}"/>
    <cellStyle name="SAPBEXstdItemX 5 4" xfId="28522" xr:uid="{00000000-0005-0000-0000-0000FC650000}"/>
    <cellStyle name="SAPBEXstdItemX 5 5" xfId="27932" xr:uid="{00000000-0005-0000-0000-0000B5630000}"/>
    <cellStyle name="SAPBEXstdItemX 6" xfId="273" xr:uid="{00000000-0005-0000-0000-0000A5630000}"/>
    <cellStyle name="SAPBEXstdItemX 6 2" xfId="13735" xr:uid="{00000000-0005-0000-0000-0000A6630000}"/>
    <cellStyle name="SAPBEXstdItemX 6 2 2" xfId="25548" xr:uid="{00000000-0005-0000-0000-0000A7630000}"/>
    <cellStyle name="SAPBEXstdItemX 6 2 2 2" xfId="27703" xr:uid="{00000000-0005-0000-0000-0000BA630000}"/>
    <cellStyle name="SAPBEXstdItemX 6 2 2 3" xfId="28527" xr:uid="{00000000-0005-0000-0000-000001660000}"/>
    <cellStyle name="SAPBEXstdItemX 6 2 2 4" xfId="26786" xr:uid="{00000000-0005-0000-0000-0000BA630000}"/>
    <cellStyle name="SAPBEXstdItemX 6 2 3" xfId="26657" xr:uid="{00000000-0005-0000-0000-0000B9630000}"/>
    <cellStyle name="SAPBEXstdItemX 6 2 4" xfId="28526" xr:uid="{00000000-0005-0000-0000-000000660000}"/>
    <cellStyle name="SAPBEXstdItemX 6 2 5" xfId="26346" xr:uid="{00000000-0005-0000-0000-0000B9630000}"/>
    <cellStyle name="SAPBEXstdItemX 6 3" xfId="25940" xr:uid="{00000000-0005-0000-0000-0000B8630000}"/>
    <cellStyle name="SAPBEXstdItemX 6 4" xfId="28525" xr:uid="{00000000-0005-0000-0000-0000FF650000}"/>
    <cellStyle name="SAPBEXstdItemX 6 5" xfId="29222" xr:uid="{00000000-0005-0000-0000-0000B8630000}"/>
    <cellStyle name="SAPBEXstdItemX 7" xfId="274" xr:uid="{00000000-0005-0000-0000-0000A8630000}"/>
    <cellStyle name="SAPBEXstdItemX 7 2" xfId="13736" xr:uid="{00000000-0005-0000-0000-0000A9630000}"/>
    <cellStyle name="SAPBEXstdItemX 7 2 2" xfId="25549" xr:uid="{00000000-0005-0000-0000-0000AA630000}"/>
    <cellStyle name="SAPBEXstdItemX 7 2 2 2" xfId="27704" xr:uid="{00000000-0005-0000-0000-0000BD630000}"/>
    <cellStyle name="SAPBEXstdItemX 7 2 2 3" xfId="28530" xr:uid="{00000000-0005-0000-0000-000004660000}"/>
    <cellStyle name="SAPBEXstdItemX 7 2 2 4" xfId="26262" xr:uid="{00000000-0005-0000-0000-0000BD630000}"/>
    <cellStyle name="SAPBEXstdItemX 7 2 3" xfId="26658" xr:uid="{00000000-0005-0000-0000-0000BC630000}"/>
    <cellStyle name="SAPBEXstdItemX 7 2 4" xfId="28529" xr:uid="{00000000-0005-0000-0000-000003660000}"/>
    <cellStyle name="SAPBEXstdItemX 7 2 5" xfId="26985" xr:uid="{00000000-0005-0000-0000-0000BC630000}"/>
    <cellStyle name="SAPBEXstdItemX 7 3" xfId="25941" xr:uid="{00000000-0005-0000-0000-0000BB630000}"/>
    <cellStyle name="SAPBEXstdItemX 7 4" xfId="28528" xr:uid="{00000000-0005-0000-0000-000002660000}"/>
    <cellStyle name="SAPBEXstdItemX 7 5" xfId="27021" xr:uid="{00000000-0005-0000-0000-0000BB630000}"/>
    <cellStyle name="SAPBEXstdItemX 8" xfId="417" xr:uid="{00000000-0005-0000-0000-0000AB630000}"/>
    <cellStyle name="SAPBEXstdItemX 8 2" xfId="13796" xr:uid="{00000000-0005-0000-0000-0000AC630000}"/>
    <cellStyle name="SAPBEXstdItemX 8 2 2" xfId="25554" xr:uid="{00000000-0005-0000-0000-0000AD630000}"/>
    <cellStyle name="SAPBEXstdItemX 8 2 2 2" xfId="27709" xr:uid="{00000000-0005-0000-0000-0000C0630000}"/>
    <cellStyle name="SAPBEXstdItemX 8 2 2 3" xfId="28533" xr:uid="{00000000-0005-0000-0000-000007660000}"/>
    <cellStyle name="SAPBEXstdItemX 8 2 2 4" xfId="26426" xr:uid="{00000000-0005-0000-0000-0000C0630000}"/>
    <cellStyle name="SAPBEXstdItemX 8 2 3" xfId="26673" xr:uid="{00000000-0005-0000-0000-0000BF630000}"/>
    <cellStyle name="SAPBEXstdItemX 8 2 4" xfId="28532" xr:uid="{00000000-0005-0000-0000-000006660000}"/>
    <cellStyle name="SAPBEXstdItemX 8 2 5" xfId="26923" xr:uid="{00000000-0005-0000-0000-0000BF630000}"/>
    <cellStyle name="SAPBEXstdItemX 8 3" xfId="26014" xr:uid="{00000000-0005-0000-0000-0000BE630000}"/>
    <cellStyle name="SAPBEXstdItemX 8 4" xfId="28531" xr:uid="{00000000-0005-0000-0000-000005660000}"/>
    <cellStyle name="SAPBEXstdItemX 8 5" xfId="29221" xr:uid="{00000000-0005-0000-0000-0000BE630000}"/>
    <cellStyle name="SAPBEXstdItemX 9" xfId="13678" xr:uid="{00000000-0005-0000-0000-0000AE630000}"/>
    <cellStyle name="SAPBEXstdItemX 9 2" xfId="25516" xr:uid="{00000000-0005-0000-0000-0000AF630000}"/>
    <cellStyle name="SAPBEXstdItemX 9 2 2" xfId="27671" xr:uid="{00000000-0005-0000-0000-0000C2630000}"/>
    <cellStyle name="SAPBEXstdItemX 9 2 3" xfId="28535" xr:uid="{00000000-0005-0000-0000-000009660000}"/>
    <cellStyle name="SAPBEXstdItemX 9 2 4" xfId="26101" xr:uid="{00000000-0005-0000-0000-0000C2630000}"/>
    <cellStyle name="SAPBEXstdItemX 9 3" xfId="26622" xr:uid="{00000000-0005-0000-0000-0000C1630000}"/>
    <cellStyle name="SAPBEXstdItemX 9 4" xfId="28534" xr:uid="{00000000-0005-0000-0000-000008660000}"/>
    <cellStyle name="SAPBEXstdItemX 9 5" xfId="26947" xr:uid="{00000000-0005-0000-0000-0000C1630000}"/>
    <cellStyle name="SAPBEXstdItemX_Copy of xSAPtemp5457" xfId="275" xr:uid="{00000000-0005-0000-0000-0000B0630000}"/>
    <cellStyle name="SAPBEXtitle" xfId="7" xr:uid="{00000000-0005-0000-0000-0000B1630000}"/>
    <cellStyle name="SAPBEXtitle 2" xfId="146" xr:uid="{00000000-0005-0000-0000-0000B2630000}"/>
    <cellStyle name="SAPBEXtitle 3" xfId="147" xr:uid="{00000000-0005-0000-0000-0000B3630000}"/>
    <cellStyle name="SAPBEXtitle 4" xfId="148" xr:uid="{00000000-0005-0000-0000-0000B4630000}"/>
    <cellStyle name="SAPBEXtitle 5" xfId="276" xr:uid="{00000000-0005-0000-0000-0000B5630000}"/>
    <cellStyle name="SAPBEXtitle 6" xfId="277" xr:uid="{00000000-0005-0000-0000-0000B6630000}"/>
    <cellStyle name="SAPBEXtitle 7" xfId="278" xr:uid="{00000000-0005-0000-0000-0000B7630000}"/>
    <cellStyle name="SAPBEXtitle 8" xfId="279" xr:uid="{00000000-0005-0000-0000-0000B8630000}"/>
    <cellStyle name="SAPBEXtitle_Copy of xSAPtemp5457" xfId="280" xr:uid="{00000000-0005-0000-0000-0000B9630000}"/>
    <cellStyle name="SAPBEXundefined" xfId="149" xr:uid="{00000000-0005-0000-0000-0000BA630000}"/>
    <cellStyle name="SAPBEXundefined 2" xfId="13680" xr:uid="{00000000-0005-0000-0000-0000BB630000}"/>
    <cellStyle name="SAPBEXundefined 2 2" xfId="25518" xr:uid="{00000000-0005-0000-0000-0000BC630000}"/>
    <cellStyle name="SAPBEXundefined 2 2 2" xfId="27673" xr:uid="{00000000-0005-0000-0000-0000CF630000}"/>
    <cellStyle name="SAPBEXundefined 2 2 3" xfId="28538" xr:uid="{00000000-0005-0000-0000-000016660000}"/>
    <cellStyle name="SAPBEXundefined 2 2 4" xfId="26163" xr:uid="{00000000-0005-0000-0000-0000CF630000}"/>
    <cellStyle name="SAPBEXundefined 2 3" xfId="26624" xr:uid="{00000000-0005-0000-0000-0000CE630000}"/>
    <cellStyle name="SAPBEXundefined 2 4" xfId="28537" xr:uid="{00000000-0005-0000-0000-000015660000}"/>
    <cellStyle name="SAPBEXundefined 2 5" xfId="26702" xr:uid="{00000000-0005-0000-0000-0000CE630000}"/>
    <cellStyle name="SAPBEXundefined 3" xfId="24637" xr:uid="{00000000-0005-0000-0000-0000BD630000}"/>
    <cellStyle name="SAPBEXundefined 3 2" xfId="25290" xr:uid="{00000000-0005-0000-0000-0000BE630000}"/>
    <cellStyle name="SAPBEXundefined 3 2 2" xfId="27447" xr:uid="{00000000-0005-0000-0000-0000D1630000}"/>
    <cellStyle name="SAPBEXundefined 3 2 3" xfId="28540" xr:uid="{00000000-0005-0000-0000-000018660000}"/>
    <cellStyle name="SAPBEXundefined 3 2 4" xfId="26821" xr:uid="{00000000-0005-0000-0000-0000D1630000}"/>
    <cellStyle name="SAPBEXundefined 3 3" xfId="25603" xr:uid="{00000000-0005-0000-0000-0000BF630000}"/>
    <cellStyle name="SAPBEXundefined 3 3 2" xfId="27758" xr:uid="{00000000-0005-0000-0000-0000D2630000}"/>
    <cellStyle name="SAPBEXundefined 3 3 3" xfId="28541" xr:uid="{00000000-0005-0000-0000-000019660000}"/>
    <cellStyle name="SAPBEXundefined 3 3 4" xfId="26848" xr:uid="{00000000-0005-0000-0000-0000D2630000}"/>
    <cellStyle name="SAPBEXundefined 3 4" xfId="27232" xr:uid="{00000000-0005-0000-0000-0000D0630000}"/>
    <cellStyle name="SAPBEXundefined 3 5" xfId="28539" xr:uid="{00000000-0005-0000-0000-000017660000}"/>
    <cellStyle name="SAPBEXundefined 3 6" xfId="27305" xr:uid="{00000000-0005-0000-0000-0000D0630000}"/>
    <cellStyle name="SAPBEXundefined 4" xfId="25136" xr:uid="{00000000-0005-0000-0000-0000C0630000}"/>
    <cellStyle name="SAPBEXundefined 4 2" xfId="25302" xr:uid="{00000000-0005-0000-0000-0000C1630000}"/>
    <cellStyle name="SAPBEXundefined 4 2 2" xfId="27458" xr:uid="{00000000-0005-0000-0000-0000D4630000}"/>
    <cellStyle name="SAPBEXundefined 4 2 3" xfId="28543" xr:uid="{00000000-0005-0000-0000-00001B660000}"/>
    <cellStyle name="SAPBEXundefined 4 2 4" xfId="26111" xr:uid="{00000000-0005-0000-0000-0000D4630000}"/>
    <cellStyle name="SAPBEXundefined 4 3" xfId="25734" xr:uid="{00000000-0005-0000-0000-0000C2630000}"/>
    <cellStyle name="SAPBEXundefined 4 3 2" xfId="27889" xr:uid="{00000000-0005-0000-0000-0000D5630000}"/>
    <cellStyle name="SAPBEXundefined 4 3 3" xfId="28544" xr:uid="{00000000-0005-0000-0000-00001C660000}"/>
    <cellStyle name="SAPBEXundefined 4 3 4" xfId="26416" xr:uid="{00000000-0005-0000-0000-0000D5630000}"/>
    <cellStyle name="SAPBEXundefined 4 4" xfId="27423" xr:uid="{00000000-0005-0000-0000-0000D3630000}"/>
    <cellStyle name="SAPBEXundefined 4 5" xfId="28542" xr:uid="{00000000-0005-0000-0000-00001A660000}"/>
    <cellStyle name="SAPBEXundefined 4 6" xfId="26398" xr:uid="{00000000-0005-0000-0000-0000D3630000}"/>
    <cellStyle name="SAPBEXundefined 5" xfId="25879" xr:uid="{00000000-0005-0000-0000-0000CD630000}"/>
    <cellStyle name="SAPBEXundefined 6" xfId="28536" xr:uid="{00000000-0005-0000-0000-000014660000}"/>
    <cellStyle name="SAPBEXundefined 7" xfId="26762" xr:uid="{00000000-0005-0000-0000-0000CD630000}"/>
    <cellStyle name="Shade" xfId="150" xr:uid="{00000000-0005-0000-0000-0000C3630000}"/>
    <cellStyle name="Shaded" xfId="615" xr:uid="{00000000-0005-0000-0000-0000C4630000}"/>
    <cellStyle name="Sheet Title" xfId="24273" xr:uid="{00000000-0005-0000-0000-0000C5630000}"/>
    <cellStyle name="Special" xfId="151" xr:uid="{00000000-0005-0000-0000-0000C6630000}"/>
    <cellStyle name="Special 2" xfId="25880" xr:uid="{00000000-0005-0000-0000-0000D9630000}"/>
    <cellStyle name="Special 3" xfId="28545" xr:uid="{00000000-0005-0000-0000-000020660000}"/>
    <cellStyle name="Style 1" xfId="152" xr:uid="{00000000-0005-0000-0000-0000C7630000}"/>
    <cellStyle name="Style 1 2" xfId="24274" xr:uid="{00000000-0005-0000-0000-0000C8630000}"/>
    <cellStyle name="Style 1 2 2" xfId="27129" xr:uid="{00000000-0005-0000-0000-0000DB630000}"/>
    <cellStyle name="Style 1 3" xfId="23908" xr:uid="{00000000-0005-0000-0000-0000C9630000}"/>
    <cellStyle name="Style 1 4" xfId="25881" xr:uid="{00000000-0005-0000-0000-0000DA630000}"/>
    <cellStyle name="Style 27" xfId="153" xr:uid="{00000000-0005-0000-0000-0000CA630000}"/>
    <cellStyle name="Style 27 2" xfId="25882" xr:uid="{00000000-0005-0000-0000-0000DD630000}"/>
    <cellStyle name="Style 35" xfId="154" xr:uid="{00000000-0005-0000-0000-0000CB630000}"/>
    <cellStyle name="Style 36" xfId="155" xr:uid="{00000000-0005-0000-0000-0000CC630000}"/>
    <cellStyle name="Summary" xfId="616" xr:uid="{00000000-0005-0000-0000-0000CD630000}"/>
    <cellStyle name="System" xfId="617" xr:uid="{00000000-0005-0000-0000-0000CE630000}"/>
    <cellStyle name="Table Col Head" xfId="618" xr:uid="{00000000-0005-0000-0000-0000CF630000}"/>
    <cellStyle name="Table Sub Head" xfId="619" xr:uid="{00000000-0005-0000-0000-0000D0630000}"/>
    <cellStyle name="Table Title" xfId="620" xr:uid="{00000000-0005-0000-0000-0000D1630000}"/>
    <cellStyle name="Table Units" xfId="621" xr:uid="{00000000-0005-0000-0000-0000D2630000}"/>
    <cellStyle name="TableBase" xfId="622" xr:uid="{00000000-0005-0000-0000-0000D3630000}"/>
    <cellStyle name="TableBase 2" xfId="24528" xr:uid="{00000000-0005-0000-0000-0000D4630000}"/>
    <cellStyle name="TableBase 2 2" xfId="25352" xr:uid="{00000000-0005-0000-0000-0000D5630000}"/>
    <cellStyle name="TableBase 2 2 2" xfId="27508" xr:uid="{00000000-0005-0000-0000-0000E8630000}"/>
    <cellStyle name="TableBase 2 2 3" xfId="29199" xr:uid="{00000000-0005-0000-0000-0000E8630000}"/>
    <cellStyle name="TableBase 2 2 4" xfId="27020" xr:uid="{00000000-0005-0000-0000-0000E8630000}"/>
    <cellStyle name="TableBase 2 3" xfId="25598" xr:uid="{00000000-0005-0000-0000-0000D6630000}"/>
    <cellStyle name="TableBase 2 3 2" xfId="27753" xr:uid="{00000000-0005-0000-0000-0000E9630000}"/>
    <cellStyle name="TableBase 2 3 3" xfId="29236" xr:uid="{00000000-0005-0000-0000-0000E9630000}"/>
    <cellStyle name="TableBase 2 3 4" xfId="26251" xr:uid="{00000000-0005-0000-0000-0000E9630000}"/>
    <cellStyle name="TableBase 2 4" xfId="27210" xr:uid="{00000000-0005-0000-0000-0000E7630000}"/>
    <cellStyle name="TableBase 2 5" xfId="27040" xr:uid="{00000000-0005-0000-0000-0000E7630000}"/>
    <cellStyle name="TableBase 2 6" xfId="26766" xr:uid="{00000000-0005-0000-0000-0000E7630000}"/>
    <cellStyle name="TableBase 3" xfId="24688" xr:uid="{00000000-0005-0000-0000-0000D7630000}"/>
    <cellStyle name="TableBase 3 2" xfId="25440" xr:uid="{00000000-0005-0000-0000-0000D8630000}"/>
    <cellStyle name="TableBase 3 2 2" xfId="27596" xr:uid="{00000000-0005-0000-0000-0000EB630000}"/>
    <cellStyle name="TableBase 3 2 3" xfId="29215" xr:uid="{00000000-0005-0000-0000-0000EB630000}"/>
    <cellStyle name="TableBase 3 2 4" xfId="26340" xr:uid="{00000000-0005-0000-0000-0000EB630000}"/>
    <cellStyle name="TableBase 3 3" xfId="25650" xr:uid="{00000000-0005-0000-0000-0000D9630000}"/>
    <cellStyle name="TableBase 3 3 2" xfId="27805" xr:uid="{00000000-0005-0000-0000-0000EC630000}"/>
    <cellStyle name="TableBase 3 3 3" xfId="29238" xr:uid="{00000000-0005-0000-0000-0000EC630000}"/>
    <cellStyle name="TableBase 3 3 4" xfId="26280" xr:uid="{00000000-0005-0000-0000-0000EC630000}"/>
    <cellStyle name="TableBase 3 4" xfId="27280" xr:uid="{00000000-0005-0000-0000-0000EA630000}"/>
    <cellStyle name="TableBase 3 5" xfId="26038" xr:uid="{00000000-0005-0000-0000-0000EA630000}"/>
    <cellStyle name="TableBase 3 6" xfId="26811" xr:uid="{00000000-0005-0000-0000-0000EA630000}"/>
    <cellStyle name="TableHead" xfId="623" xr:uid="{00000000-0005-0000-0000-0000DA630000}"/>
    <cellStyle name="Text" xfId="624" xr:uid="{00000000-0005-0000-0000-0000DB630000}"/>
    <cellStyle name="Time" xfId="625" xr:uid="{00000000-0005-0000-0000-0000DC630000}"/>
    <cellStyle name="Time 2" xfId="24275" xr:uid="{00000000-0005-0000-0000-0000DD630000}"/>
    <cellStyle name="Title - Underline" xfId="626" xr:uid="{00000000-0005-0000-0000-0000DE630000}"/>
    <cellStyle name="Title 2" xfId="24276" xr:uid="{00000000-0005-0000-0000-0000DF630000}"/>
    <cellStyle name="Titles" xfId="156" xr:uid="{00000000-0005-0000-0000-0000E0630000}"/>
    <cellStyle name="Titles - Other" xfId="627" xr:uid="{00000000-0005-0000-0000-0000E1630000}"/>
    <cellStyle name="Titles - Other 2" xfId="24277" xr:uid="{00000000-0005-0000-0000-0000E2630000}"/>
    <cellStyle name="Titles 2" xfId="24929" xr:uid="{00000000-0005-0000-0000-0000E3630000}"/>
    <cellStyle name="Titles 3" xfId="25137" xr:uid="{00000000-0005-0000-0000-0000E4630000}"/>
    <cellStyle name="Total 10" xfId="3476" xr:uid="{00000000-0005-0000-0000-0000E5630000}"/>
    <cellStyle name="Total 11" xfId="3477" xr:uid="{00000000-0005-0000-0000-0000E6630000}"/>
    <cellStyle name="Total 12" xfId="3478" xr:uid="{00000000-0005-0000-0000-0000E7630000}"/>
    <cellStyle name="Total 13" xfId="3479" xr:uid="{00000000-0005-0000-0000-0000E8630000}"/>
    <cellStyle name="Total 14" xfId="3480" xr:uid="{00000000-0005-0000-0000-0000E9630000}"/>
    <cellStyle name="Total 15" xfId="3481" xr:uid="{00000000-0005-0000-0000-0000EA630000}"/>
    <cellStyle name="Total 16" xfId="3482" xr:uid="{00000000-0005-0000-0000-0000EB630000}"/>
    <cellStyle name="Total 17" xfId="3483" xr:uid="{00000000-0005-0000-0000-0000EC630000}"/>
    <cellStyle name="Total 18" xfId="3484" xr:uid="{00000000-0005-0000-0000-0000ED630000}"/>
    <cellStyle name="Total 19" xfId="3485" xr:uid="{00000000-0005-0000-0000-0000EE630000}"/>
    <cellStyle name="Total 2" xfId="157" xr:uid="{00000000-0005-0000-0000-0000EF630000}"/>
    <cellStyle name="Total 2 2" xfId="3486" xr:uid="{00000000-0005-0000-0000-0000F0630000}"/>
    <cellStyle name="Total 2 2 2" xfId="24279" xr:uid="{00000000-0005-0000-0000-0000F1630000}"/>
    <cellStyle name="Total 2 2 2 2" xfId="25412" xr:uid="{00000000-0005-0000-0000-0000F2630000}"/>
    <cellStyle name="Total 2 2 2 2 2" xfId="27568" xr:uid="{00000000-0005-0000-0000-000005640000}"/>
    <cellStyle name="Total 2 2 2 2 3" xfId="28552" xr:uid="{00000000-0005-0000-0000-00004C660000}"/>
    <cellStyle name="Total 2 2 2 2 4" xfId="26253" xr:uid="{00000000-0005-0000-0000-000005640000}"/>
    <cellStyle name="Total 2 2 2 3" xfId="25592" xr:uid="{00000000-0005-0000-0000-0000F3630000}"/>
    <cellStyle name="Total 2 2 2 3 2" xfId="27747" xr:uid="{00000000-0005-0000-0000-000006640000}"/>
    <cellStyle name="Total 2 2 2 3 3" xfId="28553" xr:uid="{00000000-0005-0000-0000-00004D660000}"/>
    <cellStyle name="Total 2 2 2 3 4" xfId="26942" xr:uid="{00000000-0005-0000-0000-000006640000}"/>
    <cellStyle name="Total 2 2 2 4" xfId="27131" xr:uid="{00000000-0005-0000-0000-000004640000}"/>
    <cellStyle name="Total 2 2 2 5" xfId="28551" xr:uid="{00000000-0005-0000-0000-00004B660000}"/>
    <cellStyle name="Total 2 2 2 6" xfId="26075" xr:uid="{00000000-0005-0000-0000-000004640000}"/>
    <cellStyle name="Total 2 2 3" xfId="24633" xr:uid="{00000000-0005-0000-0000-0000F4630000}"/>
    <cellStyle name="Total 2 2 3 2" xfId="25351" xr:uid="{00000000-0005-0000-0000-0000F5630000}"/>
    <cellStyle name="Total 2 2 3 2 2" xfId="27507" xr:uid="{00000000-0005-0000-0000-000008640000}"/>
    <cellStyle name="Total 2 2 3 2 3" xfId="28555" xr:uid="{00000000-0005-0000-0000-00004F660000}"/>
    <cellStyle name="Total 2 2 3 2 4" xfId="26872" xr:uid="{00000000-0005-0000-0000-000008640000}"/>
    <cellStyle name="Total 2 2 3 3" xfId="25601" xr:uid="{00000000-0005-0000-0000-0000F6630000}"/>
    <cellStyle name="Total 2 2 3 3 2" xfId="27756" xr:uid="{00000000-0005-0000-0000-000009640000}"/>
    <cellStyle name="Total 2 2 3 3 3" xfId="28556" xr:uid="{00000000-0005-0000-0000-000050660000}"/>
    <cellStyle name="Total 2 2 3 3 4" xfId="26212" xr:uid="{00000000-0005-0000-0000-000009640000}"/>
    <cellStyle name="Total 2 2 3 4" xfId="27229" xr:uid="{00000000-0005-0000-0000-000007640000}"/>
    <cellStyle name="Total 2 2 3 5" xfId="28554" xr:uid="{00000000-0005-0000-0000-00004E660000}"/>
    <cellStyle name="Total 2 2 3 6" xfId="26118" xr:uid="{00000000-0005-0000-0000-000007640000}"/>
    <cellStyle name="Total 2 2 4" xfId="25139" xr:uid="{00000000-0005-0000-0000-0000F7630000}"/>
    <cellStyle name="Total 2 2 4 2" xfId="25422" xr:uid="{00000000-0005-0000-0000-0000F8630000}"/>
    <cellStyle name="Total 2 2 4 2 2" xfId="27578" xr:uid="{00000000-0005-0000-0000-00000B640000}"/>
    <cellStyle name="Total 2 2 4 2 3" xfId="28558" xr:uid="{00000000-0005-0000-0000-000052660000}"/>
    <cellStyle name="Total 2 2 4 2 4" xfId="26739" xr:uid="{00000000-0005-0000-0000-00000B640000}"/>
    <cellStyle name="Total 2 2 4 3" xfId="25736" xr:uid="{00000000-0005-0000-0000-0000F9630000}"/>
    <cellStyle name="Total 2 2 4 3 2" xfId="27891" xr:uid="{00000000-0005-0000-0000-00000C640000}"/>
    <cellStyle name="Total 2 2 4 3 3" xfId="28559" xr:uid="{00000000-0005-0000-0000-000053660000}"/>
    <cellStyle name="Total 2 2 4 3 4" xfId="29260" xr:uid="{00000000-0005-0000-0000-00000C640000}"/>
    <cellStyle name="Total 2 2 4 4" xfId="27425" xr:uid="{00000000-0005-0000-0000-00000A640000}"/>
    <cellStyle name="Total 2 2 4 5" xfId="28557" xr:uid="{00000000-0005-0000-0000-000051660000}"/>
    <cellStyle name="Total 2 2 4 6" xfId="26943" xr:uid="{00000000-0005-0000-0000-00000A640000}"/>
    <cellStyle name="Total 2 3" xfId="13681" xr:uid="{00000000-0005-0000-0000-0000FA630000}"/>
    <cellStyle name="Total 2 4" xfId="24278" xr:uid="{00000000-0005-0000-0000-0000FB630000}"/>
    <cellStyle name="Total 2 4 2" xfId="25310" xr:uid="{00000000-0005-0000-0000-0000FC630000}"/>
    <cellStyle name="Total 2 4 2 2" xfId="27466" xr:uid="{00000000-0005-0000-0000-00000F640000}"/>
    <cellStyle name="Total 2 4 2 3" xfId="28561" xr:uid="{00000000-0005-0000-0000-000056660000}"/>
    <cellStyle name="Total 2 4 2 4" xfId="26953" xr:uid="{00000000-0005-0000-0000-00000F640000}"/>
    <cellStyle name="Total 2 4 3" xfId="25591" xr:uid="{00000000-0005-0000-0000-0000FD630000}"/>
    <cellStyle name="Total 2 4 3 2" xfId="27746" xr:uid="{00000000-0005-0000-0000-000010640000}"/>
    <cellStyle name="Total 2 4 3 3" xfId="28562" xr:uid="{00000000-0005-0000-0000-000057660000}"/>
    <cellStyle name="Total 2 4 3 4" xfId="26335" xr:uid="{00000000-0005-0000-0000-000010640000}"/>
    <cellStyle name="Total 2 4 4" xfId="27130" xr:uid="{00000000-0005-0000-0000-00000E640000}"/>
    <cellStyle name="Total 2 4 5" xfId="28560" xr:uid="{00000000-0005-0000-0000-000055660000}"/>
    <cellStyle name="Total 2 4 6" xfId="26674" xr:uid="{00000000-0005-0000-0000-00000E640000}"/>
    <cellStyle name="Total 2 5" xfId="24634" xr:uid="{00000000-0005-0000-0000-0000FE630000}"/>
    <cellStyle name="Total 2 5 2" xfId="25452" xr:uid="{00000000-0005-0000-0000-0000FF630000}"/>
    <cellStyle name="Total 2 5 2 2" xfId="27608" xr:uid="{00000000-0005-0000-0000-000012640000}"/>
    <cellStyle name="Total 2 5 2 3" xfId="28564" xr:uid="{00000000-0005-0000-0000-000059660000}"/>
    <cellStyle name="Total 2 5 2 4" xfId="26851" xr:uid="{00000000-0005-0000-0000-000012640000}"/>
    <cellStyle name="Total 2 5 3" xfId="25602" xr:uid="{00000000-0005-0000-0000-000000640000}"/>
    <cellStyle name="Total 2 5 3 2" xfId="27757" xr:uid="{00000000-0005-0000-0000-000013640000}"/>
    <cellStyle name="Total 2 5 3 3" xfId="28565" xr:uid="{00000000-0005-0000-0000-00005A660000}"/>
    <cellStyle name="Total 2 5 3 4" xfId="26097" xr:uid="{00000000-0005-0000-0000-000013640000}"/>
    <cellStyle name="Total 2 5 4" xfId="27230" xr:uid="{00000000-0005-0000-0000-000011640000}"/>
    <cellStyle name="Total 2 5 5" xfId="28563" xr:uid="{00000000-0005-0000-0000-000058660000}"/>
    <cellStyle name="Total 2 5 6" xfId="26700" xr:uid="{00000000-0005-0000-0000-000011640000}"/>
    <cellStyle name="Total 2 6" xfId="25138" xr:uid="{00000000-0005-0000-0000-000001640000}"/>
    <cellStyle name="Total 2 6 2" xfId="25318" xr:uid="{00000000-0005-0000-0000-000002640000}"/>
    <cellStyle name="Total 2 6 2 2" xfId="27474" xr:uid="{00000000-0005-0000-0000-000015640000}"/>
    <cellStyle name="Total 2 6 2 3" xfId="28567" xr:uid="{00000000-0005-0000-0000-00005C660000}"/>
    <cellStyle name="Total 2 6 2 4" xfId="26867" xr:uid="{00000000-0005-0000-0000-000015640000}"/>
    <cellStyle name="Total 2 6 3" xfId="25735" xr:uid="{00000000-0005-0000-0000-000003640000}"/>
    <cellStyle name="Total 2 6 3 2" xfId="27890" xr:uid="{00000000-0005-0000-0000-000016640000}"/>
    <cellStyle name="Total 2 6 3 3" xfId="28568" xr:uid="{00000000-0005-0000-0000-00005D660000}"/>
    <cellStyle name="Total 2 6 3 4" xfId="26965" xr:uid="{00000000-0005-0000-0000-000016640000}"/>
    <cellStyle name="Total 2 6 4" xfId="27424" xr:uid="{00000000-0005-0000-0000-000014640000}"/>
    <cellStyle name="Total 2 6 5" xfId="28566" xr:uid="{00000000-0005-0000-0000-00005B660000}"/>
    <cellStyle name="Total 2 6 6" xfId="26336" xr:uid="{00000000-0005-0000-0000-000014640000}"/>
    <cellStyle name="Total 20" xfId="3487" xr:uid="{00000000-0005-0000-0000-000004640000}"/>
    <cellStyle name="Total 21" xfId="3488" xr:uid="{00000000-0005-0000-0000-000005640000}"/>
    <cellStyle name="Total 22" xfId="3489" xr:uid="{00000000-0005-0000-0000-000006640000}"/>
    <cellStyle name="Total 23" xfId="3490" xr:uid="{00000000-0005-0000-0000-000007640000}"/>
    <cellStyle name="Total 24" xfId="3491" xr:uid="{00000000-0005-0000-0000-000008640000}"/>
    <cellStyle name="Total 25" xfId="3492" xr:uid="{00000000-0005-0000-0000-000009640000}"/>
    <cellStyle name="Total 26" xfId="3493" xr:uid="{00000000-0005-0000-0000-00000A640000}"/>
    <cellStyle name="Total 27" xfId="3494" xr:uid="{00000000-0005-0000-0000-00000B640000}"/>
    <cellStyle name="Total 28" xfId="3495" xr:uid="{00000000-0005-0000-0000-00000C640000}"/>
    <cellStyle name="Total 29" xfId="3496" xr:uid="{00000000-0005-0000-0000-00000D640000}"/>
    <cellStyle name="Total 3" xfId="3497" xr:uid="{00000000-0005-0000-0000-00000E640000}"/>
    <cellStyle name="Total 3 2" xfId="24281" xr:uid="{00000000-0005-0000-0000-00000F640000}"/>
    <cellStyle name="Total 3 2 2" xfId="24631" xr:uid="{00000000-0005-0000-0000-000010640000}"/>
    <cellStyle name="Total 3 2 2 2" xfId="25334" xr:uid="{00000000-0005-0000-0000-000011640000}"/>
    <cellStyle name="Total 3 2 2 2 2" xfId="27490" xr:uid="{00000000-0005-0000-0000-000024640000}"/>
    <cellStyle name="Total 3 2 2 2 3" xfId="28574" xr:uid="{00000000-0005-0000-0000-00006B660000}"/>
    <cellStyle name="Total 3 2 2 2 4" xfId="26242" xr:uid="{00000000-0005-0000-0000-000024640000}"/>
    <cellStyle name="Total 3 2 2 3" xfId="25599" xr:uid="{00000000-0005-0000-0000-000012640000}"/>
    <cellStyle name="Total 3 2 2 3 2" xfId="27754" xr:uid="{00000000-0005-0000-0000-000025640000}"/>
    <cellStyle name="Total 3 2 2 3 3" xfId="28575" xr:uid="{00000000-0005-0000-0000-00006C660000}"/>
    <cellStyle name="Total 3 2 2 3 4" xfId="26296" xr:uid="{00000000-0005-0000-0000-000025640000}"/>
    <cellStyle name="Total 3 2 2 4" xfId="27227" xr:uid="{00000000-0005-0000-0000-000023640000}"/>
    <cellStyle name="Total 3 2 2 5" xfId="28573" xr:uid="{00000000-0005-0000-0000-00006A660000}"/>
    <cellStyle name="Total 3 2 2 6" xfId="26548" xr:uid="{00000000-0005-0000-0000-000023640000}"/>
    <cellStyle name="Total 3 2 3" xfId="25141" xr:uid="{00000000-0005-0000-0000-000013640000}"/>
    <cellStyle name="Total 3 2 3 2" xfId="25436" xr:uid="{00000000-0005-0000-0000-000014640000}"/>
    <cellStyle name="Total 3 2 3 2 2" xfId="27592" xr:uid="{00000000-0005-0000-0000-000027640000}"/>
    <cellStyle name="Total 3 2 3 2 3" xfId="28577" xr:uid="{00000000-0005-0000-0000-00006E660000}"/>
    <cellStyle name="Total 3 2 3 2 4" xfId="27046" xr:uid="{00000000-0005-0000-0000-000027640000}"/>
    <cellStyle name="Total 3 2 3 3" xfId="25738" xr:uid="{00000000-0005-0000-0000-000015640000}"/>
    <cellStyle name="Total 3 2 3 3 2" xfId="27893" xr:uid="{00000000-0005-0000-0000-000028640000}"/>
    <cellStyle name="Total 3 2 3 3 3" xfId="28578" xr:uid="{00000000-0005-0000-0000-00006F660000}"/>
    <cellStyle name="Total 3 2 3 3 4" xfId="29262" xr:uid="{00000000-0005-0000-0000-000028640000}"/>
    <cellStyle name="Total 3 2 3 4" xfId="27427" xr:uid="{00000000-0005-0000-0000-000026640000}"/>
    <cellStyle name="Total 3 2 3 5" xfId="28576" xr:uid="{00000000-0005-0000-0000-00006D660000}"/>
    <cellStyle name="Total 3 2 3 6" xfId="26810" xr:uid="{00000000-0005-0000-0000-000026640000}"/>
    <cellStyle name="Total 3 2 4" xfId="25426" xr:uid="{00000000-0005-0000-0000-000016640000}"/>
    <cellStyle name="Total 3 2 4 2" xfId="27582" xr:uid="{00000000-0005-0000-0000-000029640000}"/>
    <cellStyle name="Total 3 2 4 3" xfId="28579" xr:uid="{00000000-0005-0000-0000-000070660000}"/>
    <cellStyle name="Total 3 2 4 4" xfId="26826" xr:uid="{00000000-0005-0000-0000-000029640000}"/>
    <cellStyle name="Total 3 2 5" xfId="25594" xr:uid="{00000000-0005-0000-0000-000017640000}"/>
    <cellStyle name="Total 3 2 5 2" xfId="27749" xr:uid="{00000000-0005-0000-0000-00002A640000}"/>
    <cellStyle name="Total 3 2 5 3" xfId="28580" xr:uid="{00000000-0005-0000-0000-000071660000}"/>
    <cellStyle name="Total 3 2 5 4" xfId="26809" xr:uid="{00000000-0005-0000-0000-00002A640000}"/>
    <cellStyle name="Total 3 2 6" xfId="27133" xr:uid="{00000000-0005-0000-0000-000022640000}"/>
    <cellStyle name="Total 3 2 7" xfId="28572" xr:uid="{00000000-0005-0000-0000-000069660000}"/>
    <cellStyle name="Total 3 2 8" xfId="26919" xr:uid="{00000000-0005-0000-0000-000022640000}"/>
    <cellStyle name="Total 3 3" xfId="24280" xr:uid="{00000000-0005-0000-0000-000018640000}"/>
    <cellStyle name="Total 3 3 2" xfId="25325" xr:uid="{00000000-0005-0000-0000-000019640000}"/>
    <cellStyle name="Total 3 3 2 2" xfId="27481" xr:uid="{00000000-0005-0000-0000-00002C640000}"/>
    <cellStyle name="Total 3 3 2 3" xfId="28582" xr:uid="{00000000-0005-0000-0000-000073660000}"/>
    <cellStyle name="Total 3 3 2 4" xfId="26172" xr:uid="{00000000-0005-0000-0000-00002C640000}"/>
    <cellStyle name="Total 3 3 3" xfId="25593" xr:uid="{00000000-0005-0000-0000-00001A640000}"/>
    <cellStyle name="Total 3 3 3 2" xfId="27748" xr:uid="{00000000-0005-0000-0000-00002D640000}"/>
    <cellStyle name="Total 3 3 3 3" xfId="28583" xr:uid="{00000000-0005-0000-0000-000074660000}"/>
    <cellStyle name="Total 3 3 3 4" xfId="26300" xr:uid="{00000000-0005-0000-0000-00002D640000}"/>
    <cellStyle name="Total 3 3 4" xfId="27132" xr:uid="{00000000-0005-0000-0000-00002B640000}"/>
    <cellStyle name="Total 3 3 5" xfId="28581" xr:uid="{00000000-0005-0000-0000-000072660000}"/>
    <cellStyle name="Total 3 3 6" xfId="26519" xr:uid="{00000000-0005-0000-0000-00002B640000}"/>
    <cellStyle name="Total 3 4" xfId="24632" xr:uid="{00000000-0005-0000-0000-00001B640000}"/>
    <cellStyle name="Total 3 4 2" xfId="25435" xr:uid="{00000000-0005-0000-0000-00001C640000}"/>
    <cellStyle name="Total 3 4 2 2" xfId="27591" xr:uid="{00000000-0005-0000-0000-00002F640000}"/>
    <cellStyle name="Total 3 4 2 3" xfId="28585" xr:uid="{00000000-0005-0000-0000-000076660000}"/>
    <cellStyle name="Total 3 4 2 4" xfId="26995" xr:uid="{00000000-0005-0000-0000-00002F640000}"/>
    <cellStyle name="Total 3 4 3" xfId="25600" xr:uid="{00000000-0005-0000-0000-00001D640000}"/>
    <cellStyle name="Total 3 4 3 2" xfId="27755" xr:uid="{00000000-0005-0000-0000-000030640000}"/>
    <cellStyle name="Total 3 4 3 3" xfId="28586" xr:uid="{00000000-0005-0000-0000-000077660000}"/>
    <cellStyle name="Total 3 4 3 4" xfId="26227" xr:uid="{00000000-0005-0000-0000-000030640000}"/>
    <cellStyle name="Total 3 4 4" xfId="27228" xr:uid="{00000000-0005-0000-0000-00002E640000}"/>
    <cellStyle name="Total 3 4 5" xfId="28584" xr:uid="{00000000-0005-0000-0000-000075660000}"/>
    <cellStyle name="Total 3 4 6" xfId="26423" xr:uid="{00000000-0005-0000-0000-00002E640000}"/>
    <cellStyle name="Total 3 5" xfId="25140" xr:uid="{00000000-0005-0000-0000-00001E640000}"/>
    <cellStyle name="Total 3 5 2" xfId="25339" xr:uid="{00000000-0005-0000-0000-00001F640000}"/>
    <cellStyle name="Total 3 5 2 2" xfId="27495" xr:uid="{00000000-0005-0000-0000-000032640000}"/>
    <cellStyle name="Total 3 5 2 3" xfId="28588" xr:uid="{00000000-0005-0000-0000-000079660000}"/>
    <cellStyle name="Total 3 5 2 4" xfId="26341" xr:uid="{00000000-0005-0000-0000-000032640000}"/>
    <cellStyle name="Total 3 5 3" xfId="25737" xr:uid="{00000000-0005-0000-0000-000020640000}"/>
    <cellStyle name="Total 3 5 3 2" xfId="27892" xr:uid="{00000000-0005-0000-0000-000033640000}"/>
    <cellStyle name="Total 3 5 3 3" xfId="28589" xr:uid="{00000000-0005-0000-0000-00007A660000}"/>
    <cellStyle name="Total 3 5 3 4" xfId="29261" xr:uid="{00000000-0005-0000-0000-000033640000}"/>
    <cellStyle name="Total 3 5 4" xfId="27426" xr:uid="{00000000-0005-0000-0000-000031640000}"/>
    <cellStyle name="Total 3 5 5" xfId="28587" xr:uid="{00000000-0005-0000-0000-000078660000}"/>
    <cellStyle name="Total 3 5 6" xfId="26301" xr:uid="{00000000-0005-0000-0000-000031640000}"/>
    <cellStyle name="Total 30" xfId="3498" xr:uid="{00000000-0005-0000-0000-000021640000}"/>
    <cellStyle name="Total 31" xfId="3499" xr:uid="{00000000-0005-0000-0000-000022640000}"/>
    <cellStyle name="Total 32" xfId="3500" xr:uid="{00000000-0005-0000-0000-000023640000}"/>
    <cellStyle name="Total 33" xfId="3501" xr:uid="{00000000-0005-0000-0000-000024640000}"/>
    <cellStyle name="Total 34" xfId="3502" xr:uid="{00000000-0005-0000-0000-000025640000}"/>
    <cellStyle name="Total 35" xfId="3503" xr:uid="{00000000-0005-0000-0000-000026640000}"/>
    <cellStyle name="Total 36" xfId="3504" xr:uid="{00000000-0005-0000-0000-000027640000}"/>
    <cellStyle name="Total 37" xfId="3505" xr:uid="{00000000-0005-0000-0000-000028640000}"/>
    <cellStyle name="Total 38" xfId="3506" xr:uid="{00000000-0005-0000-0000-000029640000}"/>
    <cellStyle name="Total 39" xfId="3507" xr:uid="{00000000-0005-0000-0000-00002A640000}"/>
    <cellStyle name="Total 4" xfId="3508" xr:uid="{00000000-0005-0000-0000-00002B640000}"/>
    <cellStyle name="Total 4 2" xfId="24282" xr:uid="{00000000-0005-0000-0000-00002C640000}"/>
    <cellStyle name="Total 4 2 2" xfId="25342" xr:uid="{00000000-0005-0000-0000-00002D640000}"/>
    <cellStyle name="Total 4 2 2 2" xfId="27498" xr:uid="{00000000-0005-0000-0000-000040640000}"/>
    <cellStyle name="Total 4 2 2 3" xfId="28591" xr:uid="{00000000-0005-0000-0000-000087660000}"/>
    <cellStyle name="Total 4 2 2 4" xfId="26405" xr:uid="{00000000-0005-0000-0000-000040640000}"/>
    <cellStyle name="Total 4 2 3" xfId="25595" xr:uid="{00000000-0005-0000-0000-00002E640000}"/>
    <cellStyle name="Total 4 2 3 2" xfId="27750" xr:uid="{00000000-0005-0000-0000-000041640000}"/>
    <cellStyle name="Total 4 2 3 3" xfId="28592" xr:uid="{00000000-0005-0000-0000-000088660000}"/>
    <cellStyle name="Total 4 2 3 4" xfId="26127" xr:uid="{00000000-0005-0000-0000-000041640000}"/>
    <cellStyle name="Total 4 2 4" xfId="27134" xr:uid="{00000000-0005-0000-0000-00003F640000}"/>
    <cellStyle name="Total 4 2 5" xfId="28590" xr:uid="{00000000-0005-0000-0000-000086660000}"/>
    <cellStyle name="Total 4 2 6" xfId="26086" xr:uid="{00000000-0005-0000-0000-00003F640000}"/>
    <cellStyle name="Total 4 3" xfId="24919" xr:uid="{00000000-0005-0000-0000-00002F640000}"/>
    <cellStyle name="Total 4 3 2" xfId="25398" xr:uid="{00000000-0005-0000-0000-000030640000}"/>
    <cellStyle name="Total 4 3 2 2" xfId="27554" xr:uid="{00000000-0005-0000-0000-000043640000}"/>
    <cellStyle name="Total 4 3 2 3" xfId="28594" xr:uid="{00000000-0005-0000-0000-00008A660000}"/>
    <cellStyle name="Total 4 3 2 4" xfId="26269" xr:uid="{00000000-0005-0000-0000-000043640000}"/>
    <cellStyle name="Total 4 3 3" xfId="25666" xr:uid="{00000000-0005-0000-0000-000031640000}"/>
    <cellStyle name="Total 4 3 3 2" xfId="27821" xr:uid="{00000000-0005-0000-0000-000044640000}"/>
    <cellStyle name="Total 4 3 3 3" xfId="28595" xr:uid="{00000000-0005-0000-0000-00008B660000}"/>
    <cellStyle name="Total 4 3 3 4" xfId="26390" xr:uid="{00000000-0005-0000-0000-000044640000}"/>
    <cellStyle name="Total 4 3 4" xfId="27330" xr:uid="{00000000-0005-0000-0000-000042640000}"/>
    <cellStyle name="Total 4 3 5" xfId="28593" xr:uid="{00000000-0005-0000-0000-000089660000}"/>
    <cellStyle name="Total 4 3 6" xfId="26488" xr:uid="{00000000-0005-0000-0000-000042640000}"/>
    <cellStyle name="Total 4 4" xfId="25142" xr:uid="{00000000-0005-0000-0000-000032640000}"/>
    <cellStyle name="Total 4 4 2" xfId="25353" xr:uid="{00000000-0005-0000-0000-000033640000}"/>
    <cellStyle name="Total 4 4 2 2" xfId="27509" xr:uid="{00000000-0005-0000-0000-000046640000}"/>
    <cellStyle name="Total 4 4 2 3" xfId="28597" xr:uid="{00000000-0005-0000-0000-00008D660000}"/>
    <cellStyle name="Total 4 4 2 4" xfId="26363" xr:uid="{00000000-0005-0000-0000-000046640000}"/>
    <cellStyle name="Total 4 4 3" xfId="25739" xr:uid="{00000000-0005-0000-0000-000034640000}"/>
    <cellStyle name="Total 4 4 3 2" xfId="27894" xr:uid="{00000000-0005-0000-0000-000047640000}"/>
    <cellStyle name="Total 4 4 3 3" xfId="28598" xr:uid="{00000000-0005-0000-0000-00008E660000}"/>
    <cellStyle name="Total 4 4 3 4" xfId="29263" xr:uid="{00000000-0005-0000-0000-000047640000}"/>
    <cellStyle name="Total 4 4 4" xfId="27428" xr:uid="{00000000-0005-0000-0000-000045640000}"/>
    <cellStyle name="Total 4 4 5" xfId="28596" xr:uid="{00000000-0005-0000-0000-00008C660000}"/>
    <cellStyle name="Total 4 4 6" xfId="26142" xr:uid="{00000000-0005-0000-0000-000045640000}"/>
    <cellStyle name="Total 40" xfId="3509" xr:uid="{00000000-0005-0000-0000-000035640000}"/>
    <cellStyle name="Total 41" xfId="3510" xr:uid="{00000000-0005-0000-0000-000036640000}"/>
    <cellStyle name="Total 42" xfId="3511" xr:uid="{00000000-0005-0000-0000-000037640000}"/>
    <cellStyle name="Total 43" xfId="3512" xr:uid="{00000000-0005-0000-0000-000038640000}"/>
    <cellStyle name="Total 44" xfId="3513" xr:uid="{00000000-0005-0000-0000-000039640000}"/>
    <cellStyle name="Total 45" xfId="3514" xr:uid="{00000000-0005-0000-0000-00003A640000}"/>
    <cellStyle name="Total 46" xfId="3515" xr:uid="{00000000-0005-0000-0000-00003B640000}"/>
    <cellStyle name="Total 47" xfId="3516" xr:uid="{00000000-0005-0000-0000-00003C640000}"/>
    <cellStyle name="Total 48" xfId="3517" xr:uid="{00000000-0005-0000-0000-00003D640000}"/>
    <cellStyle name="Total 49" xfId="3518" xr:uid="{00000000-0005-0000-0000-00003E640000}"/>
    <cellStyle name="Total 5" xfId="3519" xr:uid="{00000000-0005-0000-0000-00003F640000}"/>
    <cellStyle name="Total 5 2" xfId="24283" xr:uid="{00000000-0005-0000-0000-000040640000}"/>
    <cellStyle name="Total 5 2 2" xfId="25443" xr:uid="{00000000-0005-0000-0000-000041640000}"/>
    <cellStyle name="Total 5 2 2 2" xfId="27599" xr:uid="{00000000-0005-0000-0000-000054640000}"/>
    <cellStyle name="Total 5 2 2 3" xfId="28600" xr:uid="{00000000-0005-0000-0000-00009B660000}"/>
    <cellStyle name="Total 5 2 2 4" xfId="26813" xr:uid="{00000000-0005-0000-0000-000054640000}"/>
    <cellStyle name="Total 5 2 3" xfId="25596" xr:uid="{00000000-0005-0000-0000-000042640000}"/>
    <cellStyle name="Total 5 2 3 2" xfId="27751" xr:uid="{00000000-0005-0000-0000-000055640000}"/>
    <cellStyle name="Total 5 2 3 3" xfId="28601" xr:uid="{00000000-0005-0000-0000-00009C660000}"/>
    <cellStyle name="Total 5 2 3 4" xfId="26074" xr:uid="{00000000-0005-0000-0000-000055640000}"/>
    <cellStyle name="Total 5 2 4" xfId="27135" xr:uid="{00000000-0005-0000-0000-000053640000}"/>
    <cellStyle name="Total 5 2 5" xfId="28599" xr:uid="{00000000-0005-0000-0000-00009A660000}"/>
    <cellStyle name="Total 5 2 6" xfId="26933" xr:uid="{00000000-0005-0000-0000-000053640000}"/>
    <cellStyle name="Total 5 3" xfId="24920" xr:uid="{00000000-0005-0000-0000-000043640000}"/>
    <cellStyle name="Total 5 3 2" xfId="25306" xr:uid="{00000000-0005-0000-0000-000044640000}"/>
    <cellStyle name="Total 5 3 2 2" xfId="27462" xr:uid="{00000000-0005-0000-0000-000057640000}"/>
    <cellStyle name="Total 5 3 2 3" xfId="28603" xr:uid="{00000000-0005-0000-0000-00009E660000}"/>
    <cellStyle name="Total 5 3 2 4" xfId="27302" xr:uid="{00000000-0005-0000-0000-000057640000}"/>
    <cellStyle name="Total 5 3 3" xfId="25667" xr:uid="{00000000-0005-0000-0000-000045640000}"/>
    <cellStyle name="Total 5 3 3 2" xfId="27822" xr:uid="{00000000-0005-0000-0000-000058640000}"/>
    <cellStyle name="Total 5 3 3 3" xfId="28604" xr:uid="{00000000-0005-0000-0000-00009F660000}"/>
    <cellStyle name="Total 5 3 3 4" xfId="26156" xr:uid="{00000000-0005-0000-0000-000058640000}"/>
    <cellStyle name="Total 5 3 4" xfId="27331" xr:uid="{00000000-0005-0000-0000-000056640000}"/>
    <cellStyle name="Total 5 3 5" xfId="28602" xr:uid="{00000000-0005-0000-0000-00009D660000}"/>
    <cellStyle name="Total 5 3 6" xfId="26508" xr:uid="{00000000-0005-0000-0000-000056640000}"/>
    <cellStyle name="Total 5 4" xfId="25143" xr:uid="{00000000-0005-0000-0000-000046640000}"/>
    <cellStyle name="Total 5 4 2" xfId="25387" xr:uid="{00000000-0005-0000-0000-000047640000}"/>
    <cellStyle name="Total 5 4 2 2" xfId="27543" xr:uid="{00000000-0005-0000-0000-00005A640000}"/>
    <cellStyle name="Total 5 4 2 3" xfId="28606" xr:uid="{00000000-0005-0000-0000-0000A1660000}"/>
    <cellStyle name="Total 5 4 2 4" xfId="26948" xr:uid="{00000000-0005-0000-0000-00005A640000}"/>
    <cellStyle name="Total 5 4 3" xfId="25740" xr:uid="{00000000-0005-0000-0000-000048640000}"/>
    <cellStyle name="Total 5 4 3 2" xfId="27895" xr:uid="{00000000-0005-0000-0000-00005B640000}"/>
    <cellStyle name="Total 5 4 3 3" xfId="28607" xr:uid="{00000000-0005-0000-0000-0000A2660000}"/>
    <cellStyle name="Total 5 4 3 4" xfId="29264" xr:uid="{00000000-0005-0000-0000-00005B640000}"/>
    <cellStyle name="Total 5 4 4" xfId="27429" xr:uid="{00000000-0005-0000-0000-000059640000}"/>
    <cellStyle name="Total 5 4 5" xfId="28605" xr:uid="{00000000-0005-0000-0000-0000A0660000}"/>
    <cellStyle name="Total 5 4 6" xfId="26502" xr:uid="{00000000-0005-0000-0000-000059640000}"/>
    <cellStyle name="Total 50" xfId="3520" xr:uid="{00000000-0005-0000-0000-000049640000}"/>
    <cellStyle name="Total 51" xfId="3521" xr:uid="{00000000-0005-0000-0000-00004A640000}"/>
    <cellStyle name="Total 52" xfId="3522" xr:uid="{00000000-0005-0000-0000-00004B640000}"/>
    <cellStyle name="Total 53" xfId="3523" xr:uid="{00000000-0005-0000-0000-00004C640000}"/>
    <cellStyle name="Total 54" xfId="3524" xr:uid="{00000000-0005-0000-0000-00004D640000}"/>
    <cellStyle name="Total 55" xfId="3525" xr:uid="{00000000-0005-0000-0000-00004E640000}"/>
    <cellStyle name="Total 56" xfId="3526" xr:uid="{00000000-0005-0000-0000-00004F640000}"/>
    <cellStyle name="Total 57" xfId="3527" xr:uid="{00000000-0005-0000-0000-000050640000}"/>
    <cellStyle name="Total 58" xfId="3528" xr:uid="{00000000-0005-0000-0000-000051640000}"/>
    <cellStyle name="Total 59" xfId="3529" xr:uid="{00000000-0005-0000-0000-000052640000}"/>
    <cellStyle name="Total 6" xfId="3530" xr:uid="{00000000-0005-0000-0000-000053640000}"/>
    <cellStyle name="Total 60" xfId="3531" xr:uid="{00000000-0005-0000-0000-000054640000}"/>
    <cellStyle name="Total 61" xfId="3532" xr:uid="{00000000-0005-0000-0000-000055640000}"/>
    <cellStyle name="Total 62" xfId="3533" xr:uid="{00000000-0005-0000-0000-000056640000}"/>
    <cellStyle name="Total 63" xfId="3534" xr:uid="{00000000-0005-0000-0000-000057640000}"/>
    <cellStyle name="Total 64" xfId="3535" xr:uid="{00000000-0005-0000-0000-000058640000}"/>
    <cellStyle name="Total 65" xfId="3536" xr:uid="{00000000-0005-0000-0000-000059640000}"/>
    <cellStyle name="Total 66" xfId="3537" xr:uid="{00000000-0005-0000-0000-00005A640000}"/>
    <cellStyle name="Total 67" xfId="3538" xr:uid="{00000000-0005-0000-0000-00005B640000}"/>
    <cellStyle name="Total 68" xfId="3539" xr:uid="{00000000-0005-0000-0000-00005C640000}"/>
    <cellStyle name="Total 69" xfId="3540" xr:uid="{00000000-0005-0000-0000-00005D640000}"/>
    <cellStyle name="Total 7" xfId="3541" xr:uid="{00000000-0005-0000-0000-00005E640000}"/>
    <cellStyle name="Total 70" xfId="3542" xr:uid="{00000000-0005-0000-0000-00005F640000}"/>
    <cellStyle name="Total 71" xfId="3543" xr:uid="{00000000-0005-0000-0000-000060640000}"/>
    <cellStyle name="Total 72" xfId="3544" xr:uid="{00000000-0005-0000-0000-000061640000}"/>
    <cellStyle name="Total 73" xfId="23927" xr:uid="{00000000-0005-0000-0000-000062640000}"/>
    <cellStyle name="Total 73 2" xfId="27043" xr:uid="{00000000-0005-0000-0000-000075640000}"/>
    <cellStyle name="Total 8" xfId="3545" xr:uid="{00000000-0005-0000-0000-000063640000}"/>
    <cellStyle name="Total 9" xfId="3546" xr:uid="{00000000-0005-0000-0000-000064640000}"/>
    <cellStyle name="Total2 - Style2" xfId="158" xr:uid="{00000000-0005-0000-0000-000065640000}"/>
    <cellStyle name="TRANSMISSION RELIABILITY PORTION OF PROJECT" xfId="159" xr:uid="{00000000-0005-0000-0000-000066640000}"/>
    <cellStyle name="Underl - Style4" xfId="160" xr:uid="{00000000-0005-0000-0000-000067640000}"/>
    <cellStyle name="UNLocked" xfId="628" xr:uid="{00000000-0005-0000-0000-000068640000}"/>
    <cellStyle name="UNLocked 2" xfId="24284" xr:uid="{00000000-0005-0000-0000-000069640000}"/>
    <cellStyle name="Unprot" xfId="161" xr:uid="{00000000-0005-0000-0000-00006A640000}"/>
    <cellStyle name="Unprot$" xfId="162" xr:uid="{00000000-0005-0000-0000-00006B640000}"/>
    <cellStyle name="Unprotect" xfId="163" xr:uid="{00000000-0005-0000-0000-00006C640000}"/>
    <cellStyle name="UploadThisRowValue" xfId="3547" xr:uid="{00000000-0005-0000-0000-00006D640000}"/>
    <cellStyle name="Warning Text 10" xfId="3548" xr:uid="{00000000-0005-0000-0000-00006E640000}"/>
    <cellStyle name="Warning Text 11" xfId="3549" xr:uid="{00000000-0005-0000-0000-00006F640000}"/>
    <cellStyle name="Warning Text 12" xfId="3550" xr:uid="{00000000-0005-0000-0000-000070640000}"/>
    <cellStyle name="Warning Text 13" xfId="3551" xr:uid="{00000000-0005-0000-0000-000071640000}"/>
    <cellStyle name="Warning Text 14" xfId="3552" xr:uid="{00000000-0005-0000-0000-000072640000}"/>
    <cellStyle name="Warning Text 15" xfId="3553" xr:uid="{00000000-0005-0000-0000-000073640000}"/>
    <cellStyle name="Warning Text 16" xfId="3554" xr:uid="{00000000-0005-0000-0000-000074640000}"/>
    <cellStyle name="Warning Text 17" xfId="3555" xr:uid="{00000000-0005-0000-0000-000075640000}"/>
    <cellStyle name="Warning Text 18" xfId="3556" xr:uid="{00000000-0005-0000-0000-000076640000}"/>
    <cellStyle name="Warning Text 19" xfId="3557" xr:uid="{00000000-0005-0000-0000-000077640000}"/>
    <cellStyle name="Warning Text 2" xfId="3558" xr:uid="{00000000-0005-0000-0000-000078640000}"/>
    <cellStyle name="Warning Text 2 2" xfId="24287" xr:uid="{00000000-0005-0000-0000-000079640000}"/>
    <cellStyle name="Warning Text 2 3" xfId="24286" xr:uid="{00000000-0005-0000-0000-00007A640000}"/>
    <cellStyle name="Warning Text 20" xfId="3559" xr:uid="{00000000-0005-0000-0000-00007B640000}"/>
    <cellStyle name="Warning Text 21" xfId="3560" xr:uid="{00000000-0005-0000-0000-00007C640000}"/>
    <cellStyle name="Warning Text 22" xfId="3561" xr:uid="{00000000-0005-0000-0000-00007D640000}"/>
    <cellStyle name="Warning Text 23" xfId="3562" xr:uid="{00000000-0005-0000-0000-00007E640000}"/>
    <cellStyle name="Warning Text 24" xfId="3563" xr:uid="{00000000-0005-0000-0000-00007F640000}"/>
    <cellStyle name="Warning Text 25" xfId="3564" xr:uid="{00000000-0005-0000-0000-000080640000}"/>
    <cellStyle name="Warning Text 26" xfId="3565" xr:uid="{00000000-0005-0000-0000-000081640000}"/>
    <cellStyle name="Warning Text 27" xfId="3566" xr:uid="{00000000-0005-0000-0000-000082640000}"/>
    <cellStyle name="Warning Text 28" xfId="3567" xr:uid="{00000000-0005-0000-0000-000083640000}"/>
    <cellStyle name="Warning Text 29" xfId="3568" xr:uid="{00000000-0005-0000-0000-000084640000}"/>
    <cellStyle name="Warning Text 3" xfId="3569" xr:uid="{00000000-0005-0000-0000-000085640000}"/>
    <cellStyle name="Warning Text 3 2" xfId="24289" xr:uid="{00000000-0005-0000-0000-000086640000}"/>
    <cellStyle name="Warning Text 3 3" xfId="24288" xr:uid="{00000000-0005-0000-0000-000087640000}"/>
    <cellStyle name="Warning Text 30" xfId="3570" xr:uid="{00000000-0005-0000-0000-000088640000}"/>
    <cellStyle name="Warning Text 31" xfId="3571" xr:uid="{00000000-0005-0000-0000-000089640000}"/>
    <cellStyle name="Warning Text 32" xfId="3572" xr:uid="{00000000-0005-0000-0000-00008A640000}"/>
    <cellStyle name="Warning Text 33" xfId="3573" xr:uid="{00000000-0005-0000-0000-00008B640000}"/>
    <cellStyle name="Warning Text 34" xfId="3574" xr:uid="{00000000-0005-0000-0000-00008C640000}"/>
    <cellStyle name="Warning Text 35" xfId="3575" xr:uid="{00000000-0005-0000-0000-00008D640000}"/>
    <cellStyle name="Warning Text 36" xfId="3576" xr:uid="{00000000-0005-0000-0000-00008E640000}"/>
    <cellStyle name="Warning Text 37" xfId="3577" xr:uid="{00000000-0005-0000-0000-00008F640000}"/>
    <cellStyle name="Warning Text 38" xfId="3578" xr:uid="{00000000-0005-0000-0000-000090640000}"/>
    <cellStyle name="Warning Text 39" xfId="3579" xr:uid="{00000000-0005-0000-0000-000091640000}"/>
    <cellStyle name="Warning Text 4" xfId="3580" xr:uid="{00000000-0005-0000-0000-000092640000}"/>
    <cellStyle name="Warning Text 4 2" xfId="24290" xr:uid="{00000000-0005-0000-0000-000093640000}"/>
    <cellStyle name="Warning Text 40" xfId="3581" xr:uid="{00000000-0005-0000-0000-000094640000}"/>
    <cellStyle name="Warning Text 41" xfId="3582" xr:uid="{00000000-0005-0000-0000-000095640000}"/>
    <cellStyle name="Warning Text 42" xfId="3583" xr:uid="{00000000-0005-0000-0000-000096640000}"/>
    <cellStyle name="Warning Text 43" xfId="3584" xr:uid="{00000000-0005-0000-0000-000097640000}"/>
    <cellStyle name="Warning Text 44" xfId="3585" xr:uid="{00000000-0005-0000-0000-000098640000}"/>
    <cellStyle name="Warning Text 45" xfId="3586" xr:uid="{00000000-0005-0000-0000-000099640000}"/>
    <cellStyle name="Warning Text 46" xfId="3587" xr:uid="{00000000-0005-0000-0000-00009A640000}"/>
    <cellStyle name="Warning Text 47" xfId="3588" xr:uid="{00000000-0005-0000-0000-00009B640000}"/>
    <cellStyle name="Warning Text 48" xfId="3589" xr:uid="{00000000-0005-0000-0000-00009C640000}"/>
    <cellStyle name="Warning Text 49" xfId="3590" xr:uid="{00000000-0005-0000-0000-00009D640000}"/>
    <cellStyle name="Warning Text 5" xfId="3591" xr:uid="{00000000-0005-0000-0000-00009E640000}"/>
    <cellStyle name="Warning Text 5 2" xfId="24291" xr:uid="{00000000-0005-0000-0000-00009F640000}"/>
    <cellStyle name="Warning Text 50" xfId="3592" xr:uid="{00000000-0005-0000-0000-0000A0640000}"/>
    <cellStyle name="Warning Text 51" xfId="3593" xr:uid="{00000000-0005-0000-0000-0000A1640000}"/>
    <cellStyle name="Warning Text 52" xfId="3594" xr:uid="{00000000-0005-0000-0000-0000A2640000}"/>
    <cellStyle name="Warning Text 53" xfId="3595" xr:uid="{00000000-0005-0000-0000-0000A3640000}"/>
    <cellStyle name="Warning Text 54" xfId="3596" xr:uid="{00000000-0005-0000-0000-0000A4640000}"/>
    <cellStyle name="Warning Text 55" xfId="3597" xr:uid="{00000000-0005-0000-0000-0000A5640000}"/>
    <cellStyle name="Warning Text 56" xfId="3598" xr:uid="{00000000-0005-0000-0000-0000A6640000}"/>
    <cellStyle name="Warning Text 57" xfId="3599" xr:uid="{00000000-0005-0000-0000-0000A7640000}"/>
    <cellStyle name="Warning Text 58" xfId="3600" xr:uid="{00000000-0005-0000-0000-0000A8640000}"/>
    <cellStyle name="Warning Text 59" xfId="3601" xr:uid="{00000000-0005-0000-0000-0000A9640000}"/>
    <cellStyle name="Warning Text 6" xfId="3602" xr:uid="{00000000-0005-0000-0000-0000AA640000}"/>
    <cellStyle name="Warning Text 60" xfId="3603" xr:uid="{00000000-0005-0000-0000-0000AB640000}"/>
    <cellStyle name="Warning Text 61" xfId="3604" xr:uid="{00000000-0005-0000-0000-0000AC640000}"/>
    <cellStyle name="Warning Text 62" xfId="3605" xr:uid="{00000000-0005-0000-0000-0000AD640000}"/>
    <cellStyle name="Warning Text 63" xfId="3606" xr:uid="{00000000-0005-0000-0000-0000AE640000}"/>
    <cellStyle name="Warning Text 64" xfId="3607" xr:uid="{00000000-0005-0000-0000-0000AF640000}"/>
    <cellStyle name="Warning Text 65" xfId="3608" xr:uid="{00000000-0005-0000-0000-0000B0640000}"/>
    <cellStyle name="Warning Text 66" xfId="3609" xr:uid="{00000000-0005-0000-0000-0000B1640000}"/>
    <cellStyle name="Warning Text 67" xfId="3610" xr:uid="{00000000-0005-0000-0000-0000B2640000}"/>
    <cellStyle name="Warning Text 68" xfId="3611" xr:uid="{00000000-0005-0000-0000-0000B3640000}"/>
    <cellStyle name="Warning Text 69" xfId="3612" xr:uid="{00000000-0005-0000-0000-0000B4640000}"/>
    <cellStyle name="Warning Text 7" xfId="3613" xr:uid="{00000000-0005-0000-0000-0000B5640000}"/>
    <cellStyle name="Warning Text 70" xfId="3614" xr:uid="{00000000-0005-0000-0000-0000B6640000}"/>
    <cellStyle name="Warning Text 71" xfId="3615" xr:uid="{00000000-0005-0000-0000-0000B7640000}"/>
    <cellStyle name="Warning Text 72" xfId="3616" xr:uid="{00000000-0005-0000-0000-0000B8640000}"/>
    <cellStyle name="Warning Text 8" xfId="3617" xr:uid="{00000000-0005-0000-0000-0000B9640000}"/>
    <cellStyle name="Warning Text 9" xfId="3618" xr:uid="{00000000-0005-0000-0000-0000BA640000}"/>
    <cellStyle name="WhitePattern" xfId="629" xr:uid="{00000000-0005-0000-0000-0000BB640000}"/>
    <cellStyle name="WhitePattern1" xfId="630" xr:uid="{00000000-0005-0000-0000-0000BC640000}"/>
    <cellStyle name="WhitePattern1 2" xfId="24526" xr:uid="{00000000-0005-0000-0000-0000BD640000}"/>
    <cellStyle name="WhitePattern1 2 2" xfId="25335" xr:uid="{00000000-0005-0000-0000-0000BE640000}"/>
    <cellStyle name="WhitePattern1 2 2 2" xfId="27491" xr:uid="{00000000-0005-0000-0000-0000D1640000}"/>
    <cellStyle name="WhitePattern1 2 2 3" xfId="28609" xr:uid="{00000000-0005-0000-0000-000018670000}"/>
    <cellStyle name="WhitePattern1 2 2 4" xfId="29196" xr:uid="{00000000-0005-0000-0000-0000D1640000}"/>
    <cellStyle name="WhitePattern1 2 2 5" xfId="26550" xr:uid="{00000000-0005-0000-0000-0000D1640000}"/>
    <cellStyle name="WhitePattern1 2 3" xfId="25597" xr:uid="{00000000-0005-0000-0000-0000BF640000}"/>
    <cellStyle name="WhitePattern1 2 3 2" xfId="27752" xr:uid="{00000000-0005-0000-0000-0000D2640000}"/>
    <cellStyle name="WhitePattern1 2 3 3" xfId="28610" xr:uid="{00000000-0005-0000-0000-000019670000}"/>
    <cellStyle name="WhitePattern1 2 3 4" xfId="29235" xr:uid="{00000000-0005-0000-0000-0000D2640000}"/>
    <cellStyle name="WhitePattern1 2 3 5" xfId="27028" xr:uid="{00000000-0005-0000-0000-0000D2640000}"/>
    <cellStyle name="WhitePattern1 2 4" xfId="27208" xr:uid="{00000000-0005-0000-0000-0000D0640000}"/>
    <cellStyle name="WhitePattern1 2 5" xfId="28608" xr:uid="{00000000-0005-0000-0000-000017670000}"/>
    <cellStyle name="WhitePattern1 2 6" xfId="25815" xr:uid="{00000000-0005-0000-0000-0000D0640000}"/>
    <cellStyle name="WhitePattern1 2 7" xfId="27324" xr:uid="{00000000-0005-0000-0000-0000D0640000}"/>
    <cellStyle name="WhitePattern1 3" xfId="24769" xr:uid="{00000000-0005-0000-0000-0000C0640000}"/>
    <cellStyle name="WhitePattern1 3 2" xfId="25286" xr:uid="{00000000-0005-0000-0000-0000C1640000}"/>
    <cellStyle name="WhitePattern1 3 2 2" xfId="27443" xr:uid="{00000000-0005-0000-0000-0000D4640000}"/>
    <cellStyle name="WhitePattern1 3 2 3" xfId="28612" xr:uid="{00000000-0005-0000-0000-00001B670000}"/>
    <cellStyle name="WhitePattern1 3 2 4" xfId="29190" xr:uid="{00000000-0005-0000-0000-0000D4640000}"/>
    <cellStyle name="WhitePattern1 3 2 5" xfId="26189" xr:uid="{00000000-0005-0000-0000-0000D4640000}"/>
    <cellStyle name="WhitePattern1 3 3" xfId="25665" xr:uid="{00000000-0005-0000-0000-0000C2640000}"/>
    <cellStyle name="WhitePattern1 3 3 2" xfId="27820" xr:uid="{00000000-0005-0000-0000-0000D5640000}"/>
    <cellStyle name="WhitePattern1 3 3 3" xfId="28613" xr:uid="{00000000-0005-0000-0000-00001C670000}"/>
    <cellStyle name="WhitePattern1 3 3 4" xfId="29247" xr:uid="{00000000-0005-0000-0000-0000D5640000}"/>
    <cellStyle name="WhitePattern1 3 3 5" xfId="26094" xr:uid="{00000000-0005-0000-0000-0000D5640000}"/>
    <cellStyle name="WhitePattern1 3 4" xfId="27313" xr:uid="{00000000-0005-0000-0000-0000D3640000}"/>
    <cellStyle name="WhitePattern1 3 5" xfId="28611" xr:uid="{00000000-0005-0000-0000-00001A670000}"/>
    <cellStyle name="WhitePattern1 3 6" xfId="27317" xr:uid="{00000000-0005-0000-0000-0000D3640000}"/>
    <cellStyle name="WhitePattern1 3 7" xfId="26479" xr:uid="{00000000-0005-0000-0000-0000D3640000}"/>
    <cellStyle name="WhiteText" xfId="631" xr:uid="{00000000-0005-0000-0000-0000C3640000}"/>
    <cellStyle name="Year" xfId="632" xr:uid="{00000000-0005-0000-0000-0000C464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C4BD6415-7155-4D08-ABAC-9479B0E78FD2}"/>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73AE19F6-4A3F-497C-8A93-89D4D86AEEC5}"/>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81844F2-F562-4C88-AB2B-37FD23BCDD4C}"/>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D142B0A2-1D1D-412B-8A71-EBE1156718D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2B78311D-4592-48BC-A275-19C967E5841F}"/>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57FD461F-5557-499D-BCBA-882031839E0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tabSelected="1" topLeftCell="A10" workbookViewId="0">
      <selection activeCell="A25" sqref="A25"/>
    </sheetView>
  </sheetViews>
  <sheetFormatPr defaultRowHeight="15.75"/>
  <cols>
    <col min="1" max="1" width="98.7109375" style="6" customWidth="1"/>
    <col min="2" max="2" width="29.42578125" style="6" customWidth="1"/>
    <col min="3" max="16384" width="9.140625" style="6"/>
  </cols>
  <sheetData>
    <row r="1" spans="1:7">
      <c r="A1" s="20" t="s">
        <v>2317</v>
      </c>
    </row>
    <row r="2" spans="1:7">
      <c r="A2" s="20" t="s">
        <v>1577</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1576</v>
      </c>
    </row>
    <row r="25" spans="1:1">
      <c r="A25" s="23"/>
    </row>
    <row r="26" spans="1:1">
      <c r="A26" s="23"/>
    </row>
    <row r="27" spans="1:1">
      <c r="A27" s="23"/>
    </row>
    <row r="28" spans="1:1">
      <c r="A28" s="23"/>
    </row>
    <row r="29" spans="1:1">
      <c r="A29" s="23"/>
    </row>
    <row r="30" spans="1:1">
      <c r="A30" s="803" t="s">
        <v>2327</v>
      </c>
    </row>
    <row r="31" spans="1:1">
      <c r="A31" s="40"/>
    </row>
    <row r="32" spans="1:1">
      <c r="A32" s="19"/>
    </row>
    <row r="33" spans="1:1">
      <c r="A33" s="19"/>
    </row>
    <row r="34" spans="1:1">
      <c r="A34" s="19"/>
    </row>
    <row r="35" spans="1:1">
      <c r="A35" s="19"/>
    </row>
    <row r="36" spans="1:1">
      <c r="A36" s="19"/>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232"/>
  <sheetViews>
    <sheetView topLeftCell="A201" zoomScale="85" zoomScaleNormal="85" workbookViewId="0">
      <selection activeCell="A25" sqref="A25"/>
    </sheetView>
  </sheetViews>
  <sheetFormatPr defaultRowHeight="15.75"/>
  <cols>
    <col min="1" max="1" width="9.140625" style="8"/>
    <col min="2" max="2" width="14.140625" style="6" bestFit="1" customWidth="1"/>
    <col min="3" max="3" width="48.42578125" style="6" bestFit="1" customWidth="1"/>
    <col min="4" max="4" width="9.42578125" style="6" bestFit="1" customWidth="1"/>
    <col min="5" max="5" width="16.7109375" style="6" bestFit="1" customWidth="1"/>
    <col min="6" max="6" width="9.28515625" style="6" bestFit="1" customWidth="1"/>
    <col min="7" max="7" width="16" style="6" bestFit="1" customWidth="1"/>
    <col min="8" max="8" width="18" style="6" bestFit="1" customWidth="1"/>
    <col min="9" max="9" width="12.28515625" style="6" bestFit="1" customWidth="1"/>
    <col min="10" max="10" width="16" style="6" bestFit="1" customWidth="1"/>
    <col min="11" max="16384" width="9.140625" style="6"/>
  </cols>
  <sheetData>
    <row r="1" spans="1:10">
      <c r="D1" s="1040"/>
      <c r="E1" s="1041"/>
    </row>
    <row r="2" spans="1:10">
      <c r="D2" s="1032"/>
      <c r="E2" s="1033"/>
    </row>
    <row r="3" spans="1:10">
      <c r="D3" s="1032"/>
      <c r="E3" s="1033"/>
    </row>
    <row r="4" spans="1:10">
      <c r="D4" s="1042"/>
      <c r="E4" s="1043"/>
    </row>
    <row r="7" spans="1:10" ht="146.25" customHeight="1">
      <c r="A7" s="798" t="s">
        <v>812</v>
      </c>
      <c r="B7" s="247" t="s">
        <v>1291</v>
      </c>
      <c r="C7" s="247" t="s">
        <v>1292</v>
      </c>
      <c r="D7" s="248" t="s">
        <v>1295</v>
      </c>
      <c r="E7" s="249" t="s">
        <v>2021</v>
      </c>
      <c r="F7" s="247" t="s">
        <v>1296</v>
      </c>
      <c r="G7" s="247" t="s">
        <v>111</v>
      </c>
      <c r="H7" s="247" t="s">
        <v>1297</v>
      </c>
      <c r="I7" s="247" t="s">
        <v>1298</v>
      </c>
      <c r="J7" s="247"/>
    </row>
    <row r="8" spans="1:10">
      <c r="A8" s="8">
        <v>1</v>
      </c>
      <c r="B8" s="250" t="s">
        <v>1299</v>
      </c>
      <c r="C8" s="250" t="s">
        <v>1300</v>
      </c>
      <c r="D8" s="251">
        <v>303</v>
      </c>
      <c r="E8" s="252">
        <v>1344204.92</v>
      </c>
      <c r="F8" s="778">
        <f>+'State Allocation Formulas'!$L$25</f>
        <v>0.77239999999999998</v>
      </c>
      <c r="G8" s="253">
        <f>+E8*F8</f>
        <v>1038263.880208</v>
      </c>
      <c r="H8" s="804">
        <f>+G8</f>
        <v>1038263.880208</v>
      </c>
      <c r="I8" s="255">
        <v>7</v>
      </c>
      <c r="J8" s="253">
        <f>+H8</f>
        <v>1038263.880208</v>
      </c>
    </row>
    <row r="9" spans="1:10">
      <c r="A9" s="8">
        <v>2</v>
      </c>
      <c r="B9" s="250" t="s">
        <v>1299</v>
      </c>
      <c r="C9" s="250" t="s">
        <v>1301</v>
      </c>
      <c r="D9" s="251">
        <v>303</v>
      </c>
      <c r="E9" s="252"/>
      <c r="F9" s="778">
        <f>+'State Allocation Formulas'!$L$25</f>
        <v>0.77239999999999998</v>
      </c>
      <c r="G9" s="253">
        <f t="shared" ref="G9:G21" si="0">+E9*F9</f>
        <v>0</v>
      </c>
      <c r="H9" s="254"/>
      <c r="I9" s="255" t="s">
        <v>1305</v>
      </c>
      <c r="J9" s="250"/>
    </row>
    <row r="10" spans="1:10">
      <c r="A10" s="8">
        <v>3</v>
      </c>
      <c r="B10" s="250" t="s">
        <v>1299</v>
      </c>
      <c r="C10" s="250" t="s">
        <v>1302</v>
      </c>
      <c r="D10" s="251">
        <v>303</v>
      </c>
      <c r="E10" s="252">
        <v>22376.35</v>
      </c>
      <c r="F10" s="778">
        <f>+'State Allocation Formulas'!$L$25</f>
        <v>0.77239999999999998</v>
      </c>
      <c r="G10" s="253">
        <f t="shared" si="0"/>
        <v>17283.492739999998</v>
      </c>
      <c r="H10" s="254">
        <f>+G10</f>
        <v>17283.492739999998</v>
      </c>
      <c r="I10" s="255">
        <v>9</v>
      </c>
      <c r="J10" s="250"/>
    </row>
    <row r="11" spans="1:10">
      <c r="A11" s="8">
        <v>4</v>
      </c>
      <c r="B11" s="250" t="s">
        <v>1299</v>
      </c>
      <c r="C11" s="250" t="s">
        <v>1303</v>
      </c>
      <c r="D11" s="251">
        <v>303</v>
      </c>
      <c r="E11" s="252"/>
      <c r="F11" s="778">
        <f>+'State Allocation Formulas'!$L$25</f>
        <v>0.77239999999999998</v>
      </c>
      <c r="G11" s="253">
        <f t="shared" si="0"/>
        <v>0</v>
      </c>
      <c r="H11" s="254"/>
      <c r="I11" s="255" t="s">
        <v>1305</v>
      </c>
      <c r="J11" s="250"/>
    </row>
    <row r="12" spans="1:10">
      <c r="A12" s="8">
        <v>5</v>
      </c>
      <c r="B12" s="250" t="s">
        <v>1299</v>
      </c>
      <c r="C12" s="250" t="s">
        <v>1304</v>
      </c>
      <c r="D12" s="251">
        <v>303</v>
      </c>
      <c r="E12" s="252"/>
      <c r="F12" s="778">
        <f>+'State Allocation Formulas'!$L$25</f>
        <v>0.77239999999999998</v>
      </c>
      <c r="G12" s="253">
        <f t="shared" si="0"/>
        <v>0</v>
      </c>
      <c r="H12" s="254"/>
      <c r="I12" s="255" t="s">
        <v>1305</v>
      </c>
      <c r="J12" s="250"/>
    </row>
    <row r="13" spans="1:10">
      <c r="A13" s="8">
        <v>6</v>
      </c>
      <c r="B13" s="250" t="s">
        <v>1299</v>
      </c>
      <c r="C13" s="250" t="s">
        <v>1306</v>
      </c>
      <c r="D13" s="251">
        <v>303</v>
      </c>
      <c r="E13" s="252">
        <v>202536.92</v>
      </c>
      <c r="F13" s="778">
        <f>+'State Allocation Formulas'!$L$25</f>
        <v>0.77239999999999998</v>
      </c>
      <c r="G13" s="253">
        <f t="shared" si="0"/>
        <v>156439.517008</v>
      </c>
      <c r="H13" s="254">
        <f>+G13</f>
        <v>156439.517008</v>
      </c>
      <c r="I13" s="255">
        <v>35</v>
      </c>
      <c r="J13" s="250"/>
    </row>
    <row r="14" spans="1:10">
      <c r="A14" s="8">
        <v>7</v>
      </c>
      <c r="B14" s="250" t="s">
        <v>1299</v>
      </c>
      <c r="C14" s="250" t="s">
        <v>1307</v>
      </c>
      <c r="D14" s="251">
        <v>303</v>
      </c>
      <c r="E14" s="252"/>
      <c r="F14" s="778">
        <f>+'State Allocation Formulas'!$L$25</f>
        <v>0.77239999999999998</v>
      </c>
      <c r="G14" s="253">
        <f t="shared" si="0"/>
        <v>0</v>
      </c>
      <c r="H14" s="254"/>
      <c r="I14" s="255" t="s">
        <v>1305</v>
      </c>
      <c r="J14" s="250"/>
    </row>
    <row r="15" spans="1:10">
      <c r="A15" s="8">
        <v>8</v>
      </c>
      <c r="B15" s="250" t="s">
        <v>1299</v>
      </c>
      <c r="C15" s="250" t="s">
        <v>1308</v>
      </c>
      <c r="D15" s="251">
        <v>303</v>
      </c>
      <c r="E15" s="252">
        <v>263110.37</v>
      </c>
      <c r="F15" s="778">
        <f>+'State Allocation Formulas'!$L$25</f>
        <v>0.77239999999999998</v>
      </c>
      <c r="G15" s="253">
        <f t="shared" si="0"/>
        <v>203226.449788</v>
      </c>
      <c r="H15" s="254">
        <f>+G15</f>
        <v>203226.449788</v>
      </c>
      <c r="I15" s="255">
        <v>41</v>
      </c>
      <c r="J15" s="250"/>
    </row>
    <row r="16" spans="1:10">
      <c r="A16" s="8">
        <v>9</v>
      </c>
      <c r="B16" s="250" t="s">
        <v>1299</v>
      </c>
      <c r="C16" s="250" t="s">
        <v>1309</v>
      </c>
      <c r="D16" s="251">
        <v>303</v>
      </c>
      <c r="E16" s="252">
        <v>86446.06</v>
      </c>
      <c r="F16" s="778">
        <f>+'State Allocation Formulas'!$L$25</f>
        <v>0.77239999999999998</v>
      </c>
      <c r="G16" s="253">
        <f t="shared" si="0"/>
        <v>66770.936743999991</v>
      </c>
      <c r="H16" s="254">
        <f>+G16</f>
        <v>66770.936743999991</v>
      </c>
      <c r="I16" s="255">
        <v>42</v>
      </c>
      <c r="J16" s="253"/>
    </row>
    <row r="17" spans="1:10">
      <c r="A17" s="8">
        <v>10</v>
      </c>
      <c r="B17" s="250" t="s">
        <v>1299</v>
      </c>
      <c r="C17" s="250" t="s">
        <v>1310</v>
      </c>
      <c r="D17" s="251">
        <v>303</v>
      </c>
      <c r="E17" s="252"/>
      <c r="F17" s="778">
        <f>+'State Allocation Formulas'!$L$25</f>
        <v>0.77239999999999998</v>
      </c>
      <c r="G17" s="253">
        <f t="shared" si="0"/>
        <v>0</v>
      </c>
      <c r="H17" s="254">
        <f>+G17</f>
        <v>0</v>
      </c>
      <c r="I17" s="255">
        <v>43</v>
      </c>
      <c r="J17" s="250"/>
    </row>
    <row r="18" spans="1:10">
      <c r="A18" s="8">
        <v>11</v>
      </c>
      <c r="B18" s="250" t="s">
        <v>1299</v>
      </c>
      <c r="C18" s="250" t="s">
        <v>1311</v>
      </c>
      <c r="D18" s="251">
        <v>303</v>
      </c>
      <c r="E18" s="252"/>
      <c r="F18" s="778">
        <f>+'State Allocation Formulas'!$L$25</f>
        <v>0.77239999999999998</v>
      </c>
      <c r="G18" s="253">
        <f t="shared" si="0"/>
        <v>0</v>
      </c>
      <c r="H18" s="254"/>
      <c r="I18" s="255" t="s">
        <v>1305</v>
      </c>
      <c r="J18" s="250"/>
    </row>
    <row r="19" spans="1:10">
      <c r="A19" s="8">
        <v>12</v>
      </c>
      <c r="B19" s="250" t="s">
        <v>1299</v>
      </c>
      <c r="C19" s="250" t="s">
        <v>1312</v>
      </c>
      <c r="D19" s="251">
        <v>303</v>
      </c>
      <c r="E19" s="252">
        <v>248923.17</v>
      </c>
      <c r="F19" s="778">
        <f>+'State Allocation Formulas'!$L$25</f>
        <v>0.77239999999999998</v>
      </c>
      <c r="G19" s="253">
        <f t="shared" si="0"/>
        <v>192268.25650799999</v>
      </c>
      <c r="H19" s="254">
        <f>+G19</f>
        <v>192268.25650799999</v>
      </c>
      <c r="I19" s="255">
        <v>44</v>
      </c>
      <c r="J19" s="250"/>
    </row>
    <row r="20" spans="1:10">
      <c r="A20" s="8">
        <v>13</v>
      </c>
      <c r="B20" s="250" t="s">
        <v>1299</v>
      </c>
      <c r="C20" s="250" t="s">
        <v>1313</v>
      </c>
      <c r="D20" s="251">
        <v>303</v>
      </c>
      <c r="E20" s="252"/>
      <c r="F20" s="778">
        <f>+'State Allocation Formulas'!$L$25</f>
        <v>0.77239999999999998</v>
      </c>
      <c r="G20" s="253">
        <f t="shared" si="0"/>
        <v>0</v>
      </c>
      <c r="H20" s="254">
        <f>+G20</f>
        <v>0</v>
      </c>
      <c r="I20" s="255">
        <v>45</v>
      </c>
      <c r="J20" s="250"/>
    </row>
    <row r="21" spans="1:10">
      <c r="A21" s="8">
        <v>14</v>
      </c>
      <c r="B21" s="250" t="s">
        <v>1299</v>
      </c>
      <c r="C21" s="250" t="s">
        <v>1314</v>
      </c>
      <c r="D21" s="251">
        <v>303</v>
      </c>
      <c r="E21" s="252"/>
      <c r="F21" s="778">
        <f>+'State Allocation Formulas'!$L$25</f>
        <v>0.77239999999999998</v>
      </c>
      <c r="G21" s="253">
        <f t="shared" si="0"/>
        <v>0</v>
      </c>
      <c r="H21" s="254">
        <f>+G21</f>
        <v>0</v>
      </c>
      <c r="I21" s="255">
        <v>46</v>
      </c>
      <c r="J21" s="250"/>
    </row>
    <row r="22" spans="1:10">
      <c r="A22" s="8">
        <v>15</v>
      </c>
      <c r="B22" s="256" t="s">
        <v>1299</v>
      </c>
      <c r="C22" s="256" t="s">
        <v>1315</v>
      </c>
      <c r="D22" s="251">
        <v>303</v>
      </c>
      <c r="E22" s="258"/>
      <c r="F22" s="256" t="s">
        <v>1316</v>
      </c>
      <c r="G22" s="253"/>
      <c r="H22" s="250"/>
      <c r="I22" s="255"/>
      <c r="J22" s="250"/>
    </row>
    <row r="23" spans="1:10">
      <c r="A23" s="8">
        <v>16</v>
      </c>
      <c r="B23" s="259"/>
      <c r="C23" s="260" t="s">
        <v>1317</v>
      </c>
      <c r="D23" s="261"/>
      <c r="E23" s="262">
        <f>SUM(E8:E22)</f>
        <v>2167597.79</v>
      </c>
      <c r="F23" s="259"/>
      <c r="G23" s="263">
        <f>SUM(G8:G22)</f>
        <v>1674252.532996</v>
      </c>
      <c r="H23" s="263">
        <f>SUM(H8:H22)</f>
        <v>1674252.532996</v>
      </c>
      <c r="I23" s="264"/>
      <c r="J23" s="263">
        <f>SUM(J8:J22)</f>
        <v>1038263.880208</v>
      </c>
    </row>
    <row r="24" spans="1:10">
      <c r="A24" s="8">
        <v>17</v>
      </c>
      <c r="B24" s="259" t="s">
        <v>1576</v>
      </c>
      <c r="C24" s="259"/>
      <c r="D24" s="257"/>
      <c r="E24" s="252"/>
      <c r="F24" s="259"/>
      <c r="G24" s="265"/>
      <c r="H24" s="259"/>
      <c r="I24" s="264"/>
      <c r="J24" s="259"/>
    </row>
    <row r="25" spans="1:10">
      <c r="B25" s="259"/>
      <c r="C25" s="260"/>
      <c r="D25" s="257"/>
      <c r="E25" s="252"/>
      <c r="F25" s="259"/>
      <c r="G25" s="265"/>
      <c r="H25" s="259"/>
      <c r="I25" s="264"/>
      <c r="J25" s="259"/>
    </row>
    <row r="26" spans="1:10">
      <c r="B26" s="259"/>
      <c r="C26" s="259"/>
      <c r="D26" s="257"/>
      <c r="E26" s="252"/>
      <c r="F26" s="259"/>
      <c r="G26" s="265"/>
      <c r="H26" s="259"/>
      <c r="I26" s="264"/>
      <c r="J26" s="259"/>
    </row>
    <row r="27" spans="1:10">
      <c r="A27" s="8">
        <v>18</v>
      </c>
      <c r="B27" s="250" t="s">
        <v>1318</v>
      </c>
      <c r="C27" s="250" t="s">
        <v>1319</v>
      </c>
      <c r="D27" s="251"/>
      <c r="E27" s="252"/>
      <c r="F27" s="250"/>
      <c r="G27" s="253"/>
      <c r="H27" s="250"/>
      <c r="I27" s="255"/>
      <c r="J27" s="250"/>
    </row>
    <row r="28" spans="1:10">
      <c r="A28" s="8">
        <v>19</v>
      </c>
      <c r="B28" s="250" t="s">
        <v>1318</v>
      </c>
      <c r="C28" s="250" t="s">
        <v>1320</v>
      </c>
      <c r="D28" s="251"/>
      <c r="E28" s="252"/>
      <c r="F28" s="250"/>
      <c r="G28" s="253"/>
      <c r="H28" s="250"/>
      <c r="I28" s="255"/>
      <c r="J28" s="250"/>
    </row>
    <row r="29" spans="1:10">
      <c r="A29" s="8">
        <v>20</v>
      </c>
      <c r="B29" s="250" t="s">
        <v>1318</v>
      </c>
      <c r="C29" s="250" t="s">
        <v>1321</v>
      </c>
      <c r="D29" s="251"/>
      <c r="E29" s="252"/>
      <c r="F29" s="250"/>
      <c r="G29" s="253"/>
      <c r="H29" s="250"/>
      <c r="I29" s="255"/>
      <c r="J29" s="250"/>
    </row>
    <row r="30" spans="1:10">
      <c r="A30" s="8">
        <v>21</v>
      </c>
      <c r="B30" s="250" t="s">
        <v>1318</v>
      </c>
      <c r="C30" s="250" t="s">
        <v>1322</v>
      </c>
      <c r="D30" s="251"/>
      <c r="E30" s="252"/>
      <c r="F30" s="250"/>
      <c r="G30" s="253"/>
      <c r="H30" s="250"/>
      <c r="I30" s="255"/>
      <c r="J30" s="250"/>
    </row>
    <row r="31" spans="1:10">
      <c r="A31" s="8">
        <v>22</v>
      </c>
      <c r="B31" s="250" t="s">
        <v>1318</v>
      </c>
      <c r="C31" s="250" t="s">
        <v>1323</v>
      </c>
      <c r="D31" s="251"/>
      <c r="E31" s="252"/>
      <c r="F31" s="250"/>
      <c r="G31" s="253"/>
      <c r="H31" s="250"/>
      <c r="I31" s="255"/>
      <c r="J31" s="250"/>
    </row>
    <row r="32" spans="1:10">
      <c r="A32" s="8">
        <v>23</v>
      </c>
      <c r="B32" s="250" t="s">
        <v>1318</v>
      </c>
      <c r="C32" s="250" t="s">
        <v>1324</v>
      </c>
      <c r="D32" s="251"/>
      <c r="E32" s="252"/>
      <c r="F32" s="250"/>
      <c r="G32" s="253"/>
      <c r="H32" s="250"/>
      <c r="I32" s="255"/>
      <c r="J32" s="250"/>
    </row>
    <row r="33" spans="1:10">
      <c r="A33" s="8">
        <v>24</v>
      </c>
      <c r="B33" s="250" t="s">
        <v>1318</v>
      </c>
      <c r="C33" s="250" t="s">
        <v>1325</v>
      </c>
      <c r="D33" s="251"/>
      <c r="E33" s="252"/>
      <c r="F33" s="250"/>
      <c r="G33" s="253"/>
      <c r="H33" s="250"/>
      <c r="I33" s="255"/>
      <c r="J33" s="250"/>
    </row>
    <row r="34" spans="1:10">
      <c r="A34" s="8">
        <v>25</v>
      </c>
      <c r="B34" s="250" t="s">
        <v>1318</v>
      </c>
      <c r="C34" s="250" t="s">
        <v>1326</v>
      </c>
      <c r="D34" s="251"/>
      <c r="E34" s="252"/>
      <c r="F34" s="250"/>
      <c r="G34" s="253"/>
      <c r="H34" s="250"/>
      <c r="I34" s="255"/>
      <c r="J34" s="250"/>
    </row>
    <row r="35" spans="1:10">
      <c r="A35" s="8">
        <v>26</v>
      </c>
      <c r="B35" s="250" t="s">
        <v>1318</v>
      </c>
      <c r="C35" s="250" t="s">
        <v>1327</v>
      </c>
      <c r="D35" s="251"/>
      <c r="E35" s="252"/>
      <c r="F35" s="250"/>
      <c r="G35" s="253"/>
      <c r="H35" s="250"/>
      <c r="I35" s="255"/>
      <c r="J35" s="250"/>
    </row>
    <row r="36" spans="1:10">
      <c r="A36" s="8">
        <v>27</v>
      </c>
      <c r="B36" s="250" t="s">
        <v>1318</v>
      </c>
      <c r="C36" s="250" t="s">
        <v>1328</v>
      </c>
      <c r="D36" s="251"/>
      <c r="E36" s="252"/>
      <c r="F36" s="250"/>
      <c r="G36" s="253"/>
      <c r="H36" s="250"/>
      <c r="I36" s="255"/>
      <c r="J36" s="250"/>
    </row>
    <row r="37" spans="1:10">
      <c r="A37" s="8">
        <v>28</v>
      </c>
      <c r="B37" s="250" t="s">
        <v>1318</v>
      </c>
      <c r="C37" s="250" t="s">
        <v>1329</v>
      </c>
      <c r="D37" s="251"/>
      <c r="E37" s="252"/>
      <c r="F37" s="250"/>
      <c r="G37" s="253"/>
      <c r="H37" s="250"/>
      <c r="I37" s="255"/>
      <c r="J37" s="250"/>
    </row>
    <row r="38" spans="1:10">
      <c r="A38" s="8">
        <v>29</v>
      </c>
      <c r="B38" s="250" t="s">
        <v>1318</v>
      </c>
      <c r="C38" s="250" t="s">
        <v>1330</v>
      </c>
      <c r="D38" s="251">
        <v>376</v>
      </c>
      <c r="E38" s="252"/>
      <c r="F38" s="250"/>
      <c r="G38" s="253">
        <f>+E38</f>
        <v>0</v>
      </c>
      <c r="H38" s="250"/>
      <c r="I38" s="255" t="s">
        <v>1331</v>
      </c>
      <c r="J38" s="250"/>
    </row>
    <row r="39" spans="1:10">
      <c r="A39" s="8">
        <v>30</v>
      </c>
      <c r="B39" s="250" t="s">
        <v>1318</v>
      </c>
      <c r="C39" s="250" t="s">
        <v>1332</v>
      </c>
      <c r="D39" s="251">
        <v>376</v>
      </c>
      <c r="E39" s="252">
        <v>187696.32</v>
      </c>
      <c r="F39" s="250"/>
      <c r="G39" s="253">
        <f t="shared" ref="G39:G47" si="1">+E39</f>
        <v>187696.32</v>
      </c>
      <c r="H39" s="253">
        <f>+G39</f>
        <v>187696.32</v>
      </c>
      <c r="I39" s="255" t="s">
        <v>1333</v>
      </c>
      <c r="J39" s="250"/>
    </row>
    <row r="40" spans="1:10">
      <c r="A40" s="8">
        <v>31</v>
      </c>
      <c r="B40" s="250" t="s">
        <v>1318</v>
      </c>
      <c r="C40" s="250" t="s">
        <v>1334</v>
      </c>
      <c r="D40" s="251">
        <v>376</v>
      </c>
      <c r="E40" s="252">
        <v>849833.88</v>
      </c>
      <c r="F40" s="250"/>
      <c r="G40" s="253">
        <f t="shared" si="1"/>
        <v>849833.88</v>
      </c>
      <c r="H40" s="804">
        <f>+G40</f>
        <v>849833.88</v>
      </c>
      <c r="I40" s="255" t="s">
        <v>1333</v>
      </c>
      <c r="J40" s="253">
        <f>+H40</f>
        <v>849833.88</v>
      </c>
    </row>
    <row r="41" spans="1:10">
      <c r="A41" s="8">
        <v>32</v>
      </c>
      <c r="B41" s="250" t="s">
        <v>1318</v>
      </c>
      <c r="C41" s="250" t="s">
        <v>1335</v>
      </c>
      <c r="D41" s="251"/>
      <c r="E41" s="252"/>
      <c r="F41" s="250"/>
      <c r="G41" s="253">
        <f t="shared" si="1"/>
        <v>0</v>
      </c>
      <c r="H41" s="250"/>
      <c r="I41" s="255" t="s">
        <v>1331</v>
      </c>
      <c r="J41" s="250"/>
    </row>
    <row r="42" spans="1:10">
      <c r="A42" s="8">
        <v>33</v>
      </c>
      <c r="B42" s="250" t="s">
        <v>1318</v>
      </c>
      <c r="C42" s="250" t="s">
        <v>1336</v>
      </c>
      <c r="D42" s="251">
        <v>378</v>
      </c>
      <c r="E42" s="252">
        <v>145337.85999999999</v>
      </c>
      <c r="F42" s="250"/>
      <c r="G42" s="253">
        <f>+E42</f>
        <v>145337.85999999999</v>
      </c>
      <c r="H42" s="253">
        <f>+G42</f>
        <v>145337.85999999999</v>
      </c>
      <c r="I42" s="255">
        <v>1</v>
      </c>
      <c r="J42" s="250"/>
    </row>
    <row r="43" spans="1:10">
      <c r="A43" s="8">
        <v>34</v>
      </c>
      <c r="B43" s="250" t="s">
        <v>1318</v>
      </c>
      <c r="C43" s="250" t="s">
        <v>1337</v>
      </c>
      <c r="D43" s="251">
        <v>380</v>
      </c>
      <c r="E43" s="252"/>
      <c r="F43" s="250"/>
      <c r="G43" s="253">
        <f t="shared" si="1"/>
        <v>0</v>
      </c>
      <c r="H43" s="250"/>
      <c r="I43" s="255" t="s">
        <v>1331</v>
      </c>
      <c r="J43" s="250"/>
    </row>
    <row r="44" spans="1:10">
      <c r="A44" s="8">
        <v>35</v>
      </c>
      <c r="B44" s="250" t="s">
        <v>1318</v>
      </c>
      <c r="C44" s="250" t="s">
        <v>1338</v>
      </c>
      <c r="D44" s="251">
        <v>385</v>
      </c>
      <c r="E44" s="252"/>
      <c r="F44" s="250"/>
      <c r="G44" s="253">
        <f t="shared" si="1"/>
        <v>0</v>
      </c>
      <c r="H44" s="250"/>
      <c r="I44" s="255" t="s">
        <v>1331</v>
      </c>
      <c r="J44" s="250"/>
    </row>
    <row r="45" spans="1:10">
      <c r="A45" s="8">
        <v>36</v>
      </c>
      <c r="B45" s="250" t="s">
        <v>1318</v>
      </c>
      <c r="C45" s="250" t="s">
        <v>1339</v>
      </c>
      <c r="D45" s="251">
        <v>385</v>
      </c>
      <c r="E45" s="252">
        <v>722791.51</v>
      </c>
      <c r="F45" s="250"/>
      <c r="G45" s="253">
        <f t="shared" si="1"/>
        <v>722791.51</v>
      </c>
      <c r="H45" s="804">
        <f>+G45</f>
        <v>722791.51</v>
      </c>
      <c r="I45" s="255">
        <v>1</v>
      </c>
      <c r="J45" s="253">
        <f>+H45</f>
        <v>722791.51</v>
      </c>
    </row>
    <row r="46" spans="1:10">
      <c r="A46" s="8">
        <v>37</v>
      </c>
      <c r="B46" s="250" t="s">
        <v>1318</v>
      </c>
      <c r="C46" s="250" t="s">
        <v>1340</v>
      </c>
      <c r="D46" s="251">
        <v>385</v>
      </c>
      <c r="E46" s="252"/>
      <c r="F46" s="250"/>
      <c r="G46" s="253">
        <f t="shared" si="1"/>
        <v>0</v>
      </c>
      <c r="H46" s="250"/>
      <c r="I46" s="255" t="s">
        <v>1331</v>
      </c>
      <c r="J46" s="250"/>
    </row>
    <row r="47" spans="1:10">
      <c r="A47" s="8">
        <v>38</v>
      </c>
      <c r="B47" s="250" t="s">
        <v>1318</v>
      </c>
      <c r="C47" s="250" t="s">
        <v>1341</v>
      </c>
      <c r="D47" s="251">
        <v>385</v>
      </c>
      <c r="E47" s="252">
        <v>126395.45</v>
      </c>
      <c r="F47" s="250"/>
      <c r="G47" s="253">
        <f t="shared" si="1"/>
        <v>126395.45</v>
      </c>
      <c r="H47" s="253">
        <f>+G47</f>
        <v>126395.45</v>
      </c>
      <c r="I47" s="255" t="s">
        <v>1333</v>
      </c>
      <c r="J47" s="250"/>
    </row>
    <row r="48" spans="1:10">
      <c r="A48" s="8">
        <v>39</v>
      </c>
      <c r="B48" s="250" t="s">
        <v>1318</v>
      </c>
      <c r="C48" s="250" t="s">
        <v>1342</v>
      </c>
      <c r="D48" s="251"/>
      <c r="E48" s="252"/>
      <c r="F48" s="778">
        <f>+'State Allocation Formulas'!$L$25</f>
        <v>0.77239999999999998</v>
      </c>
      <c r="G48" s="253">
        <f t="shared" ref="G48:G49" si="2">+E48*F48</f>
        <v>0</v>
      </c>
      <c r="H48" s="250"/>
      <c r="I48" s="255" t="s">
        <v>1331</v>
      </c>
      <c r="J48" s="250"/>
    </row>
    <row r="49" spans="1:10">
      <c r="A49" s="8">
        <v>40</v>
      </c>
      <c r="B49" s="250" t="s">
        <v>1318</v>
      </c>
      <c r="C49" s="250" t="s">
        <v>1343</v>
      </c>
      <c r="D49" s="251"/>
      <c r="E49" s="252"/>
      <c r="F49" s="778">
        <f>+'State Allocation Formulas'!$L$25</f>
        <v>0.77239999999999998</v>
      </c>
      <c r="G49" s="253">
        <f t="shared" si="2"/>
        <v>0</v>
      </c>
      <c r="H49" s="250"/>
      <c r="I49" s="255" t="s">
        <v>1331</v>
      </c>
      <c r="J49" s="250"/>
    </row>
    <row r="50" spans="1:10">
      <c r="A50" s="8">
        <v>41</v>
      </c>
      <c r="B50" s="250" t="s">
        <v>1318</v>
      </c>
      <c r="C50" s="250" t="s">
        <v>1344</v>
      </c>
      <c r="D50" s="251">
        <v>380</v>
      </c>
      <c r="E50" s="252">
        <v>461898.97</v>
      </c>
      <c r="F50" s="250"/>
      <c r="G50" s="253">
        <f t="shared" ref="G50:G53" si="3">+E50</f>
        <v>461898.97</v>
      </c>
      <c r="H50" s="804">
        <f>+G50</f>
        <v>461898.97</v>
      </c>
      <c r="I50" s="255">
        <v>1</v>
      </c>
      <c r="J50" s="253">
        <f>+H50</f>
        <v>461898.97</v>
      </c>
    </row>
    <row r="51" spans="1:10">
      <c r="A51" s="8">
        <v>42</v>
      </c>
      <c r="B51" s="250" t="s">
        <v>1318</v>
      </c>
      <c r="C51" s="250" t="s">
        <v>1345</v>
      </c>
      <c r="D51" s="251">
        <v>376</v>
      </c>
      <c r="E51" s="252"/>
      <c r="F51" s="250"/>
      <c r="G51" s="253">
        <f t="shared" si="3"/>
        <v>0</v>
      </c>
      <c r="H51" s="250"/>
      <c r="I51" s="255" t="s">
        <v>1346</v>
      </c>
      <c r="J51" s="250"/>
    </row>
    <row r="52" spans="1:10">
      <c r="A52" s="8">
        <v>43</v>
      </c>
      <c r="B52" s="250" t="s">
        <v>1318</v>
      </c>
      <c r="C52" s="250" t="s">
        <v>1347</v>
      </c>
      <c r="D52" s="251">
        <v>378</v>
      </c>
      <c r="E52" s="252">
        <v>-8668.64</v>
      </c>
      <c r="F52" s="250"/>
      <c r="G52" s="253">
        <f t="shared" si="3"/>
        <v>-8668.64</v>
      </c>
      <c r="H52" s="253">
        <f>+G52</f>
        <v>-8668.64</v>
      </c>
      <c r="I52" s="255">
        <v>19</v>
      </c>
      <c r="J52" s="250"/>
    </row>
    <row r="53" spans="1:10">
      <c r="A53" s="8">
        <v>44</v>
      </c>
      <c r="B53" s="250" t="s">
        <v>1318</v>
      </c>
      <c r="C53" s="250" t="s">
        <v>1348</v>
      </c>
      <c r="D53" s="251">
        <v>376</v>
      </c>
      <c r="E53" s="252"/>
      <c r="F53" s="250"/>
      <c r="G53" s="253">
        <f t="shared" si="3"/>
        <v>0</v>
      </c>
      <c r="H53" s="254"/>
      <c r="I53" s="255" t="s">
        <v>1349</v>
      </c>
      <c r="J53" s="250"/>
    </row>
    <row r="54" spans="1:10">
      <c r="A54" s="8">
        <v>45</v>
      </c>
      <c r="B54" s="250" t="s">
        <v>1318</v>
      </c>
      <c r="C54" s="250" t="s">
        <v>1350</v>
      </c>
      <c r="D54" s="251"/>
      <c r="E54" s="252"/>
      <c r="F54" s="250"/>
      <c r="G54" s="253"/>
      <c r="H54" s="250"/>
      <c r="I54" s="255"/>
      <c r="J54" s="250"/>
    </row>
    <row r="55" spans="1:10">
      <c r="A55" s="8">
        <v>46</v>
      </c>
      <c r="B55" s="250" t="s">
        <v>1318</v>
      </c>
      <c r="C55" s="250" t="s">
        <v>1351</v>
      </c>
      <c r="D55" s="251"/>
      <c r="E55" s="252"/>
      <c r="F55" s="250"/>
      <c r="G55" s="253">
        <f t="shared" ref="G55:G56" si="4">+E55</f>
        <v>0</v>
      </c>
      <c r="H55" s="250"/>
      <c r="I55" s="255" t="s">
        <v>1346</v>
      </c>
      <c r="J55" s="250"/>
    </row>
    <row r="56" spans="1:10">
      <c r="A56" s="8">
        <v>47</v>
      </c>
      <c r="B56" s="250" t="s">
        <v>1318</v>
      </c>
      <c r="C56" s="250" t="s">
        <v>1352</v>
      </c>
      <c r="D56" s="251"/>
      <c r="E56" s="252"/>
      <c r="F56" s="250"/>
      <c r="G56" s="253">
        <f t="shared" si="4"/>
        <v>0</v>
      </c>
      <c r="H56" s="250"/>
      <c r="I56" s="255" t="s">
        <v>1346</v>
      </c>
      <c r="J56" s="250"/>
    </row>
    <row r="57" spans="1:10">
      <c r="A57" s="8">
        <v>48</v>
      </c>
      <c r="B57" s="250" t="s">
        <v>1318</v>
      </c>
      <c r="C57" s="250" t="s">
        <v>1353</v>
      </c>
      <c r="D57" s="251"/>
      <c r="E57" s="252"/>
      <c r="F57" s="250"/>
      <c r="G57" s="253"/>
      <c r="H57" s="250"/>
      <c r="I57" s="255"/>
      <c r="J57" s="250"/>
    </row>
    <row r="58" spans="1:10">
      <c r="A58" s="8">
        <v>49</v>
      </c>
      <c r="B58" s="250" t="s">
        <v>1318</v>
      </c>
      <c r="C58" s="250" t="s">
        <v>1354</v>
      </c>
      <c r="D58" s="251"/>
      <c r="E58" s="252"/>
      <c r="F58" s="250"/>
      <c r="G58" s="253"/>
      <c r="H58" s="250"/>
      <c r="I58" s="255"/>
      <c r="J58" s="250"/>
    </row>
    <row r="59" spans="1:10">
      <c r="A59" s="8">
        <v>50</v>
      </c>
      <c r="B59" s="250" t="s">
        <v>1318</v>
      </c>
      <c r="C59" s="250" t="s">
        <v>1355</v>
      </c>
      <c r="D59" s="251"/>
      <c r="E59" s="252"/>
      <c r="F59" s="250"/>
      <c r="G59" s="253">
        <f t="shared" ref="G59:G62" si="5">+E59</f>
        <v>0</v>
      </c>
      <c r="H59" s="250"/>
      <c r="I59" s="255" t="s">
        <v>1346</v>
      </c>
      <c r="J59" s="250"/>
    </row>
    <row r="60" spans="1:10">
      <c r="A60" s="8">
        <v>51</v>
      </c>
      <c r="B60" s="250" t="s">
        <v>1318</v>
      </c>
      <c r="C60" s="250" t="s">
        <v>1356</v>
      </c>
      <c r="D60" s="251"/>
      <c r="E60" s="252"/>
      <c r="F60" s="250"/>
      <c r="G60" s="253">
        <f t="shared" si="5"/>
        <v>0</v>
      </c>
      <c r="H60" s="250"/>
      <c r="I60" s="255" t="s">
        <v>1346</v>
      </c>
      <c r="J60" s="250"/>
    </row>
    <row r="61" spans="1:10">
      <c r="A61" s="8">
        <v>52</v>
      </c>
      <c r="B61" s="250" t="s">
        <v>1318</v>
      </c>
      <c r="C61" s="250" t="s">
        <v>1357</v>
      </c>
      <c r="D61" s="251"/>
      <c r="E61" s="252"/>
      <c r="F61" s="250"/>
      <c r="G61" s="253">
        <f t="shared" si="5"/>
        <v>0</v>
      </c>
      <c r="H61" s="250"/>
      <c r="I61" s="255" t="s">
        <v>1346</v>
      </c>
      <c r="J61" s="250"/>
    </row>
    <row r="62" spans="1:10">
      <c r="A62" s="8">
        <v>53</v>
      </c>
      <c r="B62" s="250" t="s">
        <v>1318</v>
      </c>
      <c r="C62" s="250" t="s">
        <v>1358</v>
      </c>
      <c r="D62" s="251">
        <v>376</v>
      </c>
      <c r="E62" s="252">
        <v>163366.01</v>
      </c>
      <c r="F62" s="250"/>
      <c r="G62" s="253">
        <f t="shared" si="5"/>
        <v>163366.01</v>
      </c>
      <c r="H62" s="253">
        <f>+G62</f>
        <v>163366.01</v>
      </c>
      <c r="I62" s="255">
        <v>24</v>
      </c>
      <c r="J62" s="250"/>
    </row>
    <row r="63" spans="1:10">
      <c r="A63" s="8">
        <v>54</v>
      </c>
      <c r="B63" s="250" t="s">
        <v>1318</v>
      </c>
      <c r="C63" s="250" t="s">
        <v>1359</v>
      </c>
      <c r="D63" s="251"/>
      <c r="E63" s="252"/>
      <c r="F63" s="250"/>
      <c r="G63" s="253"/>
      <c r="H63" s="250"/>
      <c r="I63" s="255"/>
      <c r="J63" s="250"/>
    </row>
    <row r="64" spans="1:10">
      <c r="A64" s="8">
        <v>55</v>
      </c>
      <c r="B64" s="250" t="s">
        <v>1318</v>
      </c>
      <c r="C64" s="250" t="s">
        <v>1360</v>
      </c>
      <c r="D64" s="251">
        <v>376</v>
      </c>
      <c r="E64" s="252">
        <v>1629345.19</v>
      </c>
      <c r="F64" s="250"/>
      <c r="G64" s="253">
        <f>+E64</f>
        <v>1629345.19</v>
      </c>
      <c r="H64" s="804">
        <f>+G64</f>
        <v>1629345.19</v>
      </c>
      <c r="I64" s="255">
        <v>20</v>
      </c>
      <c r="J64" s="253">
        <f>+H64</f>
        <v>1629345.19</v>
      </c>
    </row>
    <row r="65" spans="1:10">
      <c r="A65" s="8">
        <v>56</v>
      </c>
      <c r="B65" s="250" t="s">
        <v>1318</v>
      </c>
      <c r="C65" s="250" t="s">
        <v>1361</v>
      </c>
      <c r="D65" s="251">
        <v>376</v>
      </c>
      <c r="E65" s="252"/>
      <c r="F65" s="250"/>
      <c r="G65" s="253"/>
      <c r="H65" s="250"/>
      <c r="I65" s="255"/>
      <c r="J65" s="250"/>
    </row>
    <row r="66" spans="1:10">
      <c r="A66" s="8">
        <v>57</v>
      </c>
      <c r="B66" s="250" t="s">
        <v>1318</v>
      </c>
      <c r="C66" s="250" t="s">
        <v>1362</v>
      </c>
      <c r="D66" s="251">
        <v>376</v>
      </c>
      <c r="E66" s="252"/>
      <c r="F66" s="250"/>
      <c r="G66" s="253"/>
      <c r="H66" s="250"/>
      <c r="I66" s="255"/>
      <c r="J66" s="250"/>
    </row>
    <row r="67" spans="1:10">
      <c r="A67" s="8">
        <v>58</v>
      </c>
      <c r="B67" s="250" t="s">
        <v>1318</v>
      </c>
      <c r="C67" s="250" t="s">
        <v>1363</v>
      </c>
      <c r="D67" s="251">
        <v>378</v>
      </c>
      <c r="E67" s="252">
        <v>1694181.59</v>
      </c>
      <c r="F67" s="250"/>
      <c r="G67" s="253">
        <f>+E67</f>
        <v>1694181.59</v>
      </c>
      <c r="H67" s="804">
        <f>+G67</f>
        <v>1694181.59</v>
      </c>
      <c r="I67" s="255">
        <v>8</v>
      </c>
      <c r="J67" s="253">
        <f>+H67</f>
        <v>1694181.59</v>
      </c>
    </row>
    <row r="68" spans="1:10">
      <c r="A68" s="8">
        <v>59</v>
      </c>
      <c r="B68" s="250" t="s">
        <v>1318</v>
      </c>
      <c r="C68" s="250" t="s">
        <v>1364</v>
      </c>
      <c r="D68" s="251"/>
      <c r="E68" s="252"/>
      <c r="F68" s="250"/>
      <c r="G68" s="253"/>
      <c r="H68" s="250"/>
      <c r="I68" s="255"/>
      <c r="J68" s="250"/>
    </row>
    <row r="69" spans="1:10">
      <c r="A69" s="8">
        <v>60</v>
      </c>
      <c r="B69" s="250" t="s">
        <v>1318</v>
      </c>
      <c r="C69" s="250" t="s">
        <v>1365</v>
      </c>
      <c r="D69" s="251">
        <v>376</v>
      </c>
      <c r="E69" s="252">
        <v>174654.47</v>
      </c>
      <c r="F69" s="250"/>
      <c r="G69" s="253">
        <f t="shared" ref="G69:G71" si="6">+E69</f>
        <v>174654.47</v>
      </c>
      <c r="H69" s="254">
        <f>+G69</f>
        <v>174654.47</v>
      </c>
      <c r="I69" s="255">
        <v>52</v>
      </c>
      <c r="J69" s="250"/>
    </row>
    <row r="70" spans="1:10">
      <c r="A70" s="8">
        <v>61</v>
      </c>
      <c r="B70" s="250" t="s">
        <v>1318</v>
      </c>
      <c r="C70" s="250" t="s">
        <v>1366</v>
      </c>
      <c r="D70" s="251">
        <v>376</v>
      </c>
      <c r="E70" s="252"/>
      <c r="F70" s="250"/>
      <c r="G70" s="253">
        <f t="shared" si="6"/>
        <v>0</v>
      </c>
      <c r="H70" s="250"/>
      <c r="I70" s="255" t="s">
        <v>1346</v>
      </c>
      <c r="J70" s="250"/>
    </row>
    <row r="71" spans="1:10">
      <c r="A71" s="8">
        <v>62</v>
      </c>
      <c r="B71" s="250" t="s">
        <v>1318</v>
      </c>
      <c r="C71" s="250" t="s">
        <v>1367</v>
      </c>
      <c r="D71" s="251">
        <v>376</v>
      </c>
      <c r="E71" s="252"/>
      <c r="F71" s="250"/>
      <c r="G71" s="253">
        <f t="shared" si="6"/>
        <v>0</v>
      </c>
      <c r="H71" s="253">
        <f>+G71</f>
        <v>0</v>
      </c>
      <c r="I71" s="255">
        <v>39</v>
      </c>
      <c r="J71" s="250"/>
    </row>
    <row r="72" spans="1:10">
      <c r="A72" s="8">
        <v>63</v>
      </c>
      <c r="B72" s="250" t="s">
        <v>1318</v>
      </c>
      <c r="C72" s="250" t="s">
        <v>1368</v>
      </c>
      <c r="D72" s="251"/>
      <c r="E72" s="252"/>
      <c r="F72" s="250"/>
      <c r="G72" s="253"/>
      <c r="H72" s="250"/>
      <c r="I72" s="255"/>
      <c r="J72" s="250"/>
    </row>
    <row r="73" spans="1:10">
      <c r="A73" s="8">
        <v>64</v>
      </c>
      <c r="B73" s="250" t="s">
        <v>1318</v>
      </c>
      <c r="C73" s="250" t="s">
        <v>1369</v>
      </c>
      <c r="D73" s="251"/>
      <c r="E73" s="252"/>
      <c r="F73" s="250"/>
      <c r="G73" s="253">
        <f>+E73</f>
        <v>0</v>
      </c>
      <c r="H73" s="250"/>
      <c r="I73" s="255" t="s">
        <v>1331</v>
      </c>
      <c r="J73" s="250"/>
    </row>
    <row r="74" spans="1:10">
      <c r="A74" s="8">
        <v>65</v>
      </c>
      <c r="B74" s="250" t="s">
        <v>1318</v>
      </c>
      <c r="C74" s="250" t="s">
        <v>1370</v>
      </c>
      <c r="D74" s="251"/>
      <c r="E74" s="252"/>
      <c r="F74" s="250"/>
      <c r="G74" s="253"/>
      <c r="H74" s="250"/>
      <c r="I74" s="255"/>
      <c r="J74" s="250"/>
    </row>
    <row r="75" spans="1:10">
      <c r="A75" s="8">
        <v>66</v>
      </c>
      <c r="B75" s="250" t="s">
        <v>1318</v>
      </c>
      <c r="C75" s="250" t="s">
        <v>1371</v>
      </c>
      <c r="D75" s="251"/>
      <c r="E75" s="252"/>
      <c r="F75" s="250"/>
      <c r="G75" s="253">
        <f t="shared" ref="G75:G76" si="7">+E75</f>
        <v>0</v>
      </c>
      <c r="H75" s="254"/>
      <c r="I75" s="255" t="s">
        <v>1349</v>
      </c>
      <c r="J75" s="250"/>
    </row>
    <row r="76" spans="1:10">
      <c r="A76" s="8">
        <v>67</v>
      </c>
      <c r="B76" s="250" t="s">
        <v>1318</v>
      </c>
      <c r="C76" s="250" t="s">
        <v>1372</v>
      </c>
      <c r="D76" s="251">
        <v>376</v>
      </c>
      <c r="E76" s="252"/>
      <c r="F76" s="250"/>
      <c r="G76" s="253">
        <f t="shared" si="7"/>
        <v>0</v>
      </c>
      <c r="H76" s="250"/>
      <c r="I76" s="255" t="s">
        <v>1346</v>
      </c>
      <c r="J76" s="250"/>
    </row>
    <row r="77" spans="1:10">
      <c r="A77" s="8">
        <v>68</v>
      </c>
      <c r="B77" s="250" t="s">
        <v>1318</v>
      </c>
      <c r="C77" s="250" t="s">
        <v>1373</v>
      </c>
      <c r="D77" s="251"/>
      <c r="E77" s="252"/>
      <c r="F77" s="250"/>
      <c r="G77" s="253"/>
      <c r="H77" s="250"/>
      <c r="I77" s="255"/>
      <c r="J77" s="250"/>
    </row>
    <row r="78" spans="1:10">
      <c r="A78" s="8">
        <v>69</v>
      </c>
      <c r="B78" s="250" t="s">
        <v>1318</v>
      </c>
      <c r="C78" s="250" t="s">
        <v>1374</v>
      </c>
      <c r="D78" s="251"/>
      <c r="E78" s="252"/>
      <c r="F78" s="250"/>
      <c r="G78" s="253"/>
      <c r="H78" s="250"/>
      <c r="I78" s="255"/>
      <c r="J78" s="250"/>
    </row>
    <row r="79" spans="1:10">
      <c r="A79" s="8">
        <v>70</v>
      </c>
      <c r="B79" s="250" t="s">
        <v>1318</v>
      </c>
      <c r="C79" s="250" t="s">
        <v>1375</v>
      </c>
      <c r="D79" s="251"/>
      <c r="E79" s="252"/>
      <c r="F79" s="250"/>
      <c r="G79" s="253">
        <f t="shared" ref="G79:G95" si="8">+E79</f>
        <v>0</v>
      </c>
      <c r="H79" s="250"/>
      <c r="I79" s="255" t="s">
        <v>1346</v>
      </c>
      <c r="J79" s="250"/>
    </row>
    <row r="80" spans="1:10">
      <c r="A80" s="8">
        <v>71</v>
      </c>
      <c r="B80" s="250" t="s">
        <v>1318</v>
      </c>
      <c r="C80" s="250" t="s">
        <v>1376</v>
      </c>
      <c r="D80" s="251"/>
      <c r="E80" s="252"/>
      <c r="F80" s="250"/>
      <c r="G80" s="253">
        <f t="shared" si="8"/>
        <v>0</v>
      </c>
      <c r="H80" s="250"/>
      <c r="I80" s="255" t="s">
        <v>1346</v>
      </c>
      <c r="J80" s="250"/>
    </row>
    <row r="81" spans="1:10">
      <c r="A81" s="8">
        <v>72</v>
      </c>
      <c r="B81" s="250" t="s">
        <v>1318</v>
      </c>
      <c r="C81" s="250" t="s">
        <v>1377</v>
      </c>
      <c r="D81" s="251"/>
      <c r="E81" s="252"/>
      <c r="F81" s="250"/>
      <c r="G81" s="253"/>
      <c r="H81" s="250"/>
      <c r="I81" s="255"/>
      <c r="J81" s="250"/>
    </row>
    <row r="82" spans="1:10">
      <c r="A82" s="8">
        <v>73</v>
      </c>
      <c r="B82" s="250" t="s">
        <v>1318</v>
      </c>
      <c r="C82" s="250" t="s">
        <v>1378</v>
      </c>
      <c r="D82" s="251">
        <v>376</v>
      </c>
      <c r="E82" s="252"/>
      <c r="F82" s="250"/>
      <c r="G82" s="253">
        <f t="shared" si="8"/>
        <v>0</v>
      </c>
      <c r="H82" s="250"/>
      <c r="I82" s="255" t="s">
        <v>1346</v>
      </c>
      <c r="J82" s="250"/>
    </row>
    <row r="83" spans="1:10">
      <c r="A83" s="8">
        <v>74</v>
      </c>
      <c r="B83" s="250" t="s">
        <v>1318</v>
      </c>
      <c r="C83" s="250" t="s">
        <v>1379</v>
      </c>
      <c r="D83" s="251">
        <v>376</v>
      </c>
      <c r="E83" s="252"/>
      <c r="F83" s="250"/>
      <c r="G83" s="253">
        <f t="shared" si="8"/>
        <v>0</v>
      </c>
      <c r="H83" s="254">
        <v>0</v>
      </c>
      <c r="I83" s="255" t="s">
        <v>1305</v>
      </c>
      <c r="J83" s="250"/>
    </row>
    <row r="84" spans="1:10">
      <c r="A84" s="8">
        <v>75</v>
      </c>
      <c r="B84" s="250" t="s">
        <v>1318</v>
      </c>
      <c r="C84" s="250" t="s">
        <v>1380</v>
      </c>
      <c r="D84" s="251">
        <v>376</v>
      </c>
      <c r="E84" s="252">
        <v>100320.89</v>
      </c>
      <c r="F84" s="250"/>
      <c r="G84" s="253">
        <f t="shared" si="8"/>
        <v>100320.89</v>
      </c>
      <c r="H84" s="253">
        <f>+G84</f>
        <v>100320.89</v>
      </c>
      <c r="I84" s="255">
        <v>15</v>
      </c>
      <c r="J84" s="250"/>
    </row>
    <row r="85" spans="1:10">
      <c r="A85" s="8">
        <v>76</v>
      </c>
      <c r="B85" s="250" t="s">
        <v>1318</v>
      </c>
      <c r="C85" s="250" t="s">
        <v>1381</v>
      </c>
      <c r="D85" s="251"/>
      <c r="E85" s="252"/>
      <c r="F85" s="250"/>
      <c r="G85" s="253"/>
      <c r="H85" s="250"/>
      <c r="I85" s="255"/>
      <c r="J85" s="250"/>
    </row>
    <row r="86" spans="1:10">
      <c r="A86" s="8">
        <v>77</v>
      </c>
      <c r="B86" s="250" t="s">
        <v>1318</v>
      </c>
      <c r="C86" s="250" t="s">
        <v>1382</v>
      </c>
      <c r="D86" s="251">
        <v>376</v>
      </c>
      <c r="E86" s="252">
        <v>14616.22</v>
      </c>
      <c r="F86" s="250"/>
      <c r="G86" s="253">
        <f t="shared" si="8"/>
        <v>14616.22</v>
      </c>
      <c r="H86" s="254">
        <f>+G86</f>
        <v>14616.22</v>
      </c>
      <c r="I86" s="255">
        <v>53</v>
      </c>
      <c r="J86" s="250"/>
    </row>
    <row r="87" spans="1:10">
      <c r="A87" s="8">
        <v>78</v>
      </c>
      <c r="B87" s="250" t="s">
        <v>1318</v>
      </c>
      <c r="C87" s="250" t="s">
        <v>1383</v>
      </c>
      <c r="D87" s="251">
        <v>376</v>
      </c>
      <c r="E87" s="252">
        <v>1838.52</v>
      </c>
      <c r="F87" s="250"/>
      <c r="G87" s="253">
        <f t="shared" si="8"/>
        <v>1838.52</v>
      </c>
      <c r="H87" s="253">
        <f>+G87</f>
        <v>1838.52</v>
      </c>
      <c r="I87" s="255">
        <v>16</v>
      </c>
      <c r="J87" s="250"/>
    </row>
    <row r="88" spans="1:10">
      <c r="A88" s="8">
        <v>79</v>
      </c>
      <c r="B88" s="250" t="s">
        <v>1318</v>
      </c>
      <c r="C88" s="250" t="s">
        <v>1384</v>
      </c>
      <c r="D88" s="251">
        <v>376</v>
      </c>
      <c r="E88" s="252"/>
      <c r="F88" s="250"/>
      <c r="G88" s="253">
        <f t="shared" si="8"/>
        <v>0</v>
      </c>
      <c r="H88" s="250"/>
      <c r="I88" s="255" t="s">
        <v>1346</v>
      </c>
      <c r="J88" s="250"/>
    </row>
    <row r="89" spans="1:10">
      <c r="A89" s="8">
        <v>80</v>
      </c>
      <c r="B89" s="250" t="s">
        <v>1318</v>
      </c>
      <c r="C89" s="250" t="s">
        <v>1385</v>
      </c>
      <c r="D89" s="251"/>
      <c r="E89" s="252"/>
      <c r="F89" s="250"/>
      <c r="G89" s="253">
        <f t="shared" si="8"/>
        <v>0</v>
      </c>
      <c r="H89" s="254"/>
      <c r="I89" s="255" t="s">
        <v>1331</v>
      </c>
      <c r="J89" s="250"/>
    </row>
    <row r="90" spans="1:10">
      <c r="A90" s="8">
        <v>81</v>
      </c>
      <c r="B90" s="250" t="s">
        <v>1318</v>
      </c>
      <c r="C90" s="250" t="s">
        <v>1386</v>
      </c>
      <c r="D90" s="251">
        <v>376</v>
      </c>
      <c r="E90" s="252">
        <v>168342.87</v>
      </c>
      <c r="F90" s="250"/>
      <c r="G90" s="253">
        <f t="shared" si="8"/>
        <v>168342.87</v>
      </c>
      <c r="H90" s="253">
        <f>+G90</f>
        <v>168342.87</v>
      </c>
      <c r="I90" s="255">
        <v>40</v>
      </c>
      <c r="J90" s="250"/>
    </row>
    <row r="91" spans="1:10">
      <c r="A91" s="8">
        <v>82</v>
      </c>
      <c r="B91" s="250" t="s">
        <v>1318</v>
      </c>
      <c r="C91" s="250" t="s">
        <v>1387</v>
      </c>
      <c r="D91" s="251">
        <v>376</v>
      </c>
      <c r="E91" s="252"/>
      <c r="F91" s="250"/>
      <c r="G91" s="253">
        <f t="shared" si="8"/>
        <v>0</v>
      </c>
      <c r="H91" s="250"/>
      <c r="I91" s="255" t="s">
        <v>1346</v>
      </c>
      <c r="J91" s="250"/>
    </row>
    <row r="92" spans="1:10">
      <c r="A92" s="8">
        <v>83</v>
      </c>
      <c r="B92" s="250" t="s">
        <v>1318</v>
      </c>
      <c r="C92" s="250" t="s">
        <v>1388</v>
      </c>
      <c r="D92" s="251">
        <v>376</v>
      </c>
      <c r="E92" s="252"/>
      <c r="F92" s="250"/>
      <c r="G92" s="253">
        <f t="shared" si="8"/>
        <v>0</v>
      </c>
      <c r="H92" s="254"/>
      <c r="I92" s="255" t="s">
        <v>1349</v>
      </c>
      <c r="J92" s="250"/>
    </row>
    <row r="93" spans="1:10">
      <c r="A93" s="8">
        <v>84</v>
      </c>
      <c r="B93" s="250" t="s">
        <v>1318</v>
      </c>
      <c r="C93" s="250" t="s">
        <v>1389</v>
      </c>
      <c r="D93" s="251">
        <v>376</v>
      </c>
      <c r="E93" s="252">
        <v>225.53</v>
      </c>
      <c r="F93" s="250"/>
      <c r="G93" s="253">
        <f t="shared" si="8"/>
        <v>225.53</v>
      </c>
      <c r="H93" s="253">
        <f>+G93</f>
        <v>225.53</v>
      </c>
      <c r="I93" s="255">
        <v>25</v>
      </c>
      <c r="J93" s="250"/>
    </row>
    <row r="94" spans="1:10">
      <c r="A94" s="8">
        <v>85</v>
      </c>
      <c r="B94" s="250" t="s">
        <v>1318</v>
      </c>
      <c r="C94" s="250" t="s">
        <v>1390</v>
      </c>
      <c r="D94" s="251">
        <v>376</v>
      </c>
      <c r="E94" s="252">
        <v>12870.53</v>
      </c>
      <c r="F94" s="250"/>
      <c r="G94" s="253">
        <f t="shared" si="8"/>
        <v>12870.53</v>
      </c>
      <c r="H94" s="253">
        <f>+G94</f>
        <v>12870.53</v>
      </c>
      <c r="I94" s="255">
        <v>26</v>
      </c>
      <c r="J94" s="250"/>
    </row>
    <row r="95" spans="1:10">
      <c r="A95" s="8">
        <v>86</v>
      </c>
      <c r="B95" s="250" t="s">
        <v>1318</v>
      </c>
      <c r="C95" s="250" t="s">
        <v>1391</v>
      </c>
      <c r="D95" s="251">
        <v>376</v>
      </c>
      <c r="E95" s="252">
        <v>2549.29</v>
      </c>
      <c r="F95" s="250"/>
      <c r="G95" s="253">
        <f t="shared" si="8"/>
        <v>2549.29</v>
      </c>
      <c r="H95" s="253">
        <f>+G95</f>
        <v>2549.29</v>
      </c>
      <c r="I95" s="255">
        <v>27</v>
      </c>
      <c r="J95" s="250"/>
    </row>
    <row r="96" spans="1:10">
      <c r="A96" s="8">
        <v>87</v>
      </c>
      <c r="B96" s="250" t="s">
        <v>1318</v>
      </c>
      <c r="C96" s="250" t="s">
        <v>1392</v>
      </c>
      <c r="D96" s="251"/>
      <c r="E96" s="252"/>
      <c r="F96" s="250"/>
      <c r="G96" s="253"/>
      <c r="H96" s="250"/>
      <c r="I96" s="255"/>
      <c r="J96" s="250"/>
    </row>
    <row r="97" spans="1:10">
      <c r="A97" s="8">
        <v>88</v>
      </c>
      <c r="B97" s="250" t="s">
        <v>1318</v>
      </c>
      <c r="C97" s="250" t="s">
        <v>1393</v>
      </c>
      <c r="D97" s="251"/>
      <c r="E97" s="252"/>
      <c r="F97" s="250"/>
      <c r="G97" s="253"/>
      <c r="H97" s="250"/>
      <c r="I97" s="255"/>
      <c r="J97" s="250"/>
    </row>
    <row r="98" spans="1:10">
      <c r="A98" s="8">
        <v>89</v>
      </c>
      <c r="B98" s="250" t="s">
        <v>1318</v>
      </c>
      <c r="C98" s="250" t="s">
        <v>1394</v>
      </c>
      <c r="D98" s="251">
        <v>378</v>
      </c>
      <c r="E98" s="252">
        <v>63181.440000000002</v>
      </c>
      <c r="F98" s="250"/>
      <c r="G98" s="253">
        <f>+E98</f>
        <v>63181.440000000002</v>
      </c>
      <c r="H98" s="253">
        <f>+G98</f>
        <v>63181.440000000002</v>
      </c>
      <c r="I98" s="255">
        <v>37</v>
      </c>
      <c r="J98" s="250"/>
    </row>
    <row r="99" spans="1:10">
      <c r="A99" s="8">
        <v>90</v>
      </c>
      <c r="B99" s="250" t="s">
        <v>1318</v>
      </c>
      <c r="C99" s="250" t="s">
        <v>1395</v>
      </c>
      <c r="D99" s="251">
        <v>378</v>
      </c>
      <c r="E99" s="252">
        <v>7015.18</v>
      </c>
      <c r="F99" s="250"/>
      <c r="G99" s="253">
        <f>+E99</f>
        <v>7015.18</v>
      </c>
      <c r="H99" s="253">
        <f>+G99</f>
        <v>7015.18</v>
      </c>
      <c r="I99" s="255">
        <v>38</v>
      </c>
      <c r="J99" s="250"/>
    </row>
    <row r="100" spans="1:10">
      <c r="A100" s="8">
        <v>91</v>
      </c>
      <c r="B100" s="250" t="s">
        <v>1318</v>
      </c>
      <c r="C100" s="250" t="s">
        <v>1396</v>
      </c>
      <c r="D100" s="251"/>
      <c r="E100" s="252"/>
      <c r="F100" s="250"/>
      <c r="G100" s="253">
        <f>+E100</f>
        <v>0</v>
      </c>
      <c r="H100" s="253">
        <f>+G100</f>
        <v>0</v>
      </c>
      <c r="I100" s="255">
        <v>21</v>
      </c>
      <c r="J100" s="250"/>
    </row>
    <row r="101" spans="1:10">
      <c r="A101" s="8">
        <v>92</v>
      </c>
      <c r="B101" s="250" t="s">
        <v>1318</v>
      </c>
      <c r="C101" s="250" t="s">
        <v>1397</v>
      </c>
      <c r="D101" s="251">
        <v>376</v>
      </c>
      <c r="E101" s="252"/>
      <c r="F101" s="250"/>
      <c r="G101" s="253"/>
      <c r="H101" s="250"/>
      <c r="I101" s="255"/>
      <c r="J101" s="250"/>
    </row>
    <row r="102" spans="1:10">
      <c r="A102" s="8">
        <v>93</v>
      </c>
      <c r="B102" s="250" t="s">
        <v>1318</v>
      </c>
      <c r="C102" s="250" t="s">
        <v>1398</v>
      </c>
      <c r="D102" s="251"/>
      <c r="E102" s="252"/>
      <c r="F102" s="250"/>
      <c r="G102" s="253"/>
      <c r="H102" s="250"/>
      <c r="I102" s="255"/>
      <c r="J102" s="250"/>
    </row>
    <row r="103" spans="1:10">
      <c r="A103" s="8">
        <v>94</v>
      </c>
      <c r="B103" s="250" t="s">
        <v>1318</v>
      </c>
      <c r="C103" s="250" t="s">
        <v>1399</v>
      </c>
      <c r="D103" s="251"/>
      <c r="E103" s="252"/>
      <c r="F103" s="250"/>
      <c r="G103" s="253"/>
      <c r="H103" s="250"/>
      <c r="I103" s="255"/>
      <c r="J103" s="250"/>
    </row>
    <row r="104" spans="1:10">
      <c r="A104" s="8">
        <v>95</v>
      </c>
      <c r="B104" s="250" t="s">
        <v>1318</v>
      </c>
      <c r="C104" s="250" t="s">
        <v>1400</v>
      </c>
      <c r="D104" s="251"/>
      <c r="E104" s="252"/>
      <c r="F104" s="250"/>
      <c r="G104" s="253"/>
      <c r="H104" s="250"/>
      <c r="I104" s="255"/>
      <c r="J104" s="250"/>
    </row>
    <row r="105" spans="1:10">
      <c r="A105" s="8">
        <v>96</v>
      </c>
      <c r="B105" s="250" t="s">
        <v>1318</v>
      </c>
      <c r="C105" s="250" t="s">
        <v>1401</v>
      </c>
      <c r="D105" s="251"/>
      <c r="E105" s="252"/>
      <c r="F105" s="250"/>
      <c r="G105" s="253"/>
      <c r="H105" s="250"/>
      <c r="I105" s="255"/>
      <c r="J105" s="250"/>
    </row>
    <row r="106" spans="1:10">
      <c r="A106" s="8">
        <v>97</v>
      </c>
      <c r="B106" s="250" t="s">
        <v>1318</v>
      </c>
      <c r="C106" s="250" t="s">
        <v>1402</v>
      </c>
      <c r="D106" s="251"/>
      <c r="E106" s="252"/>
      <c r="F106" s="250"/>
      <c r="G106" s="253"/>
      <c r="H106" s="250"/>
      <c r="I106" s="255"/>
      <c r="J106" s="250"/>
    </row>
    <row r="107" spans="1:10">
      <c r="A107" s="8">
        <v>98</v>
      </c>
      <c r="B107" s="250" t="s">
        <v>1318</v>
      </c>
      <c r="C107" s="250" t="s">
        <v>1403</v>
      </c>
      <c r="D107" s="251"/>
      <c r="E107" s="252"/>
      <c r="F107" s="250"/>
      <c r="G107" s="253"/>
      <c r="H107" s="250"/>
      <c r="I107" s="255"/>
      <c r="J107" s="250"/>
    </row>
    <row r="108" spans="1:10">
      <c r="A108" s="8">
        <v>99</v>
      </c>
      <c r="B108" s="250" t="s">
        <v>1318</v>
      </c>
      <c r="C108" s="250" t="s">
        <v>1550</v>
      </c>
      <c r="D108" s="251">
        <v>376</v>
      </c>
      <c r="E108" s="252">
        <v>56399.46</v>
      </c>
      <c r="F108" s="250"/>
      <c r="G108" s="253">
        <f>+E108</f>
        <v>56399.46</v>
      </c>
      <c r="H108" s="253">
        <f>+G108</f>
        <v>56399.46</v>
      </c>
      <c r="I108" s="255">
        <v>17</v>
      </c>
      <c r="J108" s="250"/>
    </row>
    <row r="109" spans="1:10">
      <c r="A109" s="8">
        <v>100</v>
      </c>
      <c r="B109" s="250" t="s">
        <v>1318</v>
      </c>
      <c r="C109" s="250" t="s">
        <v>1404</v>
      </c>
      <c r="D109" s="251"/>
      <c r="E109" s="252"/>
      <c r="F109" s="250"/>
      <c r="G109" s="253"/>
      <c r="H109" s="250"/>
      <c r="I109" s="255">
        <v>1</v>
      </c>
      <c r="J109" s="250"/>
    </row>
    <row r="110" spans="1:10">
      <c r="A110" s="8">
        <v>101</v>
      </c>
      <c r="B110" s="250" t="s">
        <v>1318</v>
      </c>
      <c r="C110" s="250" t="s">
        <v>1405</v>
      </c>
      <c r="D110" s="251">
        <v>381</v>
      </c>
      <c r="E110" s="252">
        <v>540259.5</v>
      </c>
      <c r="F110" s="778">
        <f>+'State Allocation Formulas'!$L$25</f>
        <v>0.77239999999999998</v>
      </c>
      <c r="G110" s="253">
        <f>+E110*F110</f>
        <v>417296.43780000001</v>
      </c>
      <c r="H110" s="804">
        <f>+G110</f>
        <v>417296.43780000001</v>
      </c>
      <c r="I110" s="255">
        <v>51</v>
      </c>
      <c r="J110" s="253">
        <f>+H110</f>
        <v>417296.43780000001</v>
      </c>
    </row>
    <row r="111" spans="1:10">
      <c r="A111" s="8">
        <v>102</v>
      </c>
      <c r="B111" s="250" t="s">
        <v>1318</v>
      </c>
      <c r="C111" s="250" t="s">
        <v>1406</v>
      </c>
      <c r="D111" s="251">
        <v>376</v>
      </c>
      <c r="E111" s="252"/>
      <c r="F111" s="250"/>
      <c r="G111" s="253">
        <f t="shared" ref="G111" si="9">+E111</f>
        <v>0</v>
      </c>
      <c r="H111" s="250"/>
      <c r="I111" s="255" t="s">
        <v>1331</v>
      </c>
      <c r="J111" s="250"/>
    </row>
    <row r="112" spans="1:10">
      <c r="A112" s="8">
        <v>103</v>
      </c>
      <c r="B112" s="250" t="s">
        <v>1318</v>
      </c>
      <c r="C112" s="250" t="s">
        <v>1407</v>
      </c>
      <c r="D112" s="251">
        <v>376</v>
      </c>
      <c r="E112" s="252">
        <v>124358.12</v>
      </c>
      <c r="F112" s="250"/>
      <c r="G112" s="253">
        <v>0</v>
      </c>
      <c r="H112" s="253">
        <f>+G112</f>
        <v>0</v>
      </c>
      <c r="I112" s="255">
        <v>32</v>
      </c>
      <c r="J112" s="250"/>
    </row>
    <row r="113" spans="1:10">
      <c r="A113" s="8">
        <v>104</v>
      </c>
      <c r="B113" s="250" t="s">
        <v>1318</v>
      </c>
      <c r="C113" s="250" t="s">
        <v>1408</v>
      </c>
      <c r="D113" s="251">
        <v>376</v>
      </c>
      <c r="E113" s="252">
        <v>96566.06</v>
      </c>
      <c r="F113" s="250"/>
      <c r="G113" s="253">
        <f>+E113</f>
        <v>96566.06</v>
      </c>
      <c r="H113" s="253">
        <f>+G113</f>
        <v>96566.06</v>
      </c>
      <c r="I113" s="255">
        <v>33</v>
      </c>
      <c r="J113" s="250"/>
    </row>
    <row r="114" spans="1:10">
      <c r="A114" s="8">
        <v>105</v>
      </c>
      <c r="B114" s="250" t="s">
        <v>1318</v>
      </c>
      <c r="C114" s="250" t="s">
        <v>1409</v>
      </c>
      <c r="D114" s="251">
        <v>376</v>
      </c>
      <c r="E114" s="252"/>
      <c r="F114" s="250"/>
      <c r="G114" s="253">
        <f t="shared" ref="G114:G120" si="10">+E114</f>
        <v>0</v>
      </c>
      <c r="H114" s="254">
        <f>+G114</f>
        <v>0</v>
      </c>
      <c r="I114" s="255">
        <v>34</v>
      </c>
      <c r="J114" s="250"/>
    </row>
    <row r="115" spans="1:10">
      <c r="A115" s="8">
        <v>106</v>
      </c>
      <c r="B115" s="250" t="s">
        <v>1318</v>
      </c>
      <c r="C115" s="250" t="s">
        <v>1410</v>
      </c>
      <c r="D115" s="251">
        <v>376</v>
      </c>
      <c r="E115" s="252"/>
      <c r="F115" s="250"/>
      <c r="G115" s="253">
        <f t="shared" si="10"/>
        <v>0</v>
      </c>
      <c r="H115" s="253">
        <f>+G115</f>
        <v>0</v>
      </c>
      <c r="I115" s="255">
        <v>34</v>
      </c>
      <c r="J115" s="250"/>
    </row>
    <row r="116" spans="1:10">
      <c r="A116" s="8">
        <v>107</v>
      </c>
      <c r="B116" s="250" t="s">
        <v>1318</v>
      </c>
      <c r="C116" s="250" t="s">
        <v>1411</v>
      </c>
      <c r="D116" s="251">
        <v>378</v>
      </c>
      <c r="E116" s="252"/>
      <c r="F116" s="250"/>
      <c r="G116" s="253">
        <f t="shared" si="10"/>
        <v>0</v>
      </c>
      <c r="H116" s="253"/>
      <c r="I116" s="255" t="s">
        <v>1331</v>
      </c>
      <c r="J116" s="250"/>
    </row>
    <row r="117" spans="1:10">
      <c r="A117" s="8">
        <v>108</v>
      </c>
      <c r="B117" s="250" t="s">
        <v>1318</v>
      </c>
      <c r="C117" s="250" t="s">
        <v>1412</v>
      </c>
      <c r="D117" s="251">
        <v>376</v>
      </c>
      <c r="E117" s="252"/>
      <c r="F117" s="250"/>
      <c r="G117" s="253">
        <f t="shared" si="10"/>
        <v>0</v>
      </c>
      <c r="H117" s="250"/>
      <c r="I117" s="255" t="s">
        <v>1331</v>
      </c>
      <c r="J117" s="250"/>
    </row>
    <row r="118" spans="1:10">
      <c r="A118" s="8">
        <v>109</v>
      </c>
      <c r="B118" s="250" t="s">
        <v>1318</v>
      </c>
      <c r="C118" s="250" t="s">
        <v>1413</v>
      </c>
      <c r="D118" s="251">
        <v>376</v>
      </c>
      <c r="E118" s="252">
        <v>264511.63</v>
      </c>
      <c r="F118" s="250"/>
      <c r="G118" s="253">
        <f t="shared" si="10"/>
        <v>264511.63</v>
      </c>
      <c r="H118" s="804">
        <f>+G118</f>
        <v>264511.63</v>
      </c>
      <c r="I118" s="255">
        <v>2</v>
      </c>
      <c r="J118" s="253">
        <f>+H118</f>
        <v>264511.63</v>
      </c>
    </row>
    <row r="119" spans="1:10">
      <c r="A119" s="8">
        <v>110</v>
      </c>
      <c r="B119" s="250" t="s">
        <v>1318</v>
      </c>
      <c r="C119" s="250" t="s">
        <v>1414</v>
      </c>
      <c r="D119" s="251">
        <v>378</v>
      </c>
      <c r="E119" s="252"/>
      <c r="F119" s="250"/>
      <c r="G119" s="253">
        <f t="shared" si="10"/>
        <v>0</v>
      </c>
      <c r="H119" s="253"/>
      <c r="I119" s="255" t="s">
        <v>1331</v>
      </c>
      <c r="J119" s="250"/>
    </row>
    <row r="120" spans="1:10">
      <c r="A120" s="8">
        <v>111</v>
      </c>
      <c r="B120" s="250" t="s">
        <v>1318</v>
      </c>
      <c r="C120" s="250" t="s">
        <v>1415</v>
      </c>
      <c r="D120" s="251"/>
      <c r="E120" s="252">
        <v>98840.34</v>
      </c>
      <c r="F120" s="250"/>
      <c r="G120" s="253">
        <f t="shared" si="10"/>
        <v>98840.34</v>
      </c>
      <c r="H120" s="253">
        <f>+G120</f>
        <v>98840.34</v>
      </c>
      <c r="I120" s="255">
        <v>28</v>
      </c>
      <c r="J120" s="250"/>
    </row>
    <row r="121" spans="1:10">
      <c r="A121" s="8">
        <v>112</v>
      </c>
      <c r="B121" s="250" t="s">
        <v>1318</v>
      </c>
      <c r="C121" s="250" t="s">
        <v>1416</v>
      </c>
      <c r="D121" s="251"/>
      <c r="E121" s="252"/>
      <c r="F121" s="250"/>
      <c r="G121" s="253"/>
      <c r="H121" s="250"/>
      <c r="I121" s="255"/>
      <c r="J121" s="250"/>
    </row>
    <row r="122" spans="1:10">
      <c r="A122" s="8">
        <v>113</v>
      </c>
      <c r="B122" s="250" t="s">
        <v>1318</v>
      </c>
      <c r="C122" s="250" t="s">
        <v>1417</v>
      </c>
      <c r="D122" s="251"/>
      <c r="E122" s="252">
        <v>101176.17</v>
      </c>
      <c r="F122" s="250"/>
      <c r="G122" s="253">
        <f>+E122</f>
        <v>101176.17</v>
      </c>
      <c r="H122" s="253">
        <f>+G122</f>
        <v>101176.17</v>
      </c>
      <c r="I122" s="255">
        <v>29</v>
      </c>
      <c r="J122" s="250"/>
    </row>
    <row r="123" spans="1:10">
      <c r="A123" s="8">
        <v>114</v>
      </c>
      <c r="B123" s="250" t="s">
        <v>1318</v>
      </c>
      <c r="C123" s="250" t="s">
        <v>1418</v>
      </c>
      <c r="D123" s="251"/>
      <c r="E123" s="252"/>
      <c r="F123" s="250"/>
      <c r="G123" s="253"/>
      <c r="H123" s="250"/>
      <c r="I123" s="255"/>
      <c r="J123" s="250"/>
    </row>
    <row r="124" spans="1:10">
      <c r="A124" s="8">
        <v>115</v>
      </c>
      <c r="B124" s="250" t="s">
        <v>1318</v>
      </c>
      <c r="C124" s="250" t="s">
        <v>1419</v>
      </c>
      <c r="D124" s="251"/>
      <c r="E124" s="252"/>
      <c r="F124" s="250"/>
      <c r="G124" s="253"/>
      <c r="H124" s="250"/>
      <c r="I124" s="255"/>
      <c r="J124" s="250"/>
    </row>
    <row r="125" spans="1:10">
      <c r="A125" s="8">
        <v>116</v>
      </c>
      <c r="B125" s="250" t="s">
        <v>1318</v>
      </c>
      <c r="C125" s="250" t="s">
        <v>1420</v>
      </c>
      <c r="D125" s="251">
        <v>376</v>
      </c>
      <c r="E125" s="252">
        <v>14207.98</v>
      </c>
      <c r="F125" s="250"/>
      <c r="G125" s="253">
        <f t="shared" ref="G125:G128" si="11">+E125</f>
        <v>14207.98</v>
      </c>
      <c r="H125" s="253">
        <f>+G125</f>
        <v>14207.98</v>
      </c>
      <c r="I125" s="255">
        <v>6</v>
      </c>
      <c r="J125" s="250"/>
    </row>
    <row r="126" spans="1:10">
      <c r="A126" s="8">
        <v>117</v>
      </c>
      <c r="B126" s="250" t="s">
        <v>1318</v>
      </c>
      <c r="C126" s="250" t="s">
        <v>1421</v>
      </c>
      <c r="D126" s="251">
        <v>376</v>
      </c>
      <c r="E126" s="252"/>
      <c r="F126" s="250"/>
      <c r="G126" s="253">
        <f t="shared" si="11"/>
        <v>0</v>
      </c>
      <c r="H126" s="253"/>
      <c r="I126" s="255" t="s">
        <v>1331</v>
      </c>
      <c r="J126" s="250"/>
    </row>
    <row r="127" spans="1:10">
      <c r="A127" s="8">
        <v>118</v>
      </c>
      <c r="B127" s="250" t="s">
        <v>1318</v>
      </c>
      <c r="C127" s="250" t="s">
        <v>1422</v>
      </c>
      <c r="D127" s="251">
        <v>376</v>
      </c>
      <c r="E127" s="252">
        <v>5196436.28</v>
      </c>
      <c r="F127" s="250"/>
      <c r="G127" s="253">
        <f t="shared" si="11"/>
        <v>5196436.28</v>
      </c>
      <c r="H127" s="804">
        <f>+G127</f>
        <v>5196436.28</v>
      </c>
      <c r="I127" s="255">
        <v>14</v>
      </c>
      <c r="J127" s="253">
        <f>+H127</f>
        <v>5196436.28</v>
      </c>
    </row>
    <row r="128" spans="1:10">
      <c r="A128" s="8">
        <v>119</v>
      </c>
      <c r="B128" s="250" t="s">
        <v>1318</v>
      </c>
      <c r="C128" s="250" t="s">
        <v>1423</v>
      </c>
      <c r="D128" s="251">
        <v>376</v>
      </c>
      <c r="E128" s="252"/>
      <c r="F128" s="250"/>
      <c r="G128" s="253">
        <f t="shared" si="11"/>
        <v>0</v>
      </c>
      <c r="H128" s="253"/>
      <c r="I128" s="255" t="s">
        <v>1331</v>
      </c>
      <c r="J128" s="250"/>
    </row>
    <row r="129" spans="1:10">
      <c r="A129" s="8">
        <v>120</v>
      </c>
      <c r="B129" s="250" t="s">
        <v>1318</v>
      </c>
      <c r="C129" s="250" t="s">
        <v>1424</v>
      </c>
      <c r="D129" s="251">
        <v>378</v>
      </c>
      <c r="E129" s="252"/>
      <c r="F129" s="250"/>
      <c r="G129" s="253"/>
      <c r="H129" s="250"/>
      <c r="I129" s="255"/>
      <c r="J129" s="250"/>
    </row>
    <row r="130" spans="1:10">
      <c r="A130" s="8">
        <v>121</v>
      </c>
      <c r="B130" s="250" t="s">
        <v>1318</v>
      </c>
      <c r="C130" s="250" t="s">
        <v>1425</v>
      </c>
      <c r="D130" s="251">
        <v>376</v>
      </c>
      <c r="E130" s="252"/>
      <c r="F130" s="250"/>
      <c r="G130" s="253">
        <f>+E130</f>
        <v>0</v>
      </c>
      <c r="H130" s="253"/>
      <c r="I130" s="255" t="s">
        <v>1331</v>
      </c>
      <c r="J130" s="250"/>
    </row>
    <row r="131" spans="1:10">
      <c r="A131" s="8">
        <v>122</v>
      </c>
      <c r="B131" s="250" t="s">
        <v>1318</v>
      </c>
      <c r="C131" s="250" t="s">
        <v>1426</v>
      </c>
      <c r="D131" s="251">
        <v>376</v>
      </c>
      <c r="E131" s="252"/>
      <c r="F131" s="250"/>
      <c r="G131" s="253"/>
      <c r="H131" s="250"/>
      <c r="I131" s="255"/>
      <c r="J131" s="250"/>
    </row>
    <row r="132" spans="1:10">
      <c r="A132" s="8">
        <v>123</v>
      </c>
      <c r="B132" s="250" t="s">
        <v>1318</v>
      </c>
      <c r="C132" s="250" t="s">
        <v>1427</v>
      </c>
      <c r="D132" s="251">
        <v>376</v>
      </c>
      <c r="E132" s="252"/>
      <c r="F132" s="250"/>
      <c r="G132" s="253"/>
      <c r="H132" s="250"/>
      <c r="I132" s="255"/>
      <c r="J132" s="250"/>
    </row>
    <row r="133" spans="1:10">
      <c r="A133" s="8">
        <v>124</v>
      </c>
      <c r="B133" s="250" t="s">
        <v>1318</v>
      </c>
      <c r="C133" s="250" t="s">
        <v>1428</v>
      </c>
      <c r="D133" s="251">
        <v>376</v>
      </c>
      <c r="E133" s="252"/>
      <c r="F133" s="250"/>
      <c r="G133" s="253">
        <f t="shared" ref="G133:G154" si="12">+E133</f>
        <v>0</v>
      </c>
      <c r="H133" s="253"/>
      <c r="I133" s="255" t="s">
        <v>1331</v>
      </c>
      <c r="J133" s="250"/>
    </row>
    <row r="134" spans="1:10">
      <c r="A134" s="8">
        <v>125</v>
      </c>
      <c r="B134" s="250" t="s">
        <v>1318</v>
      </c>
      <c r="C134" s="250" t="s">
        <v>1429</v>
      </c>
      <c r="D134" s="251">
        <v>376</v>
      </c>
      <c r="E134" s="252"/>
      <c r="F134" s="250"/>
      <c r="G134" s="253">
        <f t="shared" si="12"/>
        <v>0</v>
      </c>
      <c r="H134" s="253"/>
      <c r="I134" s="255" t="s">
        <v>1346</v>
      </c>
      <c r="J134" s="250"/>
    </row>
    <row r="135" spans="1:10">
      <c r="A135" s="8">
        <v>126</v>
      </c>
      <c r="B135" s="250" t="s">
        <v>1318</v>
      </c>
      <c r="C135" s="250" t="s">
        <v>1551</v>
      </c>
      <c r="D135" s="251">
        <v>376</v>
      </c>
      <c r="E135" s="252"/>
      <c r="F135" s="250"/>
      <c r="G135" s="253">
        <f t="shared" si="12"/>
        <v>0</v>
      </c>
      <c r="H135" s="253"/>
      <c r="I135" s="255" t="s">
        <v>1331</v>
      </c>
      <c r="J135" s="250"/>
    </row>
    <row r="136" spans="1:10">
      <c r="A136" s="8">
        <v>127</v>
      </c>
      <c r="B136" s="250" t="s">
        <v>1318</v>
      </c>
      <c r="C136" s="250" t="s">
        <v>1430</v>
      </c>
      <c r="D136" s="251">
        <v>376</v>
      </c>
      <c r="E136" s="252"/>
      <c r="F136" s="250"/>
      <c r="G136" s="253">
        <f t="shared" si="12"/>
        <v>0</v>
      </c>
      <c r="H136" s="253"/>
      <c r="I136" s="255" t="s">
        <v>1331</v>
      </c>
      <c r="J136" s="250"/>
    </row>
    <row r="137" spans="1:10">
      <c r="A137" s="8">
        <v>128</v>
      </c>
      <c r="B137" s="250" t="s">
        <v>1318</v>
      </c>
      <c r="C137" s="250" t="s">
        <v>1431</v>
      </c>
      <c r="D137" s="251">
        <v>376</v>
      </c>
      <c r="E137" s="252">
        <v>115425.69</v>
      </c>
      <c r="F137" s="250"/>
      <c r="G137" s="253">
        <v>0</v>
      </c>
      <c r="H137" s="254">
        <f>+G137</f>
        <v>0</v>
      </c>
      <c r="I137" s="255">
        <v>54</v>
      </c>
      <c r="J137" s="250"/>
    </row>
    <row r="138" spans="1:10">
      <c r="A138" s="8">
        <v>129</v>
      </c>
      <c r="B138" s="250" t="s">
        <v>1318</v>
      </c>
      <c r="C138" s="250" t="s">
        <v>1432</v>
      </c>
      <c r="D138" s="251">
        <v>376</v>
      </c>
      <c r="E138" s="252">
        <v>94306.18</v>
      </c>
      <c r="F138" s="250"/>
      <c r="G138" s="253">
        <f t="shared" si="12"/>
        <v>94306.18</v>
      </c>
      <c r="H138" s="253">
        <f>+G138</f>
        <v>94306.18</v>
      </c>
      <c r="I138" s="255">
        <v>22</v>
      </c>
      <c r="J138" s="250"/>
    </row>
    <row r="139" spans="1:10">
      <c r="A139" s="8">
        <v>130</v>
      </c>
      <c r="B139" s="250" t="s">
        <v>1318</v>
      </c>
      <c r="C139" s="250" t="s">
        <v>1433</v>
      </c>
      <c r="D139" s="251"/>
      <c r="E139" s="252"/>
      <c r="F139" s="250"/>
      <c r="G139" s="253"/>
      <c r="H139" s="250"/>
      <c r="I139" s="255"/>
      <c r="J139" s="250"/>
    </row>
    <row r="140" spans="1:10">
      <c r="A140" s="8">
        <v>131</v>
      </c>
      <c r="B140" s="250" t="s">
        <v>1318</v>
      </c>
      <c r="C140" s="250" t="s">
        <v>1434</v>
      </c>
      <c r="D140" s="251">
        <v>376</v>
      </c>
      <c r="E140" s="252"/>
      <c r="F140" s="250"/>
      <c r="G140" s="253">
        <f t="shared" si="12"/>
        <v>0</v>
      </c>
      <c r="H140" s="254"/>
      <c r="I140" s="255" t="s">
        <v>1331</v>
      </c>
      <c r="J140" s="250"/>
    </row>
    <row r="141" spans="1:10">
      <c r="A141" s="8">
        <v>132</v>
      </c>
      <c r="B141" s="250" t="s">
        <v>1318</v>
      </c>
      <c r="C141" s="250" t="s">
        <v>1435</v>
      </c>
      <c r="D141" s="251">
        <v>367</v>
      </c>
      <c r="E141" s="252">
        <v>385972.62</v>
      </c>
      <c r="F141" s="250"/>
      <c r="G141" s="253">
        <f t="shared" si="12"/>
        <v>385972.62</v>
      </c>
      <c r="H141" s="804">
        <f>+G141</f>
        <v>385972.62</v>
      </c>
      <c r="I141" s="255">
        <v>18</v>
      </c>
      <c r="J141" s="253">
        <f>+H141</f>
        <v>385972.62</v>
      </c>
    </row>
    <row r="142" spans="1:10">
      <c r="A142" s="8">
        <v>133</v>
      </c>
      <c r="B142" s="250" t="s">
        <v>1318</v>
      </c>
      <c r="C142" s="250" t="s">
        <v>1436</v>
      </c>
      <c r="D142" s="251">
        <v>376</v>
      </c>
      <c r="E142" s="252">
        <v>296031.78000000003</v>
      </c>
      <c r="F142" s="250"/>
      <c r="G142" s="253">
        <f t="shared" si="12"/>
        <v>296031.78000000003</v>
      </c>
      <c r="H142" s="804">
        <f>+G142</f>
        <v>296031.78000000003</v>
      </c>
      <c r="I142" s="255">
        <v>1</v>
      </c>
      <c r="J142" s="253">
        <f>+H142</f>
        <v>296031.78000000003</v>
      </c>
    </row>
    <row r="143" spans="1:10">
      <c r="A143" s="8">
        <v>134</v>
      </c>
      <c r="B143" s="250" t="s">
        <v>1318</v>
      </c>
      <c r="C143" s="250" t="s">
        <v>1437</v>
      </c>
      <c r="D143" s="251">
        <v>376</v>
      </c>
      <c r="E143" s="252">
        <v>120291.64</v>
      </c>
      <c r="F143" s="250"/>
      <c r="G143" s="253">
        <f t="shared" si="12"/>
        <v>120291.64</v>
      </c>
      <c r="H143" s="253">
        <f>+G143</f>
        <v>120291.64</v>
      </c>
      <c r="I143" s="255">
        <v>30</v>
      </c>
      <c r="J143" s="250"/>
    </row>
    <row r="144" spans="1:10">
      <c r="A144" s="8">
        <v>135</v>
      </c>
      <c r="B144" s="250" t="s">
        <v>1318</v>
      </c>
      <c r="C144" s="250" t="s">
        <v>1438</v>
      </c>
      <c r="D144" s="251">
        <v>376</v>
      </c>
      <c r="E144" s="252">
        <v>115247.5</v>
      </c>
      <c r="F144" s="250"/>
      <c r="G144" s="253">
        <f t="shared" si="12"/>
        <v>115247.5</v>
      </c>
      <c r="H144" s="253">
        <f>+G144</f>
        <v>115247.5</v>
      </c>
      <c r="I144" s="255">
        <v>31</v>
      </c>
      <c r="J144" s="250"/>
    </row>
    <row r="145" spans="1:10">
      <c r="A145" s="8">
        <v>136</v>
      </c>
      <c r="B145" s="250" t="s">
        <v>1318</v>
      </c>
      <c r="C145" s="250" t="s">
        <v>1439</v>
      </c>
      <c r="D145" s="251">
        <v>376</v>
      </c>
      <c r="E145" s="252">
        <v>173264.09</v>
      </c>
      <c r="F145" s="250"/>
      <c r="G145" s="253">
        <f t="shared" si="12"/>
        <v>173264.09</v>
      </c>
      <c r="H145" s="253">
        <f>+G145</f>
        <v>173264.09</v>
      </c>
      <c r="I145" s="255">
        <v>36</v>
      </c>
      <c r="J145" s="250"/>
    </row>
    <row r="146" spans="1:10">
      <c r="A146" s="8">
        <v>137</v>
      </c>
      <c r="B146" s="250" t="s">
        <v>1318</v>
      </c>
      <c r="C146" s="250" t="s">
        <v>1440</v>
      </c>
      <c r="D146" s="251">
        <v>376</v>
      </c>
      <c r="E146" s="252"/>
      <c r="F146" s="250"/>
      <c r="G146" s="253">
        <f t="shared" si="12"/>
        <v>0</v>
      </c>
      <c r="H146" s="253"/>
      <c r="I146" s="255" t="s">
        <v>1346</v>
      </c>
      <c r="J146" s="250"/>
    </row>
    <row r="147" spans="1:10">
      <c r="A147" s="8">
        <v>138</v>
      </c>
      <c r="B147" s="250" t="s">
        <v>1318</v>
      </c>
      <c r="C147" s="250" t="s">
        <v>1441</v>
      </c>
      <c r="D147" s="251">
        <v>376</v>
      </c>
      <c r="E147" s="252"/>
      <c r="F147" s="250"/>
      <c r="G147" s="253">
        <f t="shared" si="12"/>
        <v>0</v>
      </c>
      <c r="H147" s="253"/>
      <c r="I147" s="255" t="s">
        <v>1331</v>
      </c>
      <c r="J147" s="250"/>
    </row>
    <row r="148" spans="1:10">
      <c r="A148" s="8">
        <v>139</v>
      </c>
      <c r="B148" s="250" t="s">
        <v>1318</v>
      </c>
      <c r="C148" s="250" t="s">
        <v>1442</v>
      </c>
      <c r="D148" s="251">
        <v>376</v>
      </c>
      <c r="E148" s="252"/>
      <c r="F148" s="250"/>
      <c r="G148" s="253">
        <f t="shared" si="12"/>
        <v>0</v>
      </c>
      <c r="H148" s="253"/>
      <c r="I148" s="255" t="s">
        <v>1331</v>
      </c>
      <c r="J148" s="250"/>
    </row>
    <row r="149" spans="1:10">
      <c r="A149" s="8">
        <v>140</v>
      </c>
      <c r="B149" s="250" t="s">
        <v>1318</v>
      </c>
      <c r="C149" s="250" t="s">
        <v>1443</v>
      </c>
      <c r="D149" s="251">
        <v>376</v>
      </c>
      <c r="E149" s="252">
        <v>4460.0600000000004</v>
      </c>
      <c r="F149" s="250"/>
      <c r="G149" s="253">
        <f t="shared" si="12"/>
        <v>4460.0600000000004</v>
      </c>
      <c r="H149" s="254">
        <f>+G149</f>
        <v>4460.0600000000004</v>
      </c>
      <c r="I149" s="255"/>
      <c r="J149" s="250"/>
    </row>
    <row r="150" spans="1:10">
      <c r="A150" s="8">
        <v>141</v>
      </c>
      <c r="B150" s="250" t="s">
        <v>1318</v>
      </c>
      <c r="C150" s="250" t="s">
        <v>1444</v>
      </c>
      <c r="D150" s="251">
        <v>376</v>
      </c>
      <c r="E150" s="252"/>
      <c r="F150" s="250"/>
      <c r="G150" s="253">
        <f t="shared" si="12"/>
        <v>0</v>
      </c>
      <c r="H150" s="253"/>
      <c r="I150" s="255" t="s">
        <v>1331</v>
      </c>
      <c r="J150" s="250"/>
    </row>
    <row r="151" spans="1:10">
      <c r="A151" s="8">
        <v>142</v>
      </c>
      <c r="B151" s="250" t="s">
        <v>1318</v>
      </c>
      <c r="C151" s="250" t="s">
        <v>1445</v>
      </c>
      <c r="D151" s="251">
        <v>376</v>
      </c>
      <c r="E151" s="252"/>
      <c r="F151" s="250"/>
      <c r="G151" s="253">
        <f t="shared" si="12"/>
        <v>0</v>
      </c>
      <c r="H151" s="250"/>
      <c r="I151" s="255" t="s">
        <v>1331</v>
      </c>
      <c r="J151" s="250"/>
    </row>
    <row r="152" spans="1:10">
      <c r="A152" s="8">
        <v>143</v>
      </c>
      <c r="B152" s="250" t="s">
        <v>1318</v>
      </c>
      <c r="C152" s="250" t="s">
        <v>1446</v>
      </c>
      <c r="D152" s="251">
        <v>376</v>
      </c>
      <c r="E152" s="252"/>
      <c r="F152" s="250"/>
      <c r="G152" s="253">
        <f t="shared" si="12"/>
        <v>0</v>
      </c>
      <c r="H152" s="250"/>
      <c r="I152" s="255" t="s">
        <v>1331</v>
      </c>
      <c r="J152" s="250"/>
    </row>
    <row r="153" spans="1:10">
      <c r="A153" s="8">
        <v>144</v>
      </c>
      <c r="B153" s="250" t="s">
        <v>1318</v>
      </c>
      <c r="C153" s="250" t="s">
        <v>1447</v>
      </c>
      <c r="D153" s="251">
        <v>376</v>
      </c>
      <c r="E153" s="252"/>
      <c r="F153" s="250"/>
      <c r="G153" s="253">
        <f t="shared" si="12"/>
        <v>0</v>
      </c>
      <c r="H153" s="253"/>
      <c r="I153" s="255" t="s">
        <v>1331</v>
      </c>
      <c r="J153" s="250"/>
    </row>
    <row r="154" spans="1:10">
      <c r="A154" s="8">
        <v>145</v>
      </c>
      <c r="B154" s="250" t="s">
        <v>1318</v>
      </c>
      <c r="C154" s="250" t="s">
        <v>1448</v>
      </c>
      <c r="D154" s="251">
        <v>376</v>
      </c>
      <c r="E154" s="252"/>
      <c r="F154" s="250"/>
      <c r="G154" s="253">
        <f t="shared" si="12"/>
        <v>0</v>
      </c>
      <c r="H154" s="250"/>
      <c r="I154" s="255" t="s">
        <v>1331</v>
      </c>
      <c r="J154" s="250"/>
    </row>
    <row r="155" spans="1:10">
      <c r="A155" s="8">
        <v>146</v>
      </c>
      <c r="B155" s="250" t="s">
        <v>1318</v>
      </c>
      <c r="C155" s="250" t="s">
        <v>1449</v>
      </c>
      <c r="D155" s="251">
        <v>376</v>
      </c>
      <c r="E155" s="252"/>
      <c r="F155" s="250"/>
      <c r="G155" s="253"/>
      <c r="H155" s="250"/>
      <c r="I155" s="255"/>
      <c r="J155" s="250"/>
    </row>
    <row r="156" spans="1:10">
      <c r="A156" s="8">
        <v>147</v>
      </c>
      <c r="B156" s="250" t="s">
        <v>1318</v>
      </c>
      <c r="C156" s="250" t="s">
        <v>1450</v>
      </c>
      <c r="D156" s="251">
        <v>376</v>
      </c>
      <c r="E156" s="252"/>
      <c r="F156" s="250"/>
      <c r="G156" s="253">
        <f t="shared" ref="G156:G159" si="13">+E156</f>
        <v>0</v>
      </c>
      <c r="H156" s="253"/>
      <c r="I156" s="255" t="s">
        <v>1331</v>
      </c>
      <c r="J156" s="250"/>
    </row>
    <row r="157" spans="1:10">
      <c r="A157" s="8">
        <v>148</v>
      </c>
      <c r="B157" s="250" t="s">
        <v>1318</v>
      </c>
      <c r="C157" s="250" t="s">
        <v>1451</v>
      </c>
      <c r="D157" s="251">
        <v>376</v>
      </c>
      <c r="E157" s="252"/>
      <c r="F157" s="250"/>
      <c r="G157" s="253">
        <f t="shared" si="13"/>
        <v>0</v>
      </c>
      <c r="H157" s="250"/>
      <c r="I157" s="255" t="s">
        <v>1331</v>
      </c>
      <c r="J157" s="250"/>
    </row>
    <row r="158" spans="1:10">
      <c r="A158" s="8">
        <v>149</v>
      </c>
      <c r="B158" s="250" t="s">
        <v>1318</v>
      </c>
      <c r="C158" s="250" t="s">
        <v>1452</v>
      </c>
      <c r="D158" s="251">
        <v>376</v>
      </c>
      <c r="E158" s="252"/>
      <c r="F158" s="250"/>
      <c r="G158" s="253">
        <f t="shared" si="13"/>
        <v>0</v>
      </c>
      <c r="H158" s="250"/>
      <c r="I158" s="255" t="s">
        <v>1331</v>
      </c>
      <c r="J158" s="250"/>
    </row>
    <row r="159" spans="1:10">
      <c r="A159" s="8">
        <v>150</v>
      </c>
      <c r="B159" s="250" t="s">
        <v>1318</v>
      </c>
      <c r="C159" s="250" t="s">
        <v>1453</v>
      </c>
      <c r="D159" s="251">
        <v>376</v>
      </c>
      <c r="E159" s="252"/>
      <c r="F159" s="250"/>
      <c r="G159" s="253">
        <f t="shared" si="13"/>
        <v>0</v>
      </c>
      <c r="H159" s="250"/>
      <c r="I159" s="255" t="s">
        <v>1331</v>
      </c>
      <c r="J159" s="250"/>
    </row>
    <row r="160" spans="1:10">
      <c r="A160" s="8">
        <v>151</v>
      </c>
      <c r="B160" s="250" t="s">
        <v>1318</v>
      </c>
      <c r="C160" s="250" t="s">
        <v>1454</v>
      </c>
      <c r="D160" s="251">
        <v>376</v>
      </c>
      <c r="E160" s="252">
        <v>1563594.52</v>
      </c>
      <c r="F160" s="250"/>
      <c r="G160" s="253">
        <f>+E160</f>
        <v>1563594.52</v>
      </c>
      <c r="H160" s="805">
        <f>+G160</f>
        <v>1563594.52</v>
      </c>
      <c r="I160" s="255">
        <v>23</v>
      </c>
      <c r="J160" s="253">
        <f>+H160</f>
        <v>1563594.52</v>
      </c>
    </row>
    <row r="161" spans="1:10">
      <c r="A161" s="8">
        <v>152</v>
      </c>
      <c r="B161" s="250" t="s">
        <v>1318</v>
      </c>
      <c r="C161" s="250" t="s">
        <v>1455</v>
      </c>
      <c r="D161" s="251">
        <v>376</v>
      </c>
      <c r="E161" s="252"/>
      <c r="F161" s="250"/>
      <c r="G161" s="253">
        <f t="shared" ref="G161:G163" si="14">+E161</f>
        <v>0</v>
      </c>
      <c r="H161" s="250"/>
      <c r="I161" s="255" t="s">
        <v>1331</v>
      </c>
      <c r="J161" s="250"/>
    </row>
    <row r="162" spans="1:10">
      <c r="A162" s="8">
        <v>153</v>
      </c>
      <c r="B162" s="250" t="s">
        <v>1318</v>
      </c>
      <c r="C162" s="250" t="s">
        <v>1456</v>
      </c>
      <c r="D162" s="251">
        <v>376</v>
      </c>
      <c r="E162" s="252"/>
      <c r="F162" s="250"/>
      <c r="G162" s="253">
        <f t="shared" si="14"/>
        <v>0</v>
      </c>
      <c r="H162" s="250"/>
      <c r="I162" s="255" t="s">
        <v>1331</v>
      </c>
      <c r="J162" s="250"/>
    </row>
    <row r="163" spans="1:10">
      <c r="A163" s="8">
        <v>154</v>
      </c>
      <c r="B163" s="250" t="s">
        <v>1318</v>
      </c>
      <c r="C163" s="250" t="s">
        <v>1457</v>
      </c>
      <c r="D163" s="251">
        <v>376</v>
      </c>
      <c r="E163" s="252"/>
      <c r="F163" s="250"/>
      <c r="G163" s="253">
        <f t="shared" si="14"/>
        <v>0</v>
      </c>
      <c r="H163" s="253"/>
      <c r="I163" s="255" t="s">
        <v>1331</v>
      </c>
      <c r="J163" s="250"/>
    </row>
    <row r="164" spans="1:10">
      <c r="A164" s="8">
        <v>155</v>
      </c>
      <c r="B164" s="250" t="s">
        <v>1318</v>
      </c>
      <c r="C164" s="250" t="s">
        <v>1458</v>
      </c>
      <c r="D164" s="251"/>
      <c r="E164" s="252"/>
      <c r="F164" s="250"/>
      <c r="G164" s="253"/>
      <c r="H164" s="250"/>
      <c r="I164" s="255"/>
      <c r="J164" s="250"/>
    </row>
    <row r="165" spans="1:10">
      <c r="A165" s="8">
        <v>156</v>
      </c>
      <c r="B165" s="250" t="s">
        <v>1459</v>
      </c>
      <c r="C165" s="250" t="s">
        <v>1460</v>
      </c>
      <c r="D165" s="251">
        <v>376</v>
      </c>
      <c r="E165" s="252"/>
      <c r="F165" s="250"/>
      <c r="G165" s="253">
        <f t="shared" ref="G165:G166" si="15">+E165</f>
        <v>0</v>
      </c>
      <c r="H165" s="254"/>
      <c r="I165" s="255" t="s">
        <v>1305</v>
      </c>
      <c r="J165" s="250"/>
    </row>
    <row r="166" spans="1:10">
      <c r="A166" s="8">
        <v>157</v>
      </c>
      <c r="B166" s="250" t="s">
        <v>1459</v>
      </c>
      <c r="C166" s="250" t="s">
        <v>1461</v>
      </c>
      <c r="D166" s="251">
        <v>376</v>
      </c>
      <c r="E166" s="252"/>
      <c r="F166" s="250"/>
      <c r="G166" s="253">
        <f t="shared" si="15"/>
        <v>0</v>
      </c>
      <c r="H166" s="254"/>
      <c r="I166" s="255" t="s">
        <v>1305</v>
      </c>
      <c r="J166" s="250"/>
    </row>
    <row r="167" spans="1:10">
      <c r="A167" s="8">
        <v>158</v>
      </c>
      <c r="B167" s="259"/>
      <c r="C167" s="260" t="s">
        <v>1462</v>
      </c>
      <c r="D167" s="261"/>
      <c r="E167" s="262">
        <f>SUM(E27:E166)</f>
        <v>15879142.699999999</v>
      </c>
      <c r="F167" s="259"/>
      <c r="G167" s="263">
        <f>SUM(G27:G166)</f>
        <v>15516395.8278</v>
      </c>
      <c r="H167" s="263">
        <f>SUM(H27:H166)</f>
        <v>15516395.8278</v>
      </c>
      <c r="I167" s="264"/>
      <c r="J167" s="263">
        <f>SUM(J27:J166)</f>
        <v>13481894.407799998</v>
      </c>
    </row>
    <row r="168" spans="1:10">
      <c r="B168" s="259"/>
      <c r="C168" s="259"/>
      <c r="D168" s="257"/>
      <c r="E168" s="252"/>
      <c r="F168" s="259"/>
      <c r="G168" s="267"/>
      <c r="H168" s="267"/>
      <c r="I168" s="264"/>
      <c r="J168" s="259"/>
    </row>
    <row r="169" spans="1:10">
      <c r="B169" s="259"/>
      <c r="C169" s="260"/>
      <c r="D169" s="257"/>
      <c r="E169" s="252"/>
      <c r="F169" s="259"/>
      <c r="G169" s="267"/>
      <c r="H169" s="259"/>
      <c r="I169" s="264"/>
      <c r="J169" s="259"/>
    </row>
    <row r="170" spans="1:10">
      <c r="B170" s="259"/>
      <c r="C170" s="259"/>
      <c r="D170" s="257"/>
      <c r="E170" s="252"/>
      <c r="F170" s="259"/>
      <c r="G170" s="265"/>
      <c r="H170" s="259"/>
      <c r="I170" s="264"/>
      <c r="J170" s="259"/>
    </row>
    <row r="171" spans="1:10">
      <c r="A171" s="8">
        <v>159</v>
      </c>
      <c r="B171" s="250" t="s">
        <v>1463</v>
      </c>
      <c r="C171" s="250" t="s">
        <v>1464</v>
      </c>
      <c r="D171" s="251">
        <v>396</v>
      </c>
      <c r="E171" s="252"/>
      <c r="F171" s="778">
        <f>+'State Allocation Formulas'!$L$25</f>
        <v>0.77239999999999998</v>
      </c>
      <c r="G171" s="253">
        <f t="shared" ref="G171:G203" si="16">+E171*F171</f>
        <v>0</v>
      </c>
      <c r="H171" s="253"/>
      <c r="I171" s="255" t="s">
        <v>1333</v>
      </c>
      <c r="J171" s="250"/>
    </row>
    <row r="172" spans="1:10">
      <c r="A172" s="8">
        <v>160</v>
      </c>
      <c r="B172" s="250" t="s">
        <v>1463</v>
      </c>
      <c r="C172" s="250" t="s">
        <v>1465</v>
      </c>
      <c r="D172" s="251">
        <v>397</v>
      </c>
      <c r="E172" s="252"/>
      <c r="F172" s="778">
        <f>+'State Allocation Formulas'!$L$25</f>
        <v>0.77239999999999998</v>
      </c>
      <c r="G172" s="253">
        <f t="shared" si="16"/>
        <v>0</v>
      </c>
      <c r="H172" s="253"/>
      <c r="I172" s="255" t="s">
        <v>1333</v>
      </c>
      <c r="J172" s="250"/>
    </row>
    <row r="173" spans="1:10">
      <c r="A173" s="8">
        <v>161</v>
      </c>
      <c r="B173" s="250" t="s">
        <v>1463</v>
      </c>
      <c r="C173" s="250" t="s">
        <v>1466</v>
      </c>
      <c r="D173" s="251"/>
      <c r="E173" s="252"/>
      <c r="F173" s="250"/>
      <c r="G173" s="253"/>
      <c r="H173" s="250"/>
      <c r="I173" s="255"/>
      <c r="J173" s="250"/>
    </row>
    <row r="174" spans="1:10">
      <c r="A174" s="8">
        <v>162</v>
      </c>
      <c r="B174" s="250" t="s">
        <v>1463</v>
      </c>
      <c r="C174" s="250" t="s">
        <v>1467</v>
      </c>
      <c r="D174" s="251"/>
      <c r="E174" s="252"/>
      <c r="F174" s="250"/>
      <c r="G174" s="253"/>
      <c r="H174" s="250"/>
      <c r="I174" s="255"/>
      <c r="J174" s="250"/>
    </row>
    <row r="175" spans="1:10">
      <c r="A175" s="8">
        <v>163</v>
      </c>
      <c r="B175" s="250" t="s">
        <v>1463</v>
      </c>
      <c r="C175" s="250" t="s">
        <v>1468</v>
      </c>
      <c r="D175" s="251">
        <v>392</v>
      </c>
      <c r="E175" s="252"/>
      <c r="F175" s="250"/>
      <c r="G175" s="253">
        <f>+E175</f>
        <v>0</v>
      </c>
      <c r="H175" s="253"/>
      <c r="I175" s="255" t="s">
        <v>1333</v>
      </c>
      <c r="J175" s="250"/>
    </row>
    <row r="176" spans="1:10">
      <c r="A176" s="8">
        <v>164</v>
      </c>
      <c r="B176" s="250" t="s">
        <v>1463</v>
      </c>
      <c r="C176" s="250" t="s">
        <v>1469</v>
      </c>
      <c r="D176" s="251">
        <v>396</v>
      </c>
      <c r="E176" s="252"/>
      <c r="F176" s="250"/>
      <c r="G176" s="253">
        <f t="shared" ref="G176:G177" si="17">+E176</f>
        <v>0</v>
      </c>
      <c r="H176" s="253"/>
      <c r="I176" s="255" t="s">
        <v>1333</v>
      </c>
      <c r="J176" s="250"/>
    </row>
    <row r="177" spans="1:10">
      <c r="A177" s="8">
        <v>165</v>
      </c>
      <c r="B177" s="250" t="s">
        <v>1463</v>
      </c>
      <c r="C177" s="250" t="s">
        <v>1470</v>
      </c>
      <c r="D177" s="251">
        <v>397</v>
      </c>
      <c r="E177" s="252"/>
      <c r="F177" s="250"/>
      <c r="G177" s="253">
        <f t="shared" si="17"/>
        <v>0</v>
      </c>
      <c r="H177" s="253"/>
      <c r="I177" s="255" t="s">
        <v>1333</v>
      </c>
      <c r="J177" s="250"/>
    </row>
    <row r="178" spans="1:10">
      <c r="A178" s="8">
        <v>166</v>
      </c>
      <c r="B178" s="250" t="s">
        <v>1463</v>
      </c>
      <c r="C178" s="250" t="s">
        <v>1471</v>
      </c>
      <c r="D178" s="251">
        <v>390</v>
      </c>
      <c r="E178" s="252"/>
      <c r="F178" s="778">
        <f>+'State Allocation Formulas'!$L$25</f>
        <v>0.77239999999999998</v>
      </c>
      <c r="G178" s="253">
        <f t="shared" si="16"/>
        <v>0</v>
      </c>
      <c r="H178" s="253"/>
      <c r="I178" s="255" t="s">
        <v>1333</v>
      </c>
      <c r="J178" s="250"/>
    </row>
    <row r="179" spans="1:10">
      <c r="A179" s="8">
        <v>167</v>
      </c>
      <c r="B179" s="250" t="s">
        <v>1463</v>
      </c>
      <c r="C179" s="250" t="s">
        <v>1472</v>
      </c>
      <c r="D179" s="251">
        <v>392</v>
      </c>
      <c r="E179" s="252"/>
      <c r="F179" s="778">
        <f>+'State Allocation Formulas'!$L$25</f>
        <v>0.77239999999999998</v>
      </c>
      <c r="G179" s="253">
        <f t="shared" si="16"/>
        <v>0</v>
      </c>
      <c r="H179" s="253"/>
      <c r="I179" s="255" t="s">
        <v>1333</v>
      </c>
      <c r="J179" s="250"/>
    </row>
    <row r="180" spans="1:10">
      <c r="A180" s="8">
        <v>168</v>
      </c>
      <c r="B180" s="250" t="s">
        <v>1463</v>
      </c>
      <c r="C180" s="250" t="s">
        <v>1473</v>
      </c>
      <c r="D180" s="251">
        <v>394</v>
      </c>
      <c r="E180" s="252"/>
      <c r="F180" s="778">
        <f>+'State Allocation Formulas'!$L$25</f>
        <v>0.77239999999999998</v>
      </c>
      <c r="G180" s="253">
        <f t="shared" si="16"/>
        <v>0</v>
      </c>
      <c r="H180" s="253"/>
      <c r="I180" s="255" t="s">
        <v>1333</v>
      </c>
      <c r="J180" s="250"/>
    </row>
    <row r="181" spans="1:10">
      <c r="A181" s="8">
        <v>169</v>
      </c>
      <c r="B181" s="250" t="s">
        <v>1463</v>
      </c>
      <c r="C181" s="250" t="s">
        <v>1474</v>
      </c>
      <c r="D181" s="251"/>
      <c r="E181" s="252"/>
      <c r="F181" s="250"/>
      <c r="G181" s="253"/>
      <c r="H181" s="250"/>
      <c r="I181" s="255"/>
      <c r="J181" s="250"/>
    </row>
    <row r="182" spans="1:10">
      <c r="A182" s="8">
        <v>170</v>
      </c>
      <c r="B182" s="250" t="s">
        <v>1463</v>
      </c>
      <c r="C182" s="250" t="s">
        <v>1475</v>
      </c>
      <c r="D182" s="251"/>
      <c r="E182" s="252"/>
      <c r="F182" s="250"/>
      <c r="G182" s="253"/>
      <c r="H182" s="250"/>
      <c r="I182" s="255"/>
      <c r="J182" s="250"/>
    </row>
    <row r="183" spans="1:10">
      <c r="A183" s="8">
        <v>171</v>
      </c>
      <c r="B183" s="250" t="s">
        <v>1463</v>
      </c>
      <c r="C183" s="250" t="s">
        <v>1476</v>
      </c>
      <c r="D183" s="251">
        <v>394</v>
      </c>
      <c r="E183" s="252"/>
      <c r="F183" s="250"/>
      <c r="G183" s="253">
        <f>+E183</f>
        <v>0</v>
      </c>
      <c r="H183" s="253"/>
      <c r="I183" s="255" t="s">
        <v>1333</v>
      </c>
      <c r="J183" s="250"/>
    </row>
    <row r="184" spans="1:10">
      <c r="A184" s="8">
        <v>172</v>
      </c>
      <c r="B184" s="250" t="s">
        <v>1463</v>
      </c>
      <c r="C184" s="250" t="s">
        <v>1477</v>
      </c>
      <c r="D184" s="251">
        <v>391</v>
      </c>
      <c r="E184" s="252"/>
      <c r="F184" s="778">
        <f>+'State Allocation Formulas'!$L$25</f>
        <v>0.77239999999999998</v>
      </c>
      <c r="G184" s="253">
        <f t="shared" si="16"/>
        <v>0</v>
      </c>
      <c r="H184" s="253"/>
      <c r="I184" s="255" t="s">
        <v>1333</v>
      </c>
      <c r="J184" s="250"/>
    </row>
    <row r="185" spans="1:10">
      <c r="A185" s="8">
        <v>173</v>
      </c>
      <c r="B185" s="250" t="s">
        <v>1463</v>
      </c>
      <c r="C185" s="250" t="s">
        <v>1478</v>
      </c>
      <c r="D185" s="251">
        <v>390</v>
      </c>
      <c r="E185" s="252">
        <v>91082.09</v>
      </c>
      <c r="F185" s="250"/>
      <c r="G185" s="253">
        <f>+E185</f>
        <v>91082.09</v>
      </c>
      <c r="H185" s="253">
        <f>+G185</f>
        <v>91082.09</v>
      </c>
      <c r="I185" s="255">
        <v>13</v>
      </c>
      <c r="J185" s="250"/>
    </row>
    <row r="186" spans="1:10">
      <c r="A186" s="8">
        <v>174</v>
      </c>
      <c r="B186" s="250" t="s">
        <v>1463</v>
      </c>
      <c r="C186" s="250" t="s">
        <v>1479</v>
      </c>
      <c r="D186" s="251">
        <v>394</v>
      </c>
      <c r="E186" s="252">
        <v>6239.88</v>
      </c>
      <c r="F186" s="250"/>
      <c r="G186" s="253">
        <f>+E186</f>
        <v>6239.88</v>
      </c>
      <c r="H186" s="253">
        <f>+G186</f>
        <v>6239.88</v>
      </c>
      <c r="I186" s="255">
        <v>12</v>
      </c>
      <c r="J186" s="250"/>
    </row>
    <row r="187" spans="1:10">
      <c r="A187" s="8">
        <v>175</v>
      </c>
      <c r="B187" s="250" t="s">
        <v>1463</v>
      </c>
      <c r="C187" s="250" t="s">
        <v>1480</v>
      </c>
      <c r="D187" s="251">
        <v>394</v>
      </c>
      <c r="E187" s="252"/>
      <c r="F187" s="250"/>
      <c r="G187" s="253">
        <f t="shared" ref="G187:G195" si="18">+E187</f>
        <v>0</v>
      </c>
      <c r="H187" s="253"/>
      <c r="I187" s="255" t="s">
        <v>1333</v>
      </c>
      <c r="J187" s="250"/>
    </row>
    <row r="188" spans="1:10">
      <c r="A188" s="8">
        <v>176</v>
      </c>
      <c r="B188" s="250" t="s">
        <v>1463</v>
      </c>
      <c r="C188" s="250" t="s">
        <v>1481</v>
      </c>
      <c r="D188" s="251">
        <v>392</v>
      </c>
      <c r="E188" s="252">
        <v>2788.39</v>
      </c>
      <c r="F188" s="250"/>
      <c r="G188" s="253">
        <f t="shared" si="18"/>
        <v>2788.39</v>
      </c>
      <c r="H188" s="253">
        <f>+G188</f>
        <v>2788.39</v>
      </c>
      <c r="I188" s="255">
        <v>10</v>
      </c>
      <c r="J188" s="250"/>
    </row>
    <row r="189" spans="1:10">
      <c r="A189" s="8">
        <v>177</v>
      </c>
      <c r="B189" s="250" t="s">
        <v>1463</v>
      </c>
      <c r="C189" s="250" t="s">
        <v>1482</v>
      </c>
      <c r="D189" s="251">
        <v>394</v>
      </c>
      <c r="E189" s="252">
        <v>18989.41</v>
      </c>
      <c r="F189" s="250"/>
      <c r="G189" s="253">
        <f t="shared" si="18"/>
        <v>18989.41</v>
      </c>
      <c r="H189" s="253">
        <f>+G189</f>
        <v>18989.41</v>
      </c>
      <c r="I189" s="255">
        <v>11</v>
      </c>
      <c r="J189" s="250"/>
    </row>
    <row r="190" spans="1:10">
      <c r="A190" s="8">
        <v>178</v>
      </c>
      <c r="B190" s="250" t="s">
        <v>1463</v>
      </c>
      <c r="C190" s="250" t="s">
        <v>1483</v>
      </c>
      <c r="D190" s="251">
        <v>392</v>
      </c>
      <c r="E190" s="252"/>
      <c r="F190" s="250"/>
      <c r="G190" s="253">
        <f t="shared" si="18"/>
        <v>0</v>
      </c>
      <c r="H190" s="253"/>
      <c r="I190" s="255" t="s">
        <v>1333</v>
      </c>
      <c r="J190" s="250"/>
    </row>
    <row r="191" spans="1:10">
      <c r="A191" s="8">
        <v>179</v>
      </c>
      <c r="B191" s="250" t="s">
        <v>1463</v>
      </c>
      <c r="C191" s="250" t="s">
        <v>1484</v>
      </c>
      <c r="D191" s="251">
        <v>391</v>
      </c>
      <c r="E191" s="252"/>
      <c r="F191" s="250"/>
      <c r="G191" s="253">
        <f t="shared" si="18"/>
        <v>0</v>
      </c>
      <c r="H191" s="253"/>
      <c r="I191" s="255" t="s">
        <v>1333</v>
      </c>
      <c r="J191" s="250"/>
    </row>
    <row r="192" spans="1:10">
      <c r="A192" s="8">
        <v>180</v>
      </c>
      <c r="B192" s="250" t="s">
        <v>1463</v>
      </c>
      <c r="C192" s="250" t="s">
        <v>1485</v>
      </c>
      <c r="D192" s="251">
        <v>394</v>
      </c>
      <c r="E192" s="252"/>
      <c r="F192" s="250"/>
      <c r="G192" s="253">
        <f t="shared" si="18"/>
        <v>0</v>
      </c>
      <c r="H192" s="253"/>
      <c r="I192" s="255" t="s">
        <v>1333</v>
      </c>
      <c r="J192" s="250"/>
    </row>
    <row r="193" spans="1:11">
      <c r="A193" s="8">
        <v>181</v>
      </c>
      <c r="B193" s="250" t="s">
        <v>1463</v>
      </c>
      <c r="C193" s="250" t="s">
        <v>1486</v>
      </c>
      <c r="D193" s="251">
        <v>392</v>
      </c>
      <c r="E193" s="252"/>
      <c r="F193" s="250"/>
      <c r="G193" s="253">
        <f t="shared" si="18"/>
        <v>0</v>
      </c>
      <c r="H193" s="253"/>
      <c r="I193" s="255" t="s">
        <v>1333</v>
      </c>
      <c r="J193" s="250"/>
    </row>
    <row r="194" spans="1:11">
      <c r="A194" s="8">
        <v>182</v>
      </c>
      <c r="B194" s="250" t="s">
        <v>1463</v>
      </c>
      <c r="C194" s="250" t="s">
        <v>1487</v>
      </c>
      <c r="D194" s="251">
        <v>392</v>
      </c>
      <c r="E194" s="252"/>
      <c r="F194" s="250"/>
      <c r="G194" s="253">
        <f t="shared" si="18"/>
        <v>0</v>
      </c>
      <c r="H194" s="253"/>
      <c r="I194" s="255" t="s">
        <v>1333</v>
      </c>
      <c r="J194" s="250"/>
    </row>
    <row r="195" spans="1:11">
      <c r="A195" s="8">
        <v>183</v>
      </c>
      <c r="B195" s="250" t="s">
        <v>1463</v>
      </c>
      <c r="C195" s="250" t="s">
        <v>1488</v>
      </c>
      <c r="D195" s="251">
        <v>394</v>
      </c>
      <c r="E195" s="252"/>
      <c r="F195" s="250"/>
      <c r="G195" s="253">
        <f t="shared" si="18"/>
        <v>0</v>
      </c>
      <c r="H195" s="253"/>
      <c r="I195" s="255" t="s">
        <v>1333</v>
      </c>
      <c r="J195" s="250"/>
    </row>
    <row r="196" spans="1:11">
      <c r="A196" s="8">
        <v>184</v>
      </c>
      <c r="B196" s="250" t="s">
        <v>1463</v>
      </c>
      <c r="C196" s="250" t="s">
        <v>1489</v>
      </c>
      <c r="D196" s="251"/>
      <c r="E196" s="252"/>
      <c r="F196" s="250"/>
      <c r="G196" s="253"/>
      <c r="H196" s="250"/>
      <c r="I196" s="255"/>
      <c r="J196" s="250"/>
    </row>
    <row r="197" spans="1:11">
      <c r="A197" s="8">
        <v>185</v>
      </c>
      <c r="B197" s="250" t="s">
        <v>1463</v>
      </c>
      <c r="C197" s="250" t="s">
        <v>1490</v>
      </c>
      <c r="D197" s="251"/>
      <c r="E197" s="252"/>
      <c r="F197" s="250"/>
      <c r="G197" s="253"/>
      <c r="H197" s="250"/>
      <c r="I197" s="255"/>
      <c r="J197" s="250"/>
    </row>
    <row r="198" spans="1:11">
      <c r="A198" s="8">
        <v>186</v>
      </c>
      <c r="B198" s="250" t="s">
        <v>1463</v>
      </c>
      <c r="C198" s="250" t="s">
        <v>1491</v>
      </c>
      <c r="D198" s="251">
        <v>391</v>
      </c>
      <c r="E198" s="252">
        <v>4205.6400000000003</v>
      </c>
      <c r="F198" s="778">
        <f>+'State Allocation Formulas'!$L$25</f>
        <v>0.77239999999999998</v>
      </c>
      <c r="G198" s="253">
        <f t="shared" si="16"/>
        <v>3248.4363360000002</v>
      </c>
      <c r="H198" s="254">
        <f>+G198</f>
        <v>3248.4363360000002</v>
      </c>
      <c r="I198" s="255">
        <v>47</v>
      </c>
      <c r="J198" s="250"/>
    </row>
    <row r="199" spans="1:11">
      <c r="A199" s="8">
        <v>187</v>
      </c>
      <c r="B199" s="250" t="s">
        <v>1463</v>
      </c>
      <c r="C199" s="250" t="s">
        <v>1492</v>
      </c>
      <c r="D199" s="251">
        <v>391</v>
      </c>
      <c r="E199" s="252">
        <v>251130.44</v>
      </c>
      <c r="F199" s="778">
        <f>+'State Allocation Formulas'!$L$25</f>
        <v>0.77239999999999998</v>
      </c>
      <c r="G199" s="253">
        <f t="shared" si="16"/>
        <v>193973.15185599998</v>
      </c>
      <c r="H199" s="254">
        <f>+G199</f>
        <v>193973.15185599998</v>
      </c>
      <c r="I199" s="255">
        <v>48</v>
      </c>
      <c r="J199" s="250"/>
    </row>
    <row r="200" spans="1:11">
      <c r="A200" s="8">
        <v>188</v>
      </c>
      <c r="B200" s="250" t="s">
        <v>1463</v>
      </c>
      <c r="C200" s="250" t="s">
        <v>1493</v>
      </c>
      <c r="D200" s="251">
        <v>390</v>
      </c>
      <c r="E200" s="252"/>
      <c r="F200" s="250"/>
      <c r="G200" s="253">
        <f>+E200</f>
        <v>0</v>
      </c>
      <c r="H200" s="254"/>
      <c r="I200" s="255" t="s">
        <v>1305</v>
      </c>
      <c r="J200" s="250"/>
    </row>
    <row r="201" spans="1:11">
      <c r="A201" s="8">
        <v>189</v>
      </c>
      <c r="B201" s="250" t="s">
        <v>1463</v>
      </c>
      <c r="C201" s="250" t="s">
        <v>1494</v>
      </c>
      <c r="D201" s="251">
        <v>394</v>
      </c>
      <c r="E201" s="252"/>
      <c r="F201" s="778">
        <f>+'State Allocation Formulas'!$L$25</f>
        <v>0.77239999999999998</v>
      </c>
      <c r="G201" s="253">
        <f t="shared" si="16"/>
        <v>0</v>
      </c>
      <c r="H201" s="254">
        <f>+G201</f>
        <v>0</v>
      </c>
      <c r="I201" s="255">
        <v>49</v>
      </c>
      <c r="J201" s="250"/>
    </row>
    <row r="202" spans="1:11">
      <c r="A202" s="8">
        <v>190</v>
      </c>
      <c r="B202" s="250" t="s">
        <v>1463</v>
      </c>
      <c r="C202" s="250" t="s">
        <v>1495</v>
      </c>
      <c r="D202" s="251"/>
      <c r="E202" s="252"/>
      <c r="F202" s="250"/>
      <c r="G202" s="253"/>
      <c r="H202" s="250"/>
      <c r="I202" s="255"/>
      <c r="J202" s="250"/>
    </row>
    <row r="203" spans="1:11">
      <c r="A203" s="8">
        <v>191</v>
      </c>
      <c r="B203" s="250" t="s">
        <v>1463</v>
      </c>
      <c r="C203" s="250" t="s">
        <v>1496</v>
      </c>
      <c r="D203" s="251">
        <v>303</v>
      </c>
      <c r="E203" s="252">
        <v>133255.45000000001</v>
      </c>
      <c r="F203" s="778">
        <f>+'State Allocation Formulas'!$L$25</f>
        <v>0.77239999999999998</v>
      </c>
      <c r="G203" s="253">
        <f t="shared" si="16"/>
        <v>102926.50958000001</v>
      </c>
      <c r="H203" s="254">
        <f>+G203</f>
        <v>102926.50958000001</v>
      </c>
      <c r="I203" s="255">
        <v>50</v>
      </c>
      <c r="J203" s="250"/>
    </row>
    <row r="204" spans="1:11">
      <c r="B204" s="259"/>
      <c r="C204" s="260" t="s">
        <v>1462</v>
      </c>
      <c r="D204" s="261"/>
      <c r="E204" s="262">
        <f t="shared" ref="E204" si="19">SUM(E171:E203)</f>
        <v>507691.3</v>
      </c>
      <c r="F204" s="259"/>
      <c r="G204" s="263">
        <f t="shared" ref="G204" si="20">SUM(G171:G203)</f>
        <v>419247.86777199997</v>
      </c>
      <c r="H204" s="263">
        <f t="shared" ref="H204:J204" si="21">SUM(H171:H203)</f>
        <v>419247.86777199997</v>
      </c>
      <c r="I204" s="264"/>
      <c r="J204" s="263">
        <f t="shared" si="21"/>
        <v>0</v>
      </c>
    </row>
    <row r="205" spans="1:11">
      <c r="B205" s="259"/>
      <c r="C205" s="259"/>
      <c r="D205" s="257"/>
      <c r="E205" s="252"/>
      <c r="F205" s="259"/>
      <c r="G205" s="267"/>
      <c r="H205" s="267"/>
      <c r="I205" s="264"/>
      <c r="J205" s="267"/>
    </row>
    <row r="206" spans="1:11">
      <c r="B206" s="259"/>
      <c r="C206" s="260"/>
      <c r="D206" s="257"/>
      <c r="E206" s="252"/>
      <c r="F206" s="259"/>
      <c r="G206" s="267"/>
      <c r="H206" s="267"/>
      <c r="I206" s="264"/>
      <c r="J206" s="267"/>
    </row>
    <row r="207" spans="1:11">
      <c r="B207" s="259"/>
      <c r="C207" s="259"/>
      <c r="D207" s="257"/>
      <c r="E207" s="252"/>
      <c r="F207" s="259"/>
      <c r="G207" s="267"/>
      <c r="H207" s="267"/>
      <c r="I207" s="259"/>
      <c r="J207" s="267"/>
    </row>
    <row r="208" spans="1:11" ht="16.5" thickBot="1">
      <c r="A208" s="8">
        <v>192</v>
      </c>
      <c r="B208" s="259"/>
      <c r="C208" s="260" t="s">
        <v>58</v>
      </c>
      <c r="D208" s="261"/>
      <c r="E208" s="262">
        <f>E23+E167+E204</f>
        <v>18554431.789999999</v>
      </c>
      <c r="F208" s="259"/>
      <c r="G208" s="268">
        <f>G23+G167+G204</f>
        <v>17609896.228568003</v>
      </c>
      <c r="H208" s="246">
        <f>H23+H167+H204</f>
        <v>17609896.228568003</v>
      </c>
      <c r="I208" s="259"/>
      <c r="J208" s="246">
        <f>J23+J167+J204</f>
        <v>14520158.288007999</v>
      </c>
      <c r="K208" s="6">
        <f>+J208/H208</f>
        <v>0.82454536355826924</v>
      </c>
    </row>
    <row r="209" spans="1:10" ht="16.5" thickTop="1">
      <c r="B209" s="259"/>
      <c r="C209" s="259"/>
      <c r="D209" s="257"/>
      <c r="E209" s="252"/>
      <c r="F209" s="259"/>
      <c r="G209" s="267"/>
      <c r="H209" s="259"/>
      <c r="I209" s="259"/>
      <c r="J209" s="259"/>
    </row>
    <row r="210" spans="1:10">
      <c r="B210" s="259"/>
      <c r="C210" s="260"/>
      <c r="D210" s="257"/>
      <c r="E210" s="252"/>
      <c r="F210" s="259"/>
      <c r="G210" s="267"/>
      <c r="H210" s="259"/>
      <c r="I210" s="259"/>
      <c r="J210" s="259"/>
    </row>
    <row r="211" spans="1:10">
      <c r="B211" s="250"/>
      <c r="C211" s="250"/>
      <c r="D211" s="269"/>
      <c r="E211" s="269"/>
      <c r="F211" s="250"/>
      <c r="G211" s="250"/>
      <c r="H211" s="253"/>
      <c r="I211" s="250"/>
      <c r="J211" s="250"/>
    </row>
    <row r="212" spans="1:10">
      <c r="A212" s="8">
        <v>193</v>
      </c>
      <c r="B212" s="250" t="s">
        <v>1497</v>
      </c>
      <c r="C212" s="250"/>
      <c r="D212" s="269"/>
      <c r="E212" s="269"/>
      <c r="F212" s="250"/>
      <c r="G212" s="266"/>
      <c r="H212" s="250"/>
      <c r="I212" s="250"/>
      <c r="J212" s="250"/>
    </row>
    <row r="213" spans="1:10">
      <c r="A213" s="8">
        <v>194</v>
      </c>
      <c r="B213" s="270" t="s">
        <v>1333</v>
      </c>
      <c r="C213" s="250" t="s">
        <v>1498</v>
      </c>
      <c r="D213" s="269"/>
      <c r="E213" s="269"/>
      <c r="F213" s="250"/>
      <c r="G213" s="255" t="s">
        <v>1504</v>
      </c>
      <c r="H213" s="255" t="s">
        <v>1506</v>
      </c>
      <c r="I213" s="779" t="s">
        <v>2022</v>
      </c>
      <c r="J213" s="255" t="s">
        <v>1502</v>
      </c>
    </row>
    <row r="214" spans="1:10">
      <c r="A214" s="8">
        <v>195</v>
      </c>
      <c r="B214" s="270" t="s">
        <v>1346</v>
      </c>
      <c r="C214" s="250" t="s">
        <v>1065</v>
      </c>
      <c r="D214" s="269"/>
      <c r="E214" s="269"/>
      <c r="F214" s="250"/>
      <c r="G214" s="255" t="s">
        <v>1505</v>
      </c>
      <c r="H214" s="255" t="s">
        <v>387</v>
      </c>
      <c r="I214" s="32" t="s">
        <v>2023</v>
      </c>
      <c r="J214" s="255" t="s">
        <v>1503</v>
      </c>
    </row>
    <row r="215" spans="1:10">
      <c r="A215" s="8">
        <v>196</v>
      </c>
      <c r="B215" s="270" t="s">
        <v>1331</v>
      </c>
      <c r="C215" s="250" t="s">
        <v>1499</v>
      </c>
      <c r="D215" s="269"/>
      <c r="E215" s="269"/>
      <c r="F215" s="250"/>
      <c r="G215" s="250">
        <v>303</v>
      </c>
      <c r="H215" s="253">
        <f>+H8+H9+H10+H11+H13+H15+H17+H18+H19+H20+H21+H203+H16</f>
        <v>1777179.0425760001</v>
      </c>
      <c r="I215" s="250">
        <v>12.81</v>
      </c>
      <c r="J215" s="271">
        <f>+H215*I215/100</f>
        <v>227656.63535398562</v>
      </c>
    </row>
    <row r="216" spans="1:10">
      <c r="A216" s="8">
        <v>197</v>
      </c>
      <c r="B216" s="270" t="s">
        <v>1305</v>
      </c>
      <c r="C216" s="250" t="s">
        <v>1500</v>
      </c>
      <c r="D216" s="269"/>
      <c r="E216" s="269"/>
      <c r="F216" s="250"/>
      <c r="G216" s="250">
        <v>367</v>
      </c>
      <c r="H216" s="253">
        <f>+H141</f>
        <v>385972.62</v>
      </c>
      <c r="I216" s="250">
        <v>1.82</v>
      </c>
      <c r="J216" s="271">
        <f>+H216*I216/100</f>
        <v>7024.7016839999997</v>
      </c>
    </row>
    <row r="217" spans="1:10">
      <c r="A217" s="8">
        <v>198</v>
      </c>
      <c r="B217" s="270" t="s">
        <v>1349</v>
      </c>
      <c r="C217" s="250" t="s">
        <v>1501</v>
      </c>
      <c r="D217" s="269"/>
      <c r="E217" s="269"/>
      <c r="F217" s="250"/>
      <c r="G217" s="250">
        <v>376</v>
      </c>
      <c r="H217" s="253">
        <f>+H149+H145+H144+H143+H142+H140+H138+H137+H127+H126+H125+H118+H113+H112+H108+H95+H94+H93+H90+H87+H84+H71+H64+H62+H40+H39+H122+H120+H89+H86+H83+H69+H115+H114+H160</f>
        <v>11500993.410000002</v>
      </c>
      <c r="I217" s="250">
        <v>1.25</v>
      </c>
      <c r="J217" s="271">
        <f t="shared" ref="J217:J226" si="22">+H217*I217/100</f>
        <v>143762.41762500003</v>
      </c>
    </row>
    <row r="218" spans="1:10">
      <c r="A218" s="8">
        <v>199</v>
      </c>
      <c r="B218" s="270"/>
      <c r="C218" s="250"/>
      <c r="D218" s="269"/>
      <c r="E218" s="269"/>
      <c r="F218" s="250"/>
      <c r="G218" s="250">
        <v>378</v>
      </c>
      <c r="H218" s="253">
        <f>+H116+H99+H98+H100+H67+H52+H42</f>
        <v>1901047.4300000002</v>
      </c>
      <c r="I218" s="250">
        <v>1.92</v>
      </c>
      <c r="J218" s="271">
        <f t="shared" si="22"/>
        <v>36500.110656000004</v>
      </c>
    </row>
    <row r="219" spans="1:10">
      <c r="A219" s="8">
        <v>200</v>
      </c>
      <c r="B219" s="270"/>
      <c r="C219" s="250"/>
      <c r="D219" s="269"/>
      <c r="E219" s="269"/>
      <c r="F219" s="250"/>
      <c r="G219" s="250">
        <v>380</v>
      </c>
      <c r="H219" s="253">
        <f>+H50</f>
        <v>461898.97</v>
      </c>
      <c r="I219" s="250">
        <v>3.88</v>
      </c>
      <c r="J219" s="271">
        <f t="shared" si="22"/>
        <v>17921.680035999998</v>
      </c>
    </row>
    <row r="220" spans="1:10">
      <c r="A220" s="8">
        <v>201</v>
      </c>
      <c r="B220" s="270"/>
      <c r="C220" s="250"/>
      <c r="D220" s="269"/>
      <c r="E220" s="269"/>
      <c r="F220" s="250"/>
      <c r="G220" s="250">
        <v>381</v>
      </c>
      <c r="H220" s="253">
        <f>+H110</f>
        <v>417296.43780000001</v>
      </c>
      <c r="I220" s="250">
        <v>2.27</v>
      </c>
      <c r="J220" s="271">
        <f t="shared" si="22"/>
        <v>9472.6291380599996</v>
      </c>
    </row>
    <row r="221" spans="1:10">
      <c r="A221" s="8">
        <v>202</v>
      </c>
      <c r="B221" s="270"/>
      <c r="C221" s="250"/>
      <c r="D221" s="269"/>
      <c r="E221" s="269"/>
      <c r="F221" s="250"/>
      <c r="G221" s="250">
        <v>382</v>
      </c>
      <c r="H221" s="250"/>
      <c r="I221" s="250"/>
      <c r="J221" s="271">
        <f t="shared" si="22"/>
        <v>0</v>
      </c>
    </row>
    <row r="222" spans="1:10">
      <c r="A222" s="8">
        <v>203</v>
      </c>
      <c r="B222" s="250"/>
      <c r="C222" s="250"/>
      <c r="D222" s="269"/>
      <c r="E222" s="269"/>
      <c r="F222" s="250"/>
      <c r="G222" s="250">
        <v>385</v>
      </c>
      <c r="H222" s="253">
        <f>+H47+H45</f>
        <v>849186.96</v>
      </c>
      <c r="I222" s="250">
        <v>2.1800000000000002</v>
      </c>
      <c r="J222" s="271">
        <f t="shared" si="22"/>
        <v>18512.275728000001</v>
      </c>
    </row>
    <row r="223" spans="1:10">
      <c r="A223" s="8">
        <v>204</v>
      </c>
      <c r="B223" s="250"/>
      <c r="C223" s="250"/>
      <c r="D223" s="269"/>
      <c r="E223" s="269"/>
      <c r="F223" s="250"/>
      <c r="G223" s="250">
        <v>390</v>
      </c>
      <c r="H223" s="253">
        <f>+H178+H185</f>
        <v>91082.09</v>
      </c>
      <c r="I223" s="250">
        <v>1.24</v>
      </c>
      <c r="J223" s="271">
        <f t="shared" si="22"/>
        <v>1129.4179159999999</v>
      </c>
    </row>
    <row r="224" spans="1:10">
      <c r="A224" s="8">
        <v>205</v>
      </c>
      <c r="B224" s="250"/>
      <c r="C224" s="250"/>
      <c r="D224" s="269"/>
      <c r="E224" s="269"/>
      <c r="F224" s="250"/>
      <c r="G224" s="250">
        <v>391</v>
      </c>
      <c r="H224" s="253">
        <f>+H199+H198+H191+H184</f>
        <v>197221.588192</v>
      </c>
      <c r="I224" s="250">
        <v>4.9800000000000004</v>
      </c>
      <c r="J224" s="271">
        <f t="shared" si="22"/>
        <v>9821.6350919615998</v>
      </c>
    </row>
    <row r="225" spans="1:11">
      <c r="A225" s="8">
        <v>206</v>
      </c>
      <c r="B225" s="250"/>
      <c r="C225" s="250"/>
      <c r="D225" s="269"/>
      <c r="E225" s="269"/>
      <c r="F225" s="250"/>
      <c r="G225" s="250">
        <v>392</v>
      </c>
      <c r="H225" s="253">
        <f>+H194+H193+H190+H188+H179+H175</f>
        <v>2788.39</v>
      </c>
      <c r="I225" s="250">
        <v>6.16</v>
      </c>
      <c r="J225" s="271">
        <f t="shared" si="22"/>
        <v>171.764824</v>
      </c>
    </row>
    <row r="226" spans="1:11">
      <c r="A226" s="8">
        <v>207</v>
      </c>
      <c r="B226" s="250"/>
      <c r="C226" s="250"/>
      <c r="D226" s="269"/>
      <c r="E226" s="269"/>
      <c r="F226" s="250"/>
      <c r="G226" s="250">
        <v>394</v>
      </c>
      <c r="H226" s="253">
        <f>+H201+H195+H192+H189+H187+H186+H183+H180</f>
        <v>25229.29</v>
      </c>
      <c r="I226" s="250">
        <v>3.55</v>
      </c>
      <c r="J226" s="271">
        <f t="shared" si="22"/>
        <v>895.63979500000005</v>
      </c>
    </row>
    <row r="227" spans="1:11">
      <c r="A227" s="8">
        <v>208</v>
      </c>
      <c r="B227" s="250"/>
      <c r="C227" s="250"/>
      <c r="D227" s="269"/>
      <c r="E227" s="269"/>
      <c r="F227" s="250"/>
      <c r="G227" s="250">
        <v>396</v>
      </c>
      <c r="H227" s="253">
        <f>+H176+H171</f>
        <v>0</v>
      </c>
      <c r="I227" s="250"/>
      <c r="J227" s="271"/>
    </row>
    <row r="228" spans="1:11">
      <c r="A228" s="8">
        <v>209</v>
      </c>
      <c r="B228" s="250"/>
      <c r="C228" s="250"/>
      <c r="D228" s="269"/>
      <c r="E228" s="269"/>
      <c r="F228" s="250"/>
      <c r="G228" s="250">
        <v>397</v>
      </c>
      <c r="H228" s="253">
        <f>+H177+H172</f>
        <v>0</v>
      </c>
      <c r="I228" s="250"/>
      <c r="J228" s="271"/>
    </row>
    <row r="229" spans="1:11">
      <c r="A229" s="8">
        <v>210</v>
      </c>
      <c r="B229" s="250"/>
      <c r="C229" s="250"/>
      <c r="D229" s="269"/>
      <c r="E229" s="269"/>
      <c r="F229" s="250"/>
      <c r="G229" s="250"/>
      <c r="H229" s="250"/>
      <c r="I229" s="250"/>
      <c r="J229" s="250"/>
    </row>
    <row r="230" spans="1:11">
      <c r="A230" s="8">
        <v>211</v>
      </c>
      <c r="B230" s="250"/>
      <c r="C230" s="250"/>
      <c r="D230" s="269"/>
      <c r="E230" s="269"/>
      <c r="F230" s="250" t="s">
        <v>808</v>
      </c>
      <c r="G230" s="250"/>
      <c r="H230" s="253">
        <f>SUM(H215:H228)</f>
        <v>17609896.228568003</v>
      </c>
      <c r="I230" s="250"/>
      <c r="J230" s="253">
        <f>SUM(J215:J228)</f>
        <v>472868.90784800722</v>
      </c>
      <c r="K230" s="6">
        <f>+J230/H230</f>
        <v>2.6852452831657592E-2</v>
      </c>
    </row>
    <row r="231" spans="1:11">
      <c r="A231" s="8">
        <v>212</v>
      </c>
      <c r="B231" s="250"/>
      <c r="C231" s="250"/>
      <c r="D231" s="269"/>
      <c r="E231" s="269"/>
      <c r="F231" s="250"/>
      <c r="G231" s="250"/>
      <c r="H231" s="250"/>
      <c r="I231" s="250"/>
      <c r="J231" s="250"/>
    </row>
    <row r="232" spans="1:11">
      <c r="A232" s="8">
        <v>213</v>
      </c>
      <c r="B232" s="250"/>
      <c r="C232" s="250"/>
      <c r="D232" s="269"/>
      <c r="E232" s="269"/>
      <c r="F232" s="250"/>
      <c r="G232" s="250"/>
      <c r="H232" s="253">
        <f>+H208-H230</f>
        <v>0</v>
      </c>
      <c r="I232" s="250"/>
      <c r="J232" s="250"/>
    </row>
  </sheetData>
  <mergeCells count="4">
    <mergeCell ref="D1:E1"/>
    <mergeCell ref="D2:E2"/>
    <mergeCell ref="D3:E3"/>
    <mergeCell ref="D4:E4"/>
  </mergeCells>
  <pageMargins left="0.7" right="0.7" top="0.75" bottom="0.75" header="0.3" footer="0.3"/>
  <pageSetup scale="48" fitToHeight="0" orientation="portrait" useFirstPageNumber="1" r:id="rId1"/>
  <headerFooter differentFirst="1" scaleWithDoc="0" alignWithMargins="0">
    <oddHeader>&amp;RDocket No. UG-170929
Exhibit _____ (MPP-12)
Page &amp;P of 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14D3-9C5F-4DD0-974A-9D90B9070B4C}">
  <sheetPr>
    <pageSetUpPr fitToPage="1"/>
  </sheetPr>
  <dimension ref="A1:G36"/>
  <sheetViews>
    <sheetView view="pageBreakPreview" zoomScale="60" zoomScaleNormal="100" workbookViewId="0">
      <selection activeCell="F6" sqref="F6"/>
    </sheetView>
  </sheetViews>
  <sheetFormatPr defaultRowHeight="15.75"/>
  <cols>
    <col min="1" max="1" width="98.7109375" style="146" customWidth="1"/>
    <col min="2" max="2" width="29.42578125" style="146" customWidth="1"/>
    <col min="3" max="16384" width="9.140625" style="146"/>
  </cols>
  <sheetData>
    <row r="1" spans="1:7">
      <c r="A1" s="20" t="s">
        <v>2322</v>
      </c>
    </row>
    <row r="2" spans="1:7">
      <c r="A2" s="20" t="s">
        <v>2323</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47"/>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2324</v>
      </c>
    </row>
    <row r="25" spans="1:1">
      <c r="A25" s="23"/>
    </row>
    <row r="26" spans="1:1">
      <c r="A26" s="23"/>
    </row>
    <row r="27" spans="1:1">
      <c r="A27" s="23"/>
    </row>
    <row r="28" spans="1:1">
      <c r="A28" s="23"/>
    </row>
    <row r="29" spans="1:1">
      <c r="A29" s="23"/>
    </row>
    <row r="30" spans="1:1">
      <c r="A30" s="803" t="s">
        <v>2327</v>
      </c>
    </row>
    <row r="31" spans="1:1">
      <c r="A31" s="148"/>
    </row>
    <row r="32" spans="1:1">
      <c r="A32" s="147"/>
    </row>
    <row r="33" spans="1:1">
      <c r="A33" s="147"/>
    </row>
    <row r="34" spans="1:1">
      <c r="A34" s="147"/>
    </row>
    <row r="35" spans="1:1">
      <c r="A35" s="147"/>
    </row>
    <row r="36" spans="1:1">
      <c r="A36" s="147"/>
    </row>
  </sheetData>
  <pageMargins left="0.7" right="0.7" top="0.75" bottom="0.75" header="0.3" footer="0.3"/>
  <pageSetup scale="92" firstPageNumber="0" fitToHeight="0" orientation="portrait" horizontalDpi="1200" verticalDpi="1200" r:id="rId1"/>
  <headerFooter differentFirst="1" scaleWithDoc="0">
    <oddHeader xml:space="preserve">&amp;RDocket No. UG-170929
Exhibit______(MPP-11)
Page &amp;P of 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2132-1E0C-49C2-AEBE-75B480E0794A}">
  <sheetPr>
    <pageSetUpPr fitToPage="1"/>
  </sheetPr>
  <dimension ref="A1:K232"/>
  <sheetViews>
    <sheetView view="pageBreakPreview" topLeftCell="A145" zoomScale="60" zoomScaleNormal="100" workbookViewId="0">
      <selection activeCell="F6" sqref="F6"/>
    </sheetView>
  </sheetViews>
  <sheetFormatPr defaultRowHeight="15"/>
  <cols>
    <col min="1" max="1" width="9.28515625" bestFit="1" customWidth="1"/>
    <col min="2" max="2" width="14.28515625" customWidth="1"/>
    <col min="3" max="3" width="49.85546875" customWidth="1"/>
    <col min="4" max="4" width="8.7109375" bestFit="1" customWidth="1"/>
    <col min="5" max="5" width="15.7109375" bestFit="1" customWidth="1"/>
    <col min="6" max="6" width="8" bestFit="1" customWidth="1"/>
    <col min="7" max="8" width="15" bestFit="1" customWidth="1"/>
    <col min="9" max="9" width="11.85546875" bestFit="1" customWidth="1"/>
    <col min="10" max="10" width="15" bestFit="1" customWidth="1"/>
  </cols>
  <sheetData>
    <row r="1" spans="1:11" ht="15.75">
      <c r="A1" s="8"/>
      <c r="B1" s="6"/>
      <c r="C1" s="6"/>
      <c r="D1" s="1040"/>
      <c r="E1" s="1041"/>
      <c r="F1" s="6"/>
      <c r="G1" s="6"/>
      <c r="H1" s="6"/>
      <c r="I1" s="6"/>
      <c r="J1" s="6"/>
      <c r="K1" s="6"/>
    </row>
    <row r="2" spans="1:11" ht="15.75">
      <c r="A2" s="8"/>
      <c r="B2" s="6"/>
      <c r="C2" s="6"/>
      <c r="D2" s="1032"/>
      <c r="E2" s="1033"/>
      <c r="F2" s="6"/>
      <c r="G2" s="6"/>
      <c r="H2" s="6"/>
      <c r="I2" s="6"/>
      <c r="J2" s="6"/>
      <c r="K2" s="6"/>
    </row>
    <row r="3" spans="1:11" ht="15.75">
      <c r="A3" s="8"/>
      <c r="B3" s="6"/>
      <c r="C3" s="6"/>
      <c r="D3" s="1032"/>
      <c r="E3" s="1033"/>
      <c r="F3" s="6"/>
      <c r="G3" s="6"/>
      <c r="H3" s="6"/>
      <c r="I3" s="6"/>
      <c r="J3" s="6"/>
      <c r="K3" s="6"/>
    </row>
    <row r="4" spans="1:11" ht="15.75">
      <c r="A4" s="8"/>
      <c r="B4" s="6"/>
      <c r="C4" s="6"/>
      <c r="D4" s="1042"/>
      <c r="E4" s="1043"/>
      <c r="F4" s="6"/>
      <c r="G4" s="6"/>
      <c r="H4" s="6"/>
      <c r="I4" s="6"/>
      <c r="J4" s="6"/>
      <c r="K4" s="6"/>
    </row>
    <row r="5" spans="1:11" ht="15.75">
      <c r="A5" s="8"/>
      <c r="B5" s="6"/>
      <c r="C5" s="6"/>
      <c r="D5" s="6"/>
      <c r="F5" s="6"/>
      <c r="G5" s="6"/>
      <c r="H5" s="6"/>
      <c r="I5" s="6"/>
      <c r="J5" s="6"/>
      <c r="K5" s="6"/>
    </row>
    <row r="6" spans="1:11" ht="15.75">
      <c r="A6" s="8"/>
      <c r="B6" s="6"/>
      <c r="C6" s="6"/>
      <c r="D6" s="6"/>
      <c r="E6" s="6"/>
      <c r="F6" s="6"/>
      <c r="G6" s="6"/>
      <c r="H6" s="6"/>
      <c r="I6" s="6"/>
      <c r="J6" s="6"/>
      <c r="K6" s="6"/>
    </row>
    <row r="7" spans="1:11" ht="141.75">
      <c r="A7" s="798" t="s">
        <v>812</v>
      </c>
      <c r="B7" s="247" t="s">
        <v>1291</v>
      </c>
      <c r="C7" s="247" t="s">
        <v>1292</v>
      </c>
      <c r="D7" s="248" t="s">
        <v>1295</v>
      </c>
      <c r="E7" s="249" t="s">
        <v>2021</v>
      </c>
      <c r="F7" s="247" t="s">
        <v>1296</v>
      </c>
      <c r="G7" s="247" t="s">
        <v>111</v>
      </c>
      <c r="H7" s="247" t="s">
        <v>2077</v>
      </c>
      <c r="I7" s="247" t="s">
        <v>1298</v>
      </c>
      <c r="J7" s="247"/>
      <c r="K7" s="6"/>
    </row>
    <row r="8" spans="1:11" ht="15.75">
      <c r="A8" s="8">
        <v>1</v>
      </c>
      <c r="B8" s="250" t="s">
        <v>1299</v>
      </c>
      <c r="C8" s="250" t="s">
        <v>1300</v>
      </c>
      <c r="D8" s="251">
        <v>303</v>
      </c>
      <c r="E8" s="252">
        <v>1344204.92</v>
      </c>
      <c r="F8" s="778">
        <f>+'State Allocation Formulas'!$L$25</f>
        <v>0.77239999999999998</v>
      </c>
      <c r="G8" s="253">
        <f>+E8*F8</f>
        <v>1038263.880208</v>
      </c>
      <c r="H8" s="804">
        <f>+G8</f>
        <v>1038263.880208</v>
      </c>
      <c r="I8" s="255">
        <v>7</v>
      </c>
      <c r="J8" s="253"/>
      <c r="K8" s="6"/>
    </row>
    <row r="9" spans="1:11" ht="15.75">
      <c r="A9" s="8">
        <v>2</v>
      </c>
      <c r="B9" s="250" t="s">
        <v>1299</v>
      </c>
      <c r="C9" s="250" t="s">
        <v>1301</v>
      </c>
      <c r="D9" s="251">
        <v>303</v>
      </c>
      <c r="E9" s="252"/>
      <c r="F9" s="778">
        <f>+'State Allocation Formulas'!$L$25</f>
        <v>0.77239999999999998</v>
      </c>
      <c r="G9" s="253">
        <f t="shared" ref="G9:G21" si="0">+E9*F9</f>
        <v>0</v>
      </c>
      <c r="H9" s="254"/>
      <c r="I9" s="255" t="s">
        <v>1305</v>
      </c>
      <c r="J9" s="250"/>
      <c r="K9" s="6"/>
    </row>
    <row r="10" spans="1:11" ht="15.75">
      <c r="A10" s="8">
        <v>3</v>
      </c>
      <c r="B10" s="250" t="s">
        <v>1299</v>
      </c>
      <c r="C10" s="250" t="s">
        <v>1302</v>
      </c>
      <c r="D10" s="251">
        <v>303</v>
      </c>
      <c r="E10" s="252">
        <v>22376.35</v>
      </c>
      <c r="F10" s="778">
        <f>+'State Allocation Formulas'!$L$25</f>
        <v>0.77239999999999998</v>
      </c>
      <c r="G10" s="253">
        <f t="shared" si="0"/>
        <v>17283.492739999998</v>
      </c>
      <c r="H10" s="254"/>
      <c r="I10" s="255">
        <v>9</v>
      </c>
      <c r="J10" s="250"/>
      <c r="K10" s="6"/>
    </row>
    <row r="11" spans="1:11" ht="15.75">
      <c r="A11" s="8">
        <v>4</v>
      </c>
      <c r="B11" s="250" t="s">
        <v>1299</v>
      </c>
      <c r="C11" s="250" t="s">
        <v>1303</v>
      </c>
      <c r="D11" s="251">
        <v>303</v>
      </c>
      <c r="E11" s="252"/>
      <c r="F11" s="778">
        <f>+'State Allocation Formulas'!$L$25</f>
        <v>0.77239999999999998</v>
      </c>
      <c r="G11" s="253">
        <f t="shared" si="0"/>
        <v>0</v>
      </c>
      <c r="H11" s="254"/>
      <c r="I11" s="255" t="s">
        <v>1305</v>
      </c>
      <c r="J11" s="250"/>
      <c r="K11" s="6"/>
    </row>
    <row r="12" spans="1:11" ht="15.75">
      <c r="A12" s="8">
        <v>5</v>
      </c>
      <c r="B12" s="250" t="s">
        <v>1299</v>
      </c>
      <c r="C12" s="250" t="s">
        <v>1304</v>
      </c>
      <c r="D12" s="251">
        <v>303</v>
      </c>
      <c r="E12" s="252"/>
      <c r="F12" s="778">
        <f>+'State Allocation Formulas'!$L$25</f>
        <v>0.77239999999999998</v>
      </c>
      <c r="G12" s="253">
        <f t="shared" si="0"/>
        <v>0</v>
      </c>
      <c r="H12" s="254"/>
      <c r="I12" s="255" t="s">
        <v>1305</v>
      </c>
      <c r="J12" s="250"/>
      <c r="K12" s="6"/>
    </row>
    <row r="13" spans="1:11" ht="15.75">
      <c r="A13" s="8">
        <v>6</v>
      </c>
      <c r="B13" s="250" t="s">
        <v>1299</v>
      </c>
      <c r="C13" s="250" t="s">
        <v>1306</v>
      </c>
      <c r="D13" s="251">
        <v>303</v>
      </c>
      <c r="E13" s="252">
        <v>202536.92</v>
      </c>
      <c r="F13" s="778">
        <f>+'State Allocation Formulas'!$L$25</f>
        <v>0.77239999999999998</v>
      </c>
      <c r="G13" s="253">
        <f t="shared" si="0"/>
        <v>156439.517008</v>
      </c>
      <c r="H13" s="254"/>
      <c r="I13" s="255">
        <v>35</v>
      </c>
      <c r="J13" s="250"/>
      <c r="K13" s="6"/>
    </row>
    <row r="14" spans="1:11" ht="15.75">
      <c r="A14" s="8">
        <v>7</v>
      </c>
      <c r="B14" s="250" t="s">
        <v>1299</v>
      </c>
      <c r="C14" s="250" t="s">
        <v>1307</v>
      </c>
      <c r="D14" s="251">
        <v>303</v>
      </c>
      <c r="E14" s="252"/>
      <c r="F14" s="778">
        <f>+'State Allocation Formulas'!$L$25</f>
        <v>0.77239999999999998</v>
      </c>
      <c r="G14" s="253">
        <f t="shared" si="0"/>
        <v>0</v>
      </c>
      <c r="H14" s="254"/>
      <c r="I14" s="255" t="s">
        <v>1305</v>
      </c>
      <c r="J14" s="250"/>
      <c r="K14" s="6"/>
    </row>
    <row r="15" spans="1:11" ht="15.75">
      <c r="A15" s="8">
        <v>8</v>
      </c>
      <c r="B15" s="250" t="s">
        <v>1299</v>
      </c>
      <c r="C15" s="250" t="s">
        <v>1308</v>
      </c>
      <c r="D15" s="251">
        <v>303</v>
      </c>
      <c r="E15" s="252">
        <v>263110.37</v>
      </c>
      <c r="F15" s="778">
        <f>+'State Allocation Formulas'!$L$25</f>
        <v>0.77239999999999998</v>
      </c>
      <c r="G15" s="253">
        <f t="shared" si="0"/>
        <v>203226.449788</v>
      </c>
      <c r="H15" s="254"/>
      <c r="I15" s="255">
        <v>41</v>
      </c>
      <c r="J15" s="250"/>
      <c r="K15" s="6"/>
    </row>
    <row r="16" spans="1:11" ht="15.75">
      <c r="A16" s="8">
        <v>9</v>
      </c>
      <c r="B16" s="250" t="s">
        <v>1299</v>
      </c>
      <c r="C16" s="250" t="s">
        <v>1309</v>
      </c>
      <c r="D16" s="251">
        <v>303</v>
      </c>
      <c r="E16" s="252">
        <v>86446.06</v>
      </c>
      <c r="F16" s="778">
        <f>+'State Allocation Formulas'!$L$25</f>
        <v>0.77239999999999998</v>
      </c>
      <c r="G16" s="253">
        <f t="shared" si="0"/>
        <v>66770.936743999991</v>
      </c>
      <c r="H16" s="254"/>
      <c r="I16" s="255">
        <v>42</v>
      </c>
      <c r="J16" s="253"/>
      <c r="K16" s="6"/>
    </row>
    <row r="17" spans="1:11" ht="15.75">
      <c r="A17" s="8">
        <v>10</v>
      </c>
      <c r="B17" s="250" t="s">
        <v>1299</v>
      </c>
      <c r="C17" s="250" t="s">
        <v>1310</v>
      </c>
      <c r="D17" s="251">
        <v>303</v>
      </c>
      <c r="E17" s="252"/>
      <c r="F17" s="778">
        <f>+'State Allocation Formulas'!$L$25</f>
        <v>0.77239999999999998</v>
      </c>
      <c r="G17" s="253">
        <f t="shared" si="0"/>
        <v>0</v>
      </c>
      <c r="H17" s="254"/>
      <c r="I17" s="255">
        <v>43</v>
      </c>
      <c r="J17" s="250"/>
      <c r="K17" s="6"/>
    </row>
    <row r="18" spans="1:11" ht="15.75">
      <c r="A18" s="8">
        <v>11</v>
      </c>
      <c r="B18" s="250" t="s">
        <v>1299</v>
      </c>
      <c r="C18" s="250" t="s">
        <v>1311</v>
      </c>
      <c r="D18" s="251">
        <v>303</v>
      </c>
      <c r="E18" s="252"/>
      <c r="F18" s="778">
        <f>+'State Allocation Formulas'!$L$25</f>
        <v>0.77239999999999998</v>
      </c>
      <c r="G18" s="253">
        <f t="shared" si="0"/>
        <v>0</v>
      </c>
      <c r="H18" s="254"/>
      <c r="I18" s="255" t="s">
        <v>1305</v>
      </c>
      <c r="J18" s="250"/>
      <c r="K18" s="6"/>
    </row>
    <row r="19" spans="1:11" ht="15.75">
      <c r="A19" s="8">
        <v>12</v>
      </c>
      <c r="B19" s="250" t="s">
        <v>1299</v>
      </c>
      <c r="C19" s="250" t="s">
        <v>1312</v>
      </c>
      <c r="D19" s="251">
        <v>303</v>
      </c>
      <c r="E19" s="252">
        <v>248923.17</v>
      </c>
      <c r="F19" s="778">
        <f>+'State Allocation Formulas'!$L$25</f>
        <v>0.77239999999999998</v>
      </c>
      <c r="G19" s="253">
        <f t="shared" si="0"/>
        <v>192268.25650799999</v>
      </c>
      <c r="H19" s="254"/>
      <c r="I19" s="255">
        <v>44</v>
      </c>
      <c r="J19" s="250"/>
      <c r="K19" s="6"/>
    </row>
    <row r="20" spans="1:11" ht="15.75">
      <c r="A20" s="8">
        <v>13</v>
      </c>
      <c r="B20" s="250" t="s">
        <v>1299</v>
      </c>
      <c r="C20" s="250" t="s">
        <v>1313</v>
      </c>
      <c r="D20" s="251">
        <v>303</v>
      </c>
      <c r="E20" s="252"/>
      <c r="F20" s="778">
        <f>+'State Allocation Formulas'!$L$25</f>
        <v>0.77239999999999998</v>
      </c>
      <c r="G20" s="253">
        <f t="shared" si="0"/>
        <v>0</v>
      </c>
      <c r="H20" s="254"/>
      <c r="I20" s="255">
        <v>45</v>
      </c>
      <c r="J20" s="250"/>
      <c r="K20" s="6"/>
    </row>
    <row r="21" spans="1:11" ht="15.75">
      <c r="A21" s="8">
        <v>14</v>
      </c>
      <c r="B21" s="250" t="s">
        <v>1299</v>
      </c>
      <c r="C21" s="250" t="s">
        <v>1314</v>
      </c>
      <c r="D21" s="251">
        <v>303</v>
      </c>
      <c r="E21" s="252"/>
      <c r="F21" s="778">
        <f>+'State Allocation Formulas'!$L$25</f>
        <v>0.77239999999999998</v>
      </c>
      <c r="G21" s="253">
        <f t="shared" si="0"/>
        <v>0</v>
      </c>
      <c r="H21" s="254"/>
      <c r="I21" s="255">
        <v>46</v>
      </c>
      <c r="J21" s="250"/>
      <c r="K21" s="6"/>
    </row>
    <row r="22" spans="1:11" ht="15.75">
      <c r="A22" s="8">
        <v>15</v>
      </c>
      <c r="B22" s="256" t="s">
        <v>1299</v>
      </c>
      <c r="C22" s="256" t="s">
        <v>1315</v>
      </c>
      <c r="D22" s="251">
        <v>303</v>
      </c>
      <c r="E22" s="258"/>
      <c r="F22" s="256" t="s">
        <v>1316</v>
      </c>
      <c r="G22" s="253"/>
      <c r="H22" s="250"/>
      <c r="I22" s="255"/>
      <c r="J22" s="250"/>
      <c r="K22" s="6"/>
    </row>
    <row r="23" spans="1:11" ht="15.75">
      <c r="A23" s="8">
        <v>16</v>
      </c>
      <c r="B23" s="259"/>
      <c r="C23" s="260" t="s">
        <v>1317</v>
      </c>
      <c r="D23" s="261"/>
      <c r="E23" s="262">
        <f>SUM(E8:E22)</f>
        <v>2167597.79</v>
      </c>
      <c r="F23" s="259"/>
      <c r="G23" s="263">
        <f>SUM(G8:G22)</f>
        <v>1674252.532996</v>
      </c>
      <c r="H23" s="263">
        <f>SUM(H8:H22)</f>
        <v>1038263.880208</v>
      </c>
      <c r="I23" s="264"/>
      <c r="J23" s="263"/>
      <c r="K23" s="6"/>
    </row>
    <row r="24" spans="1:11" ht="15.75">
      <c r="A24" s="8">
        <v>17</v>
      </c>
      <c r="B24" s="259" t="s">
        <v>1576</v>
      </c>
      <c r="C24" s="259"/>
      <c r="D24" s="257"/>
      <c r="E24" s="252"/>
      <c r="F24" s="259"/>
      <c r="G24" s="265"/>
      <c r="H24" s="259"/>
      <c r="I24" s="264"/>
      <c r="J24" s="259"/>
      <c r="K24" s="6"/>
    </row>
    <row r="25" spans="1:11" ht="15.75">
      <c r="A25" s="8"/>
      <c r="B25" s="259"/>
      <c r="C25" s="260"/>
      <c r="D25" s="257"/>
      <c r="E25" s="252"/>
      <c r="F25" s="259"/>
      <c r="G25" s="265"/>
      <c r="H25" s="259"/>
      <c r="I25" s="264"/>
      <c r="J25" s="259"/>
      <c r="K25" s="6"/>
    </row>
    <row r="26" spans="1:11" ht="15.75">
      <c r="A26" s="8"/>
      <c r="B26" s="259"/>
      <c r="C26" s="259"/>
      <c r="D26" s="257"/>
      <c r="E26" s="252"/>
      <c r="F26" s="259"/>
      <c r="G26" s="265"/>
      <c r="H26" s="259"/>
      <c r="I26" s="264"/>
      <c r="J26" s="259"/>
      <c r="K26" s="6"/>
    </row>
    <row r="27" spans="1:11" ht="15.75">
      <c r="A27" s="8">
        <v>18</v>
      </c>
      <c r="B27" s="250" t="s">
        <v>1318</v>
      </c>
      <c r="C27" s="250" t="s">
        <v>1319</v>
      </c>
      <c r="D27" s="251"/>
      <c r="E27" s="252"/>
      <c r="F27" s="250"/>
      <c r="G27" s="253"/>
      <c r="H27" s="250"/>
      <c r="I27" s="255"/>
      <c r="J27" s="250"/>
      <c r="K27" s="6"/>
    </row>
    <row r="28" spans="1:11" ht="15.75">
      <c r="A28" s="8">
        <v>19</v>
      </c>
      <c r="B28" s="250" t="s">
        <v>1318</v>
      </c>
      <c r="C28" s="250" t="s">
        <v>1320</v>
      </c>
      <c r="D28" s="251"/>
      <c r="E28" s="252"/>
      <c r="F28" s="250"/>
      <c r="G28" s="253"/>
      <c r="H28" s="250"/>
      <c r="I28" s="255"/>
      <c r="J28" s="250"/>
      <c r="K28" s="6"/>
    </row>
    <row r="29" spans="1:11" ht="15.75">
      <c r="A29" s="8">
        <v>20</v>
      </c>
      <c r="B29" s="250" t="s">
        <v>1318</v>
      </c>
      <c r="C29" s="250" t="s">
        <v>1321</v>
      </c>
      <c r="D29" s="251"/>
      <c r="E29" s="252"/>
      <c r="F29" s="250"/>
      <c r="G29" s="253"/>
      <c r="H29" s="250"/>
      <c r="I29" s="255"/>
      <c r="J29" s="250"/>
      <c r="K29" s="6"/>
    </row>
    <row r="30" spans="1:11" ht="15.75">
      <c r="A30" s="8">
        <v>21</v>
      </c>
      <c r="B30" s="250" t="s">
        <v>1318</v>
      </c>
      <c r="C30" s="250" t="s">
        <v>1322</v>
      </c>
      <c r="D30" s="251"/>
      <c r="E30" s="252"/>
      <c r="F30" s="250"/>
      <c r="G30" s="253"/>
      <c r="H30" s="250"/>
      <c r="I30" s="255"/>
      <c r="J30" s="250"/>
      <c r="K30" s="6"/>
    </row>
    <row r="31" spans="1:11" ht="15.75">
      <c r="A31" s="8">
        <v>22</v>
      </c>
      <c r="B31" s="250" t="s">
        <v>1318</v>
      </c>
      <c r="C31" s="250" t="s">
        <v>1323</v>
      </c>
      <c r="D31" s="251"/>
      <c r="E31" s="252"/>
      <c r="F31" s="250"/>
      <c r="G31" s="253"/>
      <c r="H31" s="250"/>
      <c r="I31" s="255"/>
      <c r="J31" s="250"/>
      <c r="K31" s="6"/>
    </row>
    <row r="32" spans="1:11" ht="15.75">
      <c r="A32" s="8">
        <v>23</v>
      </c>
      <c r="B32" s="250" t="s">
        <v>1318</v>
      </c>
      <c r="C32" s="250" t="s">
        <v>1324</v>
      </c>
      <c r="D32" s="251"/>
      <c r="E32" s="252"/>
      <c r="F32" s="250"/>
      <c r="G32" s="253"/>
      <c r="H32" s="250"/>
      <c r="I32" s="255"/>
      <c r="J32" s="250"/>
      <c r="K32" s="6"/>
    </row>
    <row r="33" spans="1:11" ht="15.75">
      <c r="A33" s="8">
        <v>24</v>
      </c>
      <c r="B33" s="250" t="s">
        <v>1318</v>
      </c>
      <c r="C33" s="250" t="s">
        <v>1325</v>
      </c>
      <c r="D33" s="251"/>
      <c r="E33" s="252"/>
      <c r="F33" s="250"/>
      <c r="G33" s="253"/>
      <c r="H33" s="250"/>
      <c r="I33" s="255"/>
      <c r="J33" s="250"/>
      <c r="K33" s="6"/>
    </row>
    <row r="34" spans="1:11" ht="15.75">
      <c r="A34" s="8">
        <v>25</v>
      </c>
      <c r="B34" s="250" t="s">
        <v>1318</v>
      </c>
      <c r="C34" s="250" t="s">
        <v>1326</v>
      </c>
      <c r="D34" s="251"/>
      <c r="E34" s="252"/>
      <c r="F34" s="250"/>
      <c r="G34" s="253"/>
      <c r="H34" s="250"/>
      <c r="I34" s="255"/>
      <c r="J34" s="250"/>
      <c r="K34" s="6"/>
    </row>
    <row r="35" spans="1:11" ht="15.75">
      <c r="A35" s="8">
        <v>26</v>
      </c>
      <c r="B35" s="250" t="s">
        <v>1318</v>
      </c>
      <c r="C35" s="250" t="s">
        <v>1327</v>
      </c>
      <c r="D35" s="251"/>
      <c r="E35" s="252"/>
      <c r="F35" s="250"/>
      <c r="G35" s="253"/>
      <c r="H35" s="250"/>
      <c r="I35" s="255"/>
      <c r="J35" s="250"/>
      <c r="K35" s="6"/>
    </row>
    <row r="36" spans="1:11" ht="15.75">
      <c r="A36" s="8">
        <v>27</v>
      </c>
      <c r="B36" s="250" t="s">
        <v>1318</v>
      </c>
      <c r="C36" s="250" t="s">
        <v>1328</v>
      </c>
      <c r="D36" s="251"/>
      <c r="E36" s="252"/>
      <c r="F36" s="250"/>
      <c r="G36" s="253"/>
      <c r="H36" s="250"/>
      <c r="I36" s="255"/>
      <c r="J36" s="250"/>
      <c r="K36" s="6"/>
    </row>
    <row r="37" spans="1:11" ht="15.75">
      <c r="A37" s="8">
        <v>28</v>
      </c>
      <c r="B37" s="250" t="s">
        <v>1318</v>
      </c>
      <c r="C37" s="250" t="s">
        <v>1329</v>
      </c>
      <c r="D37" s="251"/>
      <c r="E37" s="252"/>
      <c r="F37" s="250"/>
      <c r="G37" s="253"/>
      <c r="H37" s="250"/>
      <c r="I37" s="255"/>
      <c r="J37" s="250"/>
      <c r="K37" s="6"/>
    </row>
    <row r="38" spans="1:11" ht="15.75">
      <c r="A38" s="8">
        <v>29</v>
      </c>
      <c r="B38" s="250" t="s">
        <v>1318</v>
      </c>
      <c r="C38" s="250" t="s">
        <v>1330</v>
      </c>
      <c r="D38" s="251">
        <v>376</v>
      </c>
      <c r="E38" s="252"/>
      <c r="F38" s="250"/>
      <c r="G38" s="253">
        <f>+E38</f>
        <v>0</v>
      </c>
      <c r="H38" s="250"/>
      <c r="I38" s="255" t="s">
        <v>1331</v>
      </c>
      <c r="J38" s="250"/>
      <c r="K38" s="6"/>
    </row>
    <row r="39" spans="1:11" ht="15.75">
      <c r="A39" s="8">
        <v>30</v>
      </c>
      <c r="B39" s="250" t="s">
        <v>1318</v>
      </c>
      <c r="C39" s="250" t="s">
        <v>1332</v>
      </c>
      <c r="D39" s="251">
        <v>376</v>
      </c>
      <c r="E39" s="252">
        <v>187696.32</v>
      </c>
      <c r="F39" s="250"/>
      <c r="G39" s="253">
        <f t="shared" ref="G39:G47" si="1">+E39</f>
        <v>187696.32</v>
      </c>
      <c r="H39" s="253"/>
      <c r="I39" s="255" t="s">
        <v>1333</v>
      </c>
      <c r="J39" s="250"/>
      <c r="K39" s="6"/>
    </row>
    <row r="40" spans="1:11" ht="15.75">
      <c r="A40" s="8">
        <v>31</v>
      </c>
      <c r="B40" s="250" t="s">
        <v>1318</v>
      </c>
      <c r="C40" s="250" t="s">
        <v>1334</v>
      </c>
      <c r="D40" s="251">
        <v>376</v>
      </c>
      <c r="E40" s="252">
        <v>849833.88</v>
      </c>
      <c r="F40" s="250"/>
      <c r="G40" s="253">
        <f t="shared" si="1"/>
        <v>849833.88</v>
      </c>
      <c r="H40" s="804">
        <f>+G40</f>
        <v>849833.88</v>
      </c>
      <c r="I40" s="255" t="s">
        <v>1333</v>
      </c>
      <c r="J40" s="253"/>
      <c r="K40" s="6"/>
    </row>
    <row r="41" spans="1:11" ht="15.75">
      <c r="A41" s="8">
        <v>32</v>
      </c>
      <c r="B41" s="250" t="s">
        <v>1318</v>
      </c>
      <c r="C41" s="250" t="s">
        <v>1335</v>
      </c>
      <c r="D41" s="251"/>
      <c r="E41" s="252"/>
      <c r="F41" s="250"/>
      <c r="G41" s="253">
        <f t="shared" si="1"/>
        <v>0</v>
      </c>
      <c r="H41" s="250"/>
      <c r="I41" s="255" t="s">
        <v>1331</v>
      </c>
      <c r="J41" s="250"/>
      <c r="K41" s="6"/>
    </row>
    <row r="42" spans="1:11" ht="15.75">
      <c r="A42" s="8">
        <v>33</v>
      </c>
      <c r="B42" s="250" t="s">
        <v>1318</v>
      </c>
      <c r="C42" s="250" t="s">
        <v>1336</v>
      </c>
      <c r="D42" s="251">
        <v>378</v>
      </c>
      <c r="E42" s="252">
        <v>145337.85999999999</v>
      </c>
      <c r="F42" s="250"/>
      <c r="G42" s="253">
        <f>+E42</f>
        <v>145337.85999999999</v>
      </c>
      <c r="H42" s="253"/>
      <c r="I42" s="255">
        <v>1</v>
      </c>
      <c r="J42" s="250"/>
      <c r="K42" s="6"/>
    </row>
    <row r="43" spans="1:11" ht="15.75">
      <c r="A43" s="8">
        <v>34</v>
      </c>
      <c r="B43" s="250" t="s">
        <v>1318</v>
      </c>
      <c r="C43" s="250" t="s">
        <v>1337</v>
      </c>
      <c r="D43" s="251">
        <v>380</v>
      </c>
      <c r="E43" s="252"/>
      <c r="F43" s="250"/>
      <c r="G43" s="253">
        <f t="shared" si="1"/>
        <v>0</v>
      </c>
      <c r="H43" s="250"/>
      <c r="I43" s="255" t="s">
        <v>1331</v>
      </c>
      <c r="J43" s="250"/>
      <c r="K43" s="6"/>
    </row>
    <row r="44" spans="1:11" ht="15.75">
      <c r="A44" s="8">
        <v>35</v>
      </c>
      <c r="B44" s="250" t="s">
        <v>1318</v>
      </c>
      <c r="C44" s="250" t="s">
        <v>1338</v>
      </c>
      <c r="D44" s="251">
        <v>385</v>
      </c>
      <c r="E44" s="252"/>
      <c r="F44" s="250"/>
      <c r="G44" s="253">
        <f t="shared" si="1"/>
        <v>0</v>
      </c>
      <c r="H44" s="250"/>
      <c r="I44" s="255" t="s">
        <v>1331</v>
      </c>
      <c r="J44" s="250"/>
      <c r="K44" s="6"/>
    </row>
    <row r="45" spans="1:11" ht="15.75">
      <c r="A45" s="8">
        <v>36</v>
      </c>
      <c r="B45" s="250" t="s">
        <v>1318</v>
      </c>
      <c r="C45" s="250" t="s">
        <v>1339</v>
      </c>
      <c r="D45" s="251">
        <v>385</v>
      </c>
      <c r="E45" s="252">
        <v>722791.51</v>
      </c>
      <c r="F45" s="250"/>
      <c r="G45" s="253">
        <f t="shared" si="1"/>
        <v>722791.51</v>
      </c>
      <c r="H45" s="804">
        <f>+G45</f>
        <v>722791.51</v>
      </c>
      <c r="I45" s="255">
        <v>1</v>
      </c>
      <c r="J45" s="253"/>
      <c r="K45" s="6"/>
    </row>
    <row r="46" spans="1:11" ht="15.75">
      <c r="A46" s="8">
        <v>37</v>
      </c>
      <c r="B46" s="250" t="s">
        <v>1318</v>
      </c>
      <c r="C46" s="250" t="s">
        <v>1340</v>
      </c>
      <c r="D46" s="251">
        <v>385</v>
      </c>
      <c r="E46" s="252"/>
      <c r="F46" s="250"/>
      <c r="G46" s="253">
        <f t="shared" si="1"/>
        <v>0</v>
      </c>
      <c r="H46" s="250"/>
      <c r="I46" s="255" t="s">
        <v>1331</v>
      </c>
      <c r="J46" s="250"/>
      <c r="K46" s="6"/>
    </row>
    <row r="47" spans="1:11" ht="15.75">
      <c r="A47" s="8">
        <v>38</v>
      </c>
      <c r="B47" s="250" t="s">
        <v>1318</v>
      </c>
      <c r="C47" s="250" t="s">
        <v>1341</v>
      </c>
      <c r="D47" s="251">
        <v>385</v>
      </c>
      <c r="E47" s="252">
        <v>126395.45</v>
      </c>
      <c r="F47" s="250"/>
      <c r="G47" s="253">
        <f t="shared" si="1"/>
        <v>126395.45</v>
      </c>
      <c r="H47" s="253"/>
      <c r="I47" s="255" t="s">
        <v>1333</v>
      </c>
      <c r="J47" s="250"/>
      <c r="K47" s="6"/>
    </row>
    <row r="48" spans="1:11" ht="15.75">
      <c r="A48" s="8">
        <v>39</v>
      </c>
      <c r="B48" s="250" t="s">
        <v>1318</v>
      </c>
      <c r="C48" s="250" t="s">
        <v>1342</v>
      </c>
      <c r="D48" s="251"/>
      <c r="E48" s="252"/>
      <c r="F48" s="778">
        <f>+'State Allocation Formulas'!$L$25</f>
        <v>0.77239999999999998</v>
      </c>
      <c r="G48" s="253">
        <f t="shared" ref="G48:G49" si="2">+E48*F48</f>
        <v>0</v>
      </c>
      <c r="H48" s="250"/>
      <c r="I48" s="255" t="s">
        <v>1331</v>
      </c>
      <c r="J48" s="250"/>
      <c r="K48" s="6"/>
    </row>
    <row r="49" spans="1:11" ht="15.75">
      <c r="A49" s="8">
        <v>40</v>
      </c>
      <c r="B49" s="250" t="s">
        <v>1318</v>
      </c>
      <c r="C49" s="250" t="s">
        <v>1343</v>
      </c>
      <c r="D49" s="251"/>
      <c r="E49" s="252"/>
      <c r="F49" s="778">
        <f>+'State Allocation Formulas'!$L$25</f>
        <v>0.77239999999999998</v>
      </c>
      <c r="G49" s="253">
        <f t="shared" si="2"/>
        <v>0</v>
      </c>
      <c r="H49" s="250"/>
      <c r="I49" s="255" t="s">
        <v>1331</v>
      </c>
      <c r="J49" s="250"/>
      <c r="K49" s="6"/>
    </row>
    <row r="50" spans="1:11" ht="15.75">
      <c r="A50" s="8">
        <v>41</v>
      </c>
      <c r="B50" s="250" t="s">
        <v>1318</v>
      </c>
      <c r="C50" s="250" t="s">
        <v>1344</v>
      </c>
      <c r="D50" s="251">
        <v>380</v>
      </c>
      <c r="E50" s="252">
        <v>461898.97</v>
      </c>
      <c r="F50" s="250"/>
      <c r="G50" s="253">
        <f t="shared" ref="G50:G53" si="3">+E50</f>
        <v>461898.97</v>
      </c>
      <c r="H50" s="804">
        <f>+G50</f>
        <v>461898.97</v>
      </c>
      <c r="I50" s="255">
        <v>1</v>
      </c>
      <c r="J50" s="253"/>
      <c r="K50" s="6"/>
    </row>
    <row r="51" spans="1:11" ht="15.75">
      <c r="A51" s="8">
        <v>42</v>
      </c>
      <c r="B51" s="250" t="s">
        <v>1318</v>
      </c>
      <c r="C51" s="250" t="s">
        <v>1345</v>
      </c>
      <c r="D51" s="251">
        <v>376</v>
      </c>
      <c r="E51" s="252"/>
      <c r="F51" s="250"/>
      <c r="G51" s="253">
        <f t="shared" si="3"/>
        <v>0</v>
      </c>
      <c r="H51" s="250"/>
      <c r="I51" s="255" t="s">
        <v>1346</v>
      </c>
      <c r="J51" s="250"/>
      <c r="K51" s="6"/>
    </row>
    <row r="52" spans="1:11" ht="15.75">
      <c r="A52" s="8">
        <v>43</v>
      </c>
      <c r="B52" s="250" t="s">
        <v>1318</v>
      </c>
      <c r="C52" s="250" t="s">
        <v>1347</v>
      </c>
      <c r="D52" s="251">
        <v>378</v>
      </c>
      <c r="E52" s="252">
        <v>-8668.64</v>
      </c>
      <c r="F52" s="250"/>
      <c r="G52" s="253">
        <f t="shared" si="3"/>
        <v>-8668.64</v>
      </c>
      <c r="H52" s="253"/>
      <c r="I52" s="255">
        <v>19</v>
      </c>
      <c r="J52" s="250"/>
      <c r="K52" s="6"/>
    </row>
    <row r="53" spans="1:11" ht="15.75">
      <c r="A53" s="8">
        <v>44</v>
      </c>
      <c r="B53" s="250" t="s">
        <v>1318</v>
      </c>
      <c r="C53" s="250" t="s">
        <v>1348</v>
      </c>
      <c r="D53" s="251">
        <v>376</v>
      </c>
      <c r="E53" s="252"/>
      <c r="F53" s="250"/>
      <c r="G53" s="253">
        <f t="shared" si="3"/>
        <v>0</v>
      </c>
      <c r="H53" s="254"/>
      <c r="I53" s="255" t="s">
        <v>1349</v>
      </c>
      <c r="J53" s="250"/>
      <c r="K53" s="6"/>
    </row>
    <row r="54" spans="1:11" ht="15.75">
      <c r="A54" s="8">
        <v>45</v>
      </c>
      <c r="B54" s="250" t="s">
        <v>1318</v>
      </c>
      <c r="C54" s="250" t="s">
        <v>1350</v>
      </c>
      <c r="D54" s="251"/>
      <c r="E54" s="252"/>
      <c r="F54" s="250"/>
      <c r="G54" s="253"/>
      <c r="H54" s="250"/>
      <c r="I54" s="255"/>
      <c r="J54" s="250"/>
      <c r="K54" s="6"/>
    </row>
    <row r="55" spans="1:11" ht="15.75">
      <c r="A55" s="8">
        <v>46</v>
      </c>
      <c r="B55" s="250" t="s">
        <v>1318</v>
      </c>
      <c r="C55" s="250" t="s">
        <v>1351</v>
      </c>
      <c r="D55" s="251"/>
      <c r="E55" s="252"/>
      <c r="F55" s="250"/>
      <c r="G55" s="253">
        <f t="shared" ref="G55:G56" si="4">+E55</f>
        <v>0</v>
      </c>
      <c r="H55" s="250"/>
      <c r="I55" s="255" t="s">
        <v>1346</v>
      </c>
      <c r="J55" s="250"/>
      <c r="K55" s="6"/>
    </row>
    <row r="56" spans="1:11" ht="15.75">
      <c r="A56" s="8">
        <v>47</v>
      </c>
      <c r="B56" s="250" t="s">
        <v>1318</v>
      </c>
      <c r="C56" s="250" t="s">
        <v>1352</v>
      </c>
      <c r="D56" s="251"/>
      <c r="E56" s="252"/>
      <c r="F56" s="250"/>
      <c r="G56" s="253">
        <f t="shared" si="4"/>
        <v>0</v>
      </c>
      <c r="H56" s="250"/>
      <c r="I56" s="255" t="s">
        <v>1346</v>
      </c>
      <c r="J56" s="250"/>
      <c r="K56" s="6"/>
    </row>
    <row r="57" spans="1:11" ht="15.75">
      <c r="A57" s="8">
        <v>48</v>
      </c>
      <c r="B57" s="250" t="s">
        <v>1318</v>
      </c>
      <c r="C57" s="250" t="s">
        <v>1353</v>
      </c>
      <c r="D57" s="251"/>
      <c r="E57" s="252"/>
      <c r="F57" s="250"/>
      <c r="G57" s="253"/>
      <c r="H57" s="250"/>
      <c r="I57" s="255"/>
      <c r="J57" s="250"/>
      <c r="K57" s="6"/>
    </row>
    <row r="58" spans="1:11" ht="15.75">
      <c r="A58" s="8">
        <v>49</v>
      </c>
      <c r="B58" s="250" t="s">
        <v>1318</v>
      </c>
      <c r="C58" s="250" t="s">
        <v>1354</v>
      </c>
      <c r="D58" s="251"/>
      <c r="E58" s="252"/>
      <c r="F58" s="250"/>
      <c r="G58" s="253"/>
      <c r="H58" s="250"/>
      <c r="I58" s="255"/>
      <c r="J58" s="250"/>
      <c r="K58" s="6"/>
    </row>
    <row r="59" spans="1:11" ht="15.75">
      <c r="A59" s="8">
        <v>50</v>
      </c>
      <c r="B59" s="250" t="s">
        <v>1318</v>
      </c>
      <c r="C59" s="250" t="s">
        <v>1355</v>
      </c>
      <c r="D59" s="251"/>
      <c r="E59" s="252"/>
      <c r="F59" s="250"/>
      <c r="G59" s="253">
        <f t="shared" ref="G59:G62" si="5">+E59</f>
        <v>0</v>
      </c>
      <c r="H59" s="250"/>
      <c r="I59" s="255" t="s">
        <v>1346</v>
      </c>
      <c r="J59" s="250"/>
      <c r="K59" s="6"/>
    </row>
    <row r="60" spans="1:11" ht="15.75">
      <c r="A60" s="8">
        <v>51</v>
      </c>
      <c r="B60" s="250" t="s">
        <v>1318</v>
      </c>
      <c r="C60" s="250" t="s">
        <v>1356</v>
      </c>
      <c r="D60" s="251"/>
      <c r="E60" s="252"/>
      <c r="F60" s="250"/>
      <c r="G60" s="253">
        <f t="shared" si="5"/>
        <v>0</v>
      </c>
      <c r="H60" s="250"/>
      <c r="I60" s="255" t="s">
        <v>1346</v>
      </c>
      <c r="J60" s="250"/>
      <c r="K60" s="6"/>
    </row>
    <row r="61" spans="1:11" ht="15.75">
      <c r="A61" s="8">
        <v>52</v>
      </c>
      <c r="B61" s="250" t="s">
        <v>1318</v>
      </c>
      <c r="C61" s="250" t="s">
        <v>1357</v>
      </c>
      <c r="D61" s="251"/>
      <c r="E61" s="252"/>
      <c r="F61" s="250"/>
      <c r="G61" s="253">
        <f t="shared" si="5"/>
        <v>0</v>
      </c>
      <c r="H61" s="250"/>
      <c r="I61" s="255" t="s">
        <v>1346</v>
      </c>
      <c r="J61" s="250"/>
      <c r="K61" s="6"/>
    </row>
    <row r="62" spans="1:11" ht="15.75">
      <c r="A62" s="8">
        <v>53</v>
      </c>
      <c r="B62" s="250" t="s">
        <v>1318</v>
      </c>
      <c r="C62" s="250" t="s">
        <v>1358</v>
      </c>
      <c r="D62" s="251">
        <v>376</v>
      </c>
      <c r="E62" s="252">
        <v>163366.01</v>
      </c>
      <c r="F62" s="250"/>
      <c r="G62" s="253">
        <f t="shared" si="5"/>
        <v>163366.01</v>
      </c>
      <c r="H62" s="253"/>
      <c r="I62" s="255">
        <v>24</v>
      </c>
      <c r="J62" s="250"/>
      <c r="K62" s="6"/>
    </row>
    <row r="63" spans="1:11" ht="15.75">
      <c r="A63" s="8">
        <v>54</v>
      </c>
      <c r="B63" s="250" t="s">
        <v>1318</v>
      </c>
      <c r="C63" s="250" t="s">
        <v>1359</v>
      </c>
      <c r="D63" s="251"/>
      <c r="E63" s="252"/>
      <c r="F63" s="250"/>
      <c r="G63" s="253"/>
      <c r="H63" s="250"/>
      <c r="I63" s="255"/>
      <c r="J63" s="250"/>
      <c r="K63" s="6"/>
    </row>
    <row r="64" spans="1:11" ht="15.75">
      <c r="A64" s="8">
        <v>55</v>
      </c>
      <c r="B64" s="250" t="s">
        <v>1318</v>
      </c>
      <c r="C64" s="250" t="s">
        <v>1360</v>
      </c>
      <c r="D64" s="251">
        <v>376</v>
      </c>
      <c r="E64" s="252">
        <v>1629345.19</v>
      </c>
      <c r="F64" s="250"/>
      <c r="G64" s="253">
        <f>+E64</f>
        <v>1629345.19</v>
      </c>
      <c r="H64" s="804">
        <f>+G64</f>
        <v>1629345.19</v>
      </c>
      <c r="I64" s="255">
        <v>20</v>
      </c>
      <c r="J64" s="253"/>
      <c r="K64" s="6"/>
    </row>
    <row r="65" spans="1:11" ht="15.75">
      <c r="A65" s="8">
        <v>56</v>
      </c>
      <c r="B65" s="250" t="s">
        <v>1318</v>
      </c>
      <c r="C65" s="250" t="s">
        <v>1361</v>
      </c>
      <c r="D65" s="251">
        <v>376</v>
      </c>
      <c r="E65" s="252"/>
      <c r="F65" s="250"/>
      <c r="G65" s="253"/>
      <c r="H65" s="250"/>
      <c r="I65" s="255"/>
      <c r="J65" s="250"/>
      <c r="K65" s="6"/>
    </row>
    <row r="66" spans="1:11" ht="15.75">
      <c r="A66" s="8">
        <v>57</v>
      </c>
      <c r="B66" s="250" t="s">
        <v>1318</v>
      </c>
      <c r="C66" s="250" t="s">
        <v>1362</v>
      </c>
      <c r="D66" s="251">
        <v>376</v>
      </c>
      <c r="E66" s="252"/>
      <c r="F66" s="250"/>
      <c r="G66" s="253"/>
      <c r="H66" s="250"/>
      <c r="I66" s="255"/>
      <c r="J66" s="250"/>
      <c r="K66" s="6"/>
    </row>
    <row r="67" spans="1:11" ht="15.75">
      <c r="A67" s="8">
        <v>58</v>
      </c>
      <c r="B67" s="250" t="s">
        <v>1318</v>
      </c>
      <c r="C67" s="250" t="s">
        <v>1363</v>
      </c>
      <c r="D67" s="251">
        <v>378</v>
      </c>
      <c r="E67" s="252">
        <v>1694181.59</v>
      </c>
      <c r="F67" s="250"/>
      <c r="G67" s="253">
        <f>+E67</f>
        <v>1694181.59</v>
      </c>
      <c r="H67" s="804">
        <f>+G67</f>
        <v>1694181.59</v>
      </c>
      <c r="I67" s="255">
        <v>8</v>
      </c>
      <c r="J67" s="253"/>
      <c r="K67" s="6"/>
    </row>
    <row r="68" spans="1:11" ht="15.75">
      <c r="A68" s="8">
        <v>59</v>
      </c>
      <c r="B68" s="250" t="s">
        <v>1318</v>
      </c>
      <c r="C68" s="250" t="s">
        <v>1364</v>
      </c>
      <c r="D68" s="251"/>
      <c r="E68" s="252"/>
      <c r="F68" s="250"/>
      <c r="G68" s="253"/>
      <c r="H68" s="250"/>
      <c r="I68" s="255"/>
      <c r="J68" s="250"/>
      <c r="K68" s="6"/>
    </row>
    <row r="69" spans="1:11" ht="15.75">
      <c r="A69" s="8">
        <v>60</v>
      </c>
      <c r="B69" s="250" t="s">
        <v>1318</v>
      </c>
      <c r="C69" s="250" t="s">
        <v>1365</v>
      </c>
      <c r="D69" s="251">
        <v>376</v>
      </c>
      <c r="E69" s="252">
        <v>174654.47</v>
      </c>
      <c r="F69" s="250"/>
      <c r="G69" s="253">
        <f t="shared" ref="G69:G71" si="6">+E69</f>
        <v>174654.47</v>
      </c>
      <c r="H69" s="254"/>
      <c r="I69" s="255">
        <v>52</v>
      </c>
      <c r="J69" s="250"/>
      <c r="K69" s="6"/>
    </row>
    <row r="70" spans="1:11" ht="15.75">
      <c r="A70" s="8">
        <v>61</v>
      </c>
      <c r="B70" s="250" t="s">
        <v>1318</v>
      </c>
      <c r="C70" s="250" t="s">
        <v>1366</v>
      </c>
      <c r="D70" s="251">
        <v>376</v>
      </c>
      <c r="E70" s="252"/>
      <c r="F70" s="250"/>
      <c r="G70" s="253">
        <f t="shared" si="6"/>
        <v>0</v>
      </c>
      <c r="H70" s="250"/>
      <c r="I70" s="255" t="s">
        <v>1346</v>
      </c>
      <c r="J70" s="250"/>
      <c r="K70" s="6"/>
    </row>
    <row r="71" spans="1:11" ht="15.75">
      <c r="A71" s="8">
        <v>62</v>
      </c>
      <c r="B71" s="250" t="s">
        <v>1318</v>
      </c>
      <c r="C71" s="250" t="s">
        <v>1367</v>
      </c>
      <c r="D71" s="251">
        <v>376</v>
      </c>
      <c r="E71" s="252"/>
      <c r="F71" s="250"/>
      <c r="G71" s="253">
        <f t="shared" si="6"/>
        <v>0</v>
      </c>
      <c r="H71" s="253"/>
      <c r="I71" s="255">
        <v>39</v>
      </c>
      <c r="J71" s="250"/>
      <c r="K71" s="6"/>
    </row>
    <row r="72" spans="1:11" ht="15.75">
      <c r="A72" s="8">
        <v>63</v>
      </c>
      <c r="B72" s="250" t="s">
        <v>1318</v>
      </c>
      <c r="C72" s="250" t="s">
        <v>1368</v>
      </c>
      <c r="D72" s="251"/>
      <c r="E72" s="252"/>
      <c r="F72" s="250"/>
      <c r="G72" s="253"/>
      <c r="H72" s="250"/>
      <c r="I72" s="255"/>
      <c r="J72" s="250"/>
      <c r="K72" s="6"/>
    </row>
    <row r="73" spans="1:11" ht="15.75">
      <c r="A73" s="8">
        <v>64</v>
      </c>
      <c r="B73" s="250" t="s">
        <v>1318</v>
      </c>
      <c r="C73" s="250" t="s">
        <v>1369</v>
      </c>
      <c r="D73" s="251"/>
      <c r="E73" s="252"/>
      <c r="F73" s="250"/>
      <c r="G73" s="253">
        <f>+E73</f>
        <v>0</v>
      </c>
      <c r="H73" s="250"/>
      <c r="I73" s="255" t="s">
        <v>1331</v>
      </c>
      <c r="J73" s="250"/>
      <c r="K73" s="6"/>
    </row>
    <row r="74" spans="1:11" ht="15.75">
      <c r="A74" s="8">
        <v>65</v>
      </c>
      <c r="B74" s="250" t="s">
        <v>1318</v>
      </c>
      <c r="C74" s="250" t="s">
        <v>1370</v>
      </c>
      <c r="D74" s="251"/>
      <c r="E74" s="252"/>
      <c r="F74" s="250"/>
      <c r="G74" s="253"/>
      <c r="H74" s="250"/>
      <c r="I74" s="255"/>
      <c r="J74" s="250"/>
      <c r="K74" s="6"/>
    </row>
    <row r="75" spans="1:11" ht="15.75">
      <c r="A75" s="8">
        <v>66</v>
      </c>
      <c r="B75" s="250" t="s">
        <v>1318</v>
      </c>
      <c r="C75" s="250" t="s">
        <v>1371</v>
      </c>
      <c r="D75" s="251"/>
      <c r="E75" s="252"/>
      <c r="F75" s="250"/>
      <c r="G75" s="253">
        <f t="shared" ref="G75:G76" si="7">+E75</f>
        <v>0</v>
      </c>
      <c r="H75" s="254"/>
      <c r="I75" s="255" t="s">
        <v>1349</v>
      </c>
      <c r="J75" s="250"/>
      <c r="K75" s="6"/>
    </row>
    <row r="76" spans="1:11" ht="15.75">
      <c r="A76" s="8">
        <v>67</v>
      </c>
      <c r="B76" s="250" t="s">
        <v>1318</v>
      </c>
      <c r="C76" s="250" t="s">
        <v>1372</v>
      </c>
      <c r="D76" s="251">
        <v>376</v>
      </c>
      <c r="E76" s="252"/>
      <c r="F76" s="250"/>
      <c r="G76" s="253">
        <f t="shared" si="7"/>
        <v>0</v>
      </c>
      <c r="H76" s="250"/>
      <c r="I76" s="255" t="s">
        <v>1346</v>
      </c>
      <c r="J76" s="250"/>
      <c r="K76" s="6"/>
    </row>
    <row r="77" spans="1:11" ht="15.75">
      <c r="A77" s="8">
        <v>68</v>
      </c>
      <c r="B77" s="250" t="s">
        <v>1318</v>
      </c>
      <c r="C77" s="250" t="s">
        <v>1373</v>
      </c>
      <c r="D77" s="251"/>
      <c r="E77" s="252"/>
      <c r="F77" s="250"/>
      <c r="G77" s="253"/>
      <c r="H77" s="250"/>
      <c r="I77" s="255"/>
      <c r="J77" s="250"/>
      <c r="K77" s="6"/>
    </row>
    <row r="78" spans="1:11" ht="15.75">
      <c r="A78" s="8">
        <v>69</v>
      </c>
      <c r="B78" s="250" t="s">
        <v>1318</v>
      </c>
      <c r="C78" s="250" t="s">
        <v>1374</v>
      </c>
      <c r="D78" s="251"/>
      <c r="E78" s="252"/>
      <c r="F78" s="250"/>
      <c r="G78" s="253"/>
      <c r="H78" s="250"/>
      <c r="I78" s="255"/>
      <c r="J78" s="250"/>
      <c r="K78" s="6"/>
    </row>
    <row r="79" spans="1:11" ht="15.75">
      <c r="A79" s="8">
        <v>70</v>
      </c>
      <c r="B79" s="250" t="s">
        <v>1318</v>
      </c>
      <c r="C79" s="250" t="s">
        <v>1375</v>
      </c>
      <c r="D79" s="251"/>
      <c r="E79" s="252"/>
      <c r="F79" s="250"/>
      <c r="G79" s="253">
        <f t="shared" ref="G79:G95" si="8">+E79</f>
        <v>0</v>
      </c>
      <c r="H79" s="250"/>
      <c r="I79" s="255" t="s">
        <v>1346</v>
      </c>
      <c r="J79" s="250"/>
      <c r="K79" s="6"/>
    </row>
    <row r="80" spans="1:11" ht="15.75">
      <c r="A80" s="8">
        <v>71</v>
      </c>
      <c r="B80" s="250" t="s">
        <v>1318</v>
      </c>
      <c r="C80" s="250" t="s">
        <v>1376</v>
      </c>
      <c r="D80" s="251"/>
      <c r="E80" s="252"/>
      <c r="F80" s="250"/>
      <c r="G80" s="253">
        <f t="shared" si="8"/>
        <v>0</v>
      </c>
      <c r="H80" s="250"/>
      <c r="I80" s="255" t="s">
        <v>1346</v>
      </c>
      <c r="J80" s="250"/>
      <c r="K80" s="6"/>
    </row>
    <row r="81" spans="1:11" ht="15.75">
      <c r="A81" s="8">
        <v>72</v>
      </c>
      <c r="B81" s="250" t="s">
        <v>1318</v>
      </c>
      <c r="C81" s="250" t="s">
        <v>1377</v>
      </c>
      <c r="D81" s="251"/>
      <c r="E81" s="252"/>
      <c r="F81" s="250"/>
      <c r="G81" s="253"/>
      <c r="H81" s="250"/>
      <c r="I81" s="255"/>
      <c r="J81" s="250"/>
      <c r="K81" s="6"/>
    </row>
    <row r="82" spans="1:11" ht="15.75">
      <c r="A82" s="8">
        <v>73</v>
      </c>
      <c r="B82" s="250" t="s">
        <v>1318</v>
      </c>
      <c r="C82" s="250" t="s">
        <v>1378</v>
      </c>
      <c r="D82" s="251">
        <v>376</v>
      </c>
      <c r="E82" s="252"/>
      <c r="F82" s="250"/>
      <c r="G82" s="253">
        <f t="shared" si="8"/>
        <v>0</v>
      </c>
      <c r="H82" s="250"/>
      <c r="I82" s="255" t="s">
        <v>1346</v>
      </c>
      <c r="J82" s="250"/>
      <c r="K82" s="6"/>
    </row>
    <row r="83" spans="1:11" ht="15.75">
      <c r="A83" s="8">
        <v>74</v>
      </c>
      <c r="B83" s="250" t="s">
        <v>1318</v>
      </c>
      <c r="C83" s="250" t="s">
        <v>1379</v>
      </c>
      <c r="D83" s="251">
        <v>376</v>
      </c>
      <c r="E83" s="252"/>
      <c r="F83" s="250"/>
      <c r="G83" s="253">
        <f t="shared" si="8"/>
        <v>0</v>
      </c>
      <c r="H83" s="254"/>
      <c r="I83" s="255" t="s">
        <v>1305</v>
      </c>
      <c r="J83" s="250"/>
      <c r="K83" s="6"/>
    </row>
    <row r="84" spans="1:11" ht="15.75">
      <c r="A84" s="8">
        <v>75</v>
      </c>
      <c r="B84" s="250" t="s">
        <v>1318</v>
      </c>
      <c r="C84" s="250" t="s">
        <v>1380</v>
      </c>
      <c r="D84" s="251">
        <v>376</v>
      </c>
      <c r="E84" s="252">
        <v>100320.89</v>
      </c>
      <c r="F84" s="250"/>
      <c r="G84" s="253">
        <f t="shared" si="8"/>
        <v>100320.89</v>
      </c>
      <c r="H84" s="253"/>
      <c r="I84" s="255">
        <v>15</v>
      </c>
      <c r="J84" s="250"/>
      <c r="K84" s="6"/>
    </row>
    <row r="85" spans="1:11" ht="15.75">
      <c r="A85" s="8">
        <v>76</v>
      </c>
      <c r="B85" s="250" t="s">
        <v>1318</v>
      </c>
      <c r="C85" s="250" t="s">
        <v>1381</v>
      </c>
      <c r="D85" s="251"/>
      <c r="E85" s="252"/>
      <c r="F85" s="250"/>
      <c r="G85" s="253"/>
      <c r="H85" s="250"/>
      <c r="I85" s="255"/>
      <c r="J85" s="250"/>
      <c r="K85" s="6"/>
    </row>
    <row r="86" spans="1:11" ht="15.75">
      <c r="A86" s="8">
        <v>77</v>
      </c>
      <c r="B86" s="250" t="s">
        <v>1318</v>
      </c>
      <c r="C86" s="250" t="s">
        <v>1382</v>
      </c>
      <c r="D86" s="251">
        <v>376</v>
      </c>
      <c r="E86" s="252">
        <v>14616.22</v>
      </c>
      <c r="F86" s="250"/>
      <c r="G86" s="253">
        <f t="shared" si="8"/>
        <v>14616.22</v>
      </c>
      <c r="H86" s="254"/>
      <c r="I86" s="255">
        <v>53</v>
      </c>
      <c r="J86" s="250"/>
      <c r="K86" s="6"/>
    </row>
    <row r="87" spans="1:11" ht="15.75">
      <c r="A87" s="8">
        <v>78</v>
      </c>
      <c r="B87" s="250" t="s">
        <v>1318</v>
      </c>
      <c r="C87" s="250" t="s">
        <v>1383</v>
      </c>
      <c r="D87" s="251">
        <v>376</v>
      </c>
      <c r="E87" s="252">
        <v>1838.52</v>
      </c>
      <c r="F87" s="250"/>
      <c r="G87" s="253">
        <f t="shared" si="8"/>
        <v>1838.52</v>
      </c>
      <c r="H87" s="253"/>
      <c r="I87" s="255">
        <v>16</v>
      </c>
      <c r="J87" s="250"/>
      <c r="K87" s="6"/>
    </row>
    <row r="88" spans="1:11" ht="15.75">
      <c r="A88" s="8">
        <v>79</v>
      </c>
      <c r="B88" s="250" t="s">
        <v>1318</v>
      </c>
      <c r="C88" s="250" t="s">
        <v>1384</v>
      </c>
      <c r="D88" s="251">
        <v>376</v>
      </c>
      <c r="E88" s="252"/>
      <c r="F88" s="250"/>
      <c r="G88" s="253">
        <f t="shared" si="8"/>
        <v>0</v>
      </c>
      <c r="H88" s="250"/>
      <c r="I88" s="255" t="s">
        <v>1346</v>
      </c>
      <c r="J88" s="250"/>
      <c r="K88" s="6"/>
    </row>
    <row r="89" spans="1:11" ht="15.75">
      <c r="A89" s="8">
        <v>80</v>
      </c>
      <c r="B89" s="250" t="s">
        <v>1318</v>
      </c>
      <c r="C89" s="250" t="s">
        <v>1385</v>
      </c>
      <c r="D89" s="251"/>
      <c r="E89" s="252"/>
      <c r="F89" s="250"/>
      <c r="G89" s="253">
        <f t="shared" si="8"/>
        <v>0</v>
      </c>
      <c r="H89" s="254"/>
      <c r="I89" s="255" t="s">
        <v>1331</v>
      </c>
      <c r="J89" s="250"/>
      <c r="K89" s="6"/>
    </row>
    <row r="90" spans="1:11" ht="15.75">
      <c r="A90" s="8">
        <v>81</v>
      </c>
      <c r="B90" s="250" t="s">
        <v>1318</v>
      </c>
      <c r="C90" s="250" t="s">
        <v>1386</v>
      </c>
      <c r="D90" s="251">
        <v>376</v>
      </c>
      <c r="E90" s="252">
        <v>168342.87</v>
      </c>
      <c r="F90" s="250"/>
      <c r="G90" s="253">
        <f t="shared" si="8"/>
        <v>168342.87</v>
      </c>
      <c r="H90" s="253"/>
      <c r="I90" s="255">
        <v>40</v>
      </c>
      <c r="J90" s="250"/>
      <c r="K90" s="6"/>
    </row>
    <row r="91" spans="1:11" ht="15.75">
      <c r="A91" s="8">
        <v>82</v>
      </c>
      <c r="B91" s="250" t="s">
        <v>1318</v>
      </c>
      <c r="C91" s="250" t="s">
        <v>1387</v>
      </c>
      <c r="D91" s="251">
        <v>376</v>
      </c>
      <c r="E91" s="252"/>
      <c r="F91" s="250"/>
      <c r="G91" s="253">
        <f t="shared" si="8"/>
        <v>0</v>
      </c>
      <c r="H91" s="250"/>
      <c r="I91" s="255" t="s">
        <v>1346</v>
      </c>
      <c r="J91" s="250"/>
      <c r="K91" s="6"/>
    </row>
    <row r="92" spans="1:11" ht="15.75">
      <c r="A92" s="8">
        <v>83</v>
      </c>
      <c r="B92" s="250" t="s">
        <v>1318</v>
      </c>
      <c r="C92" s="250" t="s">
        <v>1388</v>
      </c>
      <c r="D92" s="251">
        <v>376</v>
      </c>
      <c r="E92" s="252"/>
      <c r="F92" s="250"/>
      <c r="G92" s="253">
        <f t="shared" si="8"/>
        <v>0</v>
      </c>
      <c r="H92" s="254"/>
      <c r="I92" s="255" t="s">
        <v>1349</v>
      </c>
      <c r="J92" s="250"/>
      <c r="K92" s="6"/>
    </row>
    <row r="93" spans="1:11" ht="15.75">
      <c r="A93" s="8">
        <v>84</v>
      </c>
      <c r="B93" s="250" t="s">
        <v>1318</v>
      </c>
      <c r="C93" s="250" t="s">
        <v>1389</v>
      </c>
      <c r="D93" s="251">
        <v>376</v>
      </c>
      <c r="E93" s="252">
        <v>225.53</v>
      </c>
      <c r="F93" s="250"/>
      <c r="G93" s="253">
        <f t="shared" si="8"/>
        <v>225.53</v>
      </c>
      <c r="H93" s="253"/>
      <c r="I93" s="255">
        <v>25</v>
      </c>
      <c r="J93" s="250"/>
      <c r="K93" s="6"/>
    </row>
    <row r="94" spans="1:11" ht="15.75">
      <c r="A94" s="8">
        <v>85</v>
      </c>
      <c r="B94" s="250" t="s">
        <v>1318</v>
      </c>
      <c r="C94" s="250" t="s">
        <v>1390</v>
      </c>
      <c r="D94" s="251">
        <v>376</v>
      </c>
      <c r="E94" s="252">
        <v>12870.53</v>
      </c>
      <c r="F94" s="250"/>
      <c r="G94" s="253">
        <f t="shared" si="8"/>
        <v>12870.53</v>
      </c>
      <c r="H94" s="253"/>
      <c r="I94" s="255">
        <v>26</v>
      </c>
      <c r="J94" s="250"/>
      <c r="K94" s="6"/>
    </row>
    <row r="95" spans="1:11" ht="15.75">
      <c r="A95" s="8">
        <v>86</v>
      </c>
      <c r="B95" s="250" t="s">
        <v>1318</v>
      </c>
      <c r="C95" s="250" t="s">
        <v>1391</v>
      </c>
      <c r="D95" s="251">
        <v>376</v>
      </c>
      <c r="E95" s="252">
        <v>2549.29</v>
      </c>
      <c r="F95" s="250"/>
      <c r="G95" s="253">
        <f t="shared" si="8"/>
        <v>2549.29</v>
      </c>
      <c r="H95" s="253"/>
      <c r="I95" s="255">
        <v>27</v>
      </c>
      <c r="J95" s="250"/>
      <c r="K95" s="6"/>
    </row>
    <row r="96" spans="1:11" ht="15.75">
      <c r="A96" s="8">
        <v>87</v>
      </c>
      <c r="B96" s="250" t="s">
        <v>1318</v>
      </c>
      <c r="C96" s="250" t="s">
        <v>1392</v>
      </c>
      <c r="D96" s="251"/>
      <c r="E96" s="252"/>
      <c r="F96" s="250"/>
      <c r="G96" s="253"/>
      <c r="H96" s="250"/>
      <c r="I96" s="255"/>
      <c r="J96" s="250"/>
      <c r="K96" s="6"/>
    </row>
    <row r="97" spans="1:11" ht="15.75">
      <c r="A97" s="8">
        <v>88</v>
      </c>
      <c r="B97" s="250" t="s">
        <v>1318</v>
      </c>
      <c r="C97" s="250" t="s">
        <v>1393</v>
      </c>
      <c r="D97" s="251"/>
      <c r="E97" s="252"/>
      <c r="F97" s="250"/>
      <c r="G97" s="253"/>
      <c r="H97" s="250"/>
      <c r="I97" s="255"/>
      <c r="J97" s="250"/>
      <c r="K97" s="6"/>
    </row>
    <row r="98" spans="1:11" ht="15.75">
      <c r="A98" s="8">
        <v>89</v>
      </c>
      <c r="B98" s="250" t="s">
        <v>1318</v>
      </c>
      <c r="C98" s="250" t="s">
        <v>1394</v>
      </c>
      <c r="D98" s="251">
        <v>378</v>
      </c>
      <c r="E98" s="252">
        <v>63181.440000000002</v>
      </c>
      <c r="F98" s="250"/>
      <c r="G98" s="253">
        <f>+E98</f>
        <v>63181.440000000002</v>
      </c>
      <c r="H98" s="253"/>
      <c r="I98" s="255">
        <v>37</v>
      </c>
      <c r="J98" s="250"/>
      <c r="K98" s="6"/>
    </row>
    <row r="99" spans="1:11" ht="15.75">
      <c r="A99" s="8">
        <v>90</v>
      </c>
      <c r="B99" s="250" t="s">
        <v>1318</v>
      </c>
      <c r="C99" s="250" t="s">
        <v>1395</v>
      </c>
      <c r="D99" s="251">
        <v>378</v>
      </c>
      <c r="E99" s="252">
        <v>7015.18</v>
      </c>
      <c r="F99" s="250"/>
      <c r="G99" s="253">
        <f>+E99</f>
        <v>7015.18</v>
      </c>
      <c r="H99" s="253"/>
      <c r="I99" s="255">
        <v>38</v>
      </c>
      <c r="J99" s="250"/>
      <c r="K99" s="6"/>
    </row>
    <row r="100" spans="1:11" ht="15.75">
      <c r="A100" s="8">
        <v>91</v>
      </c>
      <c r="B100" s="250" t="s">
        <v>1318</v>
      </c>
      <c r="C100" s="250" t="s">
        <v>1396</v>
      </c>
      <c r="D100" s="251"/>
      <c r="E100" s="252"/>
      <c r="F100" s="250"/>
      <c r="G100" s="253">
        <f>+E100</f>
        <v>0</v>
      </c>
      <c r="H100" s="253"/>
      <c r="I100" s="255">
        <v>21</v>
      </c>
      <c r="J100" s="250"/>
      <c r="K100" s="6"/>
    </row>
    <row r="101" spans="1:11" ht="15.75">
      <c r="A101" s="8">
        <v>92</v>
      </c>
      <c r="B101" s="250" t="s">
        <v>1318</v>
      </c>
      <c r="C101" s="250" t="s">
        <v>1397</v>
      </c>
      <c r="D101" s="251">
        <v>376</v>
      </c>
      <c r="E101" s="252"/>
      <c r="F101" s="250"/>
      <c r="G101" s="253"/>
      <c r="H101" s="250"/>
      <c r="I101" s="255"/>
      <c r="J101" s="250"/>
      <c r="K101" s="6"/>
    </row>
    <row r="102" spans="1:11" ht="15.75">
      <c r="A102" s="8">
        <v>93</v>
      </c>
      <c r="B102" s="250" t="s">
        <v>1318</v>
      </c>
      <c r="C102" s="250" t="s">
        <v>1398</v>
      </c>
      <c r="D102" s="251"/>
      <c r="E102" s="252"/>
      <c r="F102" s="250"/>
      <c r="G102" s="253"/>
      <c r="H102" s="250"/>
      <c r="I102" s="255"/>
      <c r="J102" s="250"/>
      <c r="K102" s="6"/>
    </row>
    <row r="103" spans="1:11" ht="15.75">
      <c r="A103" s="8">
        <v>94</v>
      </c>
      <c r="B103" s="250" t="s">
        <v>1318</v>
      </c>
      <c r="C103" s="250" t="s">
        <v>1399</v>
      </c>
      <c r="D103" s="251"/>
      <c r="E103" s="252"/>
      <c r="F103" s="250"/>
      <c r="G103" s="253"/>
      <c r="H103" s="250"/>
      <c r="I103" s="255"/>
      <c r="J103" s="250"/>
      <c r="K103" s="6"/>
    </row>
    <row r="104" spans="1:11" ht="15.75">
      <c r="A104" s="8">
        <v>95</v>
      </c>
      <c r="B104" s="250" t="s">
        <v>1318</v>
      </c>
      <c r="C104" s="250" t="s">
        <v>1400</v>
      </c>
      <c r="D104" s="251"/>
      <c r="E104" s="252"/>
      <c r="F104" s="250"/>
      <c r="G104" s="253"/>
      <c r="H104" s="250"/>
      <c r="I104" s="255"/>
      <c r="J104" s="250"/>
      <c r="K104" s="6"/>
    </row>
    <row r="105" spans="1:11" ht="15.75">
      <c r="A105" s="8">
        <v>96</v>
      </c>
      <c r="B105" s="250" t="s">
        <v>1318</v>
      </c>
      <c r="C105" s="250" t="s">
        <v>1401</v>
      </c>
      <c r="D105" s="251"/>
      <c r="E105" s="252"/>
      <c r="F105" s="250"/>
      <c r="G105" s="253"/>
      <c r="H105" s="250"/>
      <c r="I105" s="255"/>
      <c r="J105" s="250"/>
      <c r="K105" s="6"/>
    </row>
    <row r="106" spans="1:11" ht="15.75">
      <c r="A106" s="8">
        <v>97</v>
      </c>
      <c r="B106" s="250" t="s">
        <v>1318</v>
      </c>
      <c r="C106" s="250" t="s">
        <v>1402</v>
      </c>
      <c r="D106" s="251"/>
      <c r="E106" s="252"/>
      <c r="F106" s="250"/>
      <c r="G106" s="253"/>
      <c r="H106" s="250"/>
      <c r="I106" s="255"/>
      <c r="J106" s="250"/>
      <c r="K106" s="6"/>
    </row>
    <row r="107" spans="1:11" ht="15.75">
      <c r="A107" s="8">
        <v>98</v>
      </c>
      <c r="B107" s="250" t="s">
        <v>1318</v>
      </c>
      <c r="C107" s="250" t="s">
        <v>1403</v>
      </c>
      <c r="D107" s="251"/>
      <c r="E107" s="252"/>
      <c r="F107" s="250"/>
      <c r="G107" s="253"/>
      <c r="H107" s="250"/>
      <c r="I107" s="255"/>
      <c r="J107" s="250"/>
      <c r="K107" s="6"/>
    </row>
    <row r="108" spans="1:11" ht="15.75">
      <c r="A108" s="8">
        <v>99</v>
      </c>
      <c r="B108" s="250" t="s">
        <v>1318</v>
      </c>
      <c r="C108" s="250" t="s">
        <v>1550</v>
      </c>
      <c r="D108" s="251">
        <v>376</v>
      </c>
      <c r="E108" s="252">
        <v>56399.46</v>
      </c>
      <c r="F108" s="250"/>
      <c r="G108" s="253">
        <f>+E108</f>
        <v>56399.46</v>
      </c>
      <c r="H108" s="253"/>
      <c r="I108" s="255">
        <v>17</v>
      </c>
      <c r="J108" s="250"/>
      <c r="K108" s="6"/>
    </row>
    <row r="109" spans="1:11" ht="15.75">
      <c r="A109" s="8">
        <v>100</v>
      </c>
      <c r="B109" s="250" t="s">
        <v>1318</v>
      </c>
      <c r="C109" s="250" t="s">
        <v>1404</v>
      </c>
      <c r="D109" s="251"/>
      <c r="E109" s="252"/>
      <c r="F109" s="250"/>
      <c r="G109" s="253"/>
      <c r="H109" s="250"/>
      <c r="I109" s="255">
        <v>1</v>
      </c>
      <c r="J109" s="250"/>
      <c r="K109" s="6"/>
    </row>
    <row r="110" spans="1:11" ht="15.75">
      <c r="A110" s="8">
        <v>101</v>
      </c>
      <c r="B110" s="250" t="s">
        <v>1318</v>
      </c>
      <c r="C110" s="250" t="s">
        <v>1405</v>
      </c>
      <c r="D110" s="251">
        <v>381</v>
      </c>
      <c r="E110" s="252">
        <v>540259.5</v>
      </c>
      <c r="F110" s="778">
        <f>+'State Allocation Formulas'!$L$25</f>
        <v>0.77239999999999998</v>
      </c>
      <c r="G110" s="253">
        <f>+E110*F110</f>
        <v>417296.43780000001</v>
      </c>
      <c r="H110" s="804">
        <f>+G110</f>
        <v>417296.43780000001</v>
      </c>
      <c r="I110" s="255">
        <v>51</v>
      </c>
      <c r="J110" s="253"/>
      <c r="K110" s="6"/>
    </row>
    <row r="111" spans="1:11" ht="15.75">
      <c r="A111" s="8">
        <v>102</v>
      </c>
      <c r="B111" s="250" t="s">
        <v>1318</v>
      </c>
      <c r="C111" s="250" t="s">
        <v>1406</v>
      </c>
      <c r="D111" s="251">
        <v>376</v>
      </c>
      <c r="E111" s="252"/>
      <c r="F111" s="250"/>
      <c r="G111" s="253">
        <f t="shared" ref="G111" si="9">+E111</f>
        <v>0</v>
      </c>
      <c r="H111" s="250"/>
      <c r="I111" s="255" t="s">
        <v>1331</v>
      </c>
      <c r="J111" s="250"/>
      <c r="K111" s="6"/>
    </row>
    <row r="112" spans="1:11" ht="15.75">
      <c r="A112" s="8">
        <v>103</v>
      </c>
      <c r="B112" s="250" t="s">
        <v>1318</v>
      </c>
      <c r="C112" s="250" t="s">
        <v>1407</v>
      </c>
      <c r="D112" s="251">
        <v>376</v>
      </c>
      <c r="E112" s="252">
        <v>124358.12</v>
      </c>
      <c r="F112" s="250"/>
      <c r="G112" s="253">
        <v>0</v>
      </c>
      <c r="H112" s="253"/>
      <c r="I112" s="255">
        <v>32</v>
      </c>
      <c r="J112" s="250"/>
      <c r="K112" s="6"/>
    </row>
    <row r="113" spans="1:11" ht="15.75">
      <c r="A113" s="8">
        <v>104</v>
      </c>
      <c r="B113" s="250" t="s">
        <v>1318</v>
      </c>
      <c r="C113" s="250" t="s">
        <v>1408</v>
      </c>
      <c r="D113" s="251">
        <v>376</v>
      </c>
      <c r="E113" s="252">
        <v>96566.06</v>
      </c>
      <c r="F113" s="250"/>
      <c r="G113" s="253">
        <f>+E113</f>
        <v>96566.06</v>
      </c>
      <c r="H113" s="253"/>
      <c r="I113" s="255">
        <v>33</v>
      </c>
      <c r="J113" s="250"/>
      <c r="K113" s="6"/>
    </row>
    <row r="114" spans="1:11" ht="15.75">
      <c r="A114" s="8">
        <v>105</v>
      </c>
      <c r="B114" s="250" t="s">
        <v>1318</v>
      </c>
      <c r="C114" s="250" t="s">
        <v>1409</v>
      </c>
      <c r="D114" s="251">
        <v>376</v>
      </c>
      <c r="E114" s="252"/>
      <c r="F114" s="250"/>
      <c r="G114" s="253">
        <f t="shared" ref="G114:G120" si="10">+E114</f>
        <v>0</v>
      </c>
      <c r="H114" s="254"/>
      <c r="I114" s="255">
        <v>34</v>
      </c>
      <c r="J114" s="250"/>
      <c r="K114" s="6"/>
    </row>
    <row r="115" spans="1:11" ht="15.75">
      <c r="A115" s="8">
        <v>106</v>
      </c>
      <c r="B115" s="250" t="s">
        <v>1318</v>
      </c>
      <c r="C115" s="250" t="s">
        <v>1410</v>
      </c>
      <c r="D115" s="251">
        <v>376</v>
      </c>
      <c r="E115" s="252"/>
      <c r="F115" s="250"/>
      <c r="G115" s="253">
        <f t="shared" si="10"/>
        <v>0</v>
      </c>
      <c r="H115" s="253"/>
      <c r="I115" s="255">
        <v>34</v>
      </c>
      <c r="J115" s="250"/>
      <c r="K115" s="6"/>
    </row>
    <row r="116" spans="1:11" ht="15.75">
      <c r="A116" s="8">
        <v>107</v>
      </c>
      <c r="B116" s="250" t="s">
        <v>1318</v>
      </c>
      <c r="C116" s="250" t="s">
        <v>1411</v>
      </c>
      <c r="D116" s="251">
        <v>378</v>
      </c>
      <c r="E116" s="252"/>
      <c r="F116" s="250"/>
      <c r="G116" s="253">
        <f t="shared" si="10"/>
        <v>0</v>
      </c>
      <c r="H116" s="253"/>
      <c r="I116" s="255" t="s">
        <v>1331</v>
      </c>
      <c r="J116" s="250"/>
      <c r="K116" s="6"/>
    </row>
    <row r="117" spans="1:11" ht="15.75">
      <c r="A117" s="8">
        <v>108</v>
      </c>
      <c r="B117" s="250" t="s">
        <v>1318</v>
      </c>
      <c r="C117" s="250" t="s">
        <v>1412</v>
      </c>
      <c r="D117" s="251">
        <v>376</v>
      </c>
      <c r="E117" s="252"/>
      <c r="F117" s="250"/>
      <c r="G117" s="253">
        <f t="shared" si="10"/>
        <v>0</v>
      </c>
      <c r="H117" s="250"/>
      <c r="I117" s="255" t="s">
        <v>1331</v>
      </c>
      <c r="J117" s="250"/>
      <c r="K117" s="6"/>
    </row>
    <row r="118" spans="1:11" ht="15.75">
      <c r="A118" s="8">
        <v>109</v>
      </c>
      <c r="B118" s="250" t="s">
        <v>1318</v>
      </c>
      <c r="C118" s="250" t="s">
        <v>1413</v>
      </c>
      <c r="D118" s="251">
        <v>376</v>
      </c>
      <c r="E118" s="252">
        <v>264511.63</v>
      </c>
      <c r="F118" s="250"/>
      <c r="G118" s="253">
        <f t="shared" si="10"/>
        <v>264511.63</v>
      </c>
      <c r="H118" s="254"/>
      <c r="I118" s="255">
        <v>2</v>
      </c>
      <c r="J118" s="253"/>
      <c r="K118" s="6"/>
    </row>
    <row r="119" spans="1:11" ht="15.75">
      <c r="A119" s="8">
        <v>110</v>
      </c>
      <c r="B119" s="250" t="s">
        <v>1318</v>
      </c>
      <c r="C119" s="250" t="s">
        <v>1414</v>
      </c>
      <c r="D119" s="251">
        <v>378</v>
      </c>
      <c r="E119" s="252"/>
      <c r="F119" s="250"/>
      <c r="G119" s="253">
        <f t="shared" si="10"/>
        <v>0</v>
      </c>
      <c r="H119" s="253"/>
      <c r="I119" s="255" t="s">
        <v>1331</v>
      </c>
      <c r="J119" s="250"/>
      <c r="K119" s="6"/>
    </row>
    <row r="120" spans="1:11" ht="15.75">
      <c r="A120" s="8">
        <v>111</v>
      </c>
      <c r="B120" s="250" t="s">
        <v>1318</v>
      </c>
      <c r="C120" s="250" t="s">
        <v>1415</v>
      </c>
      <c r="D120" s="251"/>
      <c r="E120" s="252">
        <v>98840.34</v>
      </c>
      <c r="F120" s="250"/>
      <c r="G120" s="253">
        <f t="shared" si="10"/>
        <v>98840.34</v>
      </c>
      <c r="H120" s="253"/>
      <c r="I120" s="255">
        <v>28</v>
      </c>
      <c r="J120" s="250"/>
      <c r="K120" s="6"/>
    </row>
    <row r="121" spans="1:11" ht="15.75">
      <c r="A121" s="8">
        <v>112</v>
      </c>
      <c r="B121" s="250" t="s">
        <v>1318</v>
      </c>
      <c r="C121" s="250" t="s">
        <v>1416</v>
      </c>
      <c r="D121" s="251"/>
      <c r="E121" s="252"/>
      <c r="F121" s="250"/>
      <c r="G121" s="253"/>
      <c r="H121" s="250"/>
      <c r="I121" s="255"/>
      <c r="J121" s="250"/>
      <c r="K121" s="6"/>
    </row>
    <row r="122" spans="1:11" ht="15.75">
      <c r="A122" s="8">
        <v>113</v>
      </c>
      <c r="B122" s="250" t="s">
        <v>1318</v>
      </c>
      <c r="C122" s="250" t="s">
        <v>1417</v>
      </c>
      <c r="D122" s="251"/>
      <c r="E122" s="252">
        <v>101176.17</v>
      </c>
      <c r="F122" s="250"/>
      <c r="G122" s="253">
        <f>+E122</f>
        <v>101176.17</v>
      </c>
      <c r="H122" s="253"/>
      <c r="I122" s="255">
        <v>29</v>
      </c>
      <c r="J122" s="250"/>
      <c r="K122" s="6"/>
    </row>
    <row r="123" spans="1:11" ht="15.75">
      <c r="A123" s="8">
        <v>114</v>
      </c>
      <c r="B123" s="250" t="s">
        <v>1318</v>
      </c>
      <c r="C123" s="250" t="s">
        <v>1418</v>
      </c>
      <c r="D123" s="251"/>
      <c r="E123" s="252"/>
      <c r="F123" s="250"/>
      <c r="G123" s="253"/>
      <c r="H123" s="250"/>
      <c r="I123" s="255"/>
      <c r="J123" s="250"/>
      <c r="K123" s="6"/>
    </row>
    <row r="124" spans="1:11" ht="15.75">
      <c r="A124" s="8">
        <v>115</v>
      </c>
      <c r="B124" s="250" t="s">
        <v>1318</v>
      </c>
      <c r="C124" s="250" t="s">
        <v>1419</v>
      </c>
      <c r="D124" s="251"/>
      <c r="E124" s="252"/>
      <c r="F124" s="250"/>
      <c r="G124" s="253"/>
      <c r="H124" s="250"/>
      <c r="I124" s="255"/>
      <c r="J124" s="250"/>
      <c r="K124" s="6"/>
    </row>
    <row r="125" spans="1:11" ht="15.75">
      <c r="A125" s="8">
        <v>116</v>
      </c>
      <c r="B125" s="250" t="s">
        <v>1318</v>
      </c>
      <c r="C125" s="250" t="s">
        <v>1420</v>
      </c>
      <c r="D125" s="251">
        <v>376</v>
      </c>
      <c r="E125" s="252">
        <v>14207.98</v>
      </c>
      <c r="F125" s="250"/>
      <c r="G125" s="253">
        <f t="shared" ref="G125:G128" si="11">+E125</f>
        <v>14207.98</v>
      </c>
      <c r="H125" s="253"/>
      <c r="I125" s="255">
        <v>6</v>
      </c>
      <c r="J125" s="250"/>
      <c r="K125" s="6"/>
    </row>
    <row r="126" spans="1:11" ht="15.75">
      <c r="A126" s="8">
        <v>117</v>
      </c>
      <c r="B126" s="250" t="s">
        <v>1318</v>
      </c>
      <c r="C126" s="250" t="s">
        <v>1421</v>
      </c>
      <c r="D126" s="251">
        <v>376</v>
      </c>
      <c r="E126" s="252"/>
      <c r="F126" s="250"/>
      <c r="G126" s="253">
        <f t="shared" si="11"/>
        <v>0</v>
      </c>
      <c r="H126" s="253"/>
      <c r="I126" s="255" t="s">
        <v>1331</v>
      </c>
      <c r="J126" s="250"/>
      <c r="K126" s="6"/>
    </row>
    <row r="127" spans="1:11" ht="15.75">
      <c r="A127" s="8">
        <v>118</v>
      </c>
      <c r="B127" s="250" t="s">
        <v>1318</v>
      </c>
      <c r="C127" s="250" t="s">
        <v>1422</v>
      </c>
      <c r="D127" s="251">
        <v>376</v>
      </c>
      <c r="E127" s="252">
        <v>5196436.28</v>
      </c>
      <c r="F127" s="250"/>
      <c r="G127" s="253">
        <f t="shared" si="11"/>
        <v>5196436.28</v>
      </c>
      <c r="H127" s="804">
        <f>+G127</f>
        <v>5196436.28</v>
      </c>
      <c r="I127" s="255">
        <v>14</v>
      </c>
      <c r="J127" s="253"/>
      <c r="K127" s="6"/>
    </row>
    <row r="128" spans="1:11" ht="15.75">
      <c r="A128" s="8">
        <v>119</v>
      </c>
      <c r="B128" s="250" t="s">
        <v>1318</v>
      </c>
      <c r="C128" s="250" t="s">
        <v>1423</v>
      </c>
      <c r="D128" s="251">
        <v>376</v>
      </c>
      <c r="E128" s="252"/>
      <c r="F128" s="250"/>
      <c r="G128" s="253">
        <f t="shared" si="11"/>
        <v>0</v>
      </c>
      <c r="H128" s="253"/>
      <c r="I128" s="255" t="s">
        <v>1331</v>
      </c>
      <c r="J128" s="250"/>
      <c r="K128" s="6"/>
    </row>
    <row r="129" spans="1:11" ht="15.75">
      <c r="A129" s="8">
        <v>120</v>
      </c>
      <c r="B129" s="250" t="s">
        <v>1318</v>
      </c>
      <c r="C129" s="250" t="s">
        <v>1424</v>
      </c>
      <c r="D129" s="251">
        <v>378</v>
      </c>
      <c r="E129" s="252"/>
      <c r="F129" s="250"/>
      <c r="G129" s="253"/>
      <c r="H129" s="250"/>
      <c r="I129" s="255"/>
      <c r="J129" s="250"/>
      <c r="K129" s="6"/>
    </row>
    <row r="130" spans="1:11" ht="15.75">
      <c r="A130" s="8">
        <v>121</v>
      </c>
      <c r="B130" s="250" t="s">
        <v>1318</v>
      </c>
      <c r="C130" s="250" t="s">
        <v>1425</v>
      </c>
      <c r="D130" s="251">
        <v>376</v>
      </c>
      <c r="E130" s="252"/>
      <c r="F130" s="250"/>
      <c r="G130" s="253">
        <f>+E130</f>
        <v>0</v>
      </c>
      <c r="H130" s="253"/>
      <c r="I130" s="255" t="s">
        <v>1331</v>
      </c>
      <c r="J130" s="250"/>
      <c r="K130" s="6"/>
    </row>
    <row r="131" spans="1:11" ht="15.75">
      <c r="A131" s="8">
        <v>122</v>
      </c>
      <c r="B131" s="250" t="s">
        <v>1318</v>
      </c>
      <c r="C131" s="250" t="s">
        <v>1426</v>
      </c>
      <c r="D131" s="251">
        <v>376</v>
      </c>
      <c r="E131" s="252"/>
      <c r="F131" s="250"/>
      <c r="G131" s="253"/>
      <c r="H131" s="250"/>
      <c r="I131" s="255"/>
      <c r="J131" s="250"/>
      <c r="K131" s="6"/>
    </row>
    <row r="132" spans="1:11" ht="15.75">
      <c r="A132" s="8">
        <v>123</v>
      </c>
      <c r="B132" s="250" t="s">
        <v>1318</v>
      </c>
      <c r="C132" s="250" t="s">
        <v>1427</v>
      </c>
      <c r="D132" s="251">
        <v>376</v>
      </c>
      <c r="E132" s="252"/>
      <c r="F132" s="250"/>
      <c r="G132" s="253"/>
      <c r="H132" s="250"/>
      <c r="I132" s="255"/>
      <c r="J132" s="250"/>
      <c r="K132" s="6"/>
    </row>
    <row r="133" spans="1:11" ht="15.75">
      <c r="A133" s="8">
        <v>124</v>
      </c>
      <c r="B133" s="250" t="s">
        <v>1318</v>
      </c>
      <c r="C133" s="250" t="s">
        <v>1428</v>
      </c>
      <c r="D133" s="251">
        <v>376</v>
      </c>
      <c r="E133" s="252"/>
      <c r="F133" s="250"/>
      <c r="G133" s="253">
        <f t="shared" ref="G133:G154" si="12">+E133</f>
        <v>0</v>
      </c>
      <c r="H133" s="253"/>
      <c r="I133" s="255" t="s">
        <v>1331</v>
      </c>
      <c r="J133" s="250"/>
      <c r="K133" s="6"/>
    </row>
    <row r="134" spans="1:11" ht="15.75">
      <c r="A134" s="8">
        <v>125</v>
      </c>
      <c r="B134" s="250" t="s">
        <v>1318</v>
      </c>
      <c r="C134" s="250" t="s">
        <v>1429</v>
      </c>
      <c r="D134" s="251">
        <v>376</v>
      </c>
      <c r="E134" s="252"/>
      <c r="F134" s="250"/>
      <c r="G134" s="253">
        <f t="shared" si="12"/>
        <v>0</v>
      </c>
      <c r="H134" s="253"/>
      <c r="I134" s="255" t="s">
        <v>1346</v>
      </c>
      <c r="J134" s="250"/>
      <c r="K134" s="6"/>
    </row>
    <row r="135" spans="1:11" ht="15.75">
      <c r="A135" s="8">
        <v>126</v>
      </c>
      <c r="B135" s="250" t="s">
        <v>1318</v>
      </c>
      <c r="C135" s="250" t="s">
        <v>1551</v>
      </c>
      <c r="D135" s="251">
        <v>376</v>
      </c>
      <c r="E135" s="252"/>
      <c r="F135" s="250"/>
      <c r="G135" s="253">
        <f t="shared" si="12"/>
        <v>0</v>
      </c>
      <c r="H135" s="253"/>
      <c r="I135" s="255" t="s">
        <v>1331</v>
      </c>
      <c r="J135" s="250"/>
      <c r="K135" s="6"/>
    </row>
    <row r="136" spans="1:11" ht="15.75">
      <c r="A136" s="8">
        <v>127</v>
      </c>
      <c r="B136" s="250" t="s">
        <v>1318</v>
      </c>
      <c r="C136" s="250" t="s">
        <v>1430</v>
      </c>
      <c r="D136" s="251">
        <v>376</v>
      </c>
      <c r="E136" s="252"/>
      <c r="F136" s="250"/>
      <c r="G136" s="253">
        <f t="shared" si="12"/>
        <v>0</v>
      </c>
      <c r="H136" s="253"/>
      <c r="I136" s="255" t="s">
        <v>1331</v>
      </c>
      <c r="J136" s="250"/>
      <c r="K136" s="6"/>
    </row>
    <row r="137" spans="1:11" ht="15.75">
      <c r="A137" s="8">
        <v>128</v>
      </c>
      <c r="B137" s="250" t="s">
        <v>1318</v>
      </c>
      <c r="C137" s="250" t="s">
        <v>1431</v>
      </c>
      <c r="D137" s="251">
        <v>376</v>
      </c>
      <c r="E137" s="252">
        <v>115425.69</v>
      </c>
      <c r="F137" s="250"/>
      <c r="G137" s="253">
        <v>0</v>
      </c>
      <c r="H137" s="254"/>
      <c r="I137" s="255">
        <v>54</v>
      </c>
      <c r="J137" s="250"/>
      <c r="K137" s="6"/>
    </row>
    <row r="138" spans="1:11" ht="15.75">
      <c r="A138" s="8">
        <v>129</v>
      </c>
      <c r="B138" s="250" t="s">
        <v>1318</v>
      </c>
      <c r="C138" s="250" t="s">
        <v>1432</v>
      </c>
      <c r="D138" s="251">
        <v>376</v>
      </c>
      <c r="E138" s="252">
        <v>94306.18</v>
      </c>
      <c r="F138" s="250"/>
      <c r="G138" s="253">
        <f t="shared" si="12"/>
        <v>94306.18</v>
      </c>
      <c r="H138" s="253"/>
      <c r="I138" s="255">
        <v>22</v>
      </c>
      <c r="J138" s="250"/>
      <c r="K138" s="6"/>
    </row>
    <row r="139" spans="1:11" ht="15.75">
      <c r="A139" s="8">
        <v>130</v>
      </c>
      <c r="B139" s="250" t="s">
        <v>1318</v>
      </c>
      <c r="C139" s="250" t="s">
        <v>1433</v>
      </c>
      <c r="D139" s="251"/>
      <c r="E139" s="252"/>
      <c r="F139" s="250"/>
      <c r="G139" s="253"/>
      <c r="H139" s="250"/>
      <c r="I139" s="255"/>
      <c r="J139" s="250"/>
      <c r="K139" s="6"/>
    </row>
    <row r="140" spans="1:11" ht="15.75">
      <c r="A140" s="8">
        <v>131</v>
      </c>
      <c r="B140" s="250" t="s">
        <v>1318</v>
      </c>
      <c r="C140" s="250" t="s">
        <v>1434</v>
      </c>
      <c r="D140" s="251">
        <v>376</v>
      </c>
      <c r="E140" s="252"/>
      <c r="F140" s="250"/>
      <c r="G140" s="253">
        <f t="shared" si="12"/>
        <v>0</v>
      </c>
      <c r="H140" s="254"/>
      <c r="I140" s="255" t="s">
        <v>1331</v>
      </c>
      <c r="J140" s="250"/>
      <c r="K140" s="6"/>
    </row>
    <row r="141" spans="1:11" ht="15.75">
      <c r="A141" s="8">
        <v>132</v>
      </c>
      <c r="B141" s="250" t="s">
        <v>1318</v>
      </c>
      <c r="C141" s="250" t="s">
        <v>1435</v>
      </c>
      <c r="D141" s="251">
        <v>367</v>
      </c>
      <c r="E141" s="252">
        <v>385972.62</v>
      </c>
      <c r="F141" s="250"/>
      <c r="G141" s="253">
        <f t="shared" si="12"/>
        <v>385972.62</v>
      </c>
      <c r="H141" s="804">
        <f>+G141</f>
        <v>385972.62</v>
      </c>
      <c r="I141" s="255">
        <v>18</v>
      </c>
      <c r="J141" s="253"/>
      <c r="K141" s="6"/>
    </row>
    <row r="142" spans="1:11" ht="15.75">
      <c r="A142" s="8">
        <v>133</v>
      </c>
      <c r="B142" s="250" t="s">
        <v>1318</v>
      </c>
      <c r="C142" s="250" t="s">
        <v>1436</v>
      </c>
      <c r="D142" s="251">
        <v>376</v>
      </c>
      <c r="E142" s="252">
        <v>296031.78000000003</v>
      </c>
      <c r="F142" s="250"/>
      <c r="G142" s="253">
        <f t="shared" si="12"/>
        <v>296031.78000000003</v>
      </c>
      <c r="H142" s="254"/>
      <c r="I142" s="255">
        <v>1</v>
      </c>
      <c r="J142" s="253"/>
      <c r="K142" s="6"/>
    </row>
    <row r="143" spans="1:11" ht="15.75">
      <c r="A143" s="8">
        <v>134</v>
      </c>
      <c r="B143" s="250" t="s">
        <v>1318</v>
      </c>
      <c r="C143" s="250" t="s">
        <v>1437</v>
      </c>
      <c r="D143" s="251">
        <v>376</v>
      </c>
      <c r="E143" s="252">
        <v>120291.64</v>
      </c>
      <c r="F143" s="250"/>
      <c r="G143" s="253">
        <f t="shared" si="12"/>
        <v>120291.64</v>
      </c>
      <c r="H143" s="253"/>
      <c r="I143" s="255">
        <v>30</v>
      </c>
      <c r="J143" s="250"/>
      <c r="K143" s="6"/>
    </row>
    <row r="144" spans="1:11" ht="15.75">
      <c r="A144" s="8">
        <v>135</v>
      </c>
      <c r="B144" s="250" t="s">
        <v>1318</v>
      </c>
      <c r="C144" s="250" t="s">
        <v>1438</v>
      </c>
      <c r="D144" s="251">
        <v>376</v>
      </c>
      <c r="E144" s="252">
        <v>115247.5</v>
      </c>
      <c r="F144" s="250"/>
      <c r="G144" s="253">
        <f t="shared" si="12"/>
        <v>115247.5</v>
      </c>
      <c r="H144" s="253"/>
      <c r="I144" s="255">
        <v>31</v>
      </c>
      <c r="J144" s="250"/>
      <c r="K144" s="6"/>
    </row>
    <row r="145" spans="1:11" ht="15.75">
      <c r="A145" s="8">
        <v>136</v>
      </c>
      <c r="B145" s="250" t="s">
        <v>1318</v>
      </c>
      <c r="C145" s="250" t="s">
        <v>1439</v>
      </c>
      <c r="D145" s="251">
        <v>376</v>
      </c>
      <c r="E145" s="252">
        <v>173264.09</v>
      </c>
      <c r="F145" s="250"/>
      <c r="G145" s="253">
        <f t="shared" si="12"/>
        <v>173264.09</v>
      </c>
      <c r="H145" s="253"/>
      <c r="I145" s="255">
        <v>36</v>
      </c>
      <c r="J145" s="250"/>
      <c r="K145" s="6"/>
    </row>
    <row r="146" spans="1:11" ht="15.75">
      <c r="A146" s="8">
        <v>137</v>
      </c>
      <c r="B146" s="250" t="s">
        <v>1318</v>
      </c>
      <c r="C146" s="250" t="s">
        <v>1440</v>
      </c>
      <c r="D146" s="251">
        <v>376</v>
      </c>
      <c r="E146" s="252"/>
      <c r="F146" s="250"/>
      <c r="G146" s="253">
        <f t="shared" si="12"/>
        <v>0</v>
      </c>
      <c r="H146" s="253"/>
      <c r="I146" s="255" t="s">
        <v>1346</v>
      </c>
      <c r="J146" s="250"/>
      <c r="K146" s="6"/>
    </row>
    <row r="147" spans="1:11" ht="15.75">
      <c r="A147" s="8">
        <v>138</v>
      </c>
      <c r="B147" s="250" t="s">
        <v>1318</v>
      </c>
      <c r="C147" s="250" t="s">
        <v>1441</v>
      </c>
      <c r="D147" s="251">
        <v>376</v>
      </c>
      <c r="E147" s="252"/>
      <c r="F147" s="250"/>
      <c r="G147" s="253">
        <f t="shared" si="12"/>
        <v>0</v>
      </c>
      <c r="H147" s="253"/>
      <c r="I147" s="255" t="s">
        <v>1331</v>
      </c>
      <c r="J147" s="250"/>
      <c r="K147" s="6"/>
    </row>
    <row r="148" spans="1:11" ht="15.75">
      <c r="A148" s="8">
        <v>139</v>
      </c>
      <c r="B148" s="250" t="s">
        <v>1318</v>
      </c>
      <c r="C148" s="250" t="s">
        <v>1442</v>
      </c>
      <c r="D148" s="251">
        <v>376</v>
      </c>
      <c r="E148" s="252"/>
      <c r="F148" s="250"/>
      <c r="G148" s="253">
        <f t="shared" si="12"/>
        <v>0</v>
      </c>
      <c r="H148" s="253"/>
      <c r="I148" s="255" t="s">
        <v>1331</v>
      </c>
      <c r="J148" s="250"/>
      <c r="K148" s="6"/>
    </row>
    <row r="149" spans="1:11" ht="15.75">
      <c r="A149" s="8">
        <v>140</v>
      </c>
      <c r="B149" s="250" t="s">
        <v>1318</v>
      </c>
      <c r="C149" s="250" t="s">
        <v>1443</v>
      </c>
      <c r="D149" s="251">
        <v>376</v>
      </c>
      <c r="E149" s="252">
        <v>4460.0600000000004</v>
      </c>
      <c r="F149" s="250"/>
      <c r="G149" s="253">
        <f t="shared" si="12"/>
        <v>4460.0600000000004</v>
      </c>
      <c r="H149" s="254"/>
      <c r="I149" s="255"/>
      <c r="J149" s="250"/>
      <c r="K149" s="6"/>
    </row>
    <row r="150" spans="1:11" ht="15.75">
      <c r="A150" s="8">
        <v>141</v>
      </c>
      <c r="B150" s="250" t="s">
        <v>1318</v>
      </c>
      <c r="C150" s="250" t="s">
        <v>1444</v>
      </c>
      <c r="D150" s="251">
        <v>376</v>
      </c>
      <c r="E150" s="252"/>
      <c r="F150" s="250"/>
      <c r="G150" s="253">
        <f t="shared" si="12"/>
        <v>0</v>
      </c>
      <c r="H150" s="253"/>
      <c r="I150" s="255" t="s">
        <v>1331</v>
      </c>
      <c r="J150" s="250"/>
      <c r="K150" s="6"/>
    </row>
    <row r="151" spans="1:11" ht="15.75">
      <c r="A151" s="8">
        <v>142</v>
      </c>
      <c r="B151" s="250" t="s">
        <v>1318</v>
      </c>
      <c r="C151" s="250" t="s">
        <v>1445</v>
      </c>
      <c r="D151" s="251">
        <v>376</v>
      </c>
      <c r="E151" s="252"/>
      <c r="F151" s="250"/>
      <c r="G151" s="253">
        <f t="shared" si="12"/>
        <v>0</v>
      </c>
      <c r="H151" s="250"/>
      <c r="I151" s="255" t="s">
        <v>1331</v>
      </c>
      <c r="J151" s="250"/>
      <c r="K151" s="6"/>
    </row>
    <row r="152" spans="1:11" ht="15.75">
      <c r="A152" s="8">
        <v>143</v>
      </c>
      <c r="B152" s="250" t="s">
        <v>1318</v>
      </c>
      <c r="C152" s="250" t="s">
        <v>1446</v>
      </c>
      <c r="D152" s="251">
        <v>376</v>
      </c>
      <c r="E152" s="252"/>
      <c r="F152" s="250"/>
      <c r="G152" s="253">
        <f t="shared" si="12"/>
        <v>0</v>
      </c>
      <c r="H152" s="250"/>
      <c r="I152" s="255" t="s">
        <v>1331</v>
      </c>
      <c r="J152" s="250"/>
      <c r="K152" s="6"/>
    </row>
    <row r="153" spans="1:11" ht="15.75">
      <c r="A153" s="8">
        <v>144</v>
      </c>
      <c r="B153" s="250" t="s">
        <v>1318</v>
      </c>
      <c r="C153" s="250" t="s">
        <v>1447</v>
      </c>
      <c r="D153" s="251">
        <v>376</v>
      </c>
      <c r="E153" s="252"/>
      <c r="F153" s="250"/>
      <c r="G153" s="253">
        <f t="shared" si="12"/>
        <v>0</v>
      </c>
      <c r="H153" s="253"/>
      <c r="I153" s="255" t="s">
        <v>1331</v>
      </c>
      <c r="J153" s="250"/>
      <c r="K153" s="6"/>
    </row>
    <row r="154" spans="1:11" ht="15.75">
      <c r="A154" s="8">
        <v>145</v>
      </c>
      <c r="B154" s="250" t="s">
        <v>1318</v>
      </c>
      <c r="C154" s="250" t="s">
        <v>1448</v>
      </c>
      <c r="D154" s="251">
        <v>376</v>
      </c>
      <c r="E154" s="252"/>
      <c r="F154" s="250"/>
      <c r="G154" s="253">
        <f t="shared" si="12"/>
        <v>0</v>
      </c>
      <c r="H154" s="250"/>
      <c r="I154" s="255" t="s">
        <v>1331</v>
      </c>
      <c r="J154" s="250"/>
      <c r="K154" s="6"/>
    </row>
    <row r="155" spans="1:11" ht="15.75">
      <c r="A155" s="8">
        <v>146</v>
      </c>
      <c r="B155" s="250" t="s">
        <v>1318</v>
      </c>
      <c r="C155" s="250" t="s">
        <v>1449</v>
      </c>
      <c r="D155" s="251">
        <v>376</v>
      </c>
      <c r="E155" s="252"/>
      <c r="F155" s="250"/>
      <c r="G155" s="253"/>
      <c r="H155" s="250"/>
      <c r="I155" s="255"/>
      <c r="J155" s="250"/>
      <c r="K155" s="6"/>
    </row>
    <row r="156" spans="1:11" ht="15.75">
      <c r="A156" s="8">
        <v>147</v>
      </c>
      <c r="B156" s="250" t="s">
        <v>1318</v>
      </c>
      <c r="C156" s="250" t="s">
        <v>1450</v>
      </c>
      <c r="D156" s="251">
        <v>376</v>
      </c>
      <c r="E156" s="252"/>
      <c r="F156" s="250"/>
      <c r="G156" s="253">
        <f t="shared" ref="G156:G159" si="13">+E156</f>
        <v>0</v>
      </c>
      <c r="H156" s="253"/>
      <c r="I156" s="255" t="s">
        <v>1331</v>
      </c>
      <c r="J156" s="250"/>
      <c r="K156" s="6"/>
    </row>
    <row r="157" spans="1:11" ht="15.75">
      <c r="A157" s="8">
        <v>148</v>
      </c>
      <c r="B157" s="250" t="s">
        <v>1318</v>
      </c>
      <c r="C157" s="250" t="s">
        <v>1451</v>
      </c>
      <c r="D157" s="251">
        <v>376</v>
      </c>
      <c r="E157" s="252"/>
      <c r="F157" s="250"/>
      <c r="G157" s="253">
        <f t="shared" si="13"/>
        <v>0</v>
      </c>
      <c r="H157" s="250"/>
      <c r="I157" s="255" t="s">
        <v>1331</v>
      </c>
      <c r="J157" s="250"/>
      <c r="K157" s="6"/>
    </row>
    <row r="158" spans="1:11" ht="15.75">
      <c r="A158" s="8">
        <v>149</v>
      </c>
      <c r="B158" s="250" t="s">
        <v>1318</v>
      </c>
      <c r="C158" s="250" t="s">
        <v>1452</v>
      </c>
      <c r="D158" s="251">
        <v>376</v>
      </c>
      <c r="E158" s="252"/>
      <c r="F158" s="250"/>
      <c r="G158" s="253">
        <f t="shared" si="13"/>
        <v>0</v>
      </c>
      <c r="H158" s="250"/>
      <c r="I158" s="255" t="s">
        <v>1331</v>
      </c>
      <c r="J158" s="250"/>
      <c r="K158" s="6"/>
    </row>
    <row r="159" spans="1:11" ht="15.75">
      <c r="A159" s="8">
        <v>150</v>
      </c>
      <c r="B159" s="250" t="s">
        <v>1318</v>
      </c>
      <c r="C159" s="250" t="s">
        <v>1453</v>
      </c>
      <c r="D159" s="251">
        <v>376</v>
      </c>
      <c r="E159" s="252"/>
      <c r="F159" s="250"/>
      <c r="G159" s="253">
        <f t="shared" si="13"/>
        <v>0</v>
      </c>
      <c r="H159" s="250"/>
      <c r="I159" s="255" t="s">
        <v>1331</v>
      </c>
      <c r="J159" s="250"/>
      <c r="K159" s="6"/>
    </row>
    <row r="160" spans="1:11" ht="15.75">
      <c r="A160" s="8">
        <v>151</v>
      </c>
      <c r="B160" s="250" t="s">
        <v>1318</v>
      </c>
      <c r="C160" s="250" t="s">
        <v>1454</v>
      </c>
      <c r="D160" s="251">
        <v>376</v>
      </c>
      <c r="E160" s="252">
        <v>1563594.52</v>
      </c>
      <c r="F160" s="250"/>
      <c r="G160" s="253">
        <f>+E160</f>
        <v>1563594.52</v>
      </c>
      <c r="H160" s="805">
        <f>+G160</f>
        <v>1563594.52</v>
      </c>
      <c r="I160" s="255">
        <v>23</v>
      </c>
      <c r="J160" s="253"/>
      <c r="K160" s="6"/>
    </row>
    <row r="161" spans="1:11" ht="15.75">
      <c r="A161" s="8">
        <v>152</v>
      </c>
      <c r="B161" s="250" t="s">
        <v>1318</v>
      </c>
      <c r="C161" s="250" t="s">
        <v>1455</v>
      </c>
      <c r="D161" s="251">
        <v>376</v>
      </c>
      <c r="E161" s="252"/>
      <c r="F161" s="250"/>
      <c r="G161" s="253">
        <f t="shared" ref="G161:G163" si="14">+E161</f>
        <v>0</v>
      </c>
      <c r="H161" s="250"/>
      <c r="I161" s="255" t="s">
        <v>1331</v>
      </c>
      <c r="J161" s="250"/>
      <c r="K161" s="6"/>
    </row>
    <row r="162" spans="1:11" ht="15.75">
      <c r="A162" s="8">
        <v>153</v>
      </c>
      <c r="B162" s="250" t="s">
        <v>1318</v>
      </c>
      <c r="C162" s="250" t="s">
        <v>1456</v>
      </c>
      <c r="D162" s="251">
        <v>376</v>
      </c>
      <c r="E162" s="252"/>
      <c r="F162" s="250"/>
      <c r="G162" s="253">
        <f t="shared" si="14"/>
        <v>0</v>
      </c>
      <c r="H162" s="250"/>
      <c r="I162" s="255" t="s">
        <v>1331</v>
      </c>
      <c r="J162" s="250"/>
      <c r="K162" s="6"/>
    </row>
    <row r="163" spans="1:11" ht="15.75">
      <c r="A163" s="8">
        <v>154</v>
      </c>
      <c r="B163" s="250" t="s">
        <v>1318</v>
      </c>
      <c r="C163" s="250" t="s">
        <v>1457</v>
      </c>
      <c r="D163" s="251">
        <v>376</v>
      </c>
      <c r="E163" s="252"/>
      <c r="F163" s="250"/>
      <c r="G163" s="253">
        <f t="shared" si="14"/>
        <v>0</v>
      </c>
      <c r="H163" s="253"/>
      <c r="I163" s="255" t="s">
        <v>1331</v>
      </c>
      <c r="J163" s="250"/>
      <c r="K163" s="6"/>
    </row>
    <row r="164" spans="1:11" ht="15.75">
      <c r="A164" s="8">
        <v>155</v>
      </c>
      <c r="B164" s="250" t="s">
        <v>1318</v>
      </c>
      <c r="C164" s="250" t="s">
        <v>1458</v>
      </c>
      <c r="D164" s="251"/>
      <c r="E164" s="252"/>
      <c r="F164" s="250"/>
      <c r="G164" s="253"/>
      <c r="H164" s="250"/>
      <c r="I164" s="255"/>
      <c r="J164" s="250"/>
      <c r="K164" s="6"/>
    </row>
    <row r="165" spans="1:11" ht="15.75">
      <c r="A165" s="8">
        <v>156</v>
      </c>
      <c r="B165" s="250" t="s">
        <v>1459</v>
      </c>
      <c r="C165" s="250" t="s">
        <v>1460</v>
      </c>
      <c r="D165" s="251">
        <v>376</v>
      </c>
      <c r="E165" s="252"/>
      <c r="F165" s="250"/>
      <c r="G165" s="253">
        <f t="shared" ref="G165:G166" si="15">+E165</f>
        <v>0</v>
      </c>
      <c r="H165" s="254"/>
      <c r="I165" s="255" t="s">
        <v>1305</v>
      </c>
      <c r="J165" s="250"/>
      <c r="K165" s="6"/>
    </row>
    <row r="166" spans="1:11" ht="15.75">
      <c r="A166" s="8">
        <v>157</v>
      </c>
      <c r="B166" s="250" t="s">
        <v>1459</v>
      </c>
      <c r="C166" s="250" t="s">
        <v>1461</v>
      </c>
      <c r="D166" s="251">
        <v>376</v>
      </c>
      <c r="E166" s="252"/>
      <c r="F166" s="250"/>
      <c r="G166" s="253">
        <f t="shared" si="15"/>
        <v>0</v>
      </c>
      <c r="H166" s="254"/>
      <c r="I166" s="255" t="s">
        <v>1305</v>
      </c>
      <c r="J166" s="250"/>
      <c r="K166" s="6"/>
    </row>
    <row r="167" spans="1:11" ht="15.75">
      <c r="A167" s="8">
        <v>158</v>
      </c>
      <c r="B167" s="259"/>
      <c r="C167" s="260" t="s">
        <v>1462</v>
      </c>
      <c r="D167" s="261"/>
      <c r="E167" s="262">
        <f>SUM(E27:E166)</f>
        <v>15879142.699999999</v>
      </c>
      <c r="F167" s="259"/>
      <c r="G167" s="263">
        <f>SUM(G27:G166)</f>
        <v>15516395.8278</v>
      </c>
      <c r="H167" s="263">
        <f>SUM(H27:H166)</f>
        <v>12921350.997799998</v>
      </c>
      <c r="I167" s="264"/>
      <c r="J167" s="263"/>
      <c r="K167" s="6"/>
    </row>
    <row r="168" spans="1:11" ht="15.75">
      <c r="A168" s="8"/>
      <c r="B168" s="259"/>
      <c r="C168" s="259"/>
      <c r="D168" s="257"/>
      <c r="E168" s="252"/>
      <c r="F168" s="259"/>
      <c r="G168" s="267"/>
      <c r="H168" s="267"/>
      <c r="I168" s="264"/>
      <c r="J168" s="259"/>
      <c r="K168" s="6"/>
    </row>
    <row r="169" spans="1:11" ht="15.75">
      <c r="A169" s="8"/>
      <c r="B169" s="259"/>
      <c r="C169" s="260"/>
      <c r="D169" s="257"/>
      <c r="E169" s="252"/>
      <c r="F169" s="259"/>
      <c r="G169" s="267"/>
      <c r="H169" s="259"/>
      <c r="I169" s="264"/>
      <c r="J169" s="259"/>
      <c r="K169" s="6"/>
    </row>
    <row r="170" spans="1:11" ht="15.75">
      <c r="A170" s="8"/>
      <c r="B170" s="259"/>
      <c r="C170" s="259"/>
      <c r="D170" s="257"/>
      <c r="E170" s="252"/>
      <c r="F170" s="259"/>
      <c r="G170" s="265"/>
      <c r="H170" s="259"/>
      <c r="I170" s="264"/>
      <c r="J170" s="259"/>
      <c r="K170" s="6"/>
    </row>
    <row r="171" spans="1:11" ht="15.75">
      <c r="A171" s="8">
        <v>159</v>
      </c>
      <c r="B171" s="250" t="s">
        <v>1463</v>
      </c>
      <c r="C171" s="250" t="s">
        <v>1464</v>
      </c>
      <c r="D171" s="251">
        <v>396</v>
      </c>
      <c r="E171" s="252"/>
      <c r="F171" s="778">
        <f>+'State Allocation Formulas'!$L$25</f>
        <v>0.77239999999999998</v>
      </c>
      <c r="G171" s="253">
        <f t="shared" ref="G171:G203" si="16">+E171*F171</f>
        <v>0</v>
      </c>
      <c r="H171" s="253"/>
      <c r="I171" s="255" t="s">
        <v>1333</v>
      </c>
      <c r="J171" s="250"/>
      <c r="K171" s="6"/>
    </row>
    <row r="172" spans="1:11" ht="15.75">
      <c r="A172" s="8">
        <v>160</v>
      </c>
      <c r="B172" s="250" t="s">
        <v>1463</v>
      </c>
      <c r="C172" s="250" t="s">
        <v>1465</v>
      </c>
      <c r="D172" s="251">
        <v>397</v>
      </c>
      <c r="E172" s="252"/>
      <c r="F172" s="778">
        <f>+'State Allocation Formulas'!$L$25</f>
        <v>0.77239999999999998</v>
      </c>
      <c r="G172" s="253">
        <f t="shared" si="16"/>
        <v>0</v>
      </c>
      <c r="H172" s="253"/>
      <c r="I172" s="255" t="s">
        <v>1333</v>
      </c>
      <c r="J172" s="250"/>
      <c r="K172" s="6"/>
    </row>
    <row r="173" spans="1:11" ht="15.75">
      <c r="A173" s="8">
        <v>161</v>
      </c>
      <c r="B173" s="250" t="s">
        <v>1463</v>
      </c>
      <c r="C173" s="250" t="s">
        <v>1466</v>
      </c>
      <c r="D173" s="251"/>
      <c r="E173" s="252"/>
      <c r="F173" s="250"/>
      <c r="G173" s="253"/>
      <c r="H173" s="250"/>
      <c r="I173" s="255"/>
      <c r="J173" s="250"/>
      <c r="K173" s="6"/>
    </row>
    <row r="174" spans="1:11" ht="15.75">
      <c r="A174" s="8">
        <v>162</v>
      </c>
      <c r="B174" s="250" t="s">
        <v>1463</v>
      </c>
      <c r="C174" s="250" t="s">
        <v>1467</v>
      </c>
      <c r="D174" s="251"/>
      <c r="E174" s="252"/>
      <c r="F174" s="250"/>
      <c r="G174" s="253"/>
      <c r="H174" s="250"/>
      <c r="I174" s="255"/>
      <c r="J174" s="250"/>
      <c r="K174" s="6"/>
    </row>
    <row r="175" spans="1:11" ht="15.75">
      <c r="A175" s="8">
        <v>163</v>
      </c>
      <c r="B175" s="250" t="s">
        <v>1463</v>
      </c>
      <c r="C175" s="250" t="s">
        <v>1468</v>
      </c>
      <c r="D175" s="251">
        <v>392</v>
      </c>
      <c r="E175" s="252"/>
      <c r="F175" s="250"/>
      <c r="G175" s="253">
        <f>+E175</f>
        <v>0</v>
      </c>
      <c r="H175" s="253"/>
      <c r="I175" s="255" t="s">
        <v>1333</v>
      </c>
      <c r="J175" s="250"/>
      <c r="K175" s="6"/>
    </row>
    <row r="176" spans="1:11" ht="15.75">
      <c r="A176" s="8">
        <v>164</v>
      </c>
      <c r="B176" s="250" t="s">
        <v>1463</v>
      </c>
      <c r="C176" s="250" t="s">
        <v>1469</v>
      </c>
      <c r="D176" s="251">
        <v>396</v>
      </c>
      <c r="E176" s="252"/>
      <c r="F176" s="250"/>
      <c r="G176" s="253">
        <f t="shared" ref="G176:G177" si="17">+E176</f>
        <v>0</v>
      </c>
      <c r="H176" s="253"/>
      <c r="I176" s="255" t="s">
        <v>1333</v>
      </c>
      <c r="J176" s="250"/>
      <c r="K176" s="6"/>
    </row>
    <row r="177" spans="1:11" ht="15.75">
      <c r="A177" s="8">
        <v>165</v>
      </c>
      <c r="B177" s="250" t="s">
        <v>1463</v>
      </c>
      <c r="C177" s="250" t="s">
        <v>1470</v>
      </c>
      <c r="D177" s="251">
        <v>397</v>
      </c>
      <c r="E177" s="252"/>
      <c r="F177" s="250"/>
      <c r="G177" s="253">
        <f t="shared" si="17"/>
        <v>0</v>
      </c>
      <c r="H177" s="253"/>
      <c r="I177" s="255" t="s">
        <v>1333</v>
      </c>
      <c r="J177" s="250"/>
      <c r="K177" s="6"/>
    </row>
    <row r="178" spans="1:11" ht="15.75">
      <c r="A178" s="8">
        <v>166</v>
      </c>
      <c r="B178" s="250" t="s">
        <v>1463</v>
      </c>
      <c r="C178" s="250" t="s">
        <v>1471</v>
      </c>
      <c r="D178" s="251">
        <v>390</v>
      </c>
      <c r="E178" s="252"/>
      <c r="F178" s="778">
        <f>+'State Allocation Formulas'!$L$25</f>
        <v>0.77239999999999998</v>
      </c>
      <c r="G178" s="253">
        <f t="shared" si="16"/>
        <v>0</v>
      </c>
      <c r="H178" s="253"/>
      <c r="I178" s="255" t="s">
        <v>1333</v>
      </c>
      <c r="J178" s="250"/>
      <c r="K178" s="6"/>
    </row>
    <row r="179" spans="1:11" ht="15.75">
      <c r="A179" s="8">
        <v>167</v>
      </c>
      <c r="B179" s="250" t="s">
        <v>1463</v>
      </c>
      <c r="C179" s="250" t="s">
        <v>1472</v>
      </c>
      <c r="D179" s="251">
        <v>392</v>
      </c>
      <c r="E179" s="252"/>
      <c r="F179" s="778">
        <f>+'State Allocation Formulas'!$L$25</f>
        <v>0.77239999999999998</v>
      </c>
      <c r="G179" s="253">
        <f t="shared" si="16"/>
        <v>0</v>
      </c>
      <c r="H179" s="253"/>
      <c r="I179" s="255" t="s">
        <v>1333</v>
      </c>
      <c r="J179" s="250"/>
      <c r="K179" s="6"/>
    </row>
    <row r="180" spans="1:11" ht="15.75">
      <c r="A180" s="8">
        <v>168</v>
      </c>
      <c r="B180" s="250" t="s">
        <v>1463</v>
      </c>
      <c r="C180" s="250" t="s">
        <v>1473</v>
      </c>
      <c r="D180" s="251">
        <v>394</v>
      </c>
      <c r="E180" s="252"/>
      <c r="F180" s="778">
        <f>+'State Allocation Formulas'!$L$25</f>
        <v>0.77239999999999998</v>
      </c>
      <c r="G180" s="253">
        <f t="shared" si="16"/>
        <v>0</v>
      </c>
      <c r="H180" s="253"/>
      <c r="I180" s="255" t="s">
        <v>1333</v>
      </c>
      <c r="J180" s="250"/>
      <c r="K180" s="6"/>
    </row>
    <row r="181" spans="1:11" ht="15.75">
      <c r="A181" s="8">
        <v>169</v>
      </c>
      <c r="B181" s="250" t="s">
        <v>1463</v>
      </c>
      <c r="C181" s="250" t="s">
        <v>1474</v>
      </c>
      <c r="D181" s="251"/>
      <c r="E181" s="252"/>
      <c r="F181" s="250"/>
      <c r="G181" s="253"/>
      <c r="H181" s="250"/>
      <c r="I181" s="255"/>
      <c r="J181" s="250"/>
      <c r="K181" s="6"/>
    </row>
    <row r="182" spans="1:11" ht="15.75">
      <c r="A182" s="8">
        <v>170</v>
      </c>
      <c r="B182" s="250" t="s">
        <v>1463</v>
      </c>
      <c r="C182" s="250" t="s">
        <v>1475</v>
      </c>
      <c r="D182" s="251"/>
      <c r="E182" s="252"/>
      <c r="F182" s="250"/>
      <c r="G182" s="253"/>
      <c r="H182" s="250"/>
      <c r="I182" s="255"/>
      <c r="J182" s="250"/>
      <c r="K182" s="6"/>
    </row>
    <row r="183" spans="1:11" ht="15.75">
      <c r="A183" s="8">
        <v>171</v>
      </c>
      <c r="B183" s="250" t="s">
        <v>1463</v>
      </c>
      <c r="C183" s="250" t="s">
        <v>1476</v>
      </c>
      <c r="D183" s="251">
        <v>394</v>
      </c>
      <c r="E183" s="252"/>
      <c r="F183" s="250"/>
      <c r="G183" s="253">
        <f>+E183</f>
        <v>0</v>
      </c>
      <c r="H183" s="253"/>
      <c r="I183" s="255" t="s">
        <v>1333</v>
      </c>
      <c r="J183" s="250"/>
      <c r="K183" s="6"/>
    </row>
    <row r="184" spans="1:11" ht="15.75">
      <c r="A184" s="8">
        <v>172</v>
      </c>
      <c r="B184" s="250" t="s">
        <v>1463</v>
      </c>
      <c r="C184" s="250" t="s">
        <v>1477</v>
      </c>
      <c r="D184" s="251">
        <v>391</v>
      </c>
      <c r="E184" s="252"/>
      <c r="F184" s="778">
        <f>+'State Allocation Formulas'!$L$25</f>
        <v>0.77239999999999998</v>
      </c>
      <c r="G184" s="253">
        <f t="shared" si="16"/>
        <v>0</v>
      </c>
      <c r="H184" s="253"/>
      <c r="I184" s="255" t="s">
        <v>1333</v>
      </c>
      <c r="J184" s="250"/>
      <c r="K184" s="6"/>
    </row>
    <row r="185" spans="1:11" ht="15.75">
      <c r="A185" s="8">
        <v>173</v>
      </c>
      <c r="B185" s="250" t="s">
        <v>1463</v>
      </c>
      <c r="C185" s="250" t="s">
        <v>1478</v>
      </c>
      <c r="D185" s="251">
        <v>390</v>
      </c>
      <c r="E185" s="252">
        <v>91082.09</v>
      </c>
      <c r="F185" s="250"/>
      <c r="G185" s="253">
        <f>+E185</f>
        <v>91082.09</v>
      </c>
      <c r="H185" s="253"/>
      <c r="I185" s="255">
        <v>13</v>
      </c>
      <c r="J185" s="250"/>
      <c r="K185" s="6"/>
    </row>
    <row r="186" spans="1:11" ht="15.75">
      <c r="A186" s="8">
        <v>174</v>
      </c>
      <c r="B186" s="250" t="s">
        <v>1463</v>
      </c>
      <c r="C186" s="250" t="s">
        <v>1479</v>
      </c>
      <c r="D186" s="251">
        <v>394</v>
      </c>
      <c r="E186" s="252">
        <v>6239.88</v>
      </c>
      <c r="F186" s="250"/>
      <c r="G186" s="253">
        <f>+E186</f>
        <v>6239.88</v>
      </c>
      <c r="H186" s="253"/>
      <c r="I186" s="255">
        <v>12</v>
      </c>
      <c r="J186" s="250"/>
      <c r="K186" s="6"/>
    </row>
    <row r="187" spans="1:11" ht="15.75">
      <c r="A187" s="8">
        <v>175</v>
      </c>
      <c r="B187" s="250" t="s">
        <v>1463</v>
      </c>
      <c r="C187" s="250" t="s">
        <v>1480</v>
      </c>
      <c r="D187" s="251">
        <v>394</v>
      </c>
      <c r="E187" s="252"/>
      <c r="F187" s="250"/>
      <c r="G187" s="253">
        <f t="shared" ref="G187:G195" si="18">+E187</f>
        <v>0</v>
      </c>
      <c r="H187" s="253"/>
      <c r="I187" s="255" t="s">
        <v>1333</v>
      </c>
      <c r="J187" s="250"/>
      <c r="K187" s="6"/>
    </row>
    <row r="188" spans="1:11" ht="15.75">
      <c r="A188" s="8">
        <v>176</v>
      </c>
      <c r="B188" s="250" t="s">
        <v>1463</v>
      </c>
      <c r="C188" s="250" t="s">
        <v>1481</v>
      </c>
      <c r="D188" s="251">
        <v>392</v>
      </c>
      <c r="E188" s="252">
        <v>2788.39</v>
      </c>
      <c r="F188" s="250"/>
      <c r="G188" s="253">
        <f t="shared" si="18"/>
        <v>2788.39</v>
      </c>
      <c r="H188" s="253"/>
      <c r="I188" s="255">
        <v>10</v>
      </c>
      <c r="J188" s="250"/>
      <c r="K188" s="6"/>
    </row>
    <row r="189" spans="1:11" ht="15.75">
      <c r="A189" s="8">
        <v>177</v>
      </c>
      <c r="B189" s="250" t="s">
        <v>1463</v>
      </c>
      <c r="C189" s="250" t="s">
        <v>1482</v>
      </c>
      <c r="D189" s="251">
        <v>394</v>
      </c>
      <c r="E189" s="252">
        <v>18989.41</v>
      </c>
      <c r="F189" s="250"/>
      <c r="G189" s="253">
        <f t="shared" si="18"/>
        <v>18989.41</v>
      </c>
      <c r="H189" s="253"/>
      <c r="I189" s="255">
        <v>11</v>
      </c>
      <c r="J189" s="250"/>
      <c r="K189" s="6"/>
    </row>
    <row r="190" spans="1:11" ht="15.75">
      <c r="A190" s="8">
        <v>178</v>
      </c>
      <c r="B190" s="250" t="s">
        <v>1463</v>
      </c>
      <c r="C190" s="250" t="s">
        <v>1483</v>
      </c>
      <c r="D190" s="251">
        <v>392</v>
      </c>
      <c r="E190" s="252"/>
      <c r="F190" s="250"/>
      <c r="G190" s="253">
        <f t="shared" si="18"/>
        <v>0</v>
      </c>
      <c r="H190" s="253"/>
      <c r="I190" s="255" t="s">
        <v>1333</v>
      </c>
      <c r="J190" s="250"/>
      <c r="K190" s="6"/>
    </row>
    <row r="191" spans="1:11" ht="15.75">
      <c r="A191" s="8">
        <v>179</v>
      </c>
      <c r="B191" s="250" t="s">
        <v>1463</v>
      </c>
      <c r="C191" s="250" t="s">
        <v>1484</v>
      </c>
      <c r="D191" s="251">
        <v>391</v>
      </c>
      <c r="E191" s="252"/>
      <c r="F191" s="250"/>
      <c r="G191" s="253">
        <f t="shared" si="18"/>
        <v>0</v>
      </c>
      <c r="H191" s="253"/>
      <c r="I191" s="255" t="s">
        <v>1333</v>
      </c>
      <c r="J191" s="250"/>
      <c r="K191" s="6"/>
    </row>
    <row r="192" spans="1:11" ht="15.75">
      <c r="A192" s="8">
        <v>180</v>
      </c>
      <c r="B192" s="250" t="s">
        <v>1463</v>
      </c>
      <c r="C192" s="250" t="s">
        <v>1485</v>
      </c>
      <c r="D192" s="251">
        <v>394</v>
      </c>
      <c r="E192" s="252"/>
      <c r="F192" s="250"/>
      <c r="G192" s="253">
        <f t="shared" si="18"/>
        <v>0</v>
      </c>
      <c r="H192" s="253"/>
      <c r="I192" s="255" t="s">
        <v>1333</v>
      </c>
      <c r="J192" s="250"/>
      <c r="K192" s="6"/>
    </row>
    <row r="193" spans="1:11" ht="15.75">
      <c r="A193" s="8">
        <v>181</v>
      </c>
      <c r="B193" s="250" t="s">
        <v>1463</v>
      </c>
      <c r="C193" s="250" t="s">
        <v>1486</v>
      </c>
      <c r="D193" s="251">
        <v>392</v>
      </c>
      <c r="E193" s="252"/>
      <c r="F193" s="250"/>
      <c r="G193" s="253">
        <f t="shared" si="18"/>
        <v>0</v>
      </c>
      <c r="H193" s="253"/>
      <c r="I193" s="255" t="s">
        <v>1333</v>
      </c>
      <c r="J193" s="250"/>
      <c r="K193" s="6"/>
    </row>
    <row r="194" spans="1:11" ht="15.75">
      <c r="A194" s="8">
        <v>182</v>
      </c>
      <c r="B194" s="250" t="s">
        <v>1463</v>
      </c>
      <c r="C194" s="250" t="s">
        <v>1487</v>
      </c>
      <c r="D194" s="251">
        <v>392</v>
      </c>
      <c r="E194" s="252"/>
      <c r="F194" s="250"/>
      <c r="G194" s="253">
        <f t="shared" si="18"/>
        <v>0</v>
      </c>
      <c r="H194" s="253"/>
      <c r="I194" s="255" t="s">
        <v>1333</v>
      </c>
      <c r="J194" s="250"/>
      <c r="K194" s="6"/>
    </row>
    <row r="195" spans="1:11" ht="15.75">
      <c r="A195" s="8">
        <v>183</v>
      </c>
      <c r="B195" s="250" t="s">
        <v>1463</v>
      </c>
      <c r="C195" s="250" t="s">
        <v>1488</v>
      </c>
      <c r="D195" s="251">
        <v>394</v>
      </c>
      <c r="E195" s="252"/>
      <c r="F195" s="250"/>
      <c r="G195" s="253">
        <f t="shared" si="18"/>
        <v>0</v>
      </c>
      <c r="H195" s="253"/>
      <c r="I195" s="255" t="s">
        <v>1333</v>
      </c>
      <c r="J195" s="250"/>
      <c r="K195" s="6"/>
    </row>
    <row r="196" spans="1:11" ht="15.75">
      <c r="A196" s="8">
        <v>184</v>
      </c>
      <c r="B196" s="250" t="s">
        <v>1463</v>
      </c>
      <c r="C196" s="250" t="s">
        <v>1489</v>
      </c>
      <c r="D196" s="251"/>
      <c r="E196" s="252"/>
      <c r="F196" s="250"/>
      <c r="G196" s="253"/>
      <c r="H196" s="250"/>
      <c r="I196" s="255"/>
      <c r="J196" s="250"/>
      <c r="K196" s="6"/>
    </row>
    <row r="197" spans="1:11" ht="15.75">
      <c r="A197" s="8">
        <v>185</v>
      </c>
      <c r="B197" s="250" t="s">
        <v>1463</v>
      </c>
      <c r="C197" s="250" t="s">
        <v>1490</v>
      </c>
      <c r="D197" s="251"/>
      <c r="E197" s="252"/>
      <c r="F197" s="250"/>
      <c r="G197" s="253"/>
      <c r="H197" s="250"/>
      <c r="I197" s="255"/>
      <c r="J197" s="250"/>
      <c r="K197" s="6"/>
    </row>
    <row r="198" spans="1:11" ht="15.75">
      <c r="A198" s="8">
        <v>186</v>
      </c>
      <c r="B198" s="250" t="s">
        <v>1463</v>
      </c>
      <c r="C198" s="250" t="s">
        <v>1491</v>
      </c>
      <c r="D198" s="251">
        <v>391</v>
      </c>
      <c r="E198" s="252">
        <v>4205.6400000000003</v>
      </c>
      <c r="F198" s="778">
        <f>+'State Allocation Formulas'!$L$25</f>
        <v>0.77239999999999998</v>
      </c>
      <c r="G198" s="253">
        <f t="shared" si="16"/>
        <v>3248.4363360000002</v>
      </c>
      <c r="H198" s="254"/>
      <c r="I198" s="255">
        <v>47</v>
      </c>
      <c r="J198" s="250"/>
      <c r="K198" s="6"/>
    </row>
    <row r="199" spans="1:11" ht="15.75">
      <c r="A199" s="8">
        <v>187</v>
      </c>
      <c r="B199" s="250" t="s">
        <v>1463</v>
      </c>
      <c r="C199" s="250" t="s">
        <v>1492</v>
      </c>
      <c r="D199" s="251">
        <v>391</v>
      </c>
      <c r="E199" s="252">
        <v>251130.44</v>
      </c>
      <c r="F199" s="778">
        <f>+'State Allocation Formulas'!$L$25</f>
        <v>0.77239999999999998</v>
      </c>
      <c r="G199" s="253">
        <f t="shared" si="16"/>
        <v>193973.15185599998</v>
      </c>
      <c r="H199" s="254"/>
      <c r="I199" s="255">
        <v>48</v>
      </c>
      <c r="J199" s="250"/>
      <c r="K199" s="6"/>
    </row>
    <row r="200" spans="1:11" ht="15.75">
      <c r="A200" s="8">
        <v>188</v>
      </c>
      <c r="B200" s="250" t="s">
        <v>1463</v>
      </c>
      <c r="C200" s="250" t="s">
        <v>1493</v>
      </c>
      <c r="D200" s="251">
        <v>390</v>
      </c>
      <c r="E200" s="252"/>
      <c r="F200" s="250"/>
      <c r="G200" s="253">
        <f>+E200</f>
        <v>0</v>
      </c>
      <c r="H200" s="254"/>
      <c r="I200" s="255" t="s">
        <v>1305</v>
      </c>
      <c r="J200" s="250"/>
      <c r="K200" s="6"/>
    </row>
    <row r="201" spans="1:11" ht="15.75">
      <c r="A201" s="8">
        <v>189</v>
      </c>
      <c r="B201" s="250" t="s">
        <v>1463</v>
      </c>
      <c r="C201" s="250" t="s">
        <v>1494</v>
      </c>
      <c r="D201" s="251">
        <v>394</v>
      </c>
      <c r="E201" s="252"/>
      <c r="F201" s="778">
        <f>+'State Allocation Formulas'!$L$25</f>
        <v>0.77239999999999998</v>
      </c>
      <c r="G201" s="253">
        <f t="shared" si="16"/>
        <v>0</v>
      </c>
      <c r="H201" s="254"/>
      <c r="I201" s="255">
        <v>49</v>
      </c>
      <c r="J201" s="250"/>
      <c r="K201" s="6"/>
    </row>
    <row r="202" spans="1:11" ht="15.75">
      <c r="A202" s="8">
        <v>190</v>
      </c>
      <c r="B202" s="250" t="s">
        <v>1463</v>
      </c>
      <c r="C202" s="250" t="s">
        <v>1495</v>
      </c>
      <c r="D202" s="251"/>
      <c r="E202" s="252"/>
      <c r="F202" s="250"/>
      <c r="G202" s="253"/>
      <c r="H202" s="250"/>
      <c r="I202" s="255"/>
      <c r="J202" s="250"/>
      <c r="K202" s="6"/>
    </row>
    <row r="203" spans="1:11" ht="15.75">
      <c r="A203" s="8">
        <v>191</v>
      </c>
      <c r="B203" s="250" t="s">
        <v>1463</v>
      </c>
      <c r="C203" s="250" t="s">
        <v>1496</v>
      </c>
      <c r="D203" s="251">
        <v>303</v>
      </c>
      <c r="E203" s="252">
        <v>133255.45000000001</v>
      </c>
      <c r="F203" s="778">
        <f>+'State Allocation Formulas'!$L$25</f>
        <v>0.77239999999999998</v>
      </c>
      <c r="G203" s="253">
        <f t="shared" si="16"/>
        <v>102926.50958000001</v>
      </c>
      <c r="H203" s="254"/>
      <c r="I203" s="255">
        <v>50</v>
      </c>
      <c r="J203" s="250"/>
      <c r="K203" s="6"/>
    </row>
    <row r="204" spans="1:11" ht="15.75">
      <c r="A204" s="8"/>
      <c r="B204" s="259"/>
      <c r="C204" s="260" t="s">
        <v>1462</v>
      </c>
      <c r="D204" s="261"/>
      <c r="E204" s="262">
        <f t="shared" ref="E204" si="19">SUM(E171:E203)</f>
        <v>507691.3</v>
      </c>
      <c r="F204" s="259"/>
      <c r="G204" s="263">
        <f t="shared" ref="G204:H204" si="20">SUM(G171:G203)</f>
        <v>419247.86777199997</v>
      </c>
      <c r="H204" s="263">
        <f t="shared" si="20"/>
        <v>0</v>
      </c>
      <c r="I204" s="264"/>
      <c r="J204" s="263"/>
      <c r="K204" s="6"/>
    </row>
    <row r="205" spans="1:11" ht="15.75">
      <c r="A205" s="8"/>
      <c r="B205" s="259"/>
      <c r="C205" s="259"/>
      <c r="D205" s="257"/>
      <c r="E205" s="252"/>
      <c r="F205" s="259"/>
      <c r="G205" s="267"/>
      <c r="H205" s="267"/>
      <c r="I205" s="264"/>
      <c r="J205" s="267"/>
      <c r="K205" s="6"/>
    </row>
    <row r="206" spans="1:11" ht="15.75">
      <c r="A206" s="8"/>
      <c r="B206" s="259"/>
      <c r="C206" s="260"/>
      <c r="D206" s="257"/>
      <c r="E206" s="252"/>
      <c r="F206" s="259"/>
      <c r="G206" s="267"/>
      <c r="H206" s="267"/>
      <c r="I206" s="264"/>
      <c r="J206" s="267"/>
      <c r="K206" s="6"/>
    </row>
    <row r="207" spans="1:11" ht="15.75">
      <c r="A207" s="8"/>
      <c r="B207" s="259"/>
      <c r="C207" s="259"/>
      <c r="D207" s="257"/>
      <c r="E207" s="252"/>
      <c r="F207" s="259"/>
      <c r="G207" s="267"/>
      <c r="H207" s="267"/>
      <c r="I207" s="259"/>
      <c r="J207" s="267"/>
      <c r="K207" s="6"/>
    </row>
    <row r="208" spans="1:11" ht="16.5" thickBot="1">
      <c r="A208" s="8">
        <v>192</v>
      </c>
      <c r="B208" s="259"/>
      <c r="C208" s="260" t="s">
        <v>58</v>
      </c>
      <c r="D208" s="261"/>
      <c r="E208" s="262">
        <f>E23+E167+E204</f>
        <v>18554431.789999999</v>
      </c>
      <c r="F208" s="259"/>
      <c r="G208" s="268">
        <f>G23+G167+G204</f>
        <v>17609896.228568003</v>
      </c>
      <c r="H208" s="246">
        <f>H23+H167+H204</f>
        <v>13959614.878007999</v>
      </c>
      <c r="I208" s="259"/>
      <c r="J208" s="246"/>
      <c r="K208" s="6">
        <f>+J208/H208</f>
        <v>0</v>
      </c>
    </row>
    <row r="209" spans="1:11" ht="16.5" thickTop="1">
      <c r="A209" s="8"/>
      <c r="B209" s="259"/>
      <c r="C209" s="259"/>
      <c r="D209" s="257"/>
      <c r="E209" s="252"/>
      <c r="F209" s="259"/>
      <c r="G209" s="267"/>
      <c r="H209" s="259"/>
      <c r="I209" s="259"/>
      <c r="J209" s="259"/>
      <c r="K209" s="6"/>
    </row>
    <row r="210" spans="1:11" ht="15.75">
      <c r="A210" s="8"/>
      <c r="B210" s="259"/>
      <c r="C210" s="260"/>
      <c r="D210" s="257"/>
      <c r="E210" s="252"/>
      <c r="F210" s="259"/>
      <c r="G210" s="267"/>
      <c r="H210" s="259"/>
      <c r="I210" s="259"/>
      <c r="J210" s="259"/>
      <c r="K210" s="6"/>
    </row>
    <row r="211" spans="1:11" ht="15.75">
      <c r="A211" s="8"/>
      <c r="B211" s="250"/>
      <c r="C211" s="250"/>
      <c r="D211" s="269"/>
      <c r="E211" s="269"/>
      <c r="F211" s="250"/>
      <c r="G211" s="250"/>
      <c r="H211" s="253"/>
      <c r="I211" s="250"/>
      <c r="J211" s="250"/>
      <c r="K211" s="6"/>
    </row>
    <row r="212" spans="1:11" ht="15.75">
      <c r="A212" s="8">
        <v>193</v>
      </c>
      <c r="B212" s="250" t="s">
        <v>1497</v>
      </c>
      <c r="C212" s="250"/>
      <c r="D212" s="269"/>
      <c r="E212" s="269"/>
      <c r="F212" s="250"/>
      <c r="G212" s="266"/>
      <c r="H212" s="250"/>
      <c r="I212" s="250"/>
      <c r="J212" s="250"/>
      <c r="K212" s="6"/>
    </row>
    <row r="213" spans="1:11" ht="15.75">
      <c r="A213" s="8">
        <v>194</v>
      </c>
      <c r="B213" s="270" t="s">
        <v>1333</v>
      </c>
      <c r="C213" s="250" t="s">
        <v>1498</v>
      </c>
      <c r="D213" s="269"/>
      <c r="E213" s="269"/>
      <c r="F213" s="250"/>
      <c r="G213" s="255" t="s">
        <v>1504</v>
      </c>
      <c r="H213" s="255" t="s">
        <v>1506</v>
      </c>
      <c r="I213" s="779" t="s">
        <v>2022</v>
      </c>
      <c r="J213" s="255" t="s">
        <v>1502</v>
      </c>
      <c r="K213" s="6"/>
    </row>
    <row r="214" spans="1:11" ht="15.75">
      <c r="A214" s="8">
        <v>195</v>
      </c>
      <c r="B214" s="270" t="s">
        <v>1346</v>
      </c>
      <c r="C214" s="250" t="s">
        <v>1065</v>
      </c>
      <c r="D214" s="269"/>
      <c r="E214" s="269"/>
      <c r="F214" s="250"/>
      <c r="G214" s="255" t="s">
        <v>1505</v>
      </c>
      <c r="H214" s="255" t="s">
        <v>387</v>
      </c>
      <c r="I214" s="32" t="s">
        <v>2023</v>
      </c>
      <c r="J214" s="255" t="s">
        <v>1503</v>
      </c>
      <c r="K214" s="6"/>
    </row>
    <row r="215" spans="1:11" ht="15.75">
      <c r="A215" s="8">
        <v>196</v>
      </c>
      <c r="B215" s="270" t="s">
        <v>1331</v>
      </c>
      <c r="C215" s="250" t="s">
        <v>1499</v>
      </c>
      <c r="D215" s="269"/>
      <c r="E215" s="269"/>
      <c r="F215" s="250"/>
      <c r="G215" s="250">
        <v>303</v>
      </c>
      <c r="H215" s="253">
        <f>+H8+H9+H10+H11+H13+H15+H17+H18+H19+H20+H21+H203+H16</f>
        <v>1038263.880208</v>
      </c>
      <c r="I215" s="250">
        <v>12.81</v>
      </c>
      <c r="J215" s="271">
        <f>+H215*I215/100</f>
        <v>133001.6030546448</v>
      </c>
      <c r="K215" s="6"/>
    </row>
    <row r="216" spans="1:11" ht="15.75">
      <c r="A216" s="8">
        <v>197</v>
      </c>
      <c r="B216" s="270" t="s">
        <v>1305</v>
      </c>
      <c r="C216" s="250" t="s">
        <v>1500</v>
      </c>
      <c r="D216" s="269"/>
      <c r="E216" s="269"/>
      <c r="F216" s="250"/>
      <c r="G216" s="250">
        <v>367</v>
      </c>
      <c r="H216" s="253">
        <f>+H141</f>
        <v>385972.62</v>
      </c>
      <c r="I216" s="250">
        <v>1.82</v>
      </c>
      <c r="J216" s="271">
        <f>+H216*I216/100</f>
        <v>7024.7016839999997</v>
      </c>
      <c r="K216" s="6"/>
    </row>
    <row r="217" spans="1:11" ht="15.75">
      <c r="A217" s="8">
        <v>198</v>
      </c>
      <c r="B217" s="270" t="s">
        <v>1349</v>
      </c>
      <c r="C217" s="250" t="s">
        <v>1501</v>
      </c>
      <c r="D217" s="269"/>
      <c r="E217" s="269"/>
      <c r="F217" s="250"/>
      <c r="G217" s="250">
        <v>376</v>
      </c>
      <c r="H217" s="253">
        <f>+H149+H145+H144+H143+H142+H140+H138+H137+H127+H126+H125+H118+H113+H112+H108+H95+H94+H93+H90+H87+H84+H71+H64+H62+H40+H39+H122+H120+H89+H86+H83+H69+H115+H114+H160</f>
        <v>9239209.870000001</v>
      </c>
      <c r="I217" s="250">
        <v>1.25</v>
      </c>
      <c r="J217" s="271">
        <f t="shared" ref="J217:J226" si="21">+H217*I217/100</f>
        <v>115490.12337500002</v>
      </c>
      <c r="K217" s="6"/>
    </row>
    <row r="218" spans="1:11" ht="15.75">
      <c r="A218" s="8">
        <v>199</v>
      </c>
      <c r="B218" s="270"/>
      <c r="C218" s="250"/>
      <c r="D218" s="269"/>
      <c r="E218" s="269"/>
      <c r="F218" s="250"/>
      <c r="G218" s="250">
        <v>378</v>
      </c>
      <c r="H218" s="253">
        <f>+H116+H99+H98+H100+H67+H52+H42</f>
        <v>1694181.59</v>
      </c>
      <c r="I218" s="250">
        <v>1.92</v>
      </c>
      <c r="J218" s="271">
        <f t="shared" si="21"/>
        <v>32528.286528000004</v>
      </c>
      <c r="K218" s="6"/>
    </row>
    <row r="219" spans="1:11" ht="15.75">
      <c r="A219" s="8">
        <v>200</v>
      </c>
      <c r="B219" s="270"/>
      <c r="C219" s="250"/>
      <c r="D219" s="269"/>
      <c r="E219" s="269"/>
      <c r="F219" s="250"/>
      <c r="G219" s="250">
        <v>380</v>
      </c>
      <c r="H219" s="253">
        <f>+H50</f>
        <v>461898.97</v>
      </c>
      <c r="I219" s="250">
        <v>3.88</v>
      </c>
      <c r="J219" s="271">
        <f t="shared" si="21"/>
        <v>17921.680035999998</v>
      </c>
      <c r="K219" s="6"/>
    </row>
    <row r="220" spans="1:11" ht="15.75">
      <c r="A220" s="8">
        <v>201</v>
      </c>
      <c r="B220" s="270"/>
      <c r="C220" s="250"/>
      <c r="D220" s="269"/>
      <c r="E220" s="269"/>
      <c r="F220" s="250"/>
      <c r="G220" s="250">
        <v>381</v>
      </c>
      <c r="H220" s="253">
        <f>+H110</f>
        <v>417296.43780000001</v>
      </c>
      <c r="I220" s="250">
        <v>2.27</v>
      </c>
      <c r="J220" s="271">
        <f t="shared" si="21"/>
        <v>9472.6291380599996</v>
      </c>
      <c r="K220" s="6"/>
    </row>
    <row r="221" spans="1:11" ht="15.75">
      <c r="A221" s="8">
        <v>202</v>
      </c>
      <c r="B221" s="270"/>
      <c r="C221" s="250"/>
      <c r="D221" s="269"/>
      <c r="E221" s="269"/>
      <c r="F221" s="250"/>
      <c r="G221" s="250">
        <v>382</v>
      </c>
      <c r="H221" s="250"/>
      <c r="I221" s="250"/>
      <c r="J221" s="271">
        <f t="shared" si="21"/>
        <v>0</v>
      </c>
      <c r="K221" s="6"/>
    </row>
    <row r="222" spans="1:11" ht="15.75">
      <c r="A222" s="8">
        <v>203</v>
      </c>
      <c r="B222" s="250"/>
      <c r="C222" s="250"/>
      <c r="D222" s="269"/>
      <c r="E222" s="269"/>
      <c r="F222" s="250"/>
      <c r="G222" s="250">
        <v>385</v>
      </c>
      <c r="H222" s="253">
        <f>+H47+H45</f>
        <v>722791.51</v>
      </c>
      <c r="I222" s="250">
        <v>2.1800000000000002</v>
      </c>
      <c r="J222" s="271">
        <f t="shared" si="21"/>
        <v>15756.854918000003</v>
      </c>
      <c r="K222" s="6"/>
    </row>
    <row r="223" spans="1:11" ht="15.75">
      <c r="A223" s="8">
        <v>204</v>
      </c>
      <c r="B223" s="250"/>
      <c r="C223" s="250"/>
      <c r="D223" s="269"/>
      <c r="E223" s="269"/>
      <c r="F223" s="250"/>
      <c r="G223" s="250">
        <v>390</v>
      </c>
      <c r="H223" s="253">
        <f>+H178+H185</f>
        <v>0</v>
      </c>
      <c r="I223" s="250">
        <v>1.24</v>
      </c>
      <c r="J223" s="271">
        <f t="shared" si="21"/>
        <v>0</v>
      </c>
      <c r="K223" s="6"/>
    </row>
    <row r="224" spans="1:11" ht="15.75">
      <c r="A224" s="8">
        <v>205</v>
      </c>
      <c r="B224" s="250"/>
      <c r="C224" s="250"/>
      <c r="D224" s="269"/>
      <c r="E224" s="269"/>
      <c r="F224" s="250"/>
      <c r="G224" s="250">
        <v>391</v>
      </c>
      <c r="H224" s="253">
        <f>+H199+H198+H191+H184</f>
        <v>0</v>
      </c>
      <c r="I224" s="250">
        <v>4.9800000000000004</v>
      </c>
      <c r="J224" s="271">
        <f t="shared" si="21"/>
        <v>0</v>
      </c>
      <c r="K224" s="6"/>
    </row>
    <row r="225" spans="1:11" ht="15.75">
      <c r="A225" s="8">
        <v>206</v>
      </c>
      <c r="B225" s="250"/>
      <c r="C225" s="250"/>
      <c r="D225" s="269"/>
      <c r="E225" s="269"/>
      <c r="F225" s="250"/>
      <c r="G225" s="250">
        <v>392</v>
      </c>
      <c r="H225" s="253">
        <f>+H194+H193+H190+H188+H179+H175</f>
        <v>0</v>
      </c>
      <c r="I225" s="250">
        <v>6.16</v>
      </c>
      <c r="J225" s="271">
        <f t="shared" si="21"/>
        <v>0</v>
      </c>
      <c r="K225" s="6"/>
    </row>
    <row r="226" spans="1:11" ht="15.75">
      <c r="A226" s="8">
        <v>207</v>
      </c>
      <c r="B226" s="250"/>
      <c r="C226" s="250"/>
      <c r="D226" s="269"/>
      <c r="E226" s="269"/>
      <c r="F226" s="250"/>
      <c r="G226" s="250">
        <v>394</v>
      </c>
      <c r="H226" s="253">
        <f>+H201+H195+H192+H189+H187+H186+H183+H180</f>
        <v>0</v>
      </c>
      <c r="I226" s="250">
        <v>3.55</v>
      </c>
      <c r="J226" s="271">
        <f t="shared" si="21"/>
        <v>0</v>
      </c>
      <c r="K226" s="6"/>
    </row>
    <row r="227" spans="1:11" ht="15.75">
      <c r="A227" s="8">
        <v>208</v>
      </c>
      <c r="B227" s="250"/>
      <c r="C227" s="250"/>
      <c r="D227" s="269"/>
      <c r="E227" s="269"/>
      <c r="F227" s="250"/>
      <c r="G227" s="250">
        <v>396</v>
      </c>
      <c r="H227" s="253">
        <f>+H176+H171</f>
        <v>0</v>
      </c>
      <c r="I227" s="250"/>
      <c r="J227" s="271"/>
      <c r="K227" s="6"/>
    </row>
    <row r="228" spans="1:11" ht="15.75">
      <c r="A228" s="8">
        <v>209</v>
      </c>
      <c r="B228" s="250"/>
      <c r="C228" s="250"/>
      <c r="D228" s="269"/>
      <c r="E228" s="269"/>
      <c r="F228" s="250"/>
      <c r="G228" s="250">
        <v>397</v>
      </c>
      <c r="H228" s="253">
        <f>+H177+H172</f>
        <v>0</v>
      </c>
      <c r="I228" s="250"/>
      <c r="J228" s="271"/>
      <c r="K228" s="6"/>
    </row>
    <row r="229" spans="1:11" ht="15.75">
      <c r="A229" s="8">
        <v>210</v>
      </c>
      <c r="B229" s="250"/>
      <c r="C229" s="250"/>
      <c r="D229" s="269"/>
      <c r="E229" s="269"/>
      <c r="F229" s="250"/>
      <c r="G229" s="250"/>
      <c r="H229" s="250"/>
      <c r="I229" s="250"/>
      <c r="J229" s="250"/>
      <c r="K229" s="6"/>
    </row>
    <row r="230" spans="1:11" ht="15.75">
      <c r="A230" s="8">
        <v>211</v>
      </c>
      <c r="B230" s="250"/>
      <c r="C230" s="250"/>
      <c r="D230" s="269"/>
      <c r="E230" s="269"/>
      <c r="F230" s="250" t="s">
        <v>808</v>
      </c>
      <c r="G230" s="250"/>
      <c r="H230" s="253">
        <f>SUM(H215:H228)</f>
        <v>13959614.878008001</v>
      </c>
      <c r="I230" s="250"/>
      <c r="J230" s="253">
        <f>SUM(J215:J228)</f>
        <v>331195.8787337048</v>
      </c>
      <c r="K230" s="6">
        <f>+J230/H230</f>
        <v>2.3725287669323265E-2</v>
      </c>
    </row>
    <row r="231" spans="1:11" ht="15.75">
      <c r="A231" s="8">
        <v>212</v>
      </c>
      <c r="B231" s="250"/>
      <c r="C231" s="250"/>
      <c r="D231" s="269"/>
      <c r="E231" s="269"/>
      <c r="F231" s="250"/>
      <c r="G231" s="250"/>
      <c r="H231" s="250"/>
      <c r="I231" s="250"/>
      <c r="J231" s="250"/>
      <c r="K231" s="6"/>
    </row>
    <row r="232" spans="1:11" ht="15.75">
      <c r="A232" s="8">
        <v>213</v>
      </c>
      <c r="B232" s="250"/>
      <c r="C232" s="250"/>
      <c r="D232" s="269"/>
      <c r="E232" s="269"/>
      <c r="F232" s="250"/>
      <c r="G232" s="250"/>
      <c r="H232" s="253">
        <f>+H208-H230</f>
        <v>0</v>
      </c>
      <c r="I232" s="250"/>
      <c r="J232" s="250"/>
      <c r="K232" s="6"/>
    </row>
  </sheetData>
  <mergeCells count="4">
    <mergeCell ref="D1:E1"/>
    <mergeCell ref="D2:E2"/>
    <mergeCell ref="D3:E3"/>
    <mergeCell ref="D4:E4"/>
  </mergeCells>
  <pageMargins left="0.7" right="0.7" top="0.75" bottom="0.75" header="0.3" footer="0.3"/>
  <pageSetup scale="53" fitToHeight="0" orientation="portrait" horizontalDpi="1200" verticalDpi="1200" r:id="rId1"/>
  <headerFooter scaleWithDoc="0">
    <oddHeader xml:space="preserve">&amp;RDocket No. UG-170929
Exhibit______(MPP-13)
Page &amp;P of 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61B76-FD68-4C8D-A263-2AACA657AB6E}">
  <sheetPr>
    <pageSetUpPr fitToPage="1"/>
  </sheetPr>
  <dimension ref="A1:G36"/>
  <sheetViews>
    <sheetView workbookViewId="0">
      <selection activeCell="A2" sqref="A2"/>
    </sheetView>
  </sheetViews>
  <sheetFormatPr defaultRowHeight="15.75"/>
  <cols>
    <col min="1" max="1" width="98.7109375" style="146" customWidth="1"/>
    <col min="2" max="2" width="29.42578125" style="146" customWidth="1"/>
    <col min="3" max="16384" width="9.140625" style="146"/>
  </cols>
  <sheetData>
    <row r="1" spans="1:7">
      <c r="A1" s="20" t="s">
        <v>2325</v>
      </c>
    </row>
    <row r="2" spans="1:7">
      <c r="A2" s="20" t="s">
        <v>2329</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47"/>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2328</v>
      </c>
    </row>
    <row r="25" spans="1:1">
      <c r="A25" s="23"/>
    </row>
    <row r="26" spans="1:1">
      <c r="A26" s="23"/>
    </row>
    <row r="27" spans="1:1">
      <c r="A27" s="23"/>
    </row>
    <row r="28" spans="1:1">
      <c r="A28" s="23"/>
    </row>
    <row r="29" spans="1:1">
      <c r="A29" s="23"/>
    </row>
    <row r="30" spans="1:1">
      <c r="A30" s="803" t="s">
        <v>2327</v>
      </c>
    </row>
    <row r="31" spans="1:1">
      <c r="A31" s="148"/>
    </row>
    <row r="32" spans="1:1">
      <c r="A32" s="147"/>
    </row>
    <row r="33" spans="1:1">
      <c r="A33" s="147"/>
    </row>
    <row r="34" spans="1:1">
      <c r="A34" s="147"/>
    </row>
    <row r="35" spans="1:1">
      <c r="A35" s="147"/>
    </row>
    <row r="36" spans="1:1">
      <c r="A36" s="147"/>
    </row>
  </sheetData>
  <pageMargins left="0.7" right="0.7" top="0.75" bottom="0.75" header="0.3" footer="0.3"/>
  <pageSetup scale="99" firstPageNumber="0" fitToHeight="0" orientation="portrait" useFirstPageNumber="1"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B12B1-6B57-4D26-9514-DF918BE1D47B}">
  <sheetPr>
    <pageSetUpPr fitToPage="1"/>
  </sheetPr>
  <dimension ref="A1:AF807"/>
  <sheetViews>
    <sheetView topLeftCell="S1" workbookViewId="0">
      <selection activeCell="AC212" sqref="AC1:AD1048576"/>
    </sheetView>
  </sheetViews>
  <sheetFormatPr defaultRowHeight="15" outlineLevelCol="1"/>
  <cols>
    <col min="1" max="1" width="3.85546875" customWidth="1"/>
    <col min="2" max="2" width="6" customWidth="1"/>
    <col min="3" max="3" width="7.28515625" customWidth="1"/>
    <col min="4" max="4" width="5.85546875" customWidth="1"/>
    <col min="5" max="5" width="51" bestFit="1" customWidth="1"/>
    <col min="6" max="14" width="15.5703125" hidden="1" customWidth="1" outlineLevel="1"/>
    <col min="15" max="15" width="15.7109375" hidden="1" customWidth="1" outlineLevel="1"/>
    <col min="16" max="18" width="15.5703125" hidden="1" customWidth="1" outlineLevel="1"/>
    <col min="19" max="19" width="14" customWidth="1" collapsed="1"/>
    <col min="21" max="21" width="12.28515625" bestFit="1" customWidth="1"/>
    <col min="22" max="24" width="12.85546875" bestFit="1" customWidth="1"/>
    <col min="25" max="25" width="13.140625" customWidth="1"/>
    <col min="26" max="26" width="12.28515625" bestFit="1" customWidth="1"/>
    <col min="27" max="27" width="11.85546875" hidden="1" customWidth="1" outlineLevel="1"/>
    <col min="28" max="28" width="11.42578125" bestFit="1" customWidth="1" collapsed="1"/>
    <col min="29" max="29" width="15.5703125" hidden="1" customWidth="1" outlineLevel="1"/>
    <col min="30" max="30" width="14.5703125" hidden="1" customWidth="1" outlineLevel="1"/>
    <col min="31" max="31" width="92.85546875" hidden="1" customWidth="1" outlineLevel="1"/>
    <col min="32" max="32" width="9.140625" collapsed="1"/>
  </cols>
  <sheetData>
    <row r="1" spans="1:31" ht="15.75">
      <c r="A1" s="878" t="s">
        <v>60</v>
      </c>
      <c r="B1" s="879"/>
      <c r="C1" s="879"/>
      <c r="D1" s="879"/>
      <c r="E1" s="879"/>
      <c r="F1" s="880" t="s">
        <v>1099</v>
      </c>
      <c r="G1" s="880" t="s">
        <v>1099</v>
      </c>
      <c r="H1" s="880" t="s">
        <v>1099</v>
      </c>
      <c r="I1" s="880" t="s">
        <v>1099</v>
      </c>
      <c r="J1" s="880" t="s">
        <v>1099</v>
      </c>
      <c r="K1" s="880" t="s">
        <v>1099</v>
      </c>
      <c r="L1" s="880" t="s">
        <v>1099</v>
      </c>
      <c r="M1" s="880" t="s">
        <v>1099</v>
      </c>
      <c r="N1" s="880" t="s">
        <v>1099</v>
      </c>
      <c r="O1" s="880" t="s">
        <v>1099</v>
      </c>
      <c r="P1" s="880" t="s">
        <v>1099</v>
      </c>
      <c r="Q1" s="880" t="s">
        <v>1099</v>
      </c>
      <c r="R1" s="880" t="s">
        <v>1099</v>
      </c>
      <c r="S1" s="881"/>
      <c r="T1" s="879"/>
      <c r="U1" s="881"/>
      <c r="V1" s="881"/>
      <c r="W1" s="881"/>
      <c r="X1" s="881"/>
      <c r="Y1" s="881"/>
      <c r="Z1" s="881"/>
      <c r="AA1" s="881"/>
      <c r="AB1" s="881"/>
      <c r="AC1" s="879"/>
      <c r="AD1" s="879"/>
      <c r="AE1" s="879"/>
    </row>
    <row r="2" spans="1:31" ht="15.75">
      <c r="A2" s="878" t="s">
        <v>2078</v>
      </c>
      <c r="B2" s="879"/>
      <c r="C2" s="879"/>
      <c r="D2" s="879"/>
      <c r="E2" s="879"/>
      <c r="F2" s="880"/>
      <c r="G2" s="880"/>
      <c r="H2" s="880"/>
      <c r="I2" s="880"/>
      <c r="J2" s="880"/>
      <c r="K2" s="880"/>
      <c r="L2" s="880"/>
      <c r="M2" s="880"/>
      <c r="N2" s="880"/>
      <c r="O2" s="880"/>
      <c r="P2" s="880"/>
      <c r="Q2" s="880"/>
      <c r="R2" s="880"/>
      <c r="S2" s="881"/>
      <c r="T2" s="879"/>
      <c r="U2" s="881"/>
      <c r="V2" s="881"/>
      <c r="W2" s="881"/>
      <c r="X2" s="881"/>
      <c r="Y2" s="881"/>
      <c r="Z2" s="881"/>
      <c r="AA2" s="881"/>
      <c r="AB2" s="881"/>
      <c r="AC2" s="879"/>
      <c r="AD2" s="879"/>
      <c r="AE2" s="879"/>
    </row>
    <row r="3" spans="1:31" ht="15.75">
      <c r="A3" s="878" t="s">
        <v>2079</v>
      </c>
      <c r="B3" s="879"/>
      <c r="C3" s="879"/>
      <c r="D3" s="879"/>
      <c r="E3" s="879"/>
      <c r="F3" s="880"/>
      <c r="G3" s="880"/>
      <c r="H3" s="880"/>
      <c r="I3" s="880"/>
      <c r="J3" s="880"/>
      <c r="K3" s="880"/>
      <c r="L3" s="880"/>
      <c r="M3" s="880"/>
      <c r="N3" s="880"/>
      <c r="O3" s="880"/>
      <c r="P3" s="880"/>
      <c r="Q3" s="880"/>
      <c r="R3" s="880"/>
      <c r="S3" s="881"/>
      <c r="T3" s="879"/>
      <c r="U3" s="881"/>
      <c r="V3" s="881"/>
      <c r="W3" s="881"/>
      <c r="X3" s="881"/>
      <c r="Y3" s="881"/>
      <c r="Z3" s="881"/>
      <c r="AA3" s="881"/>
      <c r="AB3" s="881"/>
      <c r="AC3" s="879"/>
      <c r="AD3" s="879"/>
      <c r="AE3" s="879"/>
    </row>
    <row r="4" spans="1:31" ht="15.75">
      <c r="A4" s="878" t="s">
        <v>2080</v>
      </c>
      <c r="B4" s="879"/>
      <c r="C4" s="879"/>
      <c r="D4" s="879"/>
      <c r="E4" s="879"/>
      <c r="F4" s="880"/>
      <c r="G4" s="880"/>
      <c r="H4" s="880"/>
      <c r="I4" s="880"/>
      <c r="J4" s="880"/>
      <c r="K4" s="880"/>
      <c r="L4" s="880"/>
      <c r="M4" s="880"/>
      <c r="N4" s="880"/>
      <c r="O4" s="880"/>
      <c r="P4" s="880"/>
      <c r="Q4" s="880"/>
      <c r="R4" s="880"/>
      <c r="S4" s="881"/>
      <c r="T4" s="879"/>
      <c r="U4" s="881"/>
      <c r="V4" s="881"/>
      <c r="W4" s="881"/>
      <c r="X4" s="881"/>
      <c r="Y4" s="881"/>
      <c r="Z4" s="881"/>
      <c r="AA4" s="881"/>
      <c r="AB4" s="881"/>
      <c r="AC4" s="879"/>
      <c r="AD4" s="879"/>
      <c r="AE4" s="879"/>
    </row>
    <row r="5" spans="1:31">
      <c r="A5" s="879"/>
      <c r="B5" s="879"/>
      <c r="C5" s="879"/>
      <c r="D5" s="879"/>
      <c r="E5" s="879"/>
      <c r="F5" s="880" t="s">
        <v>1834</v>
      </c>
      <c r="G5" s="880" t="s">
        <v>1835</v>
      </c>
      <c r="H5" s="880" t="s">
        <v>1835</v>
      </c>
      <c r="I5" s="880" t="s">
        <v>1835</v>
      </c>
      <c r="J5" s="880" t="s">
        <v>1835</v>
      </c>
      <c r="K5" s="880" t="s">
        <v>1835</v>
      </c>
      <c r="L5" s="880" t="s">
        <v>1835</v>
      </c>
      <c r="M5" s="880" t="s">
        <v>1835</v>
      </c>
      <c r="N5" s="880" t="s">
        <v>1835</v>
      </c>
      <c r="O5" s="880" t="s">
        <v>1835</v>
      </c>
      <c r="P5" s="880" t="s">
        <v>1835</v>
      </c>
      <c r="Q5" s="880" t="s">
        <v>1835</v>
      </c>
      <c r="R5" s="880" t="s">
        <v>1835</v>
      </c>
      <c r="S5" s="881"/>
      <c r="T5" s="879"/>
      <c r="U5" s="881"/>
      <c r="V5" s="881"/>
      <c r="W5" s="881"/>
      <c r="X5" s="881"/>
      <c r="Y5" s="881"/>
      <c r="Z5" s="881"/>
      <c r="AA5" s="881"/>
      <c r="AB5" s="881"/>
      <c r="AC5" s="879"/>
      <c r="AD5" s="879"/>
      <c r="AE5" s="879"/>
    </row>
    <row r="6" spans="1:31">
      <c r="A6" s="879"/>
      <c r="B6" s="879"/>
      <c r="C6" s="879"/>
      <c r="D6" s="879"/>
      <c r="E6" s="879"/>
      <c r="F6" s="880" t="s">
        <v>1836</v>
      </c>
      <c r="G6" s="880" t="s">
        <v>1836</v>
      </c>
      <c r="H6" s="880" t="s">
        <v>1836</v>
      </c>
      <c r="I6" s="880" t="s">
        <v>1836</v>
      </c>
      <c r="J6" s="880" t="s">
        <v>1836</v>
      </c>
      <c r="K6" s="880" t="s">
        <v>1836</v>
      </c>
      <c r="L6" s="880" t="s">
        <v>1836</v>
      </c>
      <c r="M6" s="880" t="s">
        <v>1836</v>
      </c>
      <c r="N6" s="880" t="s">
        <v>1836</v>
      </c>
      <c r="O6" s="880" t="s">
        <v>1836</v>
      </c>
      <c r="P6" s="880" t="s">
        <v>1836</v>
      </c>
      <c r="Q6" s="880" t="s">
        <v>1836</v>
      </c>
      <c r="R6" s="880" t="s">
        <v>1836</v>
      </c>
      <c r="S6" s="1022" t="s">
        <v>2081</v>
      </c>
      <c r="T6" s="1024"/>
      <c r="U6" s="1022"/>
      <c r="V6" s="1023">
        <v>1</v>
      </c>
      <c r="W6" s="881"/>
      <c r="X6" s="881"/>
      <c r="Y6" s="881" t="s">
        <v>2082</v>
      </c>
      <c r="Z6" s="881"/>
      <c r="AA6" s="881"/>
      <c r="AB6" s="881"/>
      <c r="AC6" s="879"/>
      <c r="AD6" s="879"/>
      <c r="AE6" s="879"/>
    </row>
    <row r="7" spans="1:31">
      <c r="A7" s="879"/>
      <c r="B7" s="879"/>
      <c r="C7" s="879"/>
      <c r="D7" s="879"/>
      <c r="E7" s="879"/>
      <c r="F7" s="880" t="s">
        <v>2083</v>
      </c>
      <c r="G7" s="880" t="s">
        <v>2083</v>
      </c>
      <c r="H7" s="880" t="s">
        <v>2083</v>
      </c>
      <c r="I7" s="880" t="s">
        <v>2083</v>
      </c>
      <c r="J7" s="880" t="s">
        <v>2083</v>
      </c>
      <c r="K7" s="880" t="s">
        <v>2083</v>
      </c>
      <c r="L7" s="880" t="s">
        <v>2083</v>
      </c>
      <c r="M7" s="880" t="s">
        <v>2083</v>
      </c>
      <c r="N7" s="880" t="s">
        <v>2083</v>
      </c>
      <c r="O7" s="880" t="s">
        <v>2083</v>
      </c>
      <c r="P7" s="880" t="s">
        <v>2083</v>
      </c>
      <c r="Q7" s="880" t="s">
        <v>2083</v>
      </c>
      <c r="R7" s="880" t="s">
        <v>2083</v>
      </c>
      <c r="S7" s="1022" t="s">
        <v>2084</v>
      </c>
      <c r="T7" s="1024"/>
      <c r="U7" s="1022"/>
      <c r="V7" s="1023">
        <v>1</v>
      </c>
      <c r="W7" s="881"/>
      <c r="X7" s="881"/>
      <c r="Y7" s="881" t="s">
        <v>111</v>
      </c>
      <c r="Z7" s="882">
        <v>0.75280000000000002</v>
      </c>
      <c r="AA7" s="881"/>
      <c r="AB7" s="881"/>
      <c r="AC7" s="879"/>
      <c r="AD7" s="879"/>
      <c r="AE7" s="879"/>
    </row>
    <row r="8" spans="1:31">
      <c r="A8" s="879"/>
      <c r="B8" s="879"/>
      <c r="C8" s="879"/>
      <c r="D8" s="879"/>
      <c r="E8" s="883"/>
      <c r="F8" s="884" t="s">
        <v>509</v>
      </c>
      <c r="G8" s="884" t="s">
        <v>585</v>
      </c>
      <c r="H8" s="884" t="s">
        <v>632</v>
      </c>
      <c r="I8" s="884" t="s">
        <v>634</v>
      </c>
      <c r="J8" s="884" t="s">
        <v>1837</v>
      </c>
      <c r="K8" s="884" t="s">
        <v>1838</v>
      </c>
      <c r="L8" s="884" t="s">
        <v>1839</v>
      </c>
      <c r="M8" s="884" t="s">
        <v>1840</v>
      </c>
      <c r="N8" s="884" t="s">
        <v>397</v>
      </c>
      <c r="O8" s="884" t="s">
        <v>1841</v>
      </c>
      <c r="P8" s="884" t="s">
        <v>1842</v>
      </c>
      <c r="Q8" s="884" t="s">
        <v>1843</v>
      </c>
      <c r="R8" s="884" t="s">
        <v>509</v>
      </c>
      <c r="S8" s="881"/>
      <c r="T8" s="879"/>
      <c r="U8" s="881"/>
      <c r="V8" s="881"/>
      <c r="W8" s="881"/>
      <c r="X8" s="881"/>
      <c r="Y8" s="881" t="s">
        <v>85</v>
      </c>
      <c r="Z8" s="882">
        <f>1-Z7</f>
        <v>0.24719999999999998</v>
      </c>
      <c r="AA8" s="881"/>
      <c r="AB8" s="881"/>
      <c r="AC8" s="879"/>
      <c r="AD8" s="879"/>
      <c r="AE8" s="879"/>
    </row>
    <row r="9" spans="1:31">
      <c r="A9" s="879"/>
      <c r="B9" s="879"/>
      <c r="C9" s="879"/>
      <c r="D9" s="879"/>
      <c r="E9" s="883"/>
      <c r="F9" s="880" t="s">
        <v>913</v>
      </c>
      <c r="G9" s="880" t="s">
        <v>913</v>
      </c>
      <c r="H9" s="880" t="s">
        <v>913</v>
      </c>
      <c r="I9" s="880" t="s">
        <v>913</v>
      </c>
      <c r="J9" s="880" t="s">
        <v>913</v>
      </c>
      <c r="K9" s="880" t="s">
        <v>913</v>
      </c>
      <c r="L9" s="880" t="s">
        <v>913</v>
      </c>
      <c r="M9" s="880" t="s">
        <v>913</v>
      </c>
      <c r="N9" s="880" t="s">
        <v>913</v>
      </c>
      <c r="O9" s="880" t="s">
        <v>913</v>
      </c>
      <c r="P9" s="880" t="s">
        <v>913</v>
      </c>
      <c r="Q9" s="880" t="s">
        <v>913</v>
      </c>
      <c r="R9" s="880" t="s">
        <v>913</v>
      </c>
      <c r="S9" s="881"/>
      <c r="T9" s="879"/>
      <c r="U9" s="881"/>
      <c r="V9" s="881"/>
      <c r="W9" s="881"/>
      <c r="X9" s="881"/>
      <c r="Y9" s="881"/>
      <c r="Z9" s="881"/>
      <c r="AA9" s="881"/>
      <c r="AB9" s="881"/>
      <c r="AC9" s="879"/>
      <c r="AD9" s="879"/>
      <c r="AE9" s="879"/>
    </row>
    <row r="10" spans="1:31">
      <c r="A10" s="879"/>
      <c r="B10" s="879"/>
      <c r="C10" s="879"/>
      <c r="D10" s="879"/>
      <c r="E10" s="883"/>
      <c r="F10" s="880" t="s">
        <v>1102</v>
      </c>
      <c r="G10" s="880" t="s">
        <v>1102</v>
      </c>
      <c r="H10" s="880" t="s">
        <v>1102</v>
      </c>
      <c r="I10" s="880" t="s">
        <v>1102</v>
      </c>
      <c r="J10" s="880" t="s">
        <v>1102</v>
      </c>
      <c r="K10" s="880" t="s">
        <v>1102</v>
      </c>
      <c r="L10" s="880" t="s">
        <v>1102</v>
      </c>
      <c r="M10" s="880" t="s">
        <v>1102</v>
      </c>
      <c r="N10" s="880" t="s">
        <v>1102</v>
      </c>
      <c r="O10" s="880" t="s">
        <v>1102</v>
      </c>
      <c r="P10" s="880" t="s">
        <v>1102</v>
      </c>
      <c r="Q10" s="880" t="s">
        <v>1102</v>
      </c>
      <c r="R10" s="880" t="s">
        <v>1102</v>
      </c>
      <c r="S10" s="881"/>
      <c r="T10" s="879"/>
      <c r="U10" s="881"/>
      <c r="V10" s="881"/>
      <c r="W10" s="881"/>
      <c r="X10" s="881"/>
      <c r="Y10" s="881"/>
      <c r="Z10" s="881"/>
      <c r="AA10" s="881"/>
      <c r="AB10" s="881"/>
      <c r="AC10" s="879"/>
      <c r="AD10" s="879"/>
      <c r="AE10" s="879"/>
    </row>
    <row r="11" spans="1:31">
      <c r="A11" s="879"/>
      <c r="B11" s="1044" t="s">
        <v>2085</v>
      </c>
      <c r="C11" s="885"/>
      <c r="D11" s="1044" t="s">
        <v>2086</v>
      </c>
      <c r="E11" s="879"/>
      <c r="F11" s="879"/>
      <c r="G11" s="879"/>
      <c r="H11" s="879"/>
      <c r="I11" s="879"/>
      <c r="J11" s="879"/>
      <c r="K11" s="879"/>
      <c r="L11" s="879"/>
      <c r="M11" s="879"/>
      <c r="N11" s="879"/>
      <c r="O11" s="879"/>
      <c r="P11" s="879"/>
      <c r="Q11" s="879"/>
      <c r="R11" s="879"/>
      <c r="S11" s="881"/>
      <c r="T11" s="879"/>
      <c r="U11" s="881"/>
      <c r="V11" s="881"/>
      <c r="W11" s="881"/>
      <c r="X11" s="881"/>
      <c r="Y11" s="886" t="s">
        <v>2087</v>
      </c>
      <c r="Z11" s="887"/>
      <c r="AA11" s="887"/>
      <c r="AB11" s="881"/>
      <c r="AC11" s="879"/>
      <c r="AD11" s="879"/>
      <c r="AE11" s="879"/>
    </row>
    <row r="12" spans="1:31">
      <c r="A12" s="888" t="s">
        <v>2088</v>
      </c>
      <c r="B12" s="1044"/>
      <c r="C12" s="885" t="s">
        <v>1505</v>
      </c>
      <c r="D12" s="1044"/>
      <c r="E12" s="879"/>
      <c r="F12" s="879"/>
      <c r="G12" s="879"/>
      <c r="H12" s="879"/>
      <c r="I12" s="879"/>
      <c r="J12" s="879"/>
      <c r="K12" s="879"/>
      <c r="L12" s="879"/>
      <c r="M12" s="879"/>
      <c r="N12" s="879"/>
      <c r="O12" s="879"/>
      <c r="P12" s="879"/>
      <c r="Q12" s="879"/>
      <c r="R12" s="879"/>
      <c r="S12" s="881"/>
      <c r="T12" s="879"/>
      <c r="U12" s="889" t="s">
        <v>2089</v>
      </c>
      <c r="V12" s="889" t="s">
        <v>2089</v>
      </c>
      <c r="W12" s="889" t="s">
        <v>385</v>
      </c>
      <c r="X12" s="889" t="s">
        <v>58</v>
      </c>
      <c r="Y12" s="881"/>
      <c r="Z12" s="881"/>
      <c r="AA12" s="881"/>
      <c r="AB12" s="881"/>
      <c r="AC12" s="879"/>
      <c r="AD12" s="879"/>
      <c r="AE12" s="879"/>
    </row>
    <row r="13" spans="1:31">
      <c r="A13" s="888" t="s">
        <v>2090</v>
      </c>
      <c r="B13" s="885" t="s">
        <v>2091</v>
      </c>
      <c r="C13" s="885" t="s">
        <v>2090</v>
      </c>
      <c r="D13" s="885" t="s">
        <v>1505</v>
      </c>
      <c r="E13" s="879"/>
      <c r="F13" s="890" t="s">
        <v>914</v>
      </c>
      <c r="G13" s="891" t="s">
        <v>915</v>
      </c>
      <c r="H13" s="890" t="s">
        <v>916</v>
      </c>
      <c r="I13" s="890" t="s">
        <v>917</v>
      </c>
      <c r="J13" s="890" t="s">
        <v>918</v>
      </c>
      <c r="K13" s="890" t="s">
        <v>919</v>
      </c>
      <c r="L13" s="890" t="s">
        <v>920</v>
      </c>
      <c r="M13" s="890" t="s">
        <v>921</v>
      </c>
      <c r="N13" s="890" t="s">
        <v>922</v>
      </c>
      <c r="O13" s="890" t="s">
        <v>923</v>
      </c>
      <c r="P13" s="890" t="s">
        <v>924</v>
      </c>
      <c r="Q13" s="890" t="s">
        <v>925</v>
      </c>
      <c r="R13" s="890" t="s">
        <v>926</v>
      </c>
      <c r="S13" s="892" t="s">
        <v>1659</v>
      </c>
      <c r="T13" s="879"/>
      <c r="U13" s="889" t="s">
        <v>2092</v>
      </c>
      <c r="V13" s="889" t="s">
        <v>2093</v>
      </c>
      <c r="W13" s="889" t="s">
        <v>386</v>
      </c>
      <c r="X13" s="889" t="s">
        <v>387</v>
      </c>
      <c r="Y13" s="889" t="s">
        <v>379</v>
      </c>
      <c r="Z13" s="889" t="s">
        <v>937</v>
      </c>
      <c r="AA13" s="889" t="s">
        <v>2094</v>
      </c>
      <c r="AB13" s="889" t="s">
        <v>2095</v>
      </c>
      <c r="AC13" s="879" t="s">
        <v>378</v>
      </c>
      <c r="AD13" s="879" t="s">
        <v>2096</v>
      </c>
      <c r="AE13" s="879"/>
    </row>
    <row r="14" spans="1:31">
      <c r="A14" s="888"/>
      <c r="B14" s="885"/>
      <c r="C14" s="885"/>
      <c r="D14" s="885"/>
      <c r="E14" s="879"/>
      <c r="F14" s="1016"/>
      <c r="G14" s="1017"/>
      <c r="H14" s="1016"/>
      <c r="I14" s="1016"/>
      <c r="J14" s="1016"/>
      <c r="K14" s="1016"/>
      <c r="L14" s="1016"/>
      <c r="M14" s="1016"/>
      <c r="N14" s="1016"/>
      <c r="O14" s="1016"/>
      <c r="P14" s="1016"/>
      <c r="Q14" s="1016"/>
      <c r="R14" s="1016"/>
      <c r="S14" s="1018" t="s">
        <v>115</v>
      </c>
      <c r="T14" s="879"/>
      <c r="U14" s="889" t="s">
        <v>116</v>
      </c>
      <c r="V14" s="889" t="s">
        <v>2097</v>
      </c>
      <c r="W14" s="889" t="s">
        <v>2098</v>
      </c>
      <c r="X14" s="889" t="s">
        <v>2099</v>
      </c>
      <c r="Y14" s="889" t="s">
        <v>2100</v>
      </c>
      <c r="Z14" s="889" t="s">
        <v>2101</v>
      </c>
      <c r="AA14" s="889"/>
      <c r="AB14" s="889" t="s">
        <v>2102</v>
      </c>
      <c r="AC14" s="879"/>
      <c r="AD14" s="879"/>
      <c r="AE14" s="879"/>
    </row>
    <row r="15" spans="1:31">
      <c r="A15" s="879">
        <v>1</v>
      </c>
      <c r="B15" s="893" t="s">
        <v>1850</v>
      </c>
      <c r="C15" s="893" t="s">
        <v>388</v>
      </c>
      <c r="D15" s="879" t="s">
        <v>389</v>
      </c>
      <c r="E15" s="894" t="s">
        <v>390</v>
      </c>
      <c r="F15" s="895">
        <v>841287581.38</v>
      </c>
      <c r="G15" s="895">
        <v>844250997.01999998</v>
      </c>
      <c r="H15" s="895">
        <v>845780274.45000005</v>
      </c>
      <c r="I15" s="895">
        <v>850849571.23000002</v>
      </c>
      <c r="J15" s="895">
        <v>852735883.73000002</v>
      </c>
      <c r="K15" s="895">
        <v>855868544.54999995</v>
      </c>
      <c r="L15" s="895">
        <v>864307499.25999999</v>
      </c>
      <c r="M15" s="895">
        <v>868541029.21000004</v>
      </c>
      <c r="N15" s="895">
        <v>869411162.35000002</v>
      </c>
      <c r="O15" s="895">
        <v>875369750.46000004</v>
      </c>
      <c r="P15" s="895">
        <v>879842689.62</v>
      </c>
      <c r="Q15" s="895">
        <v>881539577.07000005</v>
      </c>
      <c r="R15" s="895">
        <v>889631646.78999996</v>
      </c>
      <c r="S15" s="896">
        <f>((F15+R15)+((G15+H15+I15+J15+K15+L15+M15+N15+O15+P15+Q15)*2))/24</f>
        <v>862829716.08624995</v>
      </c>
      <c r="T15" s="879"/>
      <c r="U15" s="881"/>
      <c r="V15" s="881"/>
      <c r="W15" s="881"/>
      <c r="X15" s="897">
        <f>+S15</f>
        <v>862829716.08624995</v>
      </c>
      <c r="Y15" s="881">
        <f>677314165.19-Y16</f>
        <v>656715247.07546306</v>
      </c>
      <c r="Z15" s="881">
        <f>+X15-Y15</f>
        <v>206114469.01078689</v>
      </c>
      <c r="AA15" s="881"/>
      <c r="AB15" s="881"/>
      <c r="AC15" s="879"/>
      <c r="AD15" s="879"/>
      <c r="AE15" s="879" t="s">
        <v>2103</v>
      </c>
    </row>
    <row r="16" spans="1:31">
      <c r="A16" s="879">
        <f>+A15+1</f>
        <v>2</v>
      </c>
      <c r="B16" s="893" t="s">
        <v>1850</v>
      </c>
      <c r="C16" s="893" t="s">
        <v>391</v>
      </c>
      <c r="D16" s="879" t="s">
        <v>389</v>
      </c>
      <c r="E16" s="894" t="s">
        <v>392</v>
      </c>
      <c r="F16" s="895">
        <v>28896553.829999998</v>
      </c>
      <c r="G16" s="895">
        <v>27565439.219999999</v>
      </c>
      <c r="H16" s="895">
        <v>27308385.52</v>
      </c>
      <c r="I16" s="895">
        <v>25405445.93</v>
      </c>
      <c r="J16" s="895">
        <v>26448610.5</v>
      </c>
      <c r="K16" s="895">
        <v>26356690.800000001</v>
      </c>
      <c r="L16" s="895">
        <v>20673671.899999999</v>
      </c>
      <c r="M16" s="895">
        <v>20158872.41</v>
      </c>
      <c r="N16" s="895">
        <v>31410364.16</v>
      </c>
      <c r="O16" s="895">
        <v>29294995.760000002</v>
      </c>
      <c r="P16" s="895">
        <v>31135493.359999999</v>
      </c>
      <c r="Q16" s="895">
        <v>31619119.32</v>
      </c>
      <c r="R16" s="895">
        <v>33062917.120000001</v>
      </c>
      <c r="S16" s="896">
        <f>((F16+R16)+((G16+H16+I16+J16+K16+L16+M16+N16+O16+P16+Q16)*2))/24</f>
        <v>27363068.696249995</v>
      </c>
      <c r="T16" s="879"/>
      <c r="U16" s="881"/>
      <c r="V16" s="881"/>
      <c r="W16" s="881"/>
      <c r="X16" s="897">
        <f>+S16</f>
        <v>27363068.696249995</v>
      </c>
      <c r="Y16" s="881">
        <f>+X16*Z7</f>
        <v>20598918.114536997</v>
      </c>
      <c r="Z16" s="881">
        <f>+X16*Z8</f>
        <v>6764150.5817129984</v>
      </c>
      <c r="AA16" s="881"/>
      <c r="AB16" s="881"/>
      <c r="AC16" s="879"/>
      <c r="AD16" s="879"/>
      <c r="AE16" s="879"/>
    </row>
    <row r="17" spans="1:31">
      <c r="A17" s="879">
        <f t="shared" ref="A17:A80" si="0">+A16+1</f>
        <v>3</v>
      </c>
      <c r="B17" s="893" t="s">
        <v>1850</v>
      </c>
      <c r="C17" s="893" t="s">
        <v>393</v>
      </c>
      <c r="D17" s="893" t="s">
        <v>389</v>
      </c>
      <c r="E17" s="894" t="s">
        <v>394</v>
      </c>
      <c r="F17" s="895">
        <v>10555875.93</v>
      </c>
      <c r="G17" s="895">
        <v>9501126.4000000004</v>
      </c>
      <c r="H17" s="895">
        <v>10899019.84</v>
      </c>
      <c r="I17" s="895">
        <v>10951252.41</v>
      </c>
      <c r="J17" s="895">
        <v>11303827.66</v>
      </c>
      <c r="K17" s="895">
        <v>13181573.25</v>
      </c>
      <c r="L17" s="895">
        <v>17648079.600000001</v>
      </c>
      <c r="M17" s="895">
        <v>18641573.690000001</v>
      </c>
      <c r="N17" s="895">
        <v>9965389.1699999999</v>
      </c>
      <c r="O17" s="895">
        <v>10944845.09</v>
      </c>
      <c r="P17" s="895">
        <v>11645573.119999999</v>
      </c>
      <c r="Q17" s="895">
        <v>13934906.949999999</v>
      </c>
      <c r="R17" s="895">
        <v>12898869.82</v>
      </c>
      <c r="S17" s="896">
        <f>((F17+R17)+((G17+H17+I17+J17+K17+L17+M17+N17+O17+P17+Q17)*2))/24</f>
        <v>12528711.671250001</v>
      </c>
      <c r="T17" s="879"/>
      <c r="U17" s="881"/>
      <c r="V17" s="881"/>
      <c r="W17" s="881"/>
      <c r="X17" s="897">
        <f>+S17</f>
        <v>12528711.671250001</v>
      </c>
      <c r="Y17" s="881"/>
      <c r="Z17" s="881"/>
      <c r="AA17" s="881"/>
      <c r="AB17" s="881">
        <f>+S17</f>
        <v>12528711.671250001</v>
      </c>
      <c r="AC17" s="879"/>
      <c r="AD17" s="879"/>
      <c r="AE17" s="879"/>
    </row>
    <row r="18" spans="1:31">
      <c r="A18" s="879">
        <f t="shared" si="0"/>
        <v>4</v>
      </c>
      <c r="B18" s="879"/>
      <c r="C18" s="879"/>
      <c r="D18" s="879"/>
      <c r="E18" s="894" t="s">
        <v>395</v>
      </c>
      <c r="F18" s="898">
        <f t="shared" ref="F18:S18" si="1">SUM(F15:F17)</f>
        <v>880740011.13999999</v>
      </c>
      <c r="G18" s="898">
        <f t="shared" si="1"/>
        <v>881317562.63999999</v>
      </c>
      <c r="H18" s="898">
        <f t="shared" si="1"/>
        <v>883987679.81000006</v>
      </c>
      <c r="I18" s="898">
        <f t="shared" si="1"/>
        <v>887206269.56999993</v>
      </c>
      <c r="J18" s="898">
        <f t="shared" si="1"/>
        <v>890488321.88999999</v>
      </c>
      <c r="K18" s="898">
        <f t="shared" si="1"/>
        <v>895406808.5999999</v>
      </c>
      <c r="L18" s="898">
        <f t="shared" si="1"/>
        <v>902629250.75999999</v>
      </c>
      <c r="M18" s="898">
        <f t="shared" si="1"/>
        <v>907341475.31000006</v>
      </c>
      <c r="N18" s="898">
        <f t="shared" si="1"/>
        <v>910786915.67999995</v>
      </c>
      <c r="O18" s="898">
        <f t="shared" si="1"/>
        <v>915609591.31000006</v>
      </c>
      <c r="P18" s="898">
        <f t="shared" si="1"/>
        <v>922623756.10000002</v>
      </c>
      <c r="Q18" s="898">
        <f t="shared" si="1"/>
        <v>927093603.34000015</v>
      </c>
      <c r="R18" s="898">
        <f t="shared" si="1"/>
        <v>935593433.73000002</v>
      </c>
      <c r="S18" s="899">
        <f t="shared" si="1"/>
        <v>902721496.4537499</v>
      </c>
      <c r="T18" s="879"/>
      <c r="U18" s="881"/>
      <c r="V18" s="881"/>
      <c r="W18" s="881"/>
      <c r="X18" s="897"/>
      <c r="Y18" s="881"/>
      <c r="Z18" s="881"/>
      <c r="AA18" s="881"/>
      <c r="AB18" s="881"/>
      <c r="AC18" s="879"/>
      <c r="AD18" s="879"/>
      <c r="AE18" s="879"/>
    </row>
    <row r="19" spans="1:31">
      <c r="A19" s="879">
        <f t="shared" si="0"/>
        <v>5</v>
      </c>
      <c r="B19" s="879"/>
      <c r="C19" s="879"/>
      <c r="D19" s="879"/>
      <c r="E19" s="894"/>
      <c r="F19" s="900"/>
      <c r="G19" s="901"/>
      <c r="H19" s="902"/>
      <c r="I19" s="902"/>
      <c r="J19" s="903"/>
      <c r="K19" s="904"/>
      <c r="L19" s="905"/>
      <c r="M19" s="906"/>
      <c r="N19" s="907"/>
      <c r="O19" s="908"/>
      <c r="P19" s="909"/>
      <c r="Q19" s="910"/>
      <c r="R19" s="900"/>
      <c r="S19" s="896"/>
      <c r="T19" s="879"/>
      <c r="U19" s="881"/>
      <c r="V19" s="881"/>
      <c r="W19" s="881"/>
      <c r="X19" s="897"/>
      <c r="Y19" s="881"/>
      <c r="Z19" s="881"/>
      <c r="AA19" s="881"/>
      <c r="AB19" s="881"/>
      <c r="AC19" s="879"/>
      <c r="AD19" s="879"/>
      <c r="AE19" s="879"/>
    </row>
    <row r="20" spans="1:31">
      <c r="A20" s="879">
        <f t="shared" si="0"/>
        <v>6</v>
      </c>
      <c r="B20" s="893" t="s">
        <v>1850</v>
      </c>
      <c r="C20" s="893" t="s">
        <v>396</v>
      </c>
      <c r="D20" s="893" t="s">
        <v>397</v>
      </c>
      <c r="E20" s="911" t="s">
        <v>398</v>
      </c>
      <c r="F20" s="895">
        <v>686205.96</v>
      </c>
      <c r="G20" s="895">
        <v>829635.6</v>
      </c>
      <c r="H20" s="895">
        <v>771254.68</v>
      </c>
      <c r="I20" s="895">
        <v>524465.69999999995</v>
      </c>
      <c r="J20" s="895">
        <v>698101.21</v>
      </c>
      <c r="K20" s="895">
        <v>830365.63</v>
      </c>
      <c r="L20" s="895">
        <v>887437.96</v>
      </c>
      <c r="M20" s="895">
        <v>780282.77</v>
      </c>
      <c r="N20" s="895">
        <v>1016342.45</v>
      </c>
      <c r="O20" s="895">
        <v>906028.11</v>
      </c>
      <c r="P20" s="895">
        <v>908236.76</v>
      </c>
      <c r="Q20" s="895">
        <v>933863.07</v>
      </c>
      <c r="R20" s="895">
        <v>991503.47</v>
      </c>
      <c r="S20" s="896">
        <f>((F20+R20)+((G20+H20+I20+J20+K20+L20+M20+N20+O20+P20+Q20)*2))/24</f>
        <v>827072.38791666657</v>
      </c>
      <c r="T20" s="879"/>
      <c r="U20" s="881"/>
      <c r="V20" s="881"/>
      <c r="W20" s="881"/>
      <c r="X20" s="897">
        <f>+S20</f>
        <v>827072.38791666657</v>
      </c>
      <c r="Y20" s="881">
        <v>622620.09</v>
      </c>
      <c r="Z20" s="881">
        <f>+X20-Y20</f>
        <v>204452.2979166666</v>
      </c>
      <c r="AA20" s="881">
        <f>+S20</f>
        <v>827072.38791666657</v>
      </c>
      <c r="AB20" s="881"/>
      <c r="AC20" s="879"/>
      <c r="AD20" s="879"/>
      <c r="AE20" s="879"/>
    </row>
    <row r="21" spans="1:31">
      <c r="A21" s="879">
        <f t="shared" si="0"/>
        <v>7</v>
      </c>
      <c r="B21" s="893" t="s">
        <v>1850</v>
      </c>
      <c r="C21" s="893" t="s">
        <v>396</v>
      </c>
      <c r="D21" s="893"/>
      <c r="E21" s="894" t="s">
        <v>399</v>
      </c>
      <c r="F21" s="895">
        <v>-297303622.94999999</v>
      </c>
      <c r="G21" s="895">
        <v>-298329288.63</v>
      </c>
      <c r="H21" s="895">
        <v>-299555161.89999998</v>
      </c>
      <c r="I21" s="895">
        <v>-300533506.98000002</v>
      </c>
      <c r="J21" s="895">
        <v>-301818176.24000001</v>
      </c>
      <c r="K21" s="895">
        <v>-303247549.05000001</v>
      </c>
      <c r="L21" s="895">
        <v>-304208502.81</v>
      </c>
      <c r="M21" s="895">
        <v>-305547368.5</v>
      </c>
      <c r="N21" s="895">
        <v>-306922056.56</v>
      </c>
      <c r="O21" s="895">
        <v>-308090549.82999998</v>
      </c>
      <c r="P21" s="895">
        <v>-309380893.37</v>
      </c>
      <c r="Q21" s="895">
        <v>-310725873.72000003</v>
      </c>
      <c r="R21" s="895">
        <v>-310640427.29000002</v>
      </c>
      <c r="S21" s="896">
        <f>((F21+R21)+((G21+H21+I21+J21+K21+L21+M21+N21+O21+P21+Q21)*2))/24</f>
        <v>-304360912.72583336</v>
      </c>
      <c r="T21" s="879"/>
      <c r="U21" s="881"/>
      <c r="V21" s="881"/>
      <c r="W21" s="881"/>
      <c r="X21" s="897"/>
      <c r="Y21" s="881"/>
      <c r="Z21" s="881"/>
      <c r="AA21" s="881"/>
      <c r="AB21" s="881"/>
      <c r="AC21" s="879"/>
      <c r="AD21" s="879"/>
      <c r="AE21" s="879"/>
    </row>
    <row r="22" spans="1:31">
      <c r="A22" s="879">
        <f t="shared" si="0"/>
        <v>8</v>
      </c>
      <c r="B22" s="893" t="s">
        <v>1850</v>
      </c>
      <c r="C22" s="893" t="s">
        <v>400</v>
      </c>
      <c r="D22" s="893"/>
      <c r="E22" s="894" t="s">
        <v>401</v>
      </c>
      <c r="F22" s="895">
        <v>-8070827.1500000004</v>
      </c>
      <c r="G22" s="895">
        <v>-8314228.7599999998</v>
      </c>
      <c r="H22" s="895">
        <v>-8560523.9900000002</v>
      </c>
      <c r="I22" s="895">
        <v>-8770158.4000000004</v>
      </c>
      <c r="J22" s="895">
        <v>-9007056.4499999993</v>
      </c>
      <c r="K22" s="895">
        <v>-9243688.6899999995</v>
      </c>
      <c r="L22" s="895">
        <v>-9480361.2899999991</v>
      </c>
      <c r="M22" s="895">
        <v>-9701458.4700000007</v>
      </c>
      <c r="N22" s="895">
        <v>-9922555.6500000004</v>
      </c>
      <c r="O22" s="895">
        <v>-10143652.83</v>
      </c>
      <c r="P22" s="895">
        <v>-10365313.029999999</v>
      </c>
      <c r="Q22" s="895">
        <v>-10586166.609999999</v>
      </c>
      <c r="R22" s="895">
        <v>-10807311.550000001</v>
      </c>
      <c r="S22" s="896">
        <f>((F22+R22)+((G22+H22+I22+J22+K22+L22+M22+N22+O22+P22+Q22)*2))/24</f>
        <v>-9461186.1266666651</v>
      </c>
      <c r="T22" s="879"/>
      <c r="U22" s="881"/>
      <c r="V22" s="881"/>
      <c r="W22" s="881"/>
      <c r="X22" s="897"/>
      <c r="Y22" s="881"/>
      <c r="Z22" s="881"/>
      <c r="AA22" s="881"/>
      <c r="AB22" s="881"/>
      <c r="AC22" s="879"/>
      <c r="AD22" s="879"/>
      <c r="AE22" s="879"/>
    </row>
    <row r="23" spans="1:31">
      <c r="A23" s="879">
        <f t="shared" si="0"/>
        <v>9</v>
      </c>
      <c r="B23" s="893" t="s">
        <v>1850</v>
      </c>
      <c r="C23" s="893" t="s">
        <v>402</v>
      </c>
      <c r="D23" s="893"/>
      <c r="E23" s="894" t="s">
        <v>403</v>
      </c>
      <c r="F23" s="912">
        <v>0</v>
      </c>
      <c r="G23" s="912">
        <v>0</v>
      </c>
      <c r="H23" s="912">
        <v>0</v>
      </c>
      <c r="I23" s="912">
        <v>0</v>
      </c>
      <c r="J23" s="912">
        <v>0</v>
      </c>
      <c r="K23" s="912">
        <v>0</v>
      </c>
      <c r="L23" s="912">
        <v>0</v>
      </c>
      <c r="M23" s="912">
        <v>0</v>
      </c>
      <c r="N23" s="912">
        <v>0</v>
      </c>
      <c r="O23" s="912">
        <v>0</v>
      </c>
      <c r="P23" s="912">
        <v>0</v>
      </c>
      <c r="Q23" s="912">
        <v>0</v>
      </c>
      <c r="R23" s="912">
        <v>0</v>
      </c>
      <c r="S23" s="913">
        <f>((F23+R23)+((G23+H23+I23+J23+K23+L23+M23+N23+O23+P23+Q23)*2))/24</f>
        <v>0</v>
      </c>
      <c r="T23" s="879"/>
      <c r="U23" s="881"/>
      <c r="V23" s="881"/>
      <c r="W23" s="881"/>
      <c r="X23" s="897"/>
      <c r="Y23" s="881"/>
      <c r="Z23" s="881"/>
      <c r="AA23" s="881"/>
      <c r="AB23" s="881"/>
      <c r="AC23" s="879"/>
      <c r="AD23" s="879"/>
      <c r="AE23" s="879"/>
    </row>
    <row r="24" spans="1:31">
      <c r="A24" s="879">
        <f t="shared" si="0"/>
        <v>10</v>
      </c>
      <c r="B24" s="879"/>
      <c r="C24" s="879"/>
      <c r="D24" s="879"/>
      <c r="E24" s="894" t="s">
        <v>404</v>
      </c>
      <c r="F24" s="914">
        <f>SUM(F20:F23)</f>
        <v>-304688244.13999999</v>
      </c>
      <c r="G24" s="914">
        <f t="shared" ref="G24:R24" si="2">SUM(G20:G23)</f>
        <v>-305813881.78999996</v>
      </c>
      <c r="H24" s="914">
        <f t="shared" si="2"/>
        <v>-307344431.20999998</v>
      </c>
      <c r="I24" s="914">
        <f t="shared" si="2"/>
        <v>-308779199.68000001</v>
      </c>
      <c r="J24" s="914">
        <f t="shared" si="2"/>
        <v>-310127131.48000002</v>
      </c>
      <c r="K24" s="914">
        <f t="shared" si="2"/>
        <v>-311660872.11000001</v>
      </c>
      <c r="L24" s="914">
        <f t="shared" si="2"/>
        <v>-312801426.14000005</v>
      </c>
      <c r="M24" s="914">
        <f t="shared" si="2"/>
        <v>-314468544.20000005</v>
      </c>
      <c r="N24" s="914">
        <f t="shared" si="2"/>
        <v>-315828269.75999999</v>
      </c>
      <c r="O24" s="914">
        <f t="shared" si="2"/>
        <v>-317328174.54999995</v>
      </c>
      <c r="P24" s="914">
        <f t="shared" si="2"/>
        <v>-318837969.63999999</v>
      </c>
      <c r="Q24" s="914">
        <f t="shared" si="2"/>
        <v>-320378177.26000005</v>
      </c>
      <c r="R24" s="914">
        <f t="shared" si="2"/>
        <v>-320456235.37</v>
      </c>
      <c r="S24" s="896">
        <f>SUM(S20:S23)</f>
        <v>-312995026.46458334</v>
      </c>
      <c r="T24" s="879"/>
      <c r="U24" s="881"/>
      <c r="V24" s="881"/>
      <c r="W24" s="881"/>
      <c r="X24" s="897"/>
      <c r="Y24" s="881"/>
      <c r="Z24" s="881"/>
      <c r="AA24" s="881"/>
      <c r="AB24" s="881"/>
      <c r="AC24" s="879"/>
      <c r="AD24" s="879"/>
      <c r="AE24" s="879"/>
    </row>
    <row r="25" spans="1:31">
      <c r="A25" s="879">
        <f t="shared" si="0"/>
        <v>11</v>
      </c>
      <c r="B25" s="879"/>
      <c r="C25" s="879"/>
      <c r="D25" s="879"/>
      <c r="E25" s="894"/>
      <c r="F25" s="900"/>
      <c r="G25" s="901"/>
      <c r="H25" s="902"/>
      <c r="I25" s="902"/>
      <c r="J25" s="903"/>
      <c r="K25" s="904"/>
      <c r="L25" s="905"/>
      <c r="M25" s="906"/>
      <c r="N25" s="907"/>
      <c r="O25" s="908"/>
      <c r="P25" s="909"/>
      <c r="Q25" s="910"/>
      <c r="R25" s="900"/>
      <c r="S25" s="896"/>
      <c r="T25" s="879"/>
      <c r="U25" s="881"/>
      <c r="V25" s="881"/>
      <c r="W25" s="881"/>
      <c r="X25" s="897"/>
      <c r="Y25" s="881"/>
      <c r="Z25" s="881"/>
      <c r="AA25" s="881"/>
      <c r="AB25" s="881"/>
      <c r="AC25" s="879"/>
      <c r="AD25" s="879"/>
      <c r="AE25" s="879"/>
    </row>
    <row r="26" spans="1:31">
      <c r="A26" s="879">
        <f t="shared" si="0"/>
        <v>12</v>
      </c>
      <c r="B26" s="893" t="s">
        <v>1850</v>
      </c>
      <c r="C26" s="893" t="s">
        <v>405</v>
      </c>
      <c r="D26" s="893"/>
      <c r="E26" s="894" t="s">
        <v>406</v>
      </c>
      <c r="F26" s="895">
        <v>-3106488.9199999701</v>
      </c>
      <c r="G26" s="895">
        <v>-3114831.04</v>
      </c>
      <c r="H26" s="895">
        <v>-3129854.48</v>
      </c>
      <c r="I26" s="895">
        <v>-3101719.66</v>
      </c>
      <c r="J26" s="895">
        <v>-3114986.65</v>
      </c>
      <c r="K26" s="895">
        <v>-3126477.53</v>
      </c>
      <c r="L26" s="895">
        <v>-3141437.98</v>
      </c>
      <c r="M26" s="895">
        <v>-3157143.28</v>
      </c>
      <c r="N26" s="895">
        <v>-3164800.94</v>
      </c>
      <c r="O26" s="895">
        <v>-3176368.87</v>
      </c>
      <c r="P26" s="895">
        <v>-3178448.47</v>
      </c>
      <c r="Q26" s="895">
        <v>-3184113.82</v>
      </c>
      <c r="R26" s="895">
        <v>-3251382.2</v>
      </c>
      <c r="S26" s="896">
        <f>((F26+R26)+((G26+H26+I26+J26+K26+L26+M26+N26+O26+P26+Q26)*2))/24</f>
        <v>-3147426.523333332</v>
      </c>
      <c r="T26" s="879"/>
      <c r="U26" s="881"/>
      <c r="V26" s="881"/>
      <c r="W26" s="881"/>
      <c r="X26" s="897"/>
      <c r="Y26" s="881"/>
      <c r="Z26" s="881"/>
      <c r="AA26" s="881"/>
      <c r="AB26" s="881"/>
      <c r="AC26" s="879"/>
      <c r="AD26" s="879"/>
      <c r="AE26" s="879"/>
    </row>
    <row r="27" spans="1:31">
      <c r="A27" s="879">
        <f t="shared" si="0"/>
        <v>13</v>
      </c>
      <c r="B27" s="893" t="s">
        <v>1850</v>
      </c>
      <c r="C27" s="893" t="s">
        <v>927</v>
      </c>
      <c r="D27" s="893"/>
      <c r="E27" s="895" t="s">
        <v>928</v>
      </c>
      <c r="F27" s="912">
        <v>-124586801</v>
      </c>
      <c r="G27" s="912">
        <v>-124938981.86</v>
      </c>
      <c r="H27" s="912">
        <v>-125253035.84999999</v>
      </c>
      <c r="I27" s="912">
        <v>-125305836.09999999</v>
      </c>
      <c r="J27" s="912">
        <v>-125700569.34</v>
      </c>
      <c r="K27" s="912">
        <v>-126092534.17</v>
      </c>
      <c r="L27" s="912">
        <v>-126397292.31</v>
      </c>
      <c r="M27" s="912">
        <v>-126779418.34</v>
      </c>
      <c r="N27" s="912">
        <v>-127152785.67</v>
      </c>
      <c r="O27" s="912">
        <v>-127377044.70999999</v>
      </c>
      <c r="P27" s="912">
        <v>-127747360.28</v>
      </c>
      <c r="Q27" s="912">
        <v>-128065696.11</v>
      </c>
      <c r="R27" s="912">
        <v>-129636963.91</v>
      </c>
      <c r="S27" s="896">
        <f>((F27+R27)+((G27+H27+I27+J27+K27+L27+M27+N27+O27+P27+Q27)*2))/24</f>
        <v>-126493536.43291664</v>
      </c>
      <c r="T27" s="879"/>
      <c r="U27" s="881"/>
      <c r="V27" s="881"/>
      <c r="W27" s="881"/>
      <c r="X27" s="897"/>
      <c r="Y27" s="881"/>
      <c r="Z27" s="881"/>
      <c r="AA27" s="881"/>
      <c r="AB27" s="881"/>
      <c r="AC27" s="879"/>
      <c r="AD27" s="879"/>
      <c r="AE27" s="879"/>
    </row>
    <row r="28" spans="1:31">
      <c r="A28" s="879">
        <f t="shared" si="0"/>
        <v>14</v>
      </c>
      <c r="B28" s="879"/>
      <c r="C28" s="879"/>
      <c r="D28" s="879"/>
      <c r="E28" s="894" t="s">
        <v>407</v>
      </c>
      <c r="F28" s="915">
        <f>+F26+F27</f>
        <v>-127693289.91999997</v>
      </c>
      <c r="G28" s="915">
        <f t="shared" ref="G28:R28" si="3">+G26+G27</f>
        <v>-128053812.90000001</v>
      </c>
      <c r="H28" s="915">
        <f t="shared" si="3"/>
        <v>-128382890.33</v>
      </c>
      <c r="I28" s="915">
        <f t="shared" si="3"/>
        <v>-128407555.75999999</v>
      </c>
      <c r="J28" s="915">
        <f t="shared" si="3"/>
        <v>-128815555.99000001</v>
      </c>
      <c r="K28" s="915">
        <f t="shared" si="3"/>
        <v>-129219011.7</v>
      </c>
      <c r="L28" s="915">
        <f t="shared" si="3"/>
        <v>-129538730.29000001</v>
      </c>
      <c r="M28" s="915">
        <f t="shared" si="3"/>
        <v>-129936561.62</v>
      </c>
      <c r="N28" s="915">
        <f t="shared" si="3"/>
        <v>-130317586.61</v>
      </c>
      <c r="O28" s="915">
        <f t="shared" si="3"/>
        <v>-130553413.58</v>
      </c>
      <c r="P28" s="915">
        <f t="shared" si="3"/>
        <v>-130925808.75</v>
      </c>
      <c r="Q28" s="915">
        <f t="shared" si="3"/>
        <v>-131249809.92999999</v>
      </c>
      <c r="R28" s="915">
        <f t="shared" si="3"/>
        <v>-132888346.11</v>
      </c>
      <c r="S28" s="916">
        <f>+S26+S27</f>
        <v>-129640962.95624997</v>
      </c>
      <c r="T28" s="879"/>
      <c r="U28" s="881"/>
      <c r="V28" s="881"/>
      <c r="W28" s="881"/>
      <c r="X28" s="897"/>
      <c r="Y28" s="881"/>
      <c r="Z28" s="881"/>
      <c r="AA28" s="881"/>
      <c r="AB28" s="881"/>
      <c r="AC28" s="879"/>
      <c r="AD28" s="879"/>
      <c r="AE28" s="879"/>
    </row>
    <row r="29" spans="1:31">
      <c r="A29" s="879">
        <f t="shared" si="0"/>
        <v>15</v>
      </c>
      <c r="B29" s="879"/>
      <c r="C29" s="879"/>
      <c r="D29" s="879"/>
      <c r="E29" s="894"/>
      <c r="F29" s="900"/>
      <c r="G29" s="901"/>
      <c r="H29" s="902"/>
      <c r="I29" s="902"/>
      <c r="J29" s="903"/>
      <c r="K29" s="904"/>
      <c r="L29" s="905"/>
      <c r="M29" s="906"/>
      <c r="N29" s="907"/>
      <c r="O29" s="908"/>
      <c r="P29" s="909"/>
      <c r="Q29" s="910"/>
      <c r="R29" s="900"/>
      <c r="S29" s="896"/>
      <c r="T29" s="879"/>
      <c r="U29" s="881"/>
      <c r="V29" s="881"/>
      <c r="W29" s="881"/>
      <c r="X29" s="897"/>
      <c r="Y29" s="881"/>
      <c r="Z29" s="881"/>
      <c r="AA29" s="881"/>
      <c r="AB29" s="881"/>
      <c r="AC29" s="879"/>
      <c r="AD29" s="879"/>
      <c r="AE29" s="879"/>
    </row>
    <row r="30" spans="1:31">
      <c r="A30" s="879">
        <f t="shared" si="0"/>
        <v>16</v>
      </c>
      <c r="B30" s="879"/>
      <c r="C30" s="879"/>
      <c r="D30" s="879"/>
      <c r="E30" s="894" t="s">
        <v>408</v>
      </c>
      <c r="F30" s="917">
        <f>+F28+F24</f>
        <v>-432381534.05999994</v>
      </c>
      <c r="G30" s="917">
        <f t="shared" ref="G30:R30" si="4">+G28+G24</f>
        <v>-433867694.68999994</v>
      </c>
      <c r="H30" s="917">
        <f t="shared" si="4"/>
        <v>-435727321.53999996</v>
      </c>
      <c r="I30" s="917">
        <f t="shared" si="4"/>
        <v>-437186755.44</v>
      </c>
      <c r="J30" s="917">
        <f t="shared" si="4"/>
        <v>-438942687.47000003</v>
      </c>
      <c r="K30" s="917">
        <f t="shared" si="4"/>
        <v>-440879883.81</v>
      </c>
      <c r="L30" s="917">
        <f t="shared" si="4"/>
        <v>-442340156.43000007</v>
      </c>
      <c r="M30" s="917">
        <f t="shared" si="4"/>
        <v>-444405105.82000005</v>
      </c>
      <c r="N30" s="917">
        <f t="shared" si="4"/>
        <v>-446145856.37</v>
      </c>
      <c r="O30" s="917">
        <f t="shared" si="4"/>
        <v>-447881588.12999994</v>
      </c>
      <c r="P30" s="917">
        <f t="shared" si="4"/>
        <v>-449763778.38999999</v>
      </c>
      <c r="Q30" s="917">
        <f t="shared" si="4"/>
        <v>-451627987.19000006</v>
      </c>
      <c r="R30" s="917">
        <f t="shared" si="4"/>
        <v>-453344581.48000002</v>
      </c>
      <c r="S30" s="913">
        <f>+S28+S24</f>
        <v>-442635989.42083329</v>
      </c>
      <c r="T30" s="879"/>
      <c r="U30" s="881"/>
      <c r="V30" s="881"/>
      <c r="W30" s="881"/>
      <c r="X30" s="897">
        <f>+S30-S20</f>
        <v>-443463061.80874997</v>
      </c>
      <c r="Y30" s="881">
        <v>-345424354.83999997</v>
      </c>
      <c r="Z30" s="881">
        <f>+S30-S20-Y30</f>
        <v>-98038706.96875</v>
      </c>
      <c r="AA30" s="881"/>
      <c r="AB30" s="881"/>
      <c r="AC30" s="879"/>
      <c r="AD30" s="879"/>
      <c r="AE30" s="879" t="s">
        <v>2104</v>
      </c>
    </row>
    <row r="31" spans="1:31">
      <c r="A31" s="879">
        <f t="shared" si="0"/>
        <v>17</v>
      </c>
      <c r="B31" s="879"/>
      <c r="C31" s="879"/>
      <c r="D31" s="879"/>
      <c r="E31" s="918"/>
      <c r="F31" s="919"/>
      <c r="G31" s="920"/>
      <c r="H31" s="921"/>
      <c r="I31" s="921"/>
      <c r="J31" s="922"/>
      <c r="K31" s="923"/>
      <c r="L31" s="924"/>
      <c r="M31" s="925"/>
      <c r="N31" s="926"/>
      <c r="O31" s="927"/>
      <c r="P31" s="928"/>
      <c r="Q31" s="929"/>
      <c r="R31" s="919"/>
      <c r="S31" s="896"/>
      <c r="T31" s="879"/>
      <c r="U31" s="881"/>
      <c r="V31" s="881"/>
      <c r="W31" s="881"/>
      <c r="X31" s="897"/>
      <c r="Y31" s="881"/>
      <c r="Z31" s="881"/>
      <c r="AA31" s="881"/>
      <c r="AB31" s="881"/>
      <c r="AC31" s="879"/>
      <c r="AD31" s="879"/>
      <c r="AE31" s="879"/>
    </row>
    <row r="32" spans="1:31">
      <c r="A32" s="879">
        <f t="shared" si="0"/>
        <v>18</v>
      </c>
      <c r="B32" s="879"/>
      <c r="C32" s="879"/>
      <c r="D32" s="879"/>
      <c r="E32" s="918" t="s">
        <v>409</v>
      </c>
      <c r="F32" s="930">
        <f>+F18+F30</f>
        <v>448358477.08000004</v>
      </c>
      <c r="G32" s="930">
        <f t="shared" ref="G32:S32" si="5">+G18+G30</f>
        <v>447449867.95000005</v>
      </c>
      <c r="H32" s="930">
        <f t="shared" si="5"/>
        <v>448260358.2700001</v>
      </c>
      <c r="I32" s="930">
        <f t="shared" si="5"/>
        <v>450019514.12999994</v>
      </c>
      <c r="J32" s="930">
        <f t="shared" si="5"/>
        <v>451545634.41999996</v>
      </c>
      <c r="K32" s="930">
        <f t="shared" si="5"/>
        <v>454526924.7899999</v>
      </c>
      <c r="L32" s="930">
        <f t="shared" si="5"/>
        <v>460289094.32999992</v>
      </c>
      <c r="M32" s="930">
        <f t="shared" si="5"/>
        <v>462936369.49000001</v>
      </c>
      <c r="N32" s="930">
        <f t="shared" si="5"/>
        <v>464641059.30999994</v>
      </c>
      <c r="O32" s="930">
        <f t="shared" si="5"/>
        <v>467728003.18000013</v>
      </c>
      <c r="P32" s="930">
        <f t="shared" si="5"/>
        <v>472859977.71000004</v>
      </c>
      <c r="Q32" s="930">
        <f t="shared" si="5"/>
        <v>475465616.1500001</v>
      </c>
      <c r="R32" s="930">
        <f t="shared" si="5"/>
        <v>482248852.25</v>
      </c>
      <c r="S32" s="896">
        <f t="shared" si="5"/>
        <v>460085507.03291661</v>
      </c>
      <c r="T32" s="879"/>
      <c r="U32" s="881"/>
      <c r="V32" s="881"/>
      <c r="W32" s="881"/>
      <c r="X32" s="897"/>
      <c r="Y32" s="881"/>
      <c r="Z32" s="881"/>
      <c r="AA32" s="881"/>
      <c r="AB32" s="881"/>
      <c r="AC32" s="879"/>
      <c r="AD32" s="879"/>
      <c r="AE32" s="879"/>
    </row>
    <row r="33" spans="1:31">
      <c r="A33" s="879">
        <f t="shared" si="0"/>
        <v>19</v>
      </c>
      <c r="B33" s="879"/>
      <c r="C33" s="879"/>
      <c r="D33" s="879"/>
      <c r="E33" s="918"/>
      <c r="F33" s="900"/>
      <c r="G33" s="901"/>
      <c r="H33" s="902"/>
      <c r="I33" s="902"/>
      <c r="J33" s="903"/>
      <c r="K33" s="904"/>
      <c r="L33" s="905"/>
      <c r="M33" s="906"/>
      <c r="N33" s="907"/>
      <c r="O33" s="908"/>
      <c r="P33" s="909"/>
      <c r="Q33" s="910"/>
      <c r="R33" s="900"/>
      <c r="S33" s="896"/>
      <c r="T33" s="879"/>
      <c r="U33" s="881"/>
      <c r="V33" s="881"/>
      <c r="W33" s="881"/>
      <c r="X33" s="897"/>
      <c r="Y33" s="881"/>
      <c r="Z33" s="881"/>
      <c r="AA33" s="881"/>
      <c r="AB33" s="881"/>
      <c r="AC33" s="879"/>
      <c r="AD33" s="879"/>
      <c r="AE33" s="879"/>
    </row>
    <row r="34" spans="1:31">
      <c r="A34" s="879">
        <f t="shared" si="0"/>
        <v>20</v>
      </c>
      <c r="B34" s="893" t="s">
        <v>1850</v>
      </c>
      <c r="C34" s="893" t="s">
        <v>410</v>
      </c>
      <c r="D34" s="893"/>
      <c r="E34" s="894" t="s">
        <v>411</v>
      </c>
      <c r="F34" s="912">
        <v>0</v>
      </c>
      <c r="G34" s="912">
        <v>0</v>
      </c>
      <c r="H34" s="912">
        <v>0</v>
      </c>
      <c r="I34" s="912">
        <v>0</v>
      </c>
      <c r="J34" s="912">
        <v>0</v>
      </c>
      <c r="K34" s="912">
        <v>0</v>
      </c>
      <c r="L34" s="912">
        <v>0</v>
      </c>
      <c r="M34" s="912">
        <v>0</v>
      </c>
      <c r="N34" s="912">
        <v>0</v>
      </c>
      <c r="O34" s="912">
        <v>0</v>
      </c>
      <c r="P34" s="912">
        <v>0</v>
      </c>
      <c r="Q34" s="912">
        <v>0</v>
      </c>
      <c r="R34" s="912">
        <v>0</v>
      </c>
      <c r="S34" s="896">
        <f>((F34+R34)+((G34+H34+I34+J34+K34+L34+M34+N34+O34+P34+Q34)*2))/24</f>
        <v>0</v>
      </c>
      <c r="T34" s="879"/>
      <c r="U34" s="881">
        <f>+S34</f>
        <v>0</v>
      </c>
      <c r="V34" s="881"/>
      <c r="W34" s="881"/>
      <c r="X34" s="897"/>
      <c r="Y34" s="881"/>
      <c r="Z34" s="881"/>
      <c r="AA34" s="881"/>
      <c r="AB34" s="881"/>
      <c r="AC34" s="879"/>
      <c r="AD34" s="879"/>
      <c r="AE34" s="879"/>
    </row>
    <row r="35" spans="1:31">
      <c r="A35" s="879">
        <f t="shared" si="0"/>
        <v>21</v>
      </c>
      <c r="B35" s="879"/>
      <c r="C35" s="879"/>
      <c r="D35" s="879"/>
      <c r="E35" s="918" t="s">
        <v>412</v>
      </c>
      <c r="F35" s="898">
        <f>+F34</f>
        <v>0</v>
      </c>
      <c r="G35" s="931">
        <v>0</v>
      </c>
      <c r="H35" s="932">
        <v>0</v>
      </c>
      <c r="I35" s="932">
        <v>0</v>
      </c>
      <c r="J35" s="933">
        <v>0</v>
      </c>
      <c r="K35" s="934">
        <v>0</v>
      </c>
      <c r="L35" s="935">
        <v>0</v>
      </c>
      <c r="M35" s="936">
        <v>0</v>
      </c>
      <c r="N35" s="937">
        <v>0</v>
      </c>
      <c r="O35" s="938">
        <v>0</v>
      </c>
      <c r="P35" s="939">
        <v>0</v>
      </c>
      <c r="Q35" s="940">
        <v>0</v>
      </c>
      <c r="R35" s="898">
        <v>0</v>
      </c>
      <c r="S35" s="896">
        <f>((F35+R35)+((G35+H35+I35+J35+K35+L35+M35+N35+O35+P35+Q35)*2))/24</f>
        <v>0</v>
      </c>
      <c r="T35" s="879"/>
      <c r="U35" s="881"/>
      <c r="V35" s="881"/>
      <c r="W35" s="881"/>
      <c r="X35" s="897"/>
      <c r="Y35" s="881"/>
      <c r="Z35" s="881"/>
      <c r="AA35" s="881"/>
      <c r="AB35" s="881"/>
      <c r="AC35" s="879"/>
      <c r="AD35" s="879"/>
      <c r="AE35" s="879"/>
    </row>
    <row r="36" spans="1:31">
      <c r="A36" s="879">
        <f t="shared" si="0"/>
        <v>22</v>
      </c>
      <c r="B36" s="879"/>
      <c r="C36" s="879"/>
      <c r="D36" s="879"/>
      <c r="E36" s="918"/>
      <c r="F36" s="895"/>
      <c r="G36" s="941"/>
      <c r="H36" s="942"/>
      <c r="I36" s="942"/>
      <c r="J36" s="943"/>
      <c r="K36" s="944"/>
      <c r="L36" s="945"/>
      <c r="M36" s="946"/>
      <c r="N36" s="947"/>
      <c r="O36" s="948"/>
      <c r="P36" s="949"/>
      <c r="Q36" s="950"/>
      <c r="R36" s="895"/>
      <c r="S36" s="896"/>
      <c r="T36" s="879"/>
      <c r="U36" s="881"/>
      <c r="V36" s="881"/>
      <c r="W36" s="881"/>
      <c r="X36" s="897"/>
      <c r="Y36" s="881"/>
      <c r="Z36" s="881"/>
      <c r="AA36" s="881"/>
      <c r="AB36" s="881"/>
      <c r="AC36" s="879"/>
      <c r="AD36" s="879"/>
      <c r="AE36" s="879"/>
    </row>
    <row r="37" spans="1:31">
      <c r="A37" s="879">
        <f t="shared" si="0"/>
        <v>23</v>
      </c>
      <c r="B37" s="893" t="s">
        <v>1850</v>
      </c>
      <c r="C37" s="893" t="s">
        <v>2105</v>
      </c>
      <c r="D37" s="893" t="s">
        <v>495</v>
      </c>
      <c r="E37" s="894" t="s">
        <v>413</v>
      </c>
      <c r="F37" s="895">
        <v>17419.53</v>
      </c>
      <c r="G37" s="895">
        <v>17419.91</v>
      </c>
      <c r="H37" s="895">
        <v>17420.62</v>
      </c>
      <c r="I37" s="895">
        <v>17421.689999999999</v>
      </c>
      <c r="J37" s="895">
        <v>17422.66</v>
      </c>
      <c r="K37" s="895">
        <v>17423.48</v>
      </c>
      <c r="L37" s="895">
        <v>17424.240000000002</v>
      </c>
      <c r="M37" s="895">
        <v>17426.89</v>
      </c>
      <c r="N37" s="895">
        <v>17430.78</v>
      </c>
      <c r="O37" s="895">
        <v>17434.669999999998</v>
      </c>
      <c r="P37" s="895">
        <v>17438.66</v>
      </c>
      <c r="Q37" s="895">
        <v>17442.259999999998</v>
      </c>
      <c r="R37" s="895">
        <v>17446.91</v>
      </c>
      <c r="S37" s="896">
        <f>((F37+R37)+((G37+H37+I37+J37+K37+L37+M37+N37+O37+P37+Q37)*2))/24</f>
        <v>17428.256666666668</v>
      </c>
      <c r="T37" s="879"/>
      <c r="U37" s="881"/>
      <c r="V37" s="881"/>
      <c r="W37" s="881"/>
      <c r="X37" s="897">
        <f>+S37</f>
        <v>17428.256666666668</v>
      </c>
      <c r="Y37" s="881"/>
      <c r="Z37" s="881"/>
      <c r="AA37" s="881"/>
      <c r="AB37" s="881">
        <f>+S37</f>
        <v>17428.256666666668</v>
      </c>
      <c r="AC37" s="879"/>
      <c r="AD37" s="879"/>
      <c r="AE37" s="879"/>
    </row>
    <row r="38" spans="1:31">
      <c r="A38" s="879">
        <f t="shared" si="0"/>
        <v>24</v>
      </c>
      <c r="B38" s="893" t="s">
        <v>1850</v>
      </c>
      <c r="C38" s="893" t="s">
        <v>2105</v>
      </c>
      <c r="D38" s="893" t="s">
        <v>478</v>
      </c>
      <c r="E38" s="894" t="s">
        <v>413</v>
      </c>
      <c r="F38" s="895">
        <v>10341920.82</v>
      </c>
      <c r="G38" s="895">
        <v>10309409.4</v>
      </c>
      <c r="H38" s="895">
        <v>10334450.35</v>
      </c>
      <c r="I38" s="895">
        <v>10472582.810000001</v>
      </c>
      <c r="J38" s="895">
        <v>10488191.449999999</v>
      </c>
      <c r="K38" s="895">
        <v>10515445.49</v>
      </c>
      <c r="L38" s="895">
        <v>10613052.52</v>
      </c>
      <c r="M38" s="895">
        <v>10693479.199999999</v>
      </c>
      <c r="N38" s="895">
        <v>10688626.24</v>
      </c>
      <c r="O38" s="895">
        <v>10841638.369999999</v>
      </c>
      <c r="P38" s="895">
        <v>10755761.57</v>
      </c>
      <c r="Q38" s="895">
        <v>10739616</v>
      </c>
      <c r="R38" s="895">
        <v>10808520.460000001</v>
      </c>
      <c r="S38" s="896">
        <f>((F38+R38)+((G38+H38+I38+J38+K38+L38+M38+N38+O38+P38+Q38)*2))/24</f>
        <v>10585622.836666668</v>
      </c>
      <c r="T38" s="879"/>
      <c r="U38" s="881"/>
      <c r="V38" s="881"/>
      <c r="W38" s="881"/>
      <c r="X38" s="897">
        <f>+S38</f>
        <v>10585622.836666668</v>
      </c>
      <c r="Y38" s="881"/>
      <c r="Z38" s="881"/>
      <c r="AA38" s="881"/>
      <c r="AB38" s="881">
        <f>+S38</f>
        <v>10585622.836666668</v>
      </c>
      <c r="AC38" s="879"/>
      <c r="AD38" s="879"/>
      <c r="AE38" s="879"/>
    </row>
    <row r="39" spans="1:31">
      <c r="A39" s="879">
        <f t="shared" si="0"/>
        <v>25</v>
      </c>
      <c r="B39" s="893" t="s">
        <v>1850</v>
      </c>
      <c r="C39" s="893" t="s">
        <v>2105</v>
      </c>
      <c r="D39" s="893" t="s">
        <v>536</v>
      </c>
      <c r="E39" s="894" t="s">
        <v>413</v>
      </c>
      <c r="F39" s="895">
        <v>81003.98</v>
      </c>
      <c r="G39" s="895">
        <v>78762.429999999993</v>
      </c>
      <c r="H39" s="895">
        <v>78118.78</v>
      </c>
      <c r="I39" s="895">
        <v>82994.8</v>
      </c>
      <c r="J39" s="895">
        <v>83506.67</v>
      </c>
      <c r="K39" s="895">
        <v>84312.05</v>
      </c>
      <c r="L39" s="895">
        <v>83294.850000000006</v>
      </c>
      <c r="M39" s="895">
        <v>86425.72</v>
      </c>
      <c r="N39" s="895">
        <v>86625.27</v>
      </c>
      <c r="O39" s="895">
        <v>87039.24</v>
      </c>
      <c r="P39" s="895">
        <v>85431.05</v>
      </c>
      <c r="Q39" s="895">
        <v>86045.88</v>
      </c>
      <c r="R39" s="895">
        <v>106864.8</v>
      </c>
      <c r="S39" s="896">
        <f>((F39+R39)+((G39+H39+I39+J39+K39+L39+M39+N39+O39+P39+Q39)*2))/24</f>
        <v>84707.594166666662</v>
      </c>
      <c r="T39" s="879"/>
      <c r="U39" s="881"/>
      <c r="V39" s="881"/>
      <c r="W39" s="881"/>
      <c r="X39" s="897">
        <f>+S39</f>
        <v>84707.594166666662</v>
      </c>
      <c r="Y39" s="881"/>
      <c r="Z39" s="881"/>
      <c r="AA39" s="881"/>
      <c r="AB39" s="881">
        <f>+S39</f>
        <v>84707.594166666662</v>
      </c>
      <c r="AC39" s="879"/>
      <c r="AD39" s="879"/>
      <c r="AE39" s="879"/>
    </row>
    <row r="40" spans="1:31">
      <c r="A40" s="879">
        <f t="shared" si="0"/>
        <v>26</v>
      </c>
      <c r="B40" s="893" t="s">
        <v>1850</v>
      </c>
      <c r="C40" s="893" t="s">
        <v>414</v>
      </c>
      <c r="D40" s="893"/>
      <c r="E40" s="894" t="s">
        <v>415</v>
      </c>
      <c r="F40" s="895">
        <v>202030.18</v>
      </c>
      <c r="G40" s="895">
        <v>202030.18</v>
      </c>
      <c r="H40" s="895">
        <v>202030.18</v>
      </c>
      <c r="I40" s="895">
        <v>202030.18</v>
      </c>
      <c r="J40" s="895">
        <v>202030.18</v>
      </c>
      <c r="K40" s="895">
        <v>202030.18</v>
      </c>
      <c r="L40" s="895">
        <v>202030.18</v>
      </c>
      <c r="M40" s="895">
        <v>202030.18</v>
      </c>
      <c r="N40" s="895">
        <v>202030.18</v>
      </c>
      <c r="O40" s="895">
        <v>202030.18</v>
      </c>
      <c r="P40" s="895">
        <v>202030.18</v>
      </c>
      <c r="Q40" s="895">
        <v>202030.18</v>
      </c>
      <c r="R40" s="895">
        <v>202030.18</v>
      </c>
      <c r="S40" s="896">
        <f>((F40+R40)+((G40+H40+I40+J40+K40+L40+M40+N40+O40+P40+Q40)*2))/24</f>
        <v>202030.17999999996</v>
      </c>
      <c r="T40" s="879"/>
      <c r="U40" s="881"/>
      <c r="V40" s="881"/>
      <c r="W40" s="881"/>
      <c r="X40" s="897">
        <f>+S40</f>
        <v>202030.17999999996</v>
      </c>
      <c r="Y40" s="881"/>
      <c r="Z40" s="881"/>
      <c r="AA40" s="881"/>
      <c r="AB40" s="881">
        <f>+S40</f>
        <v>202030.17999999996</v>
      </c>
      <c r="AC40" s="879"/>
      <c r="AD40" s="879"/>
      <c r="AE40" s="879"/>
    </row>
    <row r="41" spans="1:31">
      <c r="A41" s="879">
        <f t="shared" si="0"/>
        <v>27</v>
      </c>
      <c r="B41" s="893" t="s">
        <v>1850</v>
      </c>
      <c r="C41" s="893" t="s">
        <v>416</v>
      </c>
      <c r="D41" s="893"/>
      <c r="E41" s="894" t="s">
        <v>417</v>
      </c>
      <c r="F41" s="912">
        <v>0</v>
      </c>
      <c r="G41" s="912">
        <v>0</v>
      </c>
      <c r="H41" s="912">
        <v>0</v>
      </c>
      <c r="I41" s="912">
        <v>0</v>
      </c>
      <c r="J41" s="912">
        <v>0</v>
      </c>
      <c r="K41" s="912">
        <v>0</v>
      </c>
      <c r="L41" s="912">
        <v>0</v>
      </c>
      <c r="M41" s="912">
        <v>0</v>
      </c>
      <c r="N41" s="912">
        <v>0</v>
      </c>
      <c r="O41" s="912">
        <v>0</v>
      </c>
      <c r="P41" s="912">
        <v>0</v>
      </c>
      <c r="Q41" s="912">
        <v>0</v>
      </c>
      <c r="R41" s="912">
        <v>0</v>
      </c>
      <c r="S41" s="896">
        <f>((F41+R41)+((G41+H41+I41+J41+K41+L41+M41+N41+O41+P41+Q41)*2))/24</f>
        <v>0</v>
      </c>
      <c r="T41" s="879"/>
      <c r="U41" s="881">
        <f t="shared" ref="U41" si="6">+S41</f>
        <v>0</v>
      </c>
      <c r="V41" s="881"/>
      <c r="W41" s="881"/>
      <c r="X41" s="897"/>
      <c r="Y41" s="881"/>
      <c r="Z41" s="881"/>
      <c r="AA41" s="881"/>
      <c r="AB41" s="881">
        <f>+S41</f>
        <v>0</v>
      </c>
      <c r="AC41" s="879"/>
      <c r="AD41" s="879"/>
      <c r="AE41" s="879"/>
    </row>
    <row r="42" spans="1:31">
      <c r="A42" s="879">
        <f t="shared" si="0"/>
        <v>28</v>
      </c>
      <c r="B42" s="879"/>
      <c r="C42" s="879"/>
      <c r="D42" s="879"/>
      <c r="E42" s="918" t="s">
        <v>418</v>
      </c>
      <c r="F42" s="898">
        <f t="shared" ref="F42:S42" si="7">SUM(F37:F41)</f>
        <v>10642374.51</v>
      </c>
      <c r="G42" s="898">
        <f t="shared" si="7"/>
        <v>10607621.92</v>
      </c>
      <c r="H42" s="898">
        <f t="shared" si="7"/>
        <v>10632019.929999998</v>
      </c>
      <c r="I42" s="898">
        <f t="shared" si="7"/>
        <v>10775029.48</v>
      </c>
      <c r="J42" s="898">
        <f t="shared" si="7"/>
        <v>10791150.959999999</v>
      </c>
      <c r="K42" s="898">
        <f t="shared" si="7"/>
        <v>10819211.200000001</v>
      </c>
      <c r="L42" s="898">
        <f t="shared" si="7"/>
        <v>10915801.789999999</v>
      </c>
      <c r="M42" s="898">
        <f t="shared" si="7"/>
        <v>10999361.99</v>
      </c>
      <c r="N42" s="898">
        <f t="shared" si="7"/>
        <v>10994712.469999999</v>
      </c>
      <c r="O42" s="898">
        <f t="shared" si="7"/>
        <v>11148142.459999999</v>
      </c>
      <c r="P42" s="898">
        <f t="shared" si="7"/>
        <v>11060661.460000001</v>
      </c>
      <c r="Q42" s="898">
        <f t="shared" si="7"/>
        <v>11045134.32</v>
      </c>
      <c r="R42" s="898">
        <f t="shared" si="7"/>
        <v>11134862.350000001</v>
      </c>
      <c r="S42" s="899">
        <f t="shared" si="7"/>
        <v>10889788.8675</v>
      </c>
      <c r="T42" s="879"/>
      <c r="U42" s="881"/>
      <c r="V42" s="881"/>
      <c r="W42" s="881"/>
      <c r="X42" s="897"/>
      <c r="Y42" s="881"/>
      <c r="Z42" s="881"/>
      <c r="AA42" s="881"/>
      <c r="AB42" s="881"/>
      <c r="AC42" s="879"/>
      <c r="AD42" s="879"/>
      <c r="AE42" s="879"/>
    </row>
    <row r="43" spans="1:31">
      <c r="A43" s="879">
        <f t="shared" si="0"/>
        <v>29</v>
      </c>
      <c r="B43" s="879"/>
      <c r="C43" s="879"/>
      <c r="D43" s="879"/>
      <c r="E43" s="918"/>
      <c r="F43" s="895"/>
      <c r="G43" s="941"/>
      <c r="H43" s="942"/>
      <c r="I43" s="942"/>
      <c r="J43" s="943"/>
      <c r="K43" s="944"/>
      <c r="L43" s="945"/>
      <c r="M43" s="946"/>
      <c r="N43" s="947"/>
      <c r="O43" s="948"/>
      <c r="P43" s="949"/>
      <c r="Q43" s="950"/>
      <c r="R43" s="895"/>
      <c r="S43" s="896"/>
      <c r="T43" s="879"/>
      <c r="U43" s="881"/>
      <c r="V43" s="881"/>
      <c r="W43" s="881"/>
      <c r="X43" s="897"/>
      <c r="Y43" s="881"/>
      <c r="Z43" s="881"/>
      <c r="AA43" s="881"/>
      <c r="AB43" s="881"/>
      <c r="AC43" s="879"/>
      <c r="AD43" s="879"/>
      <c r="AE43" s="879"/>
    </row>
    <row r="44" spans="1:31">
      <c r="A44" s="879">
        <f t="shared" si="0"/>
        <v>30</v>
      </c>
      <c r="B44" s="893" t="s">
        <v>1850</v>
      </c>
      <c r="C44" s="893" t="s">
        <v>419</v>
      </c>
      <c r="D44" s="893" t="s">
        <v>2106</v>
      </c>
      <c r="E44" s="894" t="s">
        <v>420</v>
      </c>
      <c r="F44" s="895">
        <v>1579768.26</v>
      </c>
      <c r="G44" s="895">
        <v>562826.36</v>
      </c>
      <c r="H44" s="895">
        <v>609231.74</v>
      </c>
      <c r="I44" s="895">
        <v>656807.51</v>
      </c>
      <c r="J44" s="895">
        <v>454986.73</v>
      </c>
      <c r="K44" s="895">
        <v>453535.71</v>
      </c>
      <c r="L44" s="895">
        <v>337139.28</v>
      </c>
      <c r="M44" s="895">
        <v>296981.59999999998</v>
      </c>
      <c r="N44" s="895">
        <v>298160.49</v>
      </c>
      <c r="O44" s="895">
        <v>150270.69</v>
      </c>
      <c r="P44" s="895">
        <v>304211.95</v>
      </c>
      <c r="Q44" s="895">
        <v>627625.04</v>
      </c>
      <c r="R44" s="895">
        <v>1008176.55</v>
      </c>
      <c r="S44" s="896">
        <f>((F44+R44)+((G44+H44+I44+J44+K44+L44+M44+N44+O44+P44+Q44)*2))/24</f>
        <v>503812.45874999999</v>
      </c>
      <c r="T44" s="879"/>
      <c r="U44" s="881">
        <f t="shared" ref="U44:U55" si="8">+S44</f>
        <v>503812.45874999999</v>
      </c>
      <c r="V44" s="881"/>
      <c r="W44" s="881"/>
      <c r="X44" s="897"/>
      <c r="Y44" s="881"/>
      <c r="Z44" s="881"/>
      <c r="AA44" s="881"/>
      <c r="AB44" s="881"/>
      <c r="AC44" s="879"/>
      <c r="AD44" s="951">
        <f t="shared" ref="AD44:AD55" si="9">+U44</f>
        <v>503812.45874999999</v>
      </c>
      <c r="AE44" s="879"/>
    </row>
    <row r="45" spans="1:31">
      <c r="A45" s="879">
        <f t="shared" si="0"/>
        <v>31</v>
      </c>
      <c r="B45" s="893" t="s">
        <v>1850</v>
      </c>
      <c r="C45" s="893" t="s">
        <v>419</v>
      </c>
      <c r="D45" s="893" t="s">
        <v>2107</v>
      </c>
      <c r="E45" s="894" t="s">
        <v>420</v>
      </c>
      <c r="F45" s="895">
        <v>-1001147.12</v>
      </c>
      <c r="G45" s="895">
        <v>-734290.01</v>
      </c>
      <c r="H45" s="895">
        <v>-583224.65</v>
      </c>
      <c r="I45" s="895">
        <v>-994113.66</v>
      </c>
      <c r="J45" s="895">
        <v>-2222780.33</v>
      </c>
      <c r="K45" s="895">
        <v>-729164.69</v>
      </c>
      <c r="L45" s="895">
        <v>-665184.9</v>
      </c>
      <c r="M45" s="895">
        <v>-624958.28</v>
      </c>
      <c r="N45" s="895">
        <v>-391175.31</v>
      </c>
      <c r="O45" s="895">
        <v>-597867.64</v>
      </c>
      <c r="P45" s="895">
        <v>-1438381.66</v>
      </c>
      <c r="Q45" s="895">
        <v>-1188654.8799999999</v>
      </c>
      <c r="R45" s="895">
        <v>-927609.18</v>
      </c>
      <c r="S45" s="896">
        <f>((F45+R45)+((G45+H45+I45+J45+K45+L45+M45+N45+O45+P45+Q45)*2))/24</f>
        <v>-927847.84666666656</v>
      </c>
      <c r="T45" s="879"/>
      <c r="U45" s="881">
        <f t="shared" si="8"/>
        <v>-927847.84666666656</v>
      </c>
      <c r="V45" s="881"/>
      <c r="W45" s="881"/>
      <c r="X45" s="897"/>
      <c r="Y45" s="881"/>
      <c r="Z45" s="881"/>
      <c r="AA45" s="881"/>
      <c r="AB45" s="881"/>
      <c r="AC45" s="879"/>
      <c r="AD45" s="951">
        <f t="shared" si="9"/>
        <v>-927847.84666666656</v>
      </c>
      <c r="AE45" s="879"/>
    </row>
    <row r="46" spans="1:31">
      <c r="A46" s="879">
        <f t="shared" si="0"/>
        <v>32</v>
      </c>
      <c r="B46" s="893" t="s">
        <v>1850</v>
      </c>
      <c r="C46" s="893" t="s">
        <v>419</v>
      </c>
      <c r="D46" s="893" t="s">
        <v>2108</v>
      </c>
      <c r="E46" s="894" t="s">
        <v>420</v>
      </c>
      <c r="F46" s="895">
        <v>-10046.299999999999</v>
      </c>
      <c r="G46" s="895">
        <v>-800</v>
      </c>
      <c r="H46" s="895">
        <v>-300</v>
      </c>
      <c r="I46" s="895">
        <v>-2275.23</v>
      </c>
      <c r="J46" s="895">
        <v>-450</v>
      </c>
      <c r="K46" s="895">
        <v>-800</v>
      </c>
      <c r="L46" s="895">
        <v>-712</v>
      </c>
      <c r="M46" s="895">
        <v>-200</v>
      </c>
      <c r="N46" s="895">
        <v>-5605.12</v>
      </c>
      <c r="O46" s="895">
        <v>-4119.9799999999996</v>
      </c>
      <c r="P46" s="895">
        <v>-2657.99</v>
      </c>
      <c r="Q46" s="895">
        <v>-1800</v>
      </c>
      <c r="R46" s="895">
        <v>-800</v>
      </c>
      <c r="S46" s="896">
        <f>((F46+R46)+((G46+H46+I46+J46+K46+L46+M46+N46+O46+P46+Q46)*2))/24</f>
        <v>-2095.2891666666669</v>
      </c>
      <c r="T46" s="879"/>
      <c r="U46" s="881">
        <f t="shared" si="8"/>
        <v>-2095.2891666666669</v>
      </c>
      <c r="V46" s="881"/>
      <c r="W46" s="881"/>
      <c r="X46" s="897"/>
      <c r="Y46" s="881"/>
      <c r="Z46" s="881"/>
      <c r="AA46" s="881"/>
      <c r="AB46" s="881"/>
      <c r="AC46" s="879"/>
      <c r="AD46" s="951">
        <f t="shared" si="9"/>
        <v>-2095.2891666666669</v>
      </c>
      <c r="AE46" s="879"/>
    </row>
    <row r="47" spans="1:31">
      <c r="A47" s="952">
        <f t="shared" si="0"/>
        <v>33</v>
      </c>
      <c r="B47" s="953" t="s">
        <v>1850</v>
      </c>
      <c r="C47" s="953" t="s">
        <v>419</v>
      </c>
      <c r="D47" s="953" t="s">
        <v>2109</v>
      </c>
      <c r="E47" s="954" t="s">
        <v>420</v>
      </c>
      <c r="F47" s="955">
        <v>31227803.27</v>
      </c>
      <c r="G47" s="955">
        <v>33809964.780000001</v>
      </c>
      <c r="H47" s="955">
        <v>44781780.240000002</v>
      </c>
      <c r="I47" s="955">
        <v>52738557.82</v>
      </c>
      <c r="J47" s="955">
        <v>51344433.710000001</v>
      </c>
      <c r="K47" s="955">
        <v>49228033.259999998</v>
      </c>
      <c r="L47" s="955">
        <v>45954234.380000003</v>
      </c>
      <c r="M47" s="955">
        <v>38325837.630000003</v>
      </c>
      <c r="N47" s="955">
        <v>29825864.059999999</v>
      </c>
      <c r="O47" s="955">
        <v>20464235.829999998</v>
      </c>
      <c r="P47" s="955">
        <v>17020318.140000001</v>
      </c>
      <c r="Q47" s="955">
        <v>9003401.3299999908</v>
      </c>
      <c r="R47" s="955">
        <v>3459345.1499999901</v>
      </c>
      <c r="S47" s="956">
        <f>((F47+R47)+((G47+H47+I47+J47+K47+L47+M47+N47+O47+P47+Q47)*2))/24</f>
        <v>34153352.949166663</v>
      </c>
      <c r="T47" s="952" t="s">
        <v>2110</v>
      </c>
      <c r="U47" s="957">
        <f>+S47</f>
        <v>34153352.949166663</v>
      </c>
      <c r="V47" s="957"/>
      <c r="W47" s="957"/>
      <c r="X47" s="958">
        <f>+S47-U47</f>
        <v>0</v>
      </c>
      <c r="Y47" s="957"/>
      <c r="Z47" s="957"/>
      <c r="AA47" s="957"/>
      <c r="AB47" s="957">
        <f>+X47</f>
        <v>0</v>
      </c>
      <c r="AC47" s="952"/>
      <c r="AD47" s="959">
        <f t="shared" si="9"/>
        <v>34153352.949166663</v>
      </c>
      <c r="AE47" s="952"/>
    </row>
    <row r="48" spans="1:31">
      <c r="A48" s="879">
        <f t="shared" si="0"/>
        <v>34</v>
      </c>
      <c r="B48" s="893" t="s">
        <v>1850</v>
      </c>
      <c r="C48" s="893" t="s">
        <v>421</v>
      </c>
      <c r="D48" s="893" t="s">
        <v>422</v>
      </c>
      <c r="E48" s="894" t="s">
        <v>423</v>
      </c>
      <c r="F48" s="895">
        <v>0</v>
      </c>
      <c r="G48" s="895">
        <v>0</v>
      </c>
      <c r="H48" s="895">
        <v>0</v>
      </c>
      <c r="I48" s="895">
        <v>0</v>
      </c>
      <c r="J48" s="895">
        <v>0</v>
      </c>
      <c r="K48" s="895">
        <v>0</v>
      </c>
      <c r="L48" s="895">
        <v>0</v>
      </c>
      <c r="M48" s="895">
        <v>0</v>
      </c>
      <c r="N48" s="895">
        <v>0</v>
      </c>
      <c r="O48" s="895">
        <v>0</v>
      </c>
      <c r="P48" s="895">
        <v>0</v>
      </c>
      <c r="Q48" s="895">
        <v>0</v>
      </c>
      <c r="R48" s="895">
        <v>0</v>
      </c>
      <c r="S48" s="896">
        <f>((F48+R48)+((G48+H48+I48+J48+K48+L48+M48+N48+O48+P48+Q48)*2))/24</f>
        <v>0</v>
      </c>
      <c r="T48" s="879"/>
      <c r="U48" s="881">
        <f t="shared" si="8"/>
        <v>0</v>
      </c>
      <c r="V48" s="881"/>
      <c r="W48" s="881"/>
      <c r="X48" s="897"/>
      <c r="Y48" s="881"/>
      <c r="Z48" s="881"/>
      <c r="AA48" s="881"/>
      <c r="AB48" s="881"/>
      <c r="AC48" s="879"/>
      <c r="AD48" s="951">
        <f t="shared" si="9"/>
        <v>0</v>
      </c>
      <c r="AE48" s="879"/>
    </row>
    <row r="49" spans="1:31">
      <c r="A49" s="879">
        <f t="shared" si="0"/>
        <v>35</v>
      </c>
      <c r="B49" s="893" t="s">
        <v>1850</v>
      </c>
      <c r="C49" s="893" t="s">
        <v>424</v>
      </c>
      <c r="D49" s="893" t="s">
        <v>2111</v>
      </c>
      <c r="E49" s="894" t="s">
        <v>425</v>
      </c>
      <c r="F49" s="895">
        <v>600</v>
      </c>
      <c r="G49" s="895">
        <v>600</v>
      </c>
      <c r="H49" s="895">
        <v>600</v>
      </c>
      <c r="I49" s="895">
        <v>600</v>
      </c>
      <c r="J49" s="895">
        <v>600</v>
      </c>
      <c r="K49" s="895">
        <v>600</v>
      </c>
      <c r="L49" s="895">
        <v>600</v>
      </c>
      <c r="M49" s="895">
        <v>600</v>
      </c>
      <c r="N49" s="895">
        <v>600</v>
      </c>
      <c r="O49" s="895">
        <v>600</v>
      </c>
      <c r="P49" s="895">
        <v>600</v>
      </c>
      <c r="Q49" s="895">
        <v>600</v>
      </c>
      <c r="R49" s="895">
        <v>600</v>
      </c>
      <c r="S49" s="896">
        <f t="shared" ref="S49:S54" si="10">((F49+R49)+((G49+H49+I49+J49+K49+L49+M49+N49+O49+P49+Q49)*2))/24</f>
        <v>600</v>
      </c>
      <c r="T49" s="879"/>
      <c r="U49" s="881">
        <f t="shared" si="8"/>
        <v>600</v>
      </c>
      <c r="V49" s="881"/>
      <c r="W49" s="881"/>
      <c r="X49" s="897"/>
      <c r="Y49" s="881"/>
      <c r="Z49" s="881"/>
      <c r="AA49" s="881"/>
      <c r="AB49" s="881"/>
      <c r="AC49" s="879"/>
      <c r="AD49" s="951">
        <f t="shared" si="9"/>
        <v>600</v>
      </c>
      <c r="AE49" s="879"/>
    </row>
    <row r="50" spans="1:31">
      <c r="A50" s="879">
        <f t="shared" si="0"/>
        <v>36</v>
      </c>
      <c r="B50" s="893" t="s">
        <v>1850</v>
      </c>
      <c r="C50" s="893" t="s">
        <v>424</v>
      </c>
      <c r="D50" s="893" t="s">
        <v>2112</v>
      </c>
      <c r="E50" s="894" t="s">
        <v>425</v>
      </c>
      <c r="F50" s="895">
        <v>500</v>
      </c>
      <c r="G50" s="895">
        <v>500</v>
      </c>
      <c r="H50" s="895">
        <v>500</v>
      </c>
      <c r="I50" s="895">
        <v>500</v>
      </c>
      <c r="J50" s="895">
        <v>500</v>
      </c>
      <c r="K50" s="895">
        <v>500</v>
      </c>
      <c r="L50" s="895">
        <v>500</v>
      </c>
      <c r="M50" s="895">
        <v>500</v>
      </c>
      <c r="N50" s="895">
        <v>500</v>
      </c>
      <c r="O50" s="895">
        <v>500</v>
      </c>
      <c r="P50" s="895">
        <v>500</v>
      </c>
      <c r="Q50" s="895">
        <v>500</v>
      </c>
      <c r="R50" s="895">
        <v>500</v>
      </c>
      <c r="S50" s="896">
        <f t="shared" si="10"/>
        <v>500</v>
      </c>
      <c r="T50" s="879"/>
      <c r="U50" s="881">
        <f t="shared" si="8"/>
        <v>500</v>
      </c>
      <c r="V50" s="881"/>
      <c r="W50" s="881"/>
      <c r="X50" s="897"/>
      <c r="Y50" s="881"/>
      <c r="Z50" s="881"/>
      <c r="AA50" s="881"/>
      <c r="AB50" s="881"/>
      <c r="AC50" s="879"/>
      <c r="AD50" s="951">
        <f t="shared" si="9"/>
        <v>500</v>
      </c>
      <c r="AE50" s="879"/>
    </row>
    <row r="51" spans="1:31">
      <c r="A51" s="879">
        <f t="shared" si="0"/>
        <v>37</v>
      </c>
      <c r="B51" s="893" t="s">
        <v>1850</v>
      </c>
      <c r="C51" s="893" t="s">
        <v>424</v>
      </c>
      <c r="D51" s="893" t="s">
        <v>2113</v>
      </c>
      <c r="E51" s="894" t="s">
        <v>425</v>
      </c>
      <c r="F51" s="895">
        <v>300</v>
      </c>
      <c r="G51" s="895">
        <v>300</v>
      </c>
      <c r="H51" s="895">
        <v>300</v>
      </c>
      <c r="I51" s="895">
        <v>300</v>
      </c>
      <c r="J51" s="895">
        <v>300</v>
      </c>
      <c r="K51" s="895">
        <v>300</v>
      </c>
      <c r="L51" s="895">
        <v>300</v>
      </c>
      <c r="M51" s="895">
        <v>300</v>
      </c>
      <c r="N51" s="895">
        <v>300</v>
      </c>
      <c r="O51" s="895">
        <v>300</v>
      </c>
      <c r="P51" s="895">
        <v>300</v>
      </c>
      <c r="Q51" s="895">
        <v>300</v>
      </c>
      <c r="R51" s="895">
        <v>300</v>
      </c>
      <c r="S51" s="896">
        <f t="shared" si="10"/>
        <v>300</v>
      </c>
      <c r="T51" s="879"/>
      <c r="U51" s="881">
        <f t="shared" si="8"/>
        <v>300</v>
      </c>
      <c r="V51" s="881"/>
      <c r="W51" s="881"/>
      <c r="X51" s="897"/>
      <c r="Y51" s="881"/>
      <c r="Z51" s="881"/>
      <c r="AA51" s="881"/>
      <c r="AB51" s="881"/>
      <c r="AC51" s="879"/>
      <c r="AD51" s="951">
        <f t="shared" si="9"/>
        <v>300</v>
      </c>
      <c r="AE51" s="879"/>
    </row>
    <row r="52" spans="1:31">
      <c r="A52" s="879">
        <f t="shared" si="0"/>
        <v>38</v>
      </c>
      <c r="B52" s="893" t="s">
        <v>1850</v>
      </c>
      <c r="C52" s="893" t="s">
        <v>424</v>
      </c>
      <c r="D52" s="960" t="s">
        <v>2114</v>
      </c>
      <c r="E52" s="894" t="s">
        <v>425</v>
      </c>
      <c r="F52" s="895">
        <v>400</v>
      </c>
      <c r="G52" s="895">
        <v>400</v>
      </c>
      <c r="H52" s="895">
        <v>400</v>
      </c>
      <c r="I52" s="895">
        <v>400</v>
      </c>
      <c r="J52" s="895">
        <v>400</v>
      </c>
      <c r="K52" s="895">
        <v>400</v>
      </c>
      <c r="L52" s="895">
        <v>400</v>
      </c>
      <c r="M52" s="895">
        <v>400</v>
      </c>
      <c r="N52" s="895">
        <v>400</v>
      </c>
      <c r="O52" s="895">
        <v>400</v>
      </c>
      <c r="P52" s="895">
        <v>400</v>
      </c>
      <c r="Q52" s="895">
        <v>400</v>
      </c>
      <c r="R52" s="895">
        <v>400</v>
      </c>
      <c r="S52" s="896">
        <f t="shared" si="10"/>
        <v>400</v>
      </c>
      <c r="T52" s="879"/>
      <c r="U52" s="881">
        <f t="shared" si="8"/>
        <v>400</v>
      </c>
      <c r="V52" s="881"/>
      <c r="W52" s="881"/>
      <c r="X52" s="897"/>
      <c r="Y52" s="881"/>
      <c r="Z52" s="881"/>
      <c r="AA52" s="881"/>
      <c r="AB52" s="881"/>
      <c r="AC52" s="879"/>
      <c r="AD52" s="951">
        <f t="shared" si="9"/>
        <v>400</v>
      </c>
      <c r="AE52" s="879"/>
    </row>
    <row r="53" spans="1:31">
      <c r="A53" s="879">
        <f t="shared" si="0"/>
        <v>39</v>
      </c>
      <c r="B53" s="893" t="s">
        <v>1850</v>
      </c>
      <c r="C53" s="893" t="s">
        <v>424</v>
      </c>
      <c r="D53" s="893" t="s">
        <v>2115</v>
      </c>
      <c r="E53" s="894" t="s">
        <v>425</v>
      </c>
      <c r="F53" s="895">
        <v>200</v>
      </c>
      <c r="G53" s="895">
        <v>200</v>
      </c>
      <c r="H53" s="895">
        <v>200</v>
      </c>
      <c r="I53" s="895">
        <v>200</v>
      </c>
      <c r="J53" s="895">
        <v>200</v>
      </c>
      <c r="K53" s="895">
        <v>200</v>
      </c>
      <c r="L53" s="895">
        <v>200</v>
      </c>
      <c r="M53" s="895">
        <v>200</v>
      </c>
      <c r="N53" s="895">
        <v>200</v>
      </c>
      <c r="O53" s="895">
        <v>200</v>
      </c>
      <c r="P53" s="895">
        <v>200</v>
      </c>
      <c r="Q53" s="895">
        <v>200</v>
      </c>
      <c r="R53" s="895">
        <v>250</v>
      </c>
      <c r="S53" s="896">
        <f t="shared" si="10"/>
        <v>202.08333333333334</v>
      </c>
      <c r="T53" s="879"/>
      <c r="U53" s="881">
        <f t="shared" si="8"/>
        <v>202.08333333333334</v>
      </c>
      <c r="V53" s="881"/>
      <c r="W53" s="881"/>
      <c r="X53" s="897"/>
      <c r="Y53" s="881"/>
      <c r="Z53" s="881"/>
      <c r="AA53" s="881"/>
      <c r="AB53" s="881"/>
      <c r="AC53" s="879"/>
      <c r="AD53" s="951">
        <f t="shared" si="9"/>
        <v>202.08333333333334</v>
      </c>
      <c r="AE53" s="879"/>
    </row>
    <row r="54" spans="1:31">
      <c r="A54" s="879">
        <f t="shared" si="0"/>
        <v>40</v>
      </c>
      <c r="B54" s="893" t="s">
        <v>1850</v>
      </c>
      <c r="C54" s="893" t="s">
        <v>424</v>
      </c>
      <c r="D54" s="893" t="s">
        <v>2116</v>
      </c>
      <c r="E54" s="894" t="s">
        <v>425</v>
      </c>
      <c r="F54" s="895">
        <v>500</v>
      </c>
      <c r="G54" s="895">
        <v>500</v>
      </c>
      <c r="H54" s="895">
        <v>500</v>
      </c>
      <c r="I54" s="895">
        <v>500</v>
      </c>
      <c r="J54" s="895">
        <v>500</v>
      </c>
      <c r="K54" s="895">
        <v>500</v>
      </c>
      <c r="L54" s="895">
        <v>500</v>
      </c>
      <c r="M54" s="895">
        <v>500</v>
      </c>
      <c r="N54" s="895">
        <v>500</v>
      </c>
      <c r="O54" s="895">
        <v>500</v>
      </c>
      <c r="P54" s="895">
        <v>500</v>
      </c>
      <c r="Q54" s="895">
        <v>500</v>
      </c>
      <c r="R54" s="895">
        <v>500</v>
      </c>
      <c r="S54" s="896">
        <f t="shared" si="10"/>
        <v>500</v>
      </c>
      <c r="T54" s="879"/>
      <c r="U54" s="881">
        <f t="shared" si="8"/>
        <v>500</v>
      </c>
      <c r="V54" s="881"/>
      <c r="W54" s="881"/>
      <c r="X54" s="897"/>
      <c r="Y54" s="881"/>
      <c r="Z54" s="881"/>
      <c r="AA54" s="881"/>
      <c r="AB54" s="881"/>
      <c r="AC54" s="879"/>
      <c r="AD54" s="951">
        <f t="shared" si="9"/>
        <v>500</v>
      </c>
      <c r="AE54" s="879"/>
    </row>
    <row r="55" spans="1:31">
      <c r="A55" s="879">
        <f t="shared" si="0"/>
        <v>41</v>
      </c>
      <c r="B55" s="893" t="s">
        <v>1850</v>
      </c>
      <c r="C55" s="893" t="s">
        <v>424</v>
      </c>
      <c r="D55" s="893" t="s">
        <v>2117</v>
      </c>
      <c r="E55" s="894" t="s">
        <v>425</v>
      </c>
      <c r="F55" s="912">
        <v>200</v>
      </c>
      <c r="G55" s="912">
        <v>200</v>
      </c>
      <c r="H55" s="912">
        <v>200</v>
      </c>
      <c r="I55" s="912">
        <v>200</v>
      </c>
      <c r="J55" s="912">
        <v>200</v>
      </c>
      <c r="K55" s="912">
        <v>200</v>
      </c>
      <c r="L55" s="912">
        <v>200</v>
      </c>
      <c r="M55" s="912">
        <v>200</v>
      </c>
      <c r="N55" s="912">
        <v>200</v>
      </c>
      <c r="O55" s="912">
        <v>200</v>
      </c>
      <c r="P55" s="912">
        <v>200</v>
      </c>
      <c r="Q55" s="912">
        <v>200</v>
      </c>
      <c r="R55" s="912">
        <v>200</v>
      </c>
      <c r="S55" s="896">
        <f>((F55+R55)+((G55+H55+I55+J55+K55+L55+M55+N55+O55+P55+Q55)*2))/24</f>
        <v>200</v>
      </c>
      <c r="T55" s="879"/>
      <c r="U55" s="881">
        <f t="shared" si="8"/>
        <v>200</v>
      </c>
      <c r="V55" s="881"/>
      <c r="W55" s="881"/>
      <c r="X55" s="897"/>
      <c r="Y55" s="881"/>
      <c r="Z55" s="881"/>
      <c r="AA55" s="881"/>
      <c r="AB55" s="881"/>
      <c r="AC55" s="879"/>
      <c r="AD55" s="951">
        <f t="shared" si="9"/>
        <v>200</v>
      </c>
      <c r="AE55" s="879"/>
    </row>
    <row r="56" spans="1:31">
      <c r="A56" s="879">
        <f t="shared" si="0"/>
        <v>42</v>
      </c>
      <c r="B56" s="879"/>
      <c r="C56" s="879"/>
      <c r="D56" s="879"/>
      <c r="E56" s="918" t="s">
        <v>426</v>
      </c>
      <c r="F56" s="898">
        <f t="shared" ref="F56:S56" si="11">SUM(F44:F55)</f>
        <v>31799078.109999999</v>
      </c>
      <c r="G56" s="898">
        <f t="shared" si="11"/>
        <v>33640401.130000003</v>
      </c>
      <c r="H56" s="898">
        <f t="shared" si="11"/>
        <v>44810187.330000006</v>
      </c>
      <c r="I56" s="898">
        <f t="shared" si="11"/>
        <v>52401676.439999998</v>
      </c>
      <c r="J56" s="898">
        <f t="shared" si="11"/>
        <v>49578890.109999999</v>
      </c>
      <c r="K56" s="898">
        <f t="shared" si="11"/>
        <v>48954304.280000001</v>
      </c>
      <c r="L56" s="898">
        <f t="shared" si="11"/>
        <v>45628176.760000005</v>
      </c>
      <c r="M56" s="898">
        <f t="shared" si="11"/>
        <v>38000360.950000003</v>
      </c>
      <c r="N56" s="898">
        <f t="shared" si="11"/>
        <v>29729944.119999997</v>
      </c>
      <c r="O56" s="898">
        <f t="shared" si="11"/>
        <v>20015218.899999999</v>
      </c>
      <c r="P56" s="898">
        <f t="shared" si="11"/>
        <v>15886190.440000001</v>
      </c>
      <c r="Q56" s="898">
        <f t="shared" si="11"/>
        <v>8443271.4899999909</v>
      </c>
      <c r="R56" s="898">
        <f t="shared" si="11"/>
        <v>3541862.5199999902</v>
      </c>
      <c r="S56" s="899">
        <f t="shared" si="11"/>
        <v>33729924.355416663</v>
      </c>
      <c r="T56" s="879"/>
      <c r="U56" s="881"/>
      <c r="V56" s="881"/>
      <c r="W56" s="881"/>
      <c r="X56" s="897"/>
      <c r="Y56" s="881"/>
      <c r="Z56" s="881"/>
      <c r="AA56" s="881"/>
      <c r="AB56" s="881"/>
      <c r="AC56" s="879"/>
      <c r="AD56" s="879"/>
      <c r="AE56" s="879"/>
    </row>
    <row r="57" spans="1:31">
      <c r="A57" s="879">
        <f t="shared" si="0"/>
        <v>43</v>
      </c>
      <c r="B57" s="879"/>
      <c r="C57" s="879"/>
      <c r="D57" s="879"/>
      <c r="E57" s="918"/>
      <c r="F57" s="895"/>
      <c r="G57" s="941"/>
      <c r="H57" s="942"/>
      <c r="I57" s="942"/>
      <c r="J57" s="943"/>
      <c r="K57" s="944"/>
      <c r="L57" s="945"/>
      <c r="M57" s="946"/>
      <c r="N57" s="947"/>
      <c r="O57" s="948"/>
      <c r="P57" s="949"/>
      <c r="Q57" s="950"/>
      <c r="R57" s="895"/>
      <c r="S57" s="896"/>
      <c r="T57" s="879"/>
      <c r="U57" s="881"/>
      <c r="V57" s="881"/>
      <c r="W57" s="881"/>
      <c r="X57" s="897"/>
      <c r="Y57" s="881"/>
      <c r="Z57" s="881"/>
      <c r="AA57" s="881"/>
      <c r="AB57" s="881"/>
      <c r="AC57" s="879"/>
      <c r="AD57" s="879"/>
      <c r="AE57" s="879"/>
    </row>
    <row r="58" spans="1:31">
      <c r="A58" s="879">
        <f t="shared" si="0"/>
        <v>44</v>
      </c>
      <c r="B58" s="893" t="s">
        <v>1850</v>
      </c>
      <c r="C58" s="893" t="s">
        <v>427</v>
      </c>
      <c r="D58" s="893"/>
      <c r="E58" s="894" t="s">
        <v>428</v>
      </c>
      <c r="F58" s="912">
        <v>0</v>
      </c>
      <c r="G58" s="912">
        <v>0</v>
      </c>
      <c r="H58" s="912">
        <v>0</v>
      </c>
      <c r="I58" s="912">
        <v>0</v>
      </c>
      <c r="J58" s="912">
        <v>0</v>
      </c>
      <c r="K58" s="912">
        <v>0</v>
      </c>
      <c r="L58" s="912">
        <v>0</v>
      </c>
      <c r="M58" s="912">
        <v>0</v>
      </c>
      <c r="N58" s="912">
        <v>0</v>
      </c>
      <c r="O58" s="912">
        <v>0</v>
      </c>
      <c r="P58" s="912">
        <v>0</v>
      </c>
      <c r="Q58" s="912">
        <v>0</v>
      </c>
      <c r="R58" s="912">
        <v>0</v>
      </c>
      <c r="S58" s="896">
        <f>((F58+R58)+((G58+H58+I58+J58+K58+L58+M58+N58+O58+P58+Q58)*2))/24</f>
        <v>0</v>
      </c>
      <c r="T58" s="879"/>
      <c r="U58" s="881">
        <f>+S58</f>
        <v>0</v>
      </c>
      <c r="V58" s="881"/>
      <c r="W58" s="881"/>
      <c r="X58" s="897"/>
      <c r="Y58" s="881"/>
      <c r="Z58" s="881"/>
      <c r="AA58" s="881"/>
      <c r="AB58" s="881"/>
      <c r="AC58" s="879"/>
      <c r="AD58" s="879"/>
      <c r="AE58" s="879"/>
    </row>
    <row r="59" spans="1:31">
      <c r="A59" s="879">
        <f t="shared" si="0"/>
        <v>45</v>
      </c>
      <c r="B59" s="879"/>
      <c r="C59" s="879"/>
      <c r="D59" s="879"/>
      <c r="E59" s="918" t="s">
        <v>429</v>
      </c>
      <c r="F59" s="898">
        <f t="shared" ref="F59:S59" si="12">+F58</f>
        <v>0</v>
      </c>
      <c r="G59" s="898">
        <f t="shared" si="12"/>
        <v>0</v>
      </c>
      <c r="H59" s="898">
        <f t="shared" si="12"/>
        <v>0</v>
      </c>
      <c r="I59" s="898">
        <f t="shared" si="12"/>
        <v>0</v>
      </c>
      <c r="J59" s="898">
        <f t="shared" si="12"/>
        <v>0</v>
      </c>
      <c r="K59" s="898">
        <f t="shared" si="12"/>
        <v>0</v>
      </c>
      <c r="L59" s="898">
        <f t="shared" si="12"/>
        <v>0</v>
      </c>
      <c r="M59" s="898">
        <f t="shared" si="12"/>
        <v>0</v>
      </c>
      <c r="N59" s="898">
        <f t="shared" si="12"/>
        <v>0</v>
      </c>
      <c r="O59" s="898">
        <f t="shared" si="12"/>
        <v>0</v>
      </c>
      <c r="P59" s="898">
        <f t="shared" si="12"/>
        <v>0</v>
      </c>
      <c r="Q59" s="898">
        <f t="shared" si="12"/>
        <v>0</v>
      </c>
      <c r="R59" s="898">
        <f t="shared" si="12"/>
        <v>0</v>
      </c>
      <c r="S59" s="899">
        <f t="shared" si="12"/>
        <v>0</v>
      </c>
      <c r="T59" s="879"/>
      <c r="U59" s="881"/>
      <c r="V59" s="881"/>
      <c r="W59" s="881"/>
      <c r="X59" s="897"/>
      <c r="Y59" s="881"/>
      <c r="Z59" s="881"/>
      <c r="AA59" s="881"/>
      <c r="AB59" s="881"/>
      <c r="AC59" s="879"/>
      <c r="AD59" s="879"/>
      <c r="AE59" s="879"/>
    </row>
    <row r="60" spans="1:31">
      <c r="A60" s="879">
        <f t="shared" si="0"/>
        <v>46</v>
      </c>
      <c r="B60" s="879"/>
      <c r="C60" s="879"/>
      <c r="D60" s="879"/>
      <c r="E60" s="918"/>
      <c r="F60" s="895"/>
      <c r="G60" s="941"/>
      <c r="H60" s="942"/>
      <c r="I60" s="942"/>
      <c r="J60" s="943"/>
      <c r="K60" s="944"/>
      <c r="L60" s="945"/>
      <c r="M60" s="946"/>
      <c r="N60" s="947"/>
      <c r="O60" s="948"/>
      <c r="P60" s="949"/>
      <c r="Q60" s="950"/>
      <c r="R60" s="895"/>
      <c r="S60" s="896"/>
      <c r="T60" s="879"/>
      <c r="U60" s="881"/>
      <c r="V60" s="881"/>
      <c r="W60" s="881"/>
      <c r="X60" s="897"/>
      <c r="Y60" s="881"/>
      <c r="Z60" s="881"/>
      <c r="AA60" s="881"/>
      <c r="AB60" s="881"/>
      <c r="AC60" s="879"/>
      <c r="AD60" s="879"/>
      <c r="AE60" s="879"/>
    </row>
    <row r="61" spans="1:31">
      <c r="A61" s="879">
        <f t="shared" si="0"/>
        <v>47</v>
      </c>
      <c r="B61" s="893" t="s">
        <v>1850</v>
      </c>
      <c r="C61" s="893" t="s">
        <v>430</v>
      </c>
      <c r="D61" s="893" t="s">
        <v>585</v>
      </c>
      <c r="E61" s="894" t="s">
        <v>431</v>
      </c>
      <c r="F61" s="895">
        <v>-309043.71999999898</v>
      </c>
      <c r="G61" s="895">
        <v>-396240.37</v>
      </c>
      <c r="H61" s="895">
        <v>724256.02</v>
      </c>
      <c r="I61" s="895">
        <v>18026.330000000002</v>
      </c>
      <c r="J61" s="895">
        <v>-90299.14</v>
      </c>
      <c r="K61" s="895">
        <v>479741.63</v>
      </c>
      <c r="L61" s="895">
        <v>24305.49</v>
      </c>
      <c r="M61" s="895">
        <v>-56499.12</v>
      </c>
      <c r="N61" s="895">
        <v>90997.15</v>
      </c>
      <c r="O61" s="895">
        <v>-15016.02</v>
      </c>
      <c r="P61" s="895">
        <v>257023.43</v>
      </c>
      <c r="Q61" s="895">
        <v>-40918.1</v>
      </c>
      <c r="R61" s="895">
        <v>-154012.34</v>
      </c>
      <c r="S61" s="896">
        <f>((F61+R61)+((G61+H61+I61+J61+K61+L61+M61+N61+O61+P61+Q61)*2))/24</f>
        <v>63654.105833333371</v>
      </c>
      <c r="T61" s="879"/>
      <c r="U61" s="881">
        <f t="shared" ref="U61:U72" si="13">+S61</f>
        <v>63654.105833333371</v>
      </c>
      <c r="V61" s="881"/>
      <c r="W61" s="881"/>
      <c r="X61" s="897"/>
      <c r="Y61" s="881"/>
      <c r="Z61" s="881"/>
      <c r="AA61" s="881"/>
      <c r="AB61" s="881"/>
      <c r="AC61" s="879"/>
      <c r="AD61" s="951">
        <f t="shared" ref="AD61:AD71" si="14">+U61</f>
        <v>63654.105833333371</v>
      </c>
      <c r="AE61" s="879"/>
    </row>
    <row r="62" spans="1:31">
      <c r="A62" s="879">
        <f t="shared" si="0"/>
        <v>48</v>
      </c>
      <c r="B62" s="893" t="s">
        <v>1886</v>
      </c>
      <c r="C62" s="893" t="s">
        <v>430</v>
      </c>
      <c r="D62" s="893" t="s">
        <v>585</v>
      </c>
      <c r="E62" s="894" t="s">
        <v>431</v>
      </c>
      <c r="F62" s="895">
        <v>2535439.7400000002</v>
      </c>
      <c r="G62" s="895">
        <v>4786486.83</v>
      </c>
      <c r="H62" s="895">
        <v>3432755.56</v>
      </c>
      <c r="I62" s="895">
        <v>3573056.63</v>
      </c>
      <c r="J62" s="895">
        <v>2682538.7999999998</v>
      </c>
      <c r="K62" s="895">
        <v>1371632.93</v>
      </c>
      <c r="L62" s="895">
        <v>1013763.82</v>
      </c>
      <c r="M62" s="895">
        <v>599327.59</v>
      </c>
      <c r="N62" s="895">
        <v>-5540.1900000002897</v>
      </c>
      <c r="O62" s="895">
        <v>14840.949999999701</v>
      </c>
      <c r="P62" s="895">
        <v>38483.819999999701</v>
      </c>
      <c r="Q62" s="895">
        <v>211804</v>
      </c>
      <c r="R62" s="895">
        <v>2980963.97</v>
      </c>
      <c r="S62" s="896">
        <f t="shared" ref="S62:S70" si="15">((F62+R62)+((G62+H62+I62+J62+K62+L62+M62+N62+O62+P62+Q62)*2))/24</f>
        <v>1706446.0495833333</v>
      </c>
      <c r="T62" s="879"/>
      <c r="U62" s="881">
        <f t="shared" si="13"/>
        <v>1706446.0495833333</v>
      </c>
      <c r="V62" s="881"/>
      <c r="W62" s="881"/>
      <c r="X62" s="897"/>
      <c r="Y62" s="881"/>
      <c r="Z62" s="881"/>
      <c r="AA62" s="881"/>
      <c r="AB62" s="881"/>
      <c r="AC62" s="879"/>
      <c r="AD62" s="951">
        <f t="shared" si="14"/>
        <v>1706446.0495833333</v>
      </c>
      <c r="AE62" s="879"/>
    </row>
    <row r="63" spans="1:31">
      <c r="A63" s="879">
        <f t="shared" si="0"/>
        <v>49</v>
      </c>
      <c r="B63" s="893" t="s">
        <v>1853</v>
      </c>
      <c r="C63" s="893" t="s">
        <v>430</v>
      </c>
      <c r="D63" s="893" t="s">
        <v>585</v>
      </c>
      <c r="E63" s="894" t="s">
        <v>431</v>
      </c>
      <c r="F63" s="895">
        <v>6878565.1399999997</v>
      </c>
      <c r="G63" s="895">
        <v>15764715.23</v>
      </c>
      <c r="H63" s="895">
        <v>10378447.16</v>
      </c>
      <c r="I63" s="895">
        <v>9854225.5899999999</v>
      </c>
      <c r="J63" s="895">
        <v>6472434.0899999999</v>
      </c>
      <c r="K63" s="895">
        <v>2529298.13</v>
      </c>
      <c r="L63" s="895">
        <v>1301753.26</v>
      </c>
      <c r="M63" s="895">
        <v>51744.709999999701</v>
      </c>
      <c r="N63" s="895">
        <v>-1705641.32</v>
      </c>
      <c r="O63" s="895">
        <v>-1812350.59</v>
      </c>
      <c r="P63" s="895">
        <v>-1928584.87</v>
      </c>
      <c r="Q63" s="895">
        <v>-690176.07</v>
      </c>
      <c r="R63" s="895">
        <v>7581940.0800000001</v>
      </c>
      <c r="S63" s="896">
        <f t="shared" si="15"/>
        <v>3953843.1608333341</v>
      </c>
      <c r="T63" s="879"/>
      <c r="U63" s="881">
        <f t="shared" si="13"/>
        <v>3953843.1608333341</v>
      </c>
      <c r="V63" s="881"/>
      <c r="W63" s="881"/>
      <c r="X63" s="897"/>
      <c r="Y63" s="881"/>
      <c r="Z63" s="881"/>
      <c r="AA63" s="881"/>
      <c r="AB63" s="881"/>
      <c r="AC63" s="879"/>
      <c r="AD63" s="951">
        <f t="shared" si="14"/>
        <v>3953843.1608333341</v>
      </c>
      <c r="AE63" s="879"/>
    </row>
    <row r="64" spans="1:31">
      <c r="A64" s="879">
        <f t="shared" si="0"/>
        <v>50</v>
      </c>
      <c r="B64" s="893" t="s">
        <v>1886</v>
      </c>
      <c r="C64" s="893" t="s">
        <v>430</v>
      </c>
      <c r="D64" s="893" t="s">
        <v>632</v>
      </c>
      <c r="E64" s="894" t="s">
        <v>431</v>
      </c>
      <c r="F64" s="895">
        <v>42282.45</v>
      </c>
      <c r="G64" s="895">
        <v>60231.26</v>
      </c>
      <c r="H64" s="895">
        <v>26599.3</v>
      </c>
      <c r="I64" s="895">
        <v>43473.38</v>
      </c>
      <c r="J64" s="895">
        <v>19275.439999999999</v>
      </c>
      <c r="K64" s="895">
        <v>44013.98</v>
      </c>
      <c r="L64" s="895">
        <v>8493.2000000000007</v>
      </c>
      <c r="M64" s="895">
        <v>48335.360000000001</v>
      </c>
      <c r="N64" s="895">
        <v>18951.47</v>
      </c>
      <c r="O64" s="895">
        <v>11285.99</v>
      </c>
      <c r="P64" s="895">
        <v>30545.24</v>
      </c>
      <c r="Q64" s="895">
        <v>39903.019999999997</v>
      </c>
      <c r="R64" s="895">
        <v>85006.99</v>
      </c>
      <c r="S64" s="896">
        <f t="shared" si="15"/>
        <v>34562.696666666663</v>
      </c>
      <c r="T64" s="879"/>
      <c r="U64" s="881">
        <f t="shared" si="13"/>
        <v>34562.696666666663</v>
      </c>
      <c r="V64" s="881"/>
      <c r="W64" s="881"/>
      <c r="X64" s="897"/>
      <c r="Y64" s="881"/>
      <c r="Z64" s="881"/>
      <c r="AA64" s="881"/>
      <c r="AB64" s="881"/>
      <c r="AC64" s="879"/>
      <c r="AD64" s="951">
        <f t="shared" si="14"/>
        <v>34562.696666666663</v>
      </c>
      <c r="AE64" s="879"/>
    </row>
    <row r="65" spans="1:31">
      <c r="A65" s="879">
        <f t="shared" si="0"/>
        <v>51</v>
      </c>
      <c r="B65" s="893" t="s">
        <v>1853</v>
      </c>
      <c r="C65" s="893" t="s">
        <v>430</v>
      </c>
      <c r="D65" s="893" t="s">
        <v>632</v>
      </c>
      <c r="E65" s="894" t="s">
        <v>431</v>
      </c>
      <c r="F65" s="895">
        <v>342368.75</v>
      </c>
      <c r="G65" s="895">
        <v>503415.42</v>
      </c>
      <c r="H65" s="895">
        <v>530399.09</v>
      </c>
      <c r="I65" s="895">
        <v>569592.06000000006</v>
      </c>
      <c r="J65" s="895">
        <v>571798.72</v>
      </c>
      <c r="K65" s="895">
        <v>532290.80000000005</v>
      </c>
      <c r="L65" s="895">
        <v>309357.14</v>
      </c>
      <c r="M65" s="895">
        <v>255781.73</v>
      </c>
      <c r="N65" s="895">
        <v>406677.57</v>
      </c>
      <c r="O65" s="895">
        <v>379301.44</v>
      </c>
      <c r="P65" s="895">
        <v>488598.74</v>
      </c>
      <c r="Q65" s="895">
        <v>152573.45000000001</v>
      </c>
      <c r="R65" s="895">
        <v>319748.76</v>
      </c>
      <c r="S65" s="896">
        <f t="shared" si="15"/>
        <v>419237.07624999998</v>
      </c>
      <c r="T65" s="879"/>
      <c r="U65" s="881">
        <f t="shared" si="13"/>
        <v>419237.07624999998</v>
      </c>
      <c r="V65" s="881"/>
      <c r="W65" s="881"/>
      <c r="X65" s="897"/>
      <c r="Y65" s="881"/>
      <c r="Z65" s="881"/>
      <c r="AA65" s="881"/>
      <c r="AB65" s="881"/>
      <c r="AC65" s="879"/>
      <c r="AD65" s="951">
        <f t="shared" si="14"/>
        <v>419237.07624999998</v>
      </c>
      <c r="AE65" s="879"/>
    </row>
    <row r="66" spans="1:31">
      <c r="A66" s="879">
        <f t="shared" si="0"/>
        <v>52</v>
      </c>
      <c r="B66" s="893" t="s">
        <v>1886</v>
      </c>
      <c r="C66" s="893" t="s">
        <v>430</v>
      </c>
      <c r="D66" s="893" t="s">
        <v>1837</v>
      </c>
      <c r="E66" s="894" t="s">
        <v>431</v>
      </c>
      <c r="F66" s="895">
        <v>1563988.98</v>
      </c>
      <c r="G66" s="895">
        <v>1155419.31</v>
      </c>
      <c r="H66" s="895">
        <v>943366</v>
      </c>
      <c r="I66" s="895">
        <v>774135.46</v>
      </c>
      <c r="J66" s="895">
        <v>727937.8</v>
      </c>
      <c r="K66" s="895">
        <v>858778.99</v>
      </c>
      <c r="L66" s="895">
        <v>989862.04</v>
      </c>
      <c r="M66" s="895">
        <v>1140875.3</v>
      </c>
      <c r="N66" s="895">
        <v>1356624.06</v>
      </c>
      <c r="O66" s="895">
        <v>1539390.06</v>
      </c>
      <c r="P66" s="895">
        <v>1691146.16</v>
      </c>
      <c r="Q66" s="895">
        <v>1702253.72</v>
      </c>
      <c r="R66" s="895">
        <v>1484267.58</v>
      </c>
      <c r="S66" s="896">
        <f t="shared" si="15"/>
        <v>1200326.4316666669</v>
      </c>
      <c r="T66" s="879"/>
      <c r="U66" s="881">
        <f t="shared" si="13"/>
        <v>1200326.4316666669</v>
      </c>
      <c r="V66" s="881"/>
      <c r="W66" s="881"/>
      <c r="X66" s="897"/>
      <c r="Y66" s="881"/>
      <c r="Z66" s="881"/>
      <c r="AA66" s="881"/>
      <c r="AB66" s="881"/>
      <c r="AC66" s="879"/>
      <c r="AD66" s="951">
        <f t="shared" si="14"/>
        <v>1200326.4316666669</v>
      </c>
      <c r="AE66" s="879"/>
    </row>
    <row r="67" spans="1:31">
      <c r="A67" s="879">
        <f t="shared" si="0"/>
        <v>53</v>
      </c>
      <c r="B67" s="893" t="s">
        <v>1853</v>
      </c>
      <c r="C67" s="893" t="s">
        <v>430</v>
      </c>
      <c r="D67" s="893" t="s">
        <v>1837</v>
      </c>
      <c r="E67" s="894" t="s">
        <v>431</v>
      </c>
      <c r="F67" s="895">
        <v>6110038.6500000004</v>
      </c>
      <c r="G67" s="895">
        <v>4448739.93</v>
      </c>
      <c r="H67" s="895">
        <v>4011232.68</v>
      </c>
      <c r="I67" s="895">
        <v>3584643.51</v>
      </c>
      <c r="J67" s="895">
        <v>3665591.99</v>
      </c>
      <c r="K67" s="895">
        <v>4367452.1399999997</v>
      </c>
      <c r="L67" s="895">
        <v>4975294.0599999996</v>
      </c>
      <c r="M67" s="895">
        <v>5491883.29</v>
      </c>
      <c r="N67" s="895">
        <v>6136906.9199999999</v>
      </c>
      <c r="O67" s="895">
        <v>6660747.0499999998</v>
      </c>
      <c r="P67" s="895">
        <v>7112030.2300000004</v>
      </c>
      <c r="Q67" s="895">
        <v>7157709.9000000004</v>
      </c>
      <c r="R67" s="895">
        <v>6063627.9299999997</v>
      </c>
      <c r="S67" s="896">
        <f t="shared" si="15"/>
        <v>5308255.4158333326</v>
      </c>
      <c r="T67" s="879"/>
      <c r="U67" s="881">
        <f t="shared" si="13"/>
        <v>5308255.4158333326</v>
      </c>
      <c r="V67" s="881"/>
      <c r="W67" s="881"/>
      <c r="X67" s="897"/>
      <c r="Y67" s="881"/>
      <c r="Z67" s="881"/>
      <c r="AA67" s="881"/>
      <c r="AB67" s="881"/>
      <c r="AC67" s="879"/>
      <c r="AD67" s="951">
        <f t="shared" si="14"/>
        <v>5308255.4158333326</v>
      </c>
      <c r="AE67" s="879"/>
    </row>
    <row r="68" spans="1:31">
      <c r="A68" s="879">
        <f t="shared" si="0"/>
        <v>54</v>
      </c>
      <c r="B68" s="893" t="s">
        <v>1850</v>
      </c>
      <c r="C68" s="893" t="s">
        <v>432</v>
      </c>
      <c r="D68" s="893" t="s">
        <v>2118</v>
      </c>
      <c r="E68" s="894" t="s">
        <v>433</v>
      </c>
      <c r="F68" s="895">
        <v>1277668.3999999999</v>
      </c>
      <c r="G68" s="895">
        <v>1179104.17</v>
      </c>
      <c r="H68" s="895">
        <v>1359317.83</v>
      </c>
      <c r="I68" s="895">
        <v>2369401.8199999998</v>
      </c>
      <c r="J68" s="895">
        <v>2700799.82</v>
      </c>
      <c r="K68" s="895">
        <v>3038738.58</v>
      </c>
      <c r="L68" s="895">
        <v>1144909.3999999999</v>
      </c>
      <c r="M68" s="895">
        <v>734029.04</v>
      </c>
      <c r="N68" s="895">
        <v>641877.41</v>
      </c>
      <c r="O68" s="895">
        <v>534213.76</v>
      </c>
      <c r="P68" s="895">
        <v>440962.78</v>
      </c>
      <c r="Q68" s="895">
        <v>243452.92</v>
      </c>
      <c r="R68" s="895">
        <v>266593.23</v>
      </c>
      <c r="S68" s="896">
        <f t="shared" si="15"/>
        <v>1263244.8620833333</v>
      </c>
      <c r="T68" s="879"/>
      <c r="U68" s="881">
        <f t="shared" si="13"/>
        <v>1263244.8620833333</v>
      </c>
      <c r="V68" s="881"/>
      <c r="W68" s="881"/>
      <c r="X68" s="897"/>
      <c r="Y68" s="881"/>
      <c r="Z68" s="881"/>
      <c r="AA68" s="881"/>
      <c r="AB68" s="881"/>
      <c r="AC68" s="879"/>
      <c r="AD68" s="951">
        <f t="shared" si="14"/>
        <v>1263244.8620833333</v>
      </c>
      <c r="AE68" s="879"/>
    </row>
    <row r="69" spans="1:31">
      <c r="A69" s="879">
        <f t="shared" si="0"/>
        <v>55</v>
      </c>
      <c r="B69" s="893" t="s">
        <v>1850</v>
      </c>
      <c r="C69" s="893" t="s">
        <v>432</v>
      </c>
      <c r="D69" s="893" t="s">
        <v>495</v>
      </c>
      <c r="E69" s="894" t="s">
        <v>433</v>
      </c>
      <c r="F69" s="895">
        <v>0</v>
      </c>
      <c r="G69" s="895">
        <v>-37.270000000000003</v>
      </c>
      <c r="H69" s="895">
        <v>0</v>
      </c>
      <c r="I69" s="895">
        <v>0</v>
      </c>
      <c r="J69" s="895">
        <v>0</v>
      </c>
      <c r="K69" s="895">
        <v>0</v>
      </c>
      <c r="L69" s="895">
        <v>0</v>
      </c>
      <c r="M69" s="895">
        <v>0</v>
      </c>
      <c r="N69" s="895">
        <v>0</v>
      </c>
      <c r="O69" s="895">
        <v>0</v>
      </c>
      <c r="P69" s="895">
        <v>0</v>
      </c>
      <c r="Q69" s="895">
        <v>0</v>
      </c>
      <c r="R69" s="895">
        <v>0</v>
      </c>
      <c r="S69" s="896">
        <f>((F69+R69)+((G69+H69+I69+J69+K69+L69+M69+N69+O69+P69+Q69)*2))/24</f>
        <v>-3.1058333333333334</v>
      </c>
      <c r="T69" s="879"/>
      <c r="U69" s="881">
        <f t="shared" si="13"/>
        <v>-3.1058333333333334</v>
      </c>
      <c r="V69" s="881"/>
      <c r="W69" s="881"/>
      <c r="X69" s="897"/>
      <c r="Y69" s="881"/>
      <c r="Z69" s="881"/>
      <c r="AA69" s="881"/>
      <c r="AB69" s="881"/>
      <c r="AC69" s="879"/>
      <c r="AD69" s="951">
        <f t="shared" si="14"/>
        <v>-3.1058333333333334</v>
      </c>
      <c r="AE69" s="879"/>
    </row>
    <row r="70" spans="1:31">
      <c r="A70" s="879">
        <f t="shared" si="0"/>
        <v>56</v>
      </c>
      <c r="B70" s="893" t="s">
        <v>1850</v>
      </c>
      <c r="C70" s="893" t="s">
        <v>432</v>
      </c>
      <c r="D70" s="893" t="s">
        <v>534</v>
      </c>
      <c r="E70" s="894" t="s">
        <v>433</v>
      </c>
      <c r="F70" s="895">
        <v>462.63</v>
      </c>
      <c r="G70" s="895">
        <v>490.83</v>
      </c>
      <c r="H70" s="895">
        <v>396.29</v>
      </c>
      <c r="I70" s="895">
        <v>333.52</v>
      </c>
      <c r="J70" s="895">
        <v>285.67</v>
      </c>
      <c r="K70" s="895">
        <v>816.61</v>
      </c>
      <c r="L70" s="895">
        <v>70.650000000000006</v>
      </c>
      <c r="M70" s="895">
        <v>92.44</v>
      </c>
      <c r="N70" s="895">
        <v>311.36</v>
      </c>
      <c r="O70" s="895">
        <v>44.16</v>
      </c>
      <c r="P70" s="895">
        <v>60.53</v>
      </c>
      <c r="Q70" s="895">
        <v>528.48</v>
      </c>
      <c r="R70" s="895">
        <v>387.69</v>
      </c>
      <c r="S70" s="896">
        <f t="shared" si="15"/>
        <v>321.30833333333334</v>
      </c>
      <c r="T70" s="879"/>
      <c r="U70" s="881">
        <f t="shared" si="13"/>
        <v>321.30833333333334</v>
      </c>
      <c r="V70" s="881"/>
      <c r="W70" s="881"/>
      <c r="X70" s="897"/>
      <c r="Y70" s="881"/>
      <c r="Z70" s="881"/>
      <c r="AA70" s="881"/>
      <c r="AB70" s="881"/>
      <c r="AC70" s="879"/>
      <c r="AD70" s="951">
        <f t="shared" si="14"/>
        <v>321.30833333333334</v>
      </c>
      <c r="AE70" s="879"/>
    </row>
    <row r="71" spans="1:31">
      <c r="A71" s="879">
        <f t="shared" si="0"/>
        <v>57</v>
      </c>
      <c r="B71" s="893" t="s">
        <v>1850</v>
      </c>
      <c r="C71" s="893" t="s">
        <v>432</v>
      </c>
      <c r="D71" s="893" t="s">
        <v>536</v>
      </c>
      <c r="E71" s="894" t="s">
        <v>433</v>
      </c>
      <c r="F71" s="895">
        <v>686086.06</v>
      </c>
      <c r="G71" s="895">
        <v>699841.76</v>
      </c>
      <c r="H71" s="895">
        <v>811655.13</v>
      </c>
      <c r="I71" s="895">
        <v>816510.09</v>
      </c>
      <c r="J71" s="895">
        <v>812138.64</v>
      </c>
      <c r="K71" s="895">
        <v>840482.83</v>
      </c>
      <c r="L71" s="895">
        <v>874889.38</v>
      </c>
      <c r="M71" s="895">
        <v>918045.51</v>
      </c>
      <c r="N71" s="895">
        <v>964335.27</v>
      </c>
      <c r="O71" s="895">
        <v>1025576.03</v>
      </c>
      <c r="P71" s="895">
        <v>1137159.03</v>
      </c>
      <c r="Q71" s="895">
        <v>1296740.6499999999</v>
      </c>
      <c r="R71" s="895">
        <v>1546301.31</v>
      </c>
      <c r="S71" s="896">
        <f>((F71+R71)+((G71+H71+I71+J71+K71+L71+M71+N71+O71+P71+Q71)*2))/24</f>
        <v>942797.33375000011</v>
      </c>
      <c r="T71" s="879"/>
      <c r="U71" s="881">
        <f t="shared" si="13"/>
        <v>942797.33375000011</v>
      </c>
      <c r="V71" s="881"/>
      <c r="W71" s="881"/>
      <c r="X71" s="897"/>
      <c r="Y71" s="881"/>
      <c r="Z71" s="881"/>
      <c r="AA71" s="881"/>
      <c r="AB71" s="881"/>
      <c r="AC71" s="879"/>
      <c r="AD71" s="951">
        <f t="shared" si="14"/>
        <v>942797.33375000011</v>
      </c>
      <c r="AE71" s="879"/>
    </row>
    <row r="72" spans="1:31">
      <c r="A72" s="879">
        <f t="shared" si="0"/>
        <v>58</v>
      </c>
      <c r="B72" s="893" t="s">
        <v>1850</v>
      </c>
      <c r="C72" s="893" t="s">
        <v>434</v>
      </c>
      <c r="D72" s="893"/>
      <c r="E72" s="894" t="s">
        <v>435</v>
      </c>
      <c r="F72" s="912">
        <v>0</v>
      </c>
      <c r="G72" s="912">
        <v>0</v>
      </c>
      <c r="H72" s="912">
        <v>0</v>
      </c>
      <c r="I72" s="912">
        <v>0</v>
      </c>
      <c r="J72" s="912">
        <v>0</v>
      </c>
      <c r="K72" s="912">
        <v>0</v>
      </c>
      <c r="L72" s="912">
        <v>0</v>
      </c>
      <c r="M72" s="912">
        <v>0</v>
      </c>
      <c r="N72" s="912">
        <v>0</v>
      </c>
      <c r="O72" s="912">
        <v>0</v>
      </c>
      <c r="P72" s="912">
        <v>0</v>
      </c>
      <c r="Q72" s="912">
        <v>0</v>
      </c>
      <c r="R72" s="912">
        <v>0</v>
      </c>
      <c r="S72" s="913">
        <f>((F72+R72)+((G72+H72+I72+J72+K72+L72+M72+N72+O72+P72+Q72)*2))/24</f>
        <v>0</v>
      </c>
      <c r="T72" s="879"/>
      <c r="U72" s="881">
        <f t="shared" si="13"/>
        <v>0</v>
      </c>
      <c r="V72" s="881"/>
      <c r="W72" s="881"/>
      <c r="X72" s="897"/>
      <c r="Y72" s="881"/>
      <c r="Z72" s="881"/>
      <c r="AA72" s="881"/>
      <c r="AB72" s="881"/>
      <c r="AC72" s="879"/>
      <c r="AD72" s="879"/>
      <c r="AE72" s="879"/>
    </row>
    <row r="73" spans="1:31">
      <c r="A73" s="879">
        <f t="shared" si="0"/>
        <v>59</v>
      </c>
      <c r="B73" s="879"/>
      <c r="C73" s="879"/>
      <c r="D73" s="879"/>
      <c r="E73" s="918" t="s">
        <v>436</v>
      </c>
      <c r="F73" s="895">
        <f>SUM(F61:F72)</f>
        <v>19127857.079999998</v>
      </c>
      <c r="G73" s="895">
        <f t="shared" ref="G73:S73" si="16">SUM(G61:G72)</f>
        <v>28202167.100000001</v>
      </c>
      <c r="H73" s="895">
        <f t="shared" si="16"/>
        <v>22218425.059999999</v>
      </c>
      <c r="I73" s="895">
        <f t="shared" si="16"/>
        <v>21603398.390000001</v>
      </c>
      <c r="J73" s="895">
        <f t="shared" si="16"/>
        <v>17562501.830000002</v>
      </c>
      <c r="K73" s="895">
        <f t="shared" si="16"/>
        <v>14063246.619999999</v>
      </c>
      <c r="L73" s="895">
        <f t="shared" si="16"/>
        <v>10642698.440000001</v>
      </c>
      <c r="M73" s="895">
        <f t="shared" si="16"/>
        <v>9183615.8499999996</v>
      </c>
      <c r="N73" s="895">
        <f t="shared" si="16"/>
        <v>7905499.7000000011</v>
      </c>
      <c r="O73" s="895">
        <f t="shared" si="16"/>
        <v>8338032.8299999991</v>
      </c>
      <c r="P73" s="895">
        <f t="shared" si="16"/>
        <v>9267425.0899999999</v>
      </c>
      <c r="Q73" s="895">
        <f t="shared" si="16"/>
        <v>10073871.970000001</v>
      </c>
      <c r="R73" s="895">
        <f t="shared" si="16"/>
        <v>20174825.199999999</v>
      </c>
      <c r="S73" s="896">
        <f t="shared" si="16"/>
        <v>14892685.335000001</v>
      </c>
      <c r="T73" s="879"/>
      <c r="U73" s="881"/>
      <c r="V73" s="881"/>
      <c r="W73" s="881"/>
      <c r="X73" s="897"/>
      <c r="Y73" s="881"/>
      <c r="Z73" s="881"/>
      <c r="AA73" s="881"/>
      <c r="AB73" s="881"/>
      <c r="AC73" s="879"/>
      <c r="AD73" s="879"/>
      <c r="AE73" s="879"/>
    </row>
    <row r="74" spans="1:31">
      <c r="A74" s="879">
        <f t="shared" si="0"/>
        <v>60</v>
      </c>
      <c r="B74" s="879"/>
      <c r="C74" s="879"/>
      <c r="D74" s="879"/>
      <c r="E74" s="918" t="s">
        <v>109</v>
      </c>
      <c r="F74" s="895"/>
      <c r="G74" s="941"/>
      <c r="H74" s="942"/>
      <c r="I74" s="942"/>
      <c r="J74" s="943"/>
      <c r="K74" s="944"/>
      <c r="L74" s="945"/>
      <c r="M74" s="946"/>
      <c r="N74" s="947"/>
      <c r="O74" s="948"/>
      <c r="P74" s="949"/>
      <c r="Q74" s="950"/>
      <c r="R74" s="895"/>
      <c r="S74" s="896"/>
      <c r="T74" s="879"/>
      <c r="U74" s="881"/>
      <c r="V74" s="881"/>
      <c r="W74" s="881"/>
      <c r="X74" s="897"/>
      <c r="Y74" s="881"/>
      <c r="Z74" s="881"/>
      <c r="AA74" s="881"/>
      <c r="AB74" s="881"/>
      <c r="AC74" s="879"/>
      <c r="AD74" s="879"/>
      <c r="AE74" s="879"/>
    </row>
    <row r="75" spans="1:31">
      <c r="A75" s="879">
        <f t="shared" si="0"/>
        <v>61</v>
      </c>
      <c r="B75" s="893" t="s">
        <v>1850</v>
      </c>
      <c r="C75" s="893" t="s">
        <v>437</v>
      </c>
      <c r="D75" s="893" t="s">
        <v>422</v>
      </c>
      <c r="E75" s="918" t="s">
        <v>438</v>
      </c>
      <c r="F75" s="895">
        <v>0</v>
      </c>
      <c r="G75" s="895">
        <v>0</v>
      </c>
      <c r="H75" s="895">
        <v>0</v>
      </c>
      <c r="I75" s="895">
        <v>0</v>
      </c>
      <c r="J75" s="895">
        <v>0</v>
      </c>
      <c r="K75" s="895">
        <v>0</v>
      </c>
      <c r="L75" s="895">
        <v>0</v>
      </c>
      <c r="M75" s="895">
        <v>0</v>
      </c>
      <c r="N75" s="895">
        <v>0</v>
      </c>
      <c r="O75" s="895">
        <v>0</v>
      </c>
      <c r="P75" s="895">
        <v>0</v>
      </c>
      <c r="Q75" s="895">
        <v>0</v>
      </c>
      <c r="R75" s="895">
        <v>0</v>
      </c>
      <c r="S75" s="896">
        <f>((F75+R75)+((G75+H75+I75+J75+K75+L75+M75+N75+O75+P75+Q75)*2))/24</f>
        <v>0</v>
      </c>
      <c r="T75" s="879"/>
      <c r="U75" s="881">
        <f t="shared" ref="U75:U76" si="17">+S75</f>
        <v>0</v>
      </c>
      <c r="V75" s="881"/>
      <c r="W75" s="881"/>
      <c r="X75" s="897"/>
      <c r="Y75" s="881"/>
      <c r="Z75" s="881"/>
      <c r="AA75" s="881"/>
      <c r="AB75" s="881"/>
      <c r="AC75" s="879"/>
      <c r="AD75" s="879"/>
      <c r="AE75" s="879"/>
    </row>
    <row r="76" spans="1:31">
      <c r="A76" s="879">
        <f t="shared" si="0"/>
        <v>62</v>
      </c>
      <c r="B76" s="893" t="s">
        <v>1850</v>
      </c>
      <c r="C76" s="893" t="s">
        <v>437</v>
      </c>
      <c r="D76" s="893" t="s">
        <v>439</v>
      </c>
      <c r="E76" s="918" t="s">
        <v>440</v>
      </c>
      <c r="F76" s="895">
        <v>0</v>
      </c>
      <c r="G76" s="895">
        <v>0</v>
      </c>
      <c r="H76" s="895">
        <v>0</v>
      </c>
      <c r="I76" s="895">
        <v>0</v>
      </c>
      <c r="J76" s="895">
        <v>0</v>
      </c>
      <c r="K76" s="895">
        <v>0</v>
      </c>
      <c r="L76" s="895">
        <v>0</v>
      </c>
      <c r="M76" s="895">
        <v>0</v>
      </c>
      <c r="N76" s="895">
        <v>0</v>
      </c>
      <c r="O76" s="895">
        <v>0</v>
      </c>
      <c r="P76" s="895">
        <v>0</v>
      </c>
      <c r="Q76" s="895">
        <v>0</v>
      </c>
      <c r="R76" s="895">
        <v>0</v>
      </c>
      <c r="S76" s="896">
        <f>((F76+R76)+((G76+H76+I76+J76+K76+L76+M76+N76+O76+P76+Q76)*2))/24</f>
        <v>0</v>
      </c>
      <c r="T76" s="879"/>
      <c r="U76" s="881">
        <f t="shared" si="17"/>
        <v>0</v>
      </c>
      <c r="V76" s="881"/>
      <c r="W76" s="881"/>
      <c r="X76" s="897"/>
      <c r="Y76" s="881"/>
      <c r="Z76" s="881"/>
      <c r="AA76" s="881"/>
      <c r="AB76" s="881"/>
      <c r="AC76" s="879"/>
      <c r="AD76" s="879"/>
      <c r="AE76" s="879"/>
    </row>
    <row r="77" spans="1:31">
      <c r="A77" s="879">
        <f t="shared" si="0"/>
        <v>63</v>
      </c>
      <c r="B77" s="879"/>
      <c r="C77" s="879"/>
      <c r="D77" s="879"/>
      <c r="E77" s="918"/>
      <c r="F77" s="895"/>
      <c r="G77" s="941"/>
      <c r="H77" s="942"/>
      <c r="I77" s="942"/>
      <c r="J77" s="943"/>
      <c r="K77" s="944"/>
      <c r="L77" s="945"/>
      <c r="M77" s="946"/>
      <c r="N77" s="947"/>
      <c r="O77" s="948"/>
      <c r="P77" s="949"/>
      <c r="Q77" s="950"/>
      <c r="R77" s="895"/>
      <c r="S77" s="896"/>
      <c r="T77" s="879"/>
      <c r="U77" s="881"/>
      <c r="V77" s="881"/>
      <c r="W77" s="881"/>
      <c r="X77" s="897"/>
      <c r="Y77" s="881"/>
      <c r="Z77" s="881"/>
      <c r="AA77" s="881"/>
      <c r="AB77" s="881"/>
      <c r="AC77" s="879"/>
      <c r="AD77" s="879"/>
      <c r="AE77" s="879"/>
    </row>
    <row r="78" spans="1:31">
      <c r="A78" s="879">
        <f t="shared" si="0"/>
        <v>64</v>
      </c>
      <c r="B78" s="893" t="s">
        <v>1850</v>
      </c>
      <c r="C78" s="893" t="s">
        <v>441</v>
      </c>
      <c r="D78" s="893" t="s">
        <v>933</v>
      </c>
      <c r="E78" s="918" t="s">
        <v>442</v>
      </c>
      <c r="F78" s="895">
        <v>0</v>
      </c>
      <c r="G78" s="895">
        <v>0</v>
      </c>
      <c r="H78" s="895">
        <v>0</v>
      </c>
      <c r="I78" s="895">
        <v>0</v>
      </c>
      <c r="J78" s="895">
        <v>0</v>
      </c>
      <c r="K78" s="895">
        <v>0</v>
      </c>
      <c r="L78" s="895">
        <v>0</v>
      </c>
      <c r="M78" s="895">
        <v>0</v>
      </c>
      <c r="N78" s="895">
        <v>0</v>
      </c>
      <c r="O78" s="895">
        <v>0</v>
      </c>
      <c r="P78" s="895">
        <v>0</v>
      </c>
      <c r="Q78" s="895">
        <v>0</v>
      </c>
      <c r="R78" s="895">
        <v>0</v>
      </c>
      <c r="S78" s="896">
        <f t="shared" ref="S78:S87" si="18">((F78+R78)+((G78+H78+I78+J78+K78+L78+M78+N78+O78+P78+Q78)*2))/24</f>
        <v>0</v>
      </c>
      <c r="T78" s="879"/>
      <c r="U78" s="881"/>
      <c r="V78" s="881"/>
      <c r="W78" s="881"/>
      <c r="X78" s="897"/>
      <c r="Y78" s="881"/>
      <c r="Z78" s="881"/>
      <c r="AA78" s="881"/>
      <c r="AB78" s="881"/>
      <c r="AC78" s="879"/>
      <c r="AD78" s="879"/>
      <c r="AE78" s="879"/>
    </row>
    <row r="79" spans="1:31">
      <c r="A79" s="879">
        <f t="shared" si="0"/>
        <v>65</v>
      </c>
      <c r="B79" s="893" t="s">
        <v>1850</v>
      </c>
      <c r="C79" s="893" t="s">
        <v>441</v>
      </c>
      <c r="D79" s="893" t="s">
        <v>443</v>
      </c>
      <c r="E79" s="918" t="s">
        <v>442</v>
      </c>
      <c r="F79" s="895">
        <v>48558.859999999899</v>
      </c>
      <c r="G79" s="895">
        <v>26116.28</v>
      </c>
      <c r="H79" s="895">
        <v>12988.44</v>
      </c>
      <c r="I79" s="895">
        <v>26792.01</v>
      </c>
      <c r="J79" s="895">
        <v>10961.37</v>
      </c>
      <c r="K79" s="895">
        <v>10764.13</v>
      </c>
      <c r="L79" s="895">
        <v>16249.32</v>
      </c>
      <c r="M79" s="895">
        <v>9995.92</v>
      </c>
      <c r="N79" s="895">
        <v>11586.68</v>
      </c>
      <c r="O79" s="895">
        <v>15190.69</v>
      </c>
      <c r="P79" s="895">
        <v>14691.3</v>
      </c>
      <c r="Q79" s="895">
        <v>25150.6</v>
      </c>
      <c r="R79" s="895">
        <v>10479.629999999999</v>
      </c>
      <c r="S79" s="896">
        <f t="shared" si="18"/>
        <v>17500.498749999995</v>
      </c>
      <c r="T79" s="879"/>
      <c r="U79" s="881"/>
      <c r="V79" s="881"/>
      <c r="W79" s="881"/>
      <c r="X79" s="897">
        <f>+S79</f>
        <v>17500.498749999995</v>
      </c>
      <c r="Y79" s="881"/>
      <c r="Z79" s="881"/>
      <c r="AA79" s="881"/>
      <c r="AB79" s="881">
        <f t="shared" ref="AB79:AB87" si="19">+S79</f>
        <v>17500.498749999995</v>
      </c>
      <c r="AC79" s="879"/>
      <c r="AD79" s="879"/>
      <c r="AE79" s="879"/>
    </row>
    <row r="80" spans="1:31">
      <c r="A80" s="879">
        <f t="shared" si="0"/>
        <v>66</v>
      </c>
      <c r="B80" s="893" t="s">
        <v>1850</v>
      </c>
      <c r="C80" s="893" t="s">
        <v>441</v>
      </c>
      <c r="D80" s="893" t="s">
        <v>444</v>
      </c>
      <c r="E80" s="918" t="s">
        <v>445</v>
      </c>
      <c r="F80" s="895">
        <v>0</v>
      </c>
      <c r="G80" s="895">
        <v>0</v>
      </c>
      <c r="H80" s="895">
        <v>0</v>
      </c>
      <c r="I80" s="895">
        <v>0</v>
      </c>
      <c r="J80" s="895">
        <v>0</v>
      </c>
      <c r="K80" s="895">
        <v>0</v>
      </c>
      <c r="L80" s="895">
        <v>0</v>
      </c>
      <c r="M80" s="895">
        <v>0</v>
      </c>
      <c r="N80" s="895">
        <v>0</v>
      </c>
      <c r="O80" s="895">
        <v>0</v>
      </c>
      <c r="P80" s="895">
        <v>0</v>
      </c>
      <c r="Q80" s="895">
        <v>0</v>
      </c>
      <c r="R80" s="895">
        <v>0</v>
      </c>
      <c r="S80" s="896">
        <f t="shared" si="18"/>
        <v>0</v>
      </c>
      <c r="T80" s="879"/>
      <c r="U80" s="881"/>
      <c r="V80" s="881"/>
      <c r="W80" s="881"/>
      <c r="X80" s="897">
        <f t="shared" ref="X80:X87" si="20">+S80</f>
        <v>0</v>
      </c>
      <c r="Y80" s="881"/>
      <c r="Z80" s="881"/>
      <c r="AA80" s="881"/>
      <c r="AB80" s="881">
        <f t="shared" si="19"/>
        <v>0</v>
      </c>
      <c r="AC80" s="879"/>
      <c r="AD80" s="879"/>
      <c r="AE80" s="879"/>
    </row>
    <row r="81" spans="1:31">
      <c r="A81" s="879">
        <f t="shared" ref="A81:A144" si="21">+A80+1</f>
        <v>67</v>
      </c>
      <c r="B81" s="893" t="s">
        <v>1850</v>
      </c>
      <c r="C81" s="893" t="s">
        <v>441</v>
      </c>
      <c r="D81" s="893" t="s">
        <v>446</v>
      </c>
      <c r="E81" s="918" t="s">
        <v>447</v>
      </c>
      <c r="F81" s="895">
        <v>0</v>
      </c>
      <c r="G81" s="895">
        <v>0</v>
      </c>
      <c r="H81" s="895">
        <v>0</v>
      </c>
      <c r="I81" s="895">
        <v>0</v>
      </c>
      <c r="J81" s="895">
        <v>0</v>
      </c>
      <c r="K81" s="895">
        <v>0</v>
      </c>
      <c r="L81" s="895">
        <v>0</v>
      </c>
      <c r="M81" s="895">
        <v>0</v>
      </c>
      <c r="N81" s="895">
        <v>0</v>
      </c>
      <c r="O81" s="961">
        <v>600</v>
      </c>
      <c r="P81" s="961">
        <v>600</v>
      </c>
      <c r="Q81" s="961">
        <v>600</v>
      </c>
      <c r="R81" s="895">
        <v>0</v>
      </c>
      <c r="S81" s="896">
        <f t="shared" si="18"/>
        <v>150</v>
      </c>
      <c r="T81" s="879"/>
      <c r="U81" s="881"/>
      <c r="V81" s="881"/>
      <c r="W81" s="881"/>
      <c r="X81" s="897">
        <f t="shared" si="20"/>
        <v>150</v>
      </c>
      <c r="Y81" s="881"/>
      <c r="Z81" s="881"/>
      <c r="AA81" s="881"/>
      <c r="AB81" s="881">
        <f t="shared" si="19"/>
        <v>150</v>
      </c>
      <c r="AC81" s="879"/>
      <c r="AD81" s="879"/>
      <c r="AE81" s="879"/>
    </row>
    <row r="82" spans="1:31">
      <c r="A82" s="879">
        <f t="shared" si="21"/>
        <v>68</v>
      </c>
      <c r="B82" s="893" t="s">
        <v>1850</v>
      </c>
      <c r="C82" s="893" t="s">
        <v>441</v>
      </c>
      <c r="D82" s="893" t="s">
        <v>448</v>
      </c>
      <c r="E82" s="918" t="s">
        <v>449</v>
      </c>
      <c r="F82" s="895">
        <v>0</v>
      </c>
      <c r="G82" s="895">
        <v>0</v>
      </c>
      <c r="H82" s="895">
        <v>0</v>
      </c>
      <c r="I82" s="895">
        <v>0</v>
      </c>
      <c r="J82" s="895">
        <v>0</v>
      </c>
      <c r="K82" s="895">
        <v>0</v>
      </c>
      <c r="L82" s="895">
        <v>0</v>
      </c>
      <c r="M82" s="895">
        <v>0</v>
      </c>
      <c r="N82" s="895">
        <v>0</v>
      </c>
      <c r="O82" s="895">
        <v>0</v>
      </c>
      <c r="P82" s="895">
        <v>0</v>
      </c>
      <c r="Q82" s="895">
        <v>0</v>
      </c>
      <c r="R82" s="895">
        <v>0</v>
      </c>
      <c r="S82" s="896">
        <f t="shared" si="18"/>
        <v>0</v>
      </c>
      <c r="T82" s="879"/>
      <c r="U82" s="881"/>
      <c r="V82" s="881"/>
      <c r="W82" s="881"/>
      <c r="X82" s="897">
        <f t="shared" si="20"/>
        <v>0</v>
      </c>
      <c r="Y82" s="881"/>
      <c r="Z82" s="881"/>
      <c r="AA82" s="881"/>
      <c r="AB82" s="881">
        <f t="shared" si="19"/>
        <v>0</v>
      </c>
      <c r="AC82" s="879"/>
      <c r="AD82" s="879"/>
      <c r="AE82" s="879"/>
    </row>
    <row r="83" spans="1:31">
      <c r="A83" s="879">
        <f t="shared" si="21"/>
        <v>69</v>
      </c>
      <c r="B83" s="893" t="s">
        <v>1850</v>
      </c>
      <c r="C83" s="893" t="s">
        <v>441</v>
      </c>
      <c r="D83" s="893" t="s">
        <v>450</v>
      </c>
      <c r="E83" s="918" t="s">
        <v>451</v>
      </c>
      <c r="F83" s="895">
        <v>0</v>
      </c>
      <c r="G83" s="895">
        <v>0</v>
      </c>
      <c r="H83" s="895">
        <v>0</v>
      </c>
      <c r="I83" s="895">
        <v>0</v>
      </c>
      <c r="J83" s="895">
        <v>0</v>
      </c>
      <c r="K83" s="895">
        <v>0</v>
      </c>
      <c r="L83" s="895">
        <v>0</v>
      </c>
      <c r="M83" s="895">
        <v>0</v>
      </c>
      <c r="N83" s="895">
        <v>0</v>
      </c>
      <c r="O83" s="895">
        <v>0</v>
      </c>
      <c r="P83" s="895">
        <v>0</v>
      </c>
      <c r="Q83" s="895">
        <v>0</v>
      </c>
      <c r="R83" s="895">
        <v>0</v>
      </c>
      <c r="S83" s="896">
        <f t="shared" si="18"/>
        <v>0</v>
      </c>
      <c r="T83" s="879"/>
      <c r="U83" s="881"/>
      <c r="V83" s="881"/>
      <c r="W83" s="881"/>
      <c r="X83" s="897">
        <f t="shared" si="20"/>
        <v>0</v>
      </c>
      <c r="Y83" s="881"/>
      <c r="Z83" s="881"/>
      <c r="AA83" s="881"/>
      <c r="AB83" s="881">
        <f t="shared" si="19"/>
        <v>0</v>
      </c>
      <c r="AC83" s="879"/>
      <c r="AD83" s="879"/>
      <c r="AE83" s="879"/>
    </row>
    <row r="84" spans="1:31">
      <c r="A84" s="879">
        <f t="shared" si="21"/>
        <v>70</v>
      </c>
      <c r="B84" s="893" t="s">
        <v>1850</v>
      </c>
      <c r="C84" s="893" t="s">
        <v>441</v>
      </c>
      <c r="D84" s="893" t="s">
        <v>452</v>
      </c>
      <c r="E84" s="918" t="s">
        <v>453</v>
      </c>
      <c r="F84" s="895">
        <v>0</v>
      </c>
      <c r="G84" s="895">
        <v>0</v>
      </c>
      <c r="H84" s="895">
        <v>0</v>
      </c>
      <c r="I84" s="895">
        <v>0</v>
      </c>
      <c r="J84" s="895">
        <v>0</v>
      </c>
      <c r="K84" s="895">
        <v>0</v>
      </c>
      <c r="L84" s="895">
        <v>0</v>
      </c>
      <c r="M84" s="895">
        <v>0</v>
      </c>
      <c r="N84" s="895">
        <v>0</v>
      </c>
      <c r="O84" s="895">
        <v>0</v>
      </c>
      <c r="P84" s="895">
        <v>0</v>
      </c>
      <c r="Q84" s="895">
        <v>0</v>
      </c>
      <c r="R84" s="895">
        <v>0</v>
      </c>
      <c r="S84" s="896">
        <f t="shared" si="18"/>
        <v>0</v>
      </c>
      <c r="T84" s="879"/>
      <c r="U84" s="881"/>
      <c r="V84" s="881"/>
      <c r="W84" s="881"/>
      <c r="X84" s="897">
        <f t="shared" si="20"/>
        <v>0</v>
      </c>
      <c r="Y84" s="881"/>
      <c r="Z84" s="881"/>
      <c r="AA84" s="881"/>
      <c r="AB84" s="881">
        <f t="shared" si="19"/>
        <v>0</v>
      </c>
      <c r="AC84" s="879"/>
      <c r="AD84" s="879"/>
      <c r="AE84" s="879"/>
    </row>
    <row r="85" spans="1:31">
      <c r="A85" s="879">
        <f t="shared" si="21"/>
        <v>71</v>
      </c>
      <c r="B85" s="893" t="s">
        <v>1850</v>
      </c>
      <c r="C85" s="893" t="s">
        <v>441</v>
      </c>
      <c r="D85" s="893" t="s">
        <v>454</v>
      </c>
      <c r="E85" s="918" t="s">
        <v>455</v>
      </c>
      <c r="F85" s="895">
        <v>69846.27</v>
      </c>
      <c r="G85" s="895">
        <v>58503.92</v>
      </c>
      <c r="H85" s="895">
        <v>34092.58</v>
      </c>
      <c r="I85" s="895">
        <v>47951.48</v>
      </c>
      <c r="J85" s="895">
        <v>31934.7</v>
      </c>
      <c r="K85" s="895">
        <v>39550.07</v>
      </c>
      <c r="L85" s="895">
        <v>35566.370000000003</v>
      </c>
      <c r="M85" s="895">
        <v>64992.26</v>
      </c>
      <c r="N85" s="895">
        <v>38492.42</v>
      </c>
      <c r="O85" s="895">
        <v>34139.53</v>
      </c>
      <c r="P85" s="895">
        <v>64402.559999999998</v>
      </c>
      <c r="Q85" s="895">
        <v>39382.44</v>
      </c>
      <c r="R85" s="895">
        <v>34047.85</v>
      </c>
      <c r="S85" s="896">
        <f t="shared" si="18"/>
        <v>45079.615833333322</v>
      </c>
      <c r="T85" s="879"/>
      <c r="U85" s="881"/>
      <c r="V85" s="881"/>
      <c r="W85" s="881"/>
      <c r="X85" s="897">
        <f t="shared" si="20"/>
        <v>45079.615833333322</v>
      </c>
      <c r="Y85" s="881"/>
      <c r="Z85" s="881"/>
      <c r="AA85" s="881"/>
      <c r="AB85" s="881">
        <f t="shared" si="19"/>
        <v>45079.615833333322</v>
      </c>
      <c r="AC85" s="879"/>
      <c r="AD85" s="879"/>
      <c r="AE85" s="879"/>
    </row>
    <row r="86" spans="1:31">
      <c r="A86" s="879">
        <f t="shared" si="21"/>
        <v>72</v>
      </c>
      <c r="B86" s="893" t="s">
        <v>1850</v>
      </c>
      <c r="C86" s="893" t="s">
        <v>441</v>
      </c>
      <c r="D86" s="893" t="s">
        <v>456</v>
      </c>
      <c r="E86" s="918" t="s">
        <v>457</v>
      </c>
      <c r="F86" s="895">
        <v>0</v>
      </c>
      <c r="G86" s="895">
        <v>0</v>
      </c>
      <c r="H86" s="895">
        <v>0</v>
      </c>
      <c r="I86" s="895">
        <v>0</v>
      </c>
      <c r="J86" s="895">
        <v>0</v>
      </c>
      <c r="K86" s="895">
        <v>0</v>
      </c>
      <c r="L86" s="895">
        <v>0</v>
      </c>
      <c r="M86" s="895">
        <v>0</v>
      </c>
      <c r="N86" s="895">
        <v>0</v>
      </c>
      <c r="O86" s="895">
        <v>0</v>
      </c>
      <c r="P86" s="895">
        <v>0</v>
      </c>
      <c r="Q86" s="895">
        <v>0</v>
      </c>
      <c r="R86" s="895">
        <v>0</v>
      </c>
      <c r="S86" s="896">
        <f t="shared" si="18"/>
        <v>0</v>
      </c>
      <c r="T86" s="879"/>
      <c r="U86" s="881"/>
      <c r="V86" s="881"/>
      <c r="W86" s="881"/>
      <c r="X86" s="897">
        <f t="shared" si="20"/>
        <v>0</v>
      </c>
      <c r="Y86" s="881"/>
      <c r="Z86" s="881"/>
      <c r="AA86" s="881"/>
      <c r="AB86" s="881">
        <f t="shared" si="19"/>
        <v>0</v>
      </c>
      <c r="AC86" s="879"/>
      <c r="AD86" s="879"/>
      <c r="AE86" s="879"/>
    </row>
    <row r="87" spans="1:31">
      <c r="A87" s="879">
        <f t="shared" si="21"/>
        <v>73</v>
      </c>
      <c r="B87" s="893" t="s">
        <v>1850</v>
      </c>
      <c r="C87" s="893" t="s">
        <v>441</v>
      </c>
      <c r="D87" s="893" t="s">
        <v>458</v>
      </c>
      <c r="E87" s="918" t="s">
        <v>459</v>
      </c>
      <c r="F87" s="912">
        <v>0</v>
      </c>
      <c r="G87" s="912">
        <v>0</v>
      </c>
      <c r="H87" s="912">
        <v>0</v>
      </c>
      <c r="I87" s="912">
        <v>0</v>
      </c>
      <c r="J87" s="912">
        <v>0</v>
      </c>
      <c r="K87" s="912">
        <v>0</v>
      </c>
      <c r="L87" s="912">
        <v>0</v>
      </c>
      <c r="M87" s="912">
        <v>0</v>
      </c>
      <c r="N87" s="912">
        <v>0</v>
      </c>
      <c r="O87" s="912">
        <v>0</v>
      </c>
      <c r="P87" s="912">
        <v>0</v>
      </c>
      <c r="Q87" s="912">
        <v>15532.52</v>
      </c>
      <c r="R87" s="912">
        <v>15532.52</v>
      </c>
      <c r="S87" s="896">
        <f t="shared" si="18"/>
        <v>1941.5649999999998</v>
      </c>
      <c r="T87" s="879"/>
      <c r="U87" s="881"/>
      <c r="V87" s="881"/>
      <c r="W87" s="881"/>
      <c r="X87" s="897">
        <f t="shared" si="20"/>
        <v>1941.5649999999998</v>
      </c>
      <c r="Y87" s="881"/>
      <c r="Z87" s="881"/>
      <c r="AA87" s="881"/>
      <c r="AB87" s="881">
        <f t="shared" si="19"/>
        <v>1941.5649999999998</v>
      </c>
      <c r="AC87" s="879"/>
      <c r="AD87" s="879"/>
      <c r="AE87" s="879"/>
    </row>
    <row r="88" spans="1:31">
      <c r="A88" s="879">
        <f t="shared" si="21"/>
        <v>74</v>
      </c>
      <c r="B88" s="879"/>
      <c r="C88" s="879"/>
      <c r="D88" s="879"/>
      <c r="E88" s="918" t="s">
        <v>460</v>
      </c>
      <c r="F88" s="898">
        <f>SUM(F75:F87)</f>
        <v>118405.1299999999</v>
      </c>
      <c r="G88" s="898">
        <f t="shared" ref="G88:S88" si="22">SUM(G75:G87)</f>
        <v>84620.2</v>
      </c>
      <c r="H88" s="898">
        <f t="shared" si="22"/>
        <v>47081.020000000004</v>
      </c>
      <c r="I88" s="898">
        <f t="shared" si="22"/>
        <v>74743.490000000005</v>
      </c>
      <c r="J88" s="898">
        <f t="shared" si="22"/>
        <v>42896.07</v>
      </c>
      <c r="K88" s="898">
        <f t="shared" si="22"/>
        <v>50314.2</v>
      </c>
      <c r="L88" s="898">
        <f t="shared" si="22"/>
        <v>51815.69</v>
      </c>
      <c r="M88" s="898">
        <f t="shared" si="22"/>
        <v>74988.180000000008</v>
      </c>
      <c r="N88" s="898">
        <f t="shared" si="22"/>
        <v>50079.1</v>
      </c>
      <c r="O88" s="898">
        <f t="shared" si="22"/>
        <v>49930.22</v>
      </c>
      <c r="P88" s="898">
        <f t="shared" si="22"/>
        <v>79693.86</v>
      </c>
      <c r="Q88" s="898">
        <f t="shared" si="22"/>
        <v>80665.56</v>
      </c>
      <c r="R88" s="898">
        <f t="shared" si="22"/>
        <v>60060</v>
      </c>
      <c r="S88" s="899">
        <f t="shared" si="22"/>
        <v>64671.679583333316</v>
      </c>
      <c r="T88" s="879"/>
      <c r="U88" s="881"/>
      <c r="V88" s="881"/>
      <c r="W88" s="881"/>
      <c r="X88" s="897"/>
      <c r="Y88" s="881"/>
      <c r="Z88" s="881"/>
      <c r="AA88" s="881"/>
      <c r="AB88" s="881"/>
      <c r="AC88" s="879"/>
      <c r="AD88" s="879"/>
      <c r="AE88" s="879"/>
    </row>
    <row r="89" spans="1:31">
      <c r="A89" s="879">
        <f t="shared" si="21"/>
        <v>75</v>
      </c>
      <c r="B89" s="879"/>
      <c r="C89" s="879"/>
      <c r="D89" s="879"/>
      <c r="E89" s="918"/>
      <c r="F89" s="895"/>
      <c r="G89" s="941"/>
      <c r="H89" s="942"/>
      <c r="I89" s="942"/>
      <c r="J89" s="943"/>
      <c r="K89" s="944"/>
      <c r="L89" s="945"/>
      <c r="M89" s="946"/>
      <c r="N89" s="947"/>
      <c r="O89" s="962"/>
      <c r="P89" s="949"/>
      <c r="Q89" s="950"/>
      <c r="R89" s="895"/>
      <c r="S89" s="896"/>
      <c r="T89" s="879"/>
      <c r="U89" s="881"/>
      <c r="V89" s="881"/>
      <c r="W89" s="881"/>
      <c r="X89" s="897"/>
      <c r="Y89" s="881"/>
      <c r="Z89" s="881"/>
      <c r="AA89" s="881"/>
      <c r="AB89" s="881"/>
      <c r="AC89" s="879"/>
      <c r="AD89" s="879"/>
      <c r="AE89" s="879"/>
    </row>
    <row r="90" spans="1:31">
      <c r="A90" s="879">
        <f t="shared" si="21"/>
        <v>76</v>
      </c>
      <c r="B90" s="893" t="s">
        <v>1850</v>
      </c>
      <c r="C90" s="893" t="s">
        <v>461</v>
      </c>
      <c r="D90" s="879"/>
      <c r="E90" s="918" t="s">
        <v>462</v>
      </c>
      <c r="F90" s="895">
        <v>0</v>
      </c>
      <c r="G90" s="895">
        <v>0</v>
      </c>
      <c r="H90" s="895">
        <v>0</v>
      </c>
      <c r="I90" s="895">
        <v>0</v>
      </c>
      <c r="J90" s="895">
        <v>0</v>
      </c>
      <c r="K90" s="895">
        <v>0</v>
      </c>
      <c r="L90" s="895">
        <v>0</v>
      </c>
      <c r="M90" s="895">
        <v>0</v>
      </c>
      <c r="N90" s="895">
        <v>0</v>
      </c>
      <c r="O90" s="895">
        <v>0</v>
      </c>
      <c r="P90" s="895">
        <v>0</v>
      </c>
      <c r="Q90" s="895">
        <v>0</v>
      </c>
      <c r="R90" s="895">
        <v>0</v>
      </c>
      <c r="S90" s="896">
        <f>((F90+R90)+((G90+H90+I90+J90+K90+L90+M90+N90+O90+P90+Q90)*2))/24</f>
        <v>0</v>
      </c>
      <c r="T90" s="879"/>
      <c r="U90" s="881"/>
      <c r="V90" s="881"/>
      <c r="W90" s="881"/>
      <c r="X90" s="897"/>
      <c r="Y90" s="881"/>
      <c r="Z90" s="881"/>
      <c r="AA90" s="881"/>
      <c r="AB90" s="881"/>
      <c r="AC90" s="879"/>
      <c r="AD90" s="879"/>
      <c r="AE90" s="879"/>
    </row>
    <row r="91" spans="1:31">
      <c r="A91" s="879">
        <f t="shared" si="21"/>
        <v>77</v>
      </c>
      <c r="B91" s="879"/>
      <c r="C91" s="879"/>
      <c r="D91" s="879"/>
      <c r="E91" s="918"/>
      <c r="F91" s="895"/>
      <c r="G91" s="941"/>
      <c r="H91" s="942"/>
      <c r="I91" s="942"/>
      <c r="J91" s="943"/>
      <c r="K91" s="944"/>
      <c r="L91" s="945"/>
      <c r="M91" s="946"/>
      <c r="N91" s="947"/>
      <c r="O91" s="948"/>
      <c r="P91" s="949"/>
      <c r="Q91" s="950"/>
      <c r="R91" s="895"/>
      <c r="S91" s="896"/>
      <c r="T91" s="879"/>
      <c r="U91" s="881"/>
      <c r="V91" s="881"/>
      <c r="W91" s="881"/>
      <c r="X91" s="897"/>
      <c r="Y91" s="881"/>
      <c r="Z91" s="881"/>
      <c r="AA91" s="881"/>
      <c r="AB91" s="881"/>
      <c r="AC91" s="879"/>
      <c r="AD91" s="879"/>
      <c r="AE91" s="879"/>
    </row>
    <row r="92" spans="1:31">
      <c r="A92" s="879">
        <f t="shared" si="21"/>
        <v>78</v>
      </c>
      <c r="B92" s="879"/>
      <c r="C92" s="879"/>
      <c r="D92" s="879"/>
      <c r="E92" s="918" t="s">
        <v>463</v>
      </c>
      <c r="F92" s="895">
        <f>+F90+F88+F73</f>
        <v>19246262.209999997</v>
      </c>
      <c r="G92" s="895">
        <f t="shared" ref="G92:S92" si="23">+G90+G88+G73</f>
        <v>28286787.300000001</v>
      </c>
      <c r="H92" s="895">
        <f t="shared" si="23"/>
        <v>22265506.079999998</v>
      </c>
      <c r="I92" s="895">
        <f t="shared" si="23"/>
        <v>21678141.879999999</v>
      </c>
      <c r="J92" s="895">
        <f t="shared" si="23"/>
        <v>17605397.900000002</v>
      </c>
      <c r="K92" s="895">
        <f t="shared" si="23"/>
        <v>14113560.819999998</v>
      </c>
      <c r="L92" s="895">
        <f t="shared" si="23"/>
        <v>10694514.130000001</v>
      </c>
      <c r="M92" s="895">
        <f t="shared" si="23"/>
        <v>9258604.0299999993</v>
      </c>
      <c r="N92" s="895">
        <f t="shared" si="23"/>
        <v>7955578.8000000007</v>
      </c>
      <c r="O92" s="895">
        <f t="shared" si="23"/>
        <v>8387963.0499999989</v>
      </c>
      <c r="P92" s="895">
        <f t="shared" si="23"/>
        <v>9347118.9499999993</v>
      </c>
      <c r="Q92" s="895">
        <f t="shared" si="23"/>
        <v>10154537.530000001</v>
      </c>
      <c r="R92" s="895">
        <f t="shared" si="23"/>
        <v>20234885.199999999</v>
      </c>
      <c r="S92" s="896">
        <f t="shared" si="23"/>
        <v>14957357.014583334</v>
      </c>
      <c r="T92" s="879"/>
      <c r="U92" s="881"/>
      <c r="V92" s="881"/>
      <c r="W92" s="881"/>
      <c r="X92" s="897"/>
      <c r="Y92" s="881"/>
      <c r="Z92" s="881"/>
      <c r="AA92" s="881"/>
      <c r="AB92" s="881"/>
      <c r="AC92" s="879"/>
      <c r="AD92" s="879"/>
      <c r="AE92" s="879"/>
    </row>
    <row r="93" spans="1:31">
      <c r="A93" s="879">
        <f t="shared" si="21"/>
        <v>79</v>
      </c>
      <c r="B93" s="879"/>
      <c r="C93" s="879"/>
      <c r="D93" s="879"/>
      <c r="E93" s="918"/>
      <c r="F93" s="895"/>
      <c r="G93" s="941"/>
      <c r="H93" s="942"/>
      <c r="I93" s="942"/>
      <c r="J93" s="943"/>
      <c r="K93" s="944"/>
      <c r="L93" s="945"/>
      <c r="M93" s="946"/>
      <c r="N93" s="947"/>
      <c r="O93" s="948"/>
      <c r="P93" s="949"/>
      <c r="Q93" s="950"/>
      <c r="R93" s="895"/>
      <c r="S93" s="896">
        <f>((F93+R93)+((G93+H93+I93+J93+K93+L93+M93+N93+O93+P93+Q93)*2))/24</f>
        <v>0</v>
      </c>
      <c r="T93" s="879"/>
      <c r="U93" s="881"/>
      <c r="V93" s="881"/>
      <c r="W93" s="881"/>
      <c r="X93" s="897"/>
      <c r="Y93" s="881"/>
      <c r="Z93" s="881"/>
      <c r="AA93" s="881"/>
      <c r="AB93" s="881"/>
      <c r="AC93" s="879"/>
      <c r="AD93" s="879"/>
      <c r="AE93" s="879"/>
    </row>
    <row r="94" spans="1:31">
      <c r="A94" s="879">
        <f t="shared" si="21"/>
        <v>80</v>
      </c>
      <c r="B94" s="893" t="s">
        <v>1886</v>
      </c>
      <c r="C94" s="893" t="s">
        <v>464</v>
      </c>
      <c r="D94" s="893" t="s">
        <v>933</v>
      </c>
      <c r="E94" s="894" t="s">
        <v>465</v>
      </c>
      <c r="F94" s="895">
        <v>-91260.54</v>
      </c>
      <c r="G94" s="895">
        <v>-93770.76</v>
      </c>
      <c r="H94" s="895">
        <v>-93770.76</v>
      </c>
      <c r="I94" s="895">
        <v>-93770.76</v>
      </c>
      <c r="J94" s="895">
        <v>-93770.76</v>
      </c>
      <c r="K94" s="895">
        <v>-93770.76</v>
      </c>
      <c r="L94" s="895">
        <v>-93770.76</v>
      </c>
      <c r="M94" s="895">
        <v>-93770.76</v>
      </c>
      <c r="N94" s="895">
        <v>-93770.76</v>
      </c>
      <c r="O94" s="895">
        <v>-93770.76</v>
      </c>
      <c r="P94" s="895">
        <v>-93770.76</v>
      </c>
      <c r="Q94" s="895">
        <v>-93770.76</v>
      </c>
      <c r="R94" s="895">
        <v>-93770.76</v>
      </c>
      <c r="S94" s="896">
        <f>((F94+R94)+((G94+H94+I94+J94+K94+L94+M94+N94+O94+P94+Q94)*2))/24</f>
        <v>-93666.167499999996</v>
      </c>
      <c r="T94" s="879"/>
      <c r="U94" s="881">
        <f t="shared" ref="U94:U112" si="24">+S94</f>
        <v>-93666.167499999996</v>
      </c>
      <c r="V94" s="881"/>
      <c r="W94" s="881"/>
      <c r="X94" s="897"/>
      <c r="Y94" s="881"/>
      <c r="Z94" s="881"/>
      <c r="AA94" s="881"/>
      <c r="AB94" s="881"/>
      <c r="AC94" s="879"/>
      <c r="AD94" s="951">
        <f t="shared" ref="AD94:AD112" si="25">+U94</f>
        <v>-93666.167499999996</v>
      </c>
      <c r="AE94" s="879"/>
    </row>
    <row r="95" spans="1:31">
      <c r="A95" s="879">
        <f t="shared" si="21"/>
        <v>81</v>
      </c>
      <c r="B95" s="893" t="s">
        <v>1853</v>
      </c>
      <c r="C95" s="893" t="s">
        <v>464</v>
      </c>
      <c r="D95" s="893" t="s">
        <v>933</v>
      </c>
      <c r="E95" s="894" t="s">
        <v>465</v>
      </c>
      <c r="F95" s="895">
        <v>-326764.93</v>
      </c>
      <c r="G95" s="895">
        <v>-307668.37</v>
      </c>
      <c r="H95" s="895">
        <v>-307668.37</v>
      </c>
      <c r="I95" s="895">
        <v>-307668.37</v>
      </c>
      <c r="J95" s="895">
        <v>-307668.37</v>
      </c>
      <c r="K95" s="895">
        <v>-307668.37</v>
      </c>
      <c r="L95" s="895">
        <v>-307668.37</v>
      </c>
      <c r="M95" s="895">
        <v>-307668.37</v>
      </c>
      <c r="N95" s="895">
        <v>-307668.37</v>
      </c>
      <c r="O95" s="895">
        <v>-307668.37</v>
      </c>
      <c r="P95" s="895">
        <v>-307668.37</v>
      </c>
      <c r="Q95" s="895">
        <v>-307668.37</v>
      </c>
      <c r="R95" s="895">
        <v>-307668.37</v>
      </c>
      <c r="S95" s="896">
        <f t="shared" ref="S95:S107" si="26">((F95+R95)+((G95+H95+I95+J95+K95+L95+M95+N95+O95+P95+Q95)*2))/24</f>
        <v>-308464.06000000006</v>
      </c>
      <c r="T95" s="879"/>
      <c r="U95" s="881">
        <f t="shared" si="24"/>
        <v>-308464.06000000006</v>
      </c>
      <c r="V95" s="881"/>
      <c r="W95" s="881"/>
      <c r="X95" s="897"/>
      <c r="Y95" s="881"/>
      <c r="Z95" s="881"/>
      <c r="AA95" s="881"/>
      <c r="AB95" s="881"/>
      <c r="AC95" s="879"/>
      <c r="AD95" s="951">
        <f t="shared" si="25"/>
        <v>-308464.06000000006</v>
      </c>
      <c r="AE95" s="879"/>
    </row>
    <row r="96" spans="1:31">
      <c r="A96" s="879">
        <f t="shared" si="21"/>
        <v>82</v>
      </c>
      <c r="B96" s="893" t="s">
        <v>1886</v>
      </c>
      <c r="C96" s="893" t="s">
        <v>464</v>
      </c>
      <c r="D96" s="893" t="s">
        <v>2119</v>
      </c>
      <c r="E96" s="894" t="s">
        <v>465</v>
      </c>
      <c r="F96" s="895">
        <v>295381.08</v>
      </c>
      <c r="G96" s="895">
        <v>10972.94</v>
      </c>
      <c r="H96" s="895">
        <v>22069.15</v>
      </c>
      <c r="I96" s="895">
        <v>30571.62</v>
      </c>
      <c r="J96" s="895">
        <v>43036.08</v>
      </c>
      <c r="K96" s="895">
        <v>62573.84</v>
      </c>
      <c r="L96" s="895">
        <v>98404.52</v>
      </c>
      <c r="M96" s="895">
        <v>150214.04999999999</v>
      </c>
      <c r="N96" s="895">
        <v>199929.63</v>
      </c>
      <c r="O96" s="895">
        <v>234132.29</v>
      </c>
      <c r="P96" s="895">
        <v>267698.32</v>
      </c>
      <c r="Q96" s="895">
        <v>290816</v>
      </c>
      <c r="R96" s="895">
        <v>307017.14</v>
      </c>
      <c r="S96" s="896">
        <f t="shared" si="26"/>
        <v>142634.79583333337</v>
      </c>
      <c r="T96" s="879"/>
      <c r="U96" s="881">
        <f t="shared" si="24"/>
        <v>142634.79583333337</v>
      </c>
      <c r="V96" s="881"/>
      <c r="W96" s="881"/>
      <c r="X96" s="897"/>
      <c r="Y96" s="881"/>
      <c r="Z96" s="881"/>
      <c r="AA96" s="881"/>
      <c r="AB96" s="881"/>
      <c r="AC96" s="879"/>
      <c r="AD96" s="951">
        <f t="shared" si="25"/>
        <v>142634.79583333337</v>
      </c>
      <c r="AE96" s="879"/>
    </row>
    <row r="97" spans="1:31">
      <c r="A97" s="879">
        <f t="shared" si="21"/>
        <v>83</v>
      </c>
      <c r="B97" s="893" t="s">
        <v>1853</v>
      </c>
      <c r="C97" s="893" t="s">
        <v>464</v>
      </c>
      <c r="D97" s="893" t="s">
        <v>2119</v>
      </c>
      <c r="E97" s="894" t="s">
        <v>465</v>
      </c>
      <c r="F97" s="895">
        <v>1124772.79</v>
      </c>
      <c r="G97" s="895">
        <v>63436.590000000098</v>
      </c>
      <c r="H97" s="895">
        <v>111390.1</v>
      </c>
      <c r="I97" s="895">
        <v>197480.97</v>
      </c>
      <c r="J97" s="895">
        <v>246982.54</v>
      </c>
      <c r="K97" s="895">
        <v>293040.34000000003</v>
      </c>
      <c r="L97" s="895">
        <v>398667.74</v>
      </c>
      <c r="M97" s="895">
        <v>569516.18000000005</v>
      </c>
      <c r="N97" s="895">
        <v>719650.05</v>
      </c>
      <c r="O97" s="895">
        <v>873977.07</v>
      </c>
      <c r="P97" s="895">
        <v>969568.43</v>
      </c>
      <c r="Q97" s="895">
        <v>1004542.36</v>
      </c>
      <c r="R97" s="895">
        <v>1144601</v>
      </c>
      <c r="S97" s="896">
        <f t="shared" si="26"/>
        <v>548578.27208333334</v>
      </c>
      <c r="T97" s="879"/>
      <c r="U97" s="881">
        <f t="shared" si="24"/>
        <v>548578.27208333334</v>
      </c>
      <c r="V97" s="881"/>
      <c r="W97" s="881"/>
      <c r="X97" s="897"/>
      <c r="Y97" s="881"/>
      <c r="Z97" s="881"/>
      <c r="AA97" s="881"/>
      <c r="AB97" s="881"/>
      <c r="AC97" s="879"/>
      <c r="AD97" s="951">
        <f t="shared" si="25"/>
        <v>548578.27208333334</v>
      </c>
      <c r="AE97" s="879"/>
    </row>
    <row r="98" spans="1:31">
      <c r="A98" s="879">
        <f t="shared" si="21"/>
        <v>84</v>
      </c>
      <c r="B98" s="893" t="s">
        <v>1886</v>
      </c>
      <c r="C98" s="893" t="s">
        <v>464</v>
      </c>
      <c r="D98" s="893" t="s">
        <v>1858</v>
      </c>
      <c r="E98" s="894" t="s">
        <v>465</v>
      </c>
      <c r="F98" s="895">
        <v>-126157.51</v>
      </c>
      <c r="G98" s="895">
        <v>-7302.1599999999899</v>
      </c>
      <c r="H98" s="895">
        <v>-14516.36</v>
      </c>
      <c r="I98" s="895">
        <v>-25826.09</v>
      </c>
      <c r="J98" s="895">
        <v>-34568.589999999997</v>
      </c>
      <c r="K98" s="895">
        <v>-42056.39</v>
      </c>
      <c r="L98" s="895">
        <v>-48177.19</v>
      </c>
      <c r="M98" s="895">
        <v>-54153.98</v>
      </c>
      <c r="N98" s="895">
        <v>-62207.9</v>
      </c>
      <c r="O98" s="895">
        <v>-73178.77</v>
      </c>
      <c r="P98" s="895">
        <v>-82221.17</v>
      </c>
      <c r="Q98" s="895">
        <v>-96959.77</v>
      </c>
      <c r="R98" s="895">
        <v>-109961.57</v>
      </c>
      <c r="S98" s="896">
        <f t="shared" si="26"/>
        <v>-54935.659166666672</v>
      </c>
      <c r="T98" s="879"/>
      <c r="U98" s="881">
        <f t="shared" si="24"/>
        <v>-54935.659166666672</v>
      </c>
      <c r="V98" s="881"/>
      <c r="W98" s="881"/>
      <c r="X98" s="897"/>
      <c r="Y98" s="881"/>
      <c r="Z98" s="881"/>
      <c r="AA98" s="881"/>
      <c r="AB98" s="881"/>
      <c r="AC98" s="879"/>
      <c r="AD98" s="951">
        <f t="shared" si="25"/>
        <v>-54935.659166666672</v>
      </c>
      <c r="AE98" s="879"/>
    </row>
    <row r="99" spans="1:31">
      <c r="A99" s="879">
        <f t="shared" si="21"/>
        <v>85</v>
      </c>
      <c r="B99" s="893" t="s">
        <v>1853</v>
      </c>
      <c r="C99" s="893" t="s">
        <v>464</v>
      </c>
      <c r="D99" s="893" t="s">
        <v>1858</v>
      </c>
      <c r="E99" s="894" t="s">
        <v>465</v>
      </c>
      <c r="F99" s="895">
        <v>-430893.57</v>
      </c>
      <c r="G99" s="895">
        <v>-22928.75</v>
      </c>
      <c r="H99" s="895">
        <v>-71250.53</v>
      </c>
      <c r="I99" s="895">
        <v>-104336.79</v>
      </c>
      <c r="J99" s="895">
        <v>-133805.70000000001</v>
      </c>
      <c r="K99" s="895">
        <v>-160611.91</v>
      </c>
      <c r="L99" s="895">
        <v>-185663.53</v>
      </c>
      <c r="M99" s="895">
        <v>-210172.11</v>
      </c>
      <c r="N99" s="895">
        <v>-247473.84</v>
      </c>
      <c r="O99" s="895">
        <v>-280589.86</v>
      </c>
      <c r="P99" s="895">
        <v>-329868.65000000002</v>
      </c>
      <c r="Q99" s="895">
        <v>-360161.4</v>
      </c>
      <c r="R99" s="895">
        <v>-390143.46</v>
      </c>
      <c r="S99" s="896">
        <f t="shared" si="26"/>
        <v>-209781.79874999999</v>
      </c>
      <c r="T99" s="879"/>
      <c r="U99" s="881">
        <f t="shared" si="24"/>
        <v>-209781.79874999999</v>
      </c>
      <c r="V99" s="881"/>
      <c r="W99" s="881"/>
      <c r="X99" s="897"/>
      <c r="Y99" s="881"/>
      <c r="Z99" s="881"/>
      <c r="AA99" s="881"/>
      <c r="AB99" s="881"/>
      <c r="AC99" s="879"/>
      <c r="AD99" s="951">
        <f t="shared" si="25"/>
        <v>-209781.79874999999</v>
      </c>
      <c r="AE99" s="879"/>
    </row>
    <row r="100" spans="1:31">
      <c r="A100" s="879">
        <f t="shared" si="21"/>
        <v>86</v>
      </c>
      <c r="B100" s="893" t="s">
        <v>1886</v>
      </c>
      <c r="C100" s="893" t="s">
        <v>464</v>
      </c>
      <c r="D100" s="893" t="s">
        <v>2120</v>
      </c>
      <c r="E100" s="894" t="s">
        <v>465</v>
      </c>
      <c r="F100" s="895">
        <v>-171733.79</v>
      </c>
      <c r="G100" s="895">
        <v>-49314.54</v>
      </c>
      <c r="H100" s="895">
        <v>-67541.55</v>
      </c>
      <c r="I100" s="895">
        <v>-48026.34</v>
      </c>
      <c r="J100" s="895">
        <v>-43702.5</v>
      </c>
      <c r="K100" s="895">
        <v>-50125.55</v>
      </c>
      <c r="L100" s="895">
        <v>-57155.82</v>
      </c>
      <c r="M100" s="895">
        <v>-86376.84</v>
      </c>
      <c r="N100" s="895">
        <v>-113920.59</v>
      </c>
      <c r="O100" s="895">
        <v>-126764.88</v>
      </c>
      <c r="P100" s="895">
        <v>-148484.51999999999</v>
      </c>
      <c r="Q100" s="895">
        <v>-157688.19</v>
      </c>
      <c r="R100" s="895">
        <v>-198133.19</v>
      </c>
      <c r="S100" s="896">
        <f t="shared" si="26"/>
        <v>-94502.900833333333</v>
      </c>
      <c r="T100" s="879"/>
      <c r="U100" s="881">
        <f t="shared" si="24"/>
        <v>-94502.900833333333</v>
      </c>
      <c r="V100" s="881"/>
      <c r="W100" s="881"/>
      <c r="X100" s="897"/>
      <c r="Y100" s="881"/>
      <c r="Z100" s="881"/>
      <c r="AA100" s="881"/>
      <c r="AB100" s="881"/>
      <c r="AC100" s="879"/>
      <c r="AD100" s="951">
        <f t="shared" si="25"/>
        <v>-94502.900833333333</v>
      </c>
      <c r="AE100" s="879"/>
    </row>
    <row r="101" spans="1:31">
      <c r="A101" s="879">
        <f t="shared" si="21"/>
        <v>87</v>
      </c>
      <c r="B101" s="893" t="s">
        <v>1853</v>
      </c>
      <c r="C101" s="893" t="s">
        <v>464</v>
      </c>
      <c r="D101" s="893" t="s">
        <v>2120</v>
      </c>
      <c r="E101" s="894" t="s">
        <v>465</v>
      </c>
      <c r="F101" s="895">
        <v>-674782.66</v>
      </c>
      <c r="G101" s="895">
        <v>-218236.12</v>
      </c>
      <c r="H101" s="895">
        <v>-243823.66</v>
      </c>
      <c r="I101" s="895">
        <v>-260791.13</v>
      </c>
      <c r="J101" s="895">
        <v>-235527.89</v>
      </c>
      <c r="K101" s="895">
        <v>-232812.24</v>
      </c>
      <c r="L101" s="895">
        <v>-235224.44</v>
      </c>
      <c r="M101" s="895">
        <v>-330284.74</v>
      </c>
      <c r="N101" s="895">
        <v>-386766.87</v>
      </c>
      <c r="O101" s="895">
        <v>-474693.33</v>
      </c>
      <c r="P101" s="895">
        <v>-517585.66</v>
      </c>
      <c r="Q101" s="895">
        <v>-544276.41</v>
      </c>
      <c r="R101" s="895">
        <v>-764078.27</v>
      </c>
      <c r="S101" s="896">
        <f t="shared" si="26"/>
        <v>-366621.07958333334</v>
      </c>
      <c r="T101" s="879"/>
      <c r="U101" s="881">
        <f t="shared" si="24"/>
        <v>-366621.07958333334</v>
      </c>
      <c r="V101" s="881"/>
      <c r="W101" s="881"/>
      <c r="X101" s="897"/>
      <c r="Y101" s="881"/>
      <c r="Z101" s="881"/>
      <c r="AA101" s="881"/>
      <c r="AB101" s="881"/>
      <c r="AC101" s="879"/>
      <c r="AD101" s="951">
        <f t="shared" si="25"/>
        <v>-366621.07958333334</v>
      </c>
      <c r="AE101" s="879"/>
    </row>
    <row r="102" spans="1:31">
      <c r="A102" s="879">
        <f t="shared" si="21"/>
        <v>88</v>
      </c>
      <c r="B102" s="893" t="s">
        <v>1886</v>
      </c>
      <c r="C102" s="893" t="s">
        <v>466</v>
      </c>
      <c r="D102" s="893" t="s">
        <v>933</v>
      </c>
      <c r="E102" s="894" t="s">
        <v>467</v>
      </c>
      <c r="F102" s="895">
        <v>-14580</v>
      </c>
      <c r="G102" s="895">
        <v>-9708</v>
      </c>
      <c r="H102" s="895">
        <v>-9708</v>
      </c>
      <c r="I102" s="895">
        <v>-9708</v>
      </c>
      <c r="J102" s="895">
        <v>-9708</v>
      </c>
      <c r="K102" s="895">
        <v>-9708</v>
      </c>
      <c r="L102" s="895">
        <v>-9708</v>
      </c>
      <c r="M102" s="895">
        <v>-9708</v>
      </c>
      <c r="N102" s="895">
        <v>-9708</v>
      </c>
      <c r="O102" s="895">
        <v>-9708</v>
      </c>
      <c r="P102" s="895">
        <v>-9708</v>
      </c>
      <c r="Q102" s="895">
        <v>-9708</v>
      </c>
      <c r="R102" s="895">
        <v>-9708</v>
      </c>
      <c r="S102" s="896">
        <f t="shared" si="26"/>
        <v>-9911</v>
      </c>
      <c r="T102" s="879"/>
      <c r="U102" s="881">
        <f t="shared" si="24"/>
        <v>-9911</v>
      </c>
      <c r="V102" s="881"/>
      <c r="W102" s="881"/>
      <c r="X102" s="897"/>
      <c r="Y102" s="881"/>
      <c r="Z102" s="881"/>
      <c r="AA102" s="881"/>
      <c r="AB102" s="881"/>
      <c r="AC102" s="879"/>
      <c r="AD102" s="951">
        <f t="shared" si="25"/>
        <v>-9911</v>
      </c>
      <c r="AE102" s="879"/>
    </row>
    <row r="103" spans="1:31">
      <c r="A103" s="879">
        <f t="shared" si="21"/>
        <v>89</v>
      </c>
      <c r="B103" s="893" t="s">
        <v>1853</v>
      </c>
      <c r="C103" s="893" t="s">
        <v>466</v>
      </c>
      <c r="D103" s="893" t="s">
        <v>933</v>
      </c>
      <c r="E103" s="894" t="s">
        <v>467</v>
      </c>
      <c r="F103" s="895">
        <v>-45420</v>
      </c>
      <c r="G103" s="895">
        <v>-30292</v>
      </c>
      <c r="H103" s="895">
        <v>-30292</v>
      </c>
      <c r="I103" s="895">
        <v>-30292</v>
      </c>
      <c r="J103" s="895">
        <v>-30292</v>
      </c>
      <c r="K103" s="895">
        <v>-30292</v>
      </c>
      <c r="L103" s="895">
        <v>-30292</v>
      </c>
      <c r="M103" s="895">
        <v>-30292</v>
      </c>
      <c r="N103" s="895">
        <v>-30292</v>
      </c>
      <c r="O103" s="895">
        <v>-30292</v>
      </c>
      <c r="P103" s="895">
        <v>-30292</v>
      </c>
      <c r="Q103" s="895">
        <v>-30292</v>
      </c>
      <c r="R103" s="895">
        <v>-30292</v>
      </c>
      <c r="S103" s="896">
        <f t="shared" si="26"/>
        <v>-30922.333333333332</v>
      </c>
      <c r="T103" s="879"/>
      <c r="U103" s="881">
        <f t="shared" si="24"/>
        <v>-30922.333333333332</v>
      </c>
      <c r="V103" s="881"/>
      <c r="W103" s="881"/>
      <c r="X103" s="897"/>
      <c r="Y103" s="881"/>
      <c r="Z103" s="881"/>
      <c r="AA103" s="881"/>
      <c r="AB103" s="881"/>
      <c r="AC103" s="879"/>
      <c r="AD103" s="951">
        <f t="shared" si="25"/>
        <v>-30922.333333333332</v>
      </c>
      <c r="AE103" s="879"/>
    </row>
    <row r="104" spans="1:31">
      <c r="A104" s="879">
        <f t="shared" si="21"/>
        <v>90</v>
      </c>
      <c r="B104" s="893" t="s">
        <v>1886</v>
      </c>
      <c r="C104" s="893" t="s">
        <v>466</v>
      </c>
      <c r="D104" s="893" t="s">
        <v>2119</v>
      </c>
      <c r="E104" s="894" t="s">
        <v>467</v>
      </c>
      <c r="F104" s="895">
        <v>0</v>
      </c>
      <c r="G104" s="895">
        <v>0</v>
      </c>
      <c r="H104" s="895">
        <v>1217.49</v>
      </c>
      <c r="I104" s="895">
        <v>1217.49</v>
      </c>
      <c r="J104" s="895">
        <v>1217.49</v>
      </c>
      <c r="K104" s="895">
        <v>5266.92</v>
      </c>
      <c r="L104" s="895">
        <v>5266.92</v>
      </c>
      <c r="M104" s="895">
        <v>10397.61</v>
      </c>
      <c r="N104" s="895">
        <v>10397.61</v>
      </c>
      <c r="O104" s="895">
        <v>10397.61</v>
      </c>
      <c r="P104" s="895">
        <v>10397.61</v>
      </c>
      <c r="Q104" s="895">
        <v>10397.61</v>
      </c>
      <c r="R104" s="895">
        <v>10397.61</v>
      </c>
      <c r="S104" s="896">
        <f>((F104+R104)+((G104+H104+I104+J104+K104+L104+M104+N104+O104+P104+Q104)*2))/24</f>
        <v>5947.763750000001</v>
      </c>
      <c r="T104" s="879"/>
      <c r="U104" s="881">
        <f t="shared" si="24"/>
        <v>5947.763750000001</v>
      </c>
      <c r="V104" s="881"/>
      <c r="W104" s="881"/>
      <c r="X104" s="897"/>
      <c r="Y104" s="881"/>
      <c r="Z104" s="881"/>
      <c r="AA104" s="881"/>
      <c r="AB104" s="881"/>
      <c r="AC104" s="879"/>
      <c r="AD104" s="951">
        <f t="shared" si="25"/>
        <v>5947.763750000001</v>
      </c>
      <c r="AE104" s="879"/>
    </row>
    <row r="105" spans="1:31">
      <c r="A105" s="879">
        <f t="shared" si="21"/>
        <v>91</v>
      </c>
      <c r="B105" s="893" t="s">
        <v>1853</v>
      </c>
      <c r="C105" s="893" t="s">
        <v>466</v>
      </c>
      <c r="D105" s="893" t="s">
        <v>2119</v>
      </c>
      <c r="E105" s="894" t="s">
        <v>467</v>
      </c>
      <c r="F105" s="895">
        <v>1229.55</v>
      </c>
      <c r="G105" s="895">
        <v>0</v>
      </c>
      <c r="H105" s="895">
        <v>0</v>
      </c>
      <c r="I105" s="895">
        <v>12809.74</v>
      </c>
      <c r="J105" s="895">
        <v>12809.74</v>
      </c>
      <c r="K105" s="895">
        <v>12809.74</v>
      </c>
      <c r="L105" s="895">
        <v>14007.62</v>
      </c>
      <c r="M105" s="895">
        <v>14007.62</v>
      </c>
      <c r="N105" s="895">
        <v>14007.62</v>
      </c>
      <c r="O105" s="895">
        <v>14007.62</v>
      </c>
      <c r="P105" s="895">
        <v>14007.62</v>
      </c>
      <c r="Q105" s="895">
        <v>14007.62</v>
      </c>
      <c r="R105" s="895">
        <v>14007.62</v>
      </c>
      <c r="S105" s="896">
        <f t="shared" si="26"/>
        <v>10841.127083333333</v>
      </c>
      <c r="T105" s="879"/>
      <c r="U105" s="881">
        <f t="shared" si="24"/>
        <v>10841.127083333333</v>
      </c>
      <c r="V105" s="881"/>
      <c r="W105" s="881"/>
      <c r="X105" s="897"/>
      <c r="Y105" s="881"/>
      <c r="Z105" s="881"/>
      <c r="AA105" s="881"/>
      <c r="AB105" s="881"/>
      <c r="AC105" s="879"/>
      <c r="AD105" s="951">
        <f t="shared" si="25"/>
        <v>10841.127083333333</v>
      </c>
      <c r="AE105" s="879"/>
    </row>
    <row r="106" spans="1:31">
      <c r="A106" s="879">
        <f t="shared" si="21"/>
        <v>92</v>
      </c>
      <c r="B106" s="893" t="s">
        <v>1853</v>
      </c>
      <c r="C106" s="893" t="s">
        <v>466</v>
      </c>
      <c r="D106" s="893" t="s">
        <v>1858</v>
      </c>
      <c r="E106" s="894" t="s">
        <v>467</v>
      </c>
      <c r="F106" s="895">
        <v>-1170.1099999999999</v>
      </c>
      <c r="G106" s="895">
        <v>0</v>
      </c>
      <c r="H106" s="895">
        <v>0</v>
      </c>
      <c r="I106" s="895">
        <v>-12809.74</v>
      </c>
      <c r="J106" s="895">
        <v>-12809.74</v>
      </c>
      <c r="K106" s="895">
        <v>-12809.74</v>
      </c>
      <c r="L106" s="895">
        <v>-12809.74</v>
      </c>
      <c r="M106" s="895">
        <v>-12809.74</v>
      </c>
      <c r="N106" s="895">
        <v>-12809.74</v>
      </c>
      <c r="O106" s="895">
        <v>-12809.74</v>
      </c>
      <c r="P106" s="895">
        <v>-12809.74</v>
      </c>
      <c r="Q106" s="895">
        <v>-12809.74</v>
      </c>
      <c r="R106" s="895">
        <v>-12809.74</v>
      </c>
      <c r="S106" s="896">
        <f t="shared" si="26"/>
        <v>-10189.798750000002</v>
      </c>
      <c r="T106" s="879"/>
      <c r="U106" s="881">
        <f t="shared" si="24"/>
        <v>-10189.798750000002</v>
      </c>
      <c r="V106" s="881"/>
      <c r="W106" s="881"/>
      <c r="X106" s="897"/>
      <c r="Y106" s="881"/>
      <c r="Z106" s="881"/>
      <c r="AA106" s="881"/>
      <c r="AB106" s="881"/>
      <c r="AC106" s="879"/>
      <c r="AD106" s="951">
        <f t="shared" si="25"/>
        <v>-10189.798750000002</v>
      </c>
      <c r="AE106" s="879"/>
    </row>
    <row r="107" spans="1:31">
      <c r="A107" s="879">
        <f t="shared" si="21"/>
        <v>93</v>
      </c>
      <c r="B107" s="893" t="s">
        <v>1886</v>
      </c>
      <c r="C107" s="893" t="s">
        <v>466</v>
      </c>
      <c r="D107" s="893" t="s">
        <v>2120</v>
      </c>
      <c r="E107" s="894" t="s">
        <v>467</v>
      </c>
      <c r="F107" s="895">
        <v>4872</v>
      </c>
      <c r="G107" s="895">
        <v>0</v>
      </c>
      <c r="H107" s="895">
        <v>0</v>
      </c>
      <c r="I107" s="895">
        <v>0</v>
      </c>
      <c r="J107" s="895">
        <v>0</v>
      </c>
      <c r="K107" s="895">
        <v>0</v>
      </c>
      <c r="L107" s="895">
        <v>0</v>
      </c>
      <c r="M107" s="895">
        <v>0</v>
      </c>
      <c r="N107" s="895">
        <v>0</v>
      </c>
      <c r="O107" s="895">
        <v>0</v>
      </c>
      <c r="P107" s="895">
        <v>0</v>
      </c>
      <c r="Q107" s="895">
        <v>0</v>
      </c>
      <c r="R107" s="895">
        <v>-10581.61</v>
      </c>
      <c r="S107" s="896">
        <f t="shared" si="26"/>
        <v>-237.9004166666667</v>
      </c>
      <c r="T107" s="879"/>
      <c r="U107" s="881">
        <f t="shared" si="24"/>
        <v>-237.9004166666667</v>
      </c>
      <c r="V107" s="881"/>
      <c r="W107" s="881"/>
      <c r="X107" s="897"/>
      <c r="Y107" s="881"/>
      <c r="Z107" s="881"/>
      <c r="AA107" s="881"/>
      <c r="AB107" s="881"/>
      <c r="AC107" s="879"/>
      <c r="AD107" s="951">
        <f t="shared" si="25"/>
        <v>-237.9004166666667</v>
      </c>
      <c r="AE107" s="879"/>
    </row>
    <row r="108" spans="1:31">
      <c r="A108" s="879">
        <f t="shared" si="21"/>
        <v>94</v>
      </c>
      <c r="B108" s="893" t="s">
        <v>1853</v>
      </c>
      <c r="C108" s="893" t="s">
        <v>466</v>
      </c>
      <c r="D108" s="893" t="s">
        <v>2120</v>
      </c>
      <c r="E108" s="894" t="s">
        <v>467</v>
      </c>
      <c r="F108" s="895">
        <v>15068.56</v>
      </c>
      <c r="G108" s="895">
        <v>0</v>
      </c>
      <c r="H108" s="895">
        <v>0</v>
      </c>
      <c r="I108" s="895">
        <v>0</v>
      </c>
      <c r="J108" s="895">
        <v>0</v>
      </c>
      <c r="K108" s="895">
        <v>0</v>
      </c>
      <c r="L108" s="895">
        <v>0</v>
      </c>
      <c r="M108" s="895">
        <v>0</v>
      </c>
      <c r="N108" s="895">
        <v>0</v>
      </c>
      <c r="O108" s="895">
        <v>0</v>
      </c>
      <c r="P108" s="895">
        <v>0</v>
      </c>
      <c r="Q108" s="895">
        <v>0</v>
      </c>
      <c r="R108" s="895">
        <v>-1013.88</v>
      </c>
      <c r="S108" s="896">
        <f>((F108+R108)+((G108+H108+I108+J108+K108+L108+M108+N108+O108+P108+Q108)*2))/24</f>
        <v>585.61166666666668</v>
      </c>
      <c r="T108" s="879"/>
      <c r="U108" s="881">
        <f t="shared" si="24"/>
        <v>585.61166666666668</v>
      </c>
      <c r="V108" s="881"/>
      <c r="W108" s="881"/>
      <c r="X108" s="897"/>
      <c r="Y108" s="881"/>
      <c r="Z108" s="881"/>
      <c r="AA108" s="881"/>
      <c r="AB108" s="881"/>
      <c r="AC108" s="879"/>
      <c r="AD108" s="951">
        <f t="shared" si="25"/>
        <v>585.61166666666668</v>
      </c>
      <c r="AE108" s="879"/>
    </row>
    <row r="109" spans="1:31">
      <c r="A109" s="879">
        <f t="shared" si="21"/>
        <v>95</v>
      </c>
      <c r="B109" s="893" t="s">
        <v>1850</v>
      </c>
      <c r="C109" s="893" t="s">
        <v>468</v>
      </c>
      <c r="D109" s="893" t="s">
        <v>933</v>
      </c>
      <c r="E109" s="894" t="s">
        <v>469</v>
      </c>
      <c r="F109" s="895">
        <v>-40900</v>
      </c>
      <c r="G109" s="895">
        <v>-20000</v>
      </c>
      <c r="H109" s="895">
        <v>-20000</v>
      </c>
      <c r="I109" s="895">
        <v>-20000</v>
      </c>
      <c r="J109" s="895">
        <v>-20000</v>
      </c>
      <c r="K109" s="895">
        <v>-20000</v>
      </c>
      <c r="L109" s="895">
        <v>-20000</v>
      </c>
      <c r="M109" s="895">
        <v>-20000</v>
      </c>
      <c r="N109" s="895">
        <v>-20000</v>
      </c>
      <c r="O109" s="895">
        <v>-20000</v>
      </c>
      <c r="P109" s="895">
        <v>-20000</v>
      </c>
      <c r="Q109" s="895">
        <v>-20000</v>
      </c>
      <c r="R109" s="895">
        <v>-20000</v>
      </c>
      <c r="S109" s="896">
        <f>((F109+R109)+((G109+H109+I109+J109+K109+L109+M109+N109+O109+P109+Q109)*2))/24</f>
        <v>-20870.833333333332</v>
      </c>
      <c r="T109" s="879"/>
      <c r="U109" s="881">
        <f t="shared" si="24"/>
        <v>-20870.833333333332</v>
      </c>
      <c r="V109" s="881"/>
      <c r="W109" s="881"/>
      <c r="X109" s="897"/>
      <c r="Y109" s="881"/>
      <c r="Z109" s="881"/>
      <c r="AA109" s="881"/>
      <c r="AB109" s="881"/>
      <c r="AC109" s="879"/>
      <c r="AD109" s="951">
        <f t="shared" si="25"/>
        <v>-20870.833333333332</v>
      </c>
      <c r="AE109" s="879"/>
    </row>
    <row r="110" spans="1:31">
      <c r="A110" s="879">
        <f t="shared" si="21"/>
        <v>96</v>
      </c>
      <c r="B110" s="893" t="s">
        <v>1850</v>
      </c>
      <c r="C110" s="893" t="s">
        <v>468</v>
      </c>
      <c r="D110" s="893" t="s">
        <v>2119</v>
      </c>
      <c r="E110" s="894" t="s">
        <v>469</v>
      </c>
      <c r="F110" s="895">
        <v>8516.8700000000008</v>
      </c>
      <c r="G110" s="895">
        <v>4981.47</v>
      </c>
      <c r="H110" s="895">
        <v>2697.1</v>
      </c>
      <c r="I110" s="895">
        <v>4106.1499999999996</v>
      </c>
      <c r="J110" s="895">
        <v>6661.32</v>
      </c>
      <c r="K110" s="895">
        <v>13344.52</v>
      </c>
      <c r="L110" s="895">
        <v>14481.26</v>
      </c>
      <c r="M110" s="895">
        <v>14838.54</v>
      </c>
      <c r="N110" s="895">
        <v>17911.96</v>
      </c>
      <c r="O110" s="895">
        <v>19113.240000000002</v>
      </c>
      <c r="P110" s="895">
        <v>19113.240000000002</v>
      </c>
      <c r="Q110" s="895">
        <v>19840.55</v>
      </c>
      <c r="R110" s="895">
        <v>19840.55</v>
      </c>
      <c r="S110" s="896">
        <f>((F110+R110)+((G110+H110+I110+J110+K110+L110+M110+N110+O110+P110+Q110)*2))/24</f>
        <v>12605.671666666667</v>
      </c>
      <c r="T110" s="879"/>
      <c r="U110" s="881">
        <f t="shared" si="24"/>
        <v>12605.671666666667</v>
      </c>
      <c r="V110" s="881"/>
      <c r="W110" s="881"/>
      <c r="X110" s="897"/>
      <c r="Y110" s="881"/>
      <c r="Z110" s="881"/>
      <c r="AA110" s="881"/>
      <c r="AB110" s="881"/>
      <c r="AC110" s="879"/>
      <c r="AD110" s="951">
        <f t="shared" si="25"/>
        <v>12605.671666666667</v>
      </c>
      <c r="AE110" s="879"/>
    </row>
    <row r="111" spans="1:31">
      <c r="A111" s="879">
        <f t="shared" si="21"/>
        <v>97</v>
      </c>
      <c r="B111" s="893" t="s">
        <v>1850</v>
      </c>
      <c r="C111" s="893" t="s">
        <v>468</v>
      </c>
      <c r="D111" s="893" t="s">
        <v>1858</v>
      </c>
      <c r="E111" s="894" t="s">
        <v>469</v>
      </c>
      <c r="F111" s="895">
        <v>-1919.94</v>
      </c>
      <c r="G111" s="895">
        <v>-640.99</v>
      </c>
      <c r="H111" s="895">
        <v>0</v>
      </c>
      <c r="I111" s="895">
        <v>0</v>
      </c>
      <c r="J111" s="895">
        <v>0</v>
      </c>
      <c r="K111" s="895">
        <v>0</v>
      </c>
      <c r="L111" s="895">
        <v>-122.73</v>
      </c>
      <c r="M111" s="895">
        <v>-452.73</v>
      </c>
      <c r="N111" s="895">
        <v>-452.73</v>
      </c>
      <c r="O111" s="895">
        <v>-452.73</v>
      </c>
      <c r="P111" s="895">
        <v>-452.73</v>
      </c>
      <c r="Q111" s="895">
        <v>-628.98</v>
      </c>
      <c r="R111" s="895">
        <v>-1615.4</v>
      </c>
      <c r="S111" s="896">
        <f>((F111+R111)+((G111+H111+I111+J111+K111+L111+M111+N111+O111+P111+Q111)*2))/24</f>
        <v>-414.27416666666664</v>
      </c>
      <c r="T111" s="879"/>
      <c r="U111" s="881">
        <f t="shared" si="24"/>
        <v>-414.27416666666664</v>
      </c>
      <c r="V111" s="881"/>
      <c r="W111" s="881"/>
      <c r="X111" s="897"/>
      <c r="Y111" s="881"/>
      <c r="Z111" s="881"/>
      <c r="AA111" s="881"/>
      <c r="AB111" s="881"/>
      <c r="AC111" s="879"/>
      <c r="AD111" s="951">
        <f t="shared" si="25"/>
        <v>-414.27416666666664</v>
      </c>
      <c r="AE111" s="879"/>
    </row>
    <row r="112" spans="1:31">
      <c r="A112" s="879">
        <f t="shared" si="21"/>
        <v>98</v>
      </c>
      <c r="B112" s="893" t="s">
        <v>1850</v>
      </c>
      <c r="C112" s="893" t="s">
        <v>468</v>
      </c>
      <c r="D112" s="893" t="s">
        <v>2120</v>
      </c>
      <c r="E112" s="894" t="s">
        <v>469</v>
      </c>
      <c r="F112" s="912">
        <v>14303.07</v>
      </c>
      <c r="G112" s="912">
        <v>0</v>
      </c>
      <c r="H112" s="912">
        <v>0</v>
      </c>
      <c r="I112" s="912">
        <v>0</v>
      </c>
      <c r="J112" s="912">
        <v>0</v>
      </c>
      <c r="K112" s="912">
        <v>0</v>
      </c>
      <c r="L112" s="912">
        <v>0</v>
      </c>
      <c r="M112" s="912">
        <v>0</v>
      </c>
      <c r="N112" s="912">
        <v>0</v>
      </c>
      <c r="O112" s="912">
        <v>0</v>
      </c>
      <c r="P112" s="912">
        <v>0</v>
      </c>
      <c r="Q112" s="912">
        <v>0</v>
      </c>
      <c r="R112" s="912">
        <v>-17238.73</v>
      </c>
      <c r="S112" s="913">
        <f>((F112+R112)+((G112+H112+I112+J112+K112+L112+M112+N112+O112+P112+Q112)*2))/24</f>
        <v>-122.31916666666666</v>
      </c>
      <c r="T112" s="879"/>
      <c r="U112" s="881">
        <f t="shared" si="24"/>
        <v>-122.31916666666666</v>
      </c>
      <c r="V112" s="881"/>
      <c r="W112" s="881"/>
      <c r="X112" s="897"/>
      <c r="Y112" s="881"/>
      <c r="Z112" s="881"/>
      <c r="AA112" s="881"/>
      <c r="AB112" s="881"/>
      <c r="AC112" s="879"/>
      <c r="AD112" s="951">
        <f t="shared" si="25"/>
        <v>-122.31916666666666</v>
      </c>
      <c r="AE112" s="879"/>
    </row>
    <row r="113" spans="1:31">
      <c r="A113" s="879">
        <f t="shared" si="21"/>
        <v>99</v>
      </c>
      <c r="B113" s="879"/>
      <c r="C113" s="879"/>
      <c r="D113" s="879"/>
      <c r="E113" s="918" t="s">
        <v>470</v>
      </c>
      <c r="F113" s="963">
        <f t="shared" ref="F113:S113" si="27">SUM(F94:F112)</f>
        <v>-461439.12999999989</v>
      </c>
      <c r="G113" s="963">
        <f t="shared" si="27"/>
        <v>-680470.69</v>
      </c>
      <c r="H113" s="963">
        <f t="shared" si="27"/>
        <v>-721197.39</v>
      </c>
      <c r="I113" s="963">
        <f t="shared" si="27"/>
        <v>-667043.25</v>
      </c>
      <c r="J113" s="963">
        <f t="shared" si="27"/>
        <v>-611146.38</v>
      </c>
      <c r="K113" s="963">
        <f t="shared" si="27"/>
        <v>-572819.6</v>
      </c>
      <c r="L113" s="963">
        <f t="shared" si="27"/>
        <v>-469764.51999999996</v>
      </c>
      <c r="M113" s="963">
        <f t="shared" si="27"/>
        <v>-396715.26999999996</v>
      </c>
      <c r="N113" s="963">
        <f t="shared" si="27"/>
        <v>-323173.92999999993</v>
      </c>
      <c r="O113" s="963">
        <f t="shared" si="27"/>
        <v>-278300.61000000004</v>
      </c>
      <c r="P113" s="963">
        <f t="shared" si="27"/>
        <v>-272076.37999999995</v>
      </c>
      <c r="Q113" s="963">
        <f t="shared" si="27"/>
        <v>-294359.4800000001</v>
      </c>
      <c r="R113" s="963">
        <f t="shared" si="27"/>
        <v>-471151.06000000006</v>
      </c>
      <c r="S113" s="964">
        <f t="shared" si="27"/>
        <v>-479446.88291666657</v>
      </c>
      <c r="T113" s="879"/>
      <c r="U113" s="881"/>
      <c r="V113" s="881"/>
      <c r="W113" s="881"/>
      <c r="X113" s="897"/>
      <c r="Y113" s="881"/>
      <c r="Z113" s="881"/>
      <c r="AA113" s="881"/>
      <c r="AB113" s="881"/>
      <c r="AC113" s="879"/>
      <c r="AD113" s="879"/>
      <c r="AE113" s="879"/>
    </row>
    <row r="114" spans="1:31">
      <c r="A114" s="879">
        <f t="shared" si="21"/>
        <v>100</v>
      </c>
      <c r="B114" s="879"/>
      <c r="C114" s="879"/>
      <c r="D114" s="879"/>
      <c r="E114" s="918"/>
      <c r="F114" s="900"/>
      <c r="G114" s="900"/>
      <c r="H114" s="900"/>
      <c r="I114" s="900"/>
      <c r="J114" s="900"/>
      <c r="K114" s="900"/>
      <c r="L114" s="900"/>
      <c r="M114" s="900"/>
      <c r="N114" s="900"/>
      <c r="O114" s="900"/>
      <c r="P114" s="900"/>
      <c r="Q114" s="900"/>
      <c r="R114" s="900"/>
      <c r="S114" s="896"/>
      <c r="T114" s="879"/>
      <c r="U114" s="881"/>
      <c r="V114" s="881"/>
      <c r="W114" s="881"/>
      <c r="X114" s="897"/>
      <c r="Y114" s="881"/>
      <c r="Z114" s="881"/>
      <c r="AA114" s="881"/>
      <c r="AB114" s="881"/>
      <c r="AC114" s="879"/>
      <c r="AD114" s="879"/>
      <c r="AE114" s="879"/>
    </row>
    <row r="115" spans="1:31">
      <c r="A115" s="879">
        <f t="shared" si="21"/>
        <v>101</v>
      </c>
      <c r="B115" s="879"/>
      <c r="C115" s="879"/>
      <c r="D115" s="879"/>
      <c r="E115" s="918" t="s">
        <v>471</v>
      </c>
      <c r="F115" s="898">
        <f t="shared" ref="F115:S115" si="28">+F92+F113</f>
        <v>18784823.079999998</v>
      </c>
      <c r="G115" s="898">
        <f t="shared" si="28"/>
        <v>27606316.609999999</v>
      </c>
      <c r="H115" s="898">
        <f t="shared" si="28"/>
        <v>21544308.689999998</v>
      </c>
      <c r="I115" s="898">
        <f t="shared" si="28"/>
        <v>21011098.629999999</v>
      </c>
      <c r="J115" s="898">
        <f t="shared" si="28"/>
        <v>16994251.520000003</v>
      </c>
      <c r="K115" s="898">
        <f t="shared" si="28"/>
        <v>13540741.219999999</v>
      </c>
      <c r="L115" s="898">
        <f t="shared" si="28"/>
        <v>10224749.610000001</v>
      </c>
      <c r="M115" s="898">
        <f t="shared" si="28"/>
        <v>8861888.7599999998</v>
      </c>
      <c r="N115" s="898">
        <f t="shared" si="28"/>
        <v>7632404.870000001</v>
      </c>
      <c r="O115" s="898">
        <f t="shared" si="28"/>
        <v>8109662.4399999985</v>
      </c>
      <c r="P115" s="898">
        <f t="shared" si="28"/>
        <v>9075042.5699999984</v>
      </c>
      <c r="Q115" s="898">
        <f t="shared" si="28"/>
        <v>9860178.0500000007</v>
      </c>
      <c r="R115" s="898">
        <f t="shared" si="28"/>
        <v>19763734.140000001</v>
      </c>
      <c r="S115" s="899">
        <f t="shared" si="28"/>
        <v>14477910.131666668</v>
      </c>
      <c r="T115" s="879"/>
      <c r="U115" s="881"/>
      <c r="V115" s="881"/>
      <c r="W115" s="881"/>
      <c r="X115" s="897"/>
      <c r="Y115" s="881"/>
      <c r="Z115" s="881"/>
      <c r="AA115" s="881"/>
      <c r="AB115" s="881"/>
      <c r="AC115" s="879"/>
      <c r="AD115" s="879"/>
      <c r="AE115" s="879"/>
    </row>
    <row r="116" spans="1:31">
      <c r="A116" s="879">
        <f t="shared" si="21"/>
        <v>102</v>
      </c>
      <c r="B116" s="879"/>
      <c r="C116" s="879"/>
      <c r="D116" s="879"/>
      <c r="E116" s="918"/>
      <c r="F116" s="895"/>
      <c r="G116" s="941"/>
      <c r="H116" s="942"/>
      <c r="I116" s="942"/>
      <c r="J116" s="943"/>
      <c r="K116" s="944"/>
      <c r="L116" s="945"/>
      <c r="M116" s="946"/>
      <c r="N116" s="947"/>
      <c r="O116" s="948"/>
      <c r="P116" s="949"/>
      <c r="Q116" s="950"/>
      <c r="R116" s="895"/>
      <c r="S116" s="896"/>
      <c r="T116" s="879"/>
      <c r="U116" s="881"/>
      <c r="V116" s="881"/>
      <c r="W116" s="881"/>
      <c r="X116" s="897"/>
      <c r="Y116" s="881"/>
      <c r="Z116" s="881"/>
      <c r="AA116" s="881"/>
      <c r="AB116" s="881"/>
      <c r="AC116" s="879"/>
      <c r="AD116" s="879"/>
      <c r="AE116" s="879"/>
    </row>
    <row r="117" spans="1:31">
      <c r="A117" s="879">
        <f t="shared" si="21"/>
        <v>103</v>
      </c>
      <c r="B117" s="893" t="s">
        <v>1850</v>
      </c>
      <c r="C117" s="893" t="s">
        <v>472</v>
      </c>
      <c r="D117" s="893" t="s">
        <v>756</v>
      </c>
      <c r="E117" s="894" t="s">
        <v>473</v>
      </c>
      <c r="F117" s="895">
        <v>3478355.86</v>
      </c>
      <c r="G117" s="895">
        <v>3300951.98</v>
      </c>
      <c r="H117" s="895">
        <v>3212520.69</v>
      </c>
      <c r="I117" s="895">
        <v>3338456.05</v>
      </c>
      <c r="J117" s="895">
        <v>3445300.56</v>
      </c>
      <c r="K117" s="895">
        <v>3453950.86</v>
      </c>
      <c r="L117" s="895">
        <v>3537060.15</v>
      </c>
      <c r="M117" s="895">
        <v>3531873.91</v>
      </c>
      <c r="N117" s="895">
        <v>3430088.57</v>
      </c>
      <c r="O117" s="895">
        <v>3694853.11</v>
      </c>
      <c r="P117" s="895">
        <v>3674570.25</v>
      </c>
      <c r="Q117" s="895">
        <v>3498606.38</v>
      </c>
      <c r="R117" s="895">
        <v>3285651.4</v>
      </c>
      <c r="S117" s="896">
        <f>((F117+R117)+((G117+H117+I117+J117+K117+L117+M117+N117+O117+P117+Q117)*2))/24</f>
        <v>3458353.0116666667</v>
      </c>
      <c r="T117" s="879"/>
      <c r="U117" s="881">
        <f t="shared" ref="U117:U142" si="29">+S117</f>
        <v>3458353.0116666667</v>
      </c>
      <c r="V117" s="881"/>
      <c r="W117" s="881"/>
      <c r="X117" s="897"/>
      <c r="Y117" s="881"/>
      <c r="Z117" s="881"/>
      <c r="AA117" s="881"/>
      <c r="AB117" s="881"/>
      <c r="AC117" s="879"/>
      <c r="AD117" s="951">
        <f t="shared" ref="AD117:AD142" si="30">+U117</f>
        <v>3458353.0116666667</v>
      </c>
      <c r="AE117" s="879"/>
    </row>
    <row r="118" spans="1:31">
      <c r="A118" s="879">
        <f t="shared" si="21"/>
        <v>104</v>
      </c>
      <c r="B118" s="893" t="s">
        <v>2121</v>
      </c>
      <c r="C118" s="893" t="s">
        <v>472</v>
      </c>
      <c r="D118" s="893" t="s">
        <v>756</v>
      </c>
      <c r="E118" s="894" t="s">
        <v>473</v>
      </c>
      <c r="F118" s="895">
        <v>157396.41</v>
      </c>
      <c r="G118" s="895">
        <v>163856.38</v>
      </c>
      <c r="H118" s="895">
        <v>172099.83</v>
      </c>
      <c r="I118" s="895">
        <v>169658.23</v>
      </c>
      <c r="J118" s="895">
        <v>168314.69</v>
      </c>
      <c r="K118" s="895">
        <v>168963.18</v>
      </c>
      <c r="L118" s="895">
        <v>171265.22</v>
      </c>
      <c r="M118" s="895">
        <v>179041.7</v>
      </c>
      <c r="N118" s="895">
        <v>183493.62</v>
      </c>
      <c r="O118" s="895">
        <v>304635.58</v>
      </c>
      <c r="P118" s="895">
        <v>270465.09000000003</v>
      </c>
      <c r="Q118" s="895">
        <v>332898.90999999997</v>
      </c>
      <c r="R118" s="895">
        <v>336210.17</v>
      </c>
      <c r="S118" s="896">
        <f t="shared" ref="S118:S142" si="31">((F118+R118)+((G118+H118+I118+J118+K118+L118+M118+N118+O118+P118+Q118)*2))/24</f>
        <v>210957.97666666665</v>
      </c>
      <c r="T118" s="879"/>
      <c r="U118" s="881">
        <f t="shared" si="29"/>
        <v>210957.97666666665</v>
      </c>
      <c r="V118" s="881"/>
      <c r="W118" s="881"/>
      <c r="X118" s="897"/>
      <c r="Y118" s="881"/>
      <c r="Z118" s="881"/>
      <c r="AA118" s="881"/>
      <c r="AB118" s="881"/>
      <c r="AC118" s="879"/>
      <c r="AD118" s="951">
        <f t="shared" si="30"/>
        <v>210957.97666666665</v>
      </c>
      <c r="AE118" s="879"/>
    </row>
    <row r="119" spans="1:31">
      <c r="A119" s="879">
        <f t="shared" si="21"/>
        <v>105</v>
      </c>
      <c r="B119" s="893" t="s">
        <v>2122</v>
      </c>
      <c r="C119" s="893" t="s">
        <v>472</v>
      </c>
      <c r="D119" s="893" t="s">
        <v>756</v>
      </c>
      <c r="E119" s="894" t="s">
        <v>473</v>
      </c>
      <c r="F119" s="895">
        <v>438022.8</v>
      </c>
      <c r="G119" s="895">
        <v>456791.49</v>
      </c>
      <c r="H119" s="895">
        <v>378982.97</v>
      </c>
      <c r="I119" s="895">
        <v>378661.01</v>
      </c>
      <c r="J119" s="895">
        <v>388091.78</v>
      </c>
      <c r="K119" s="895">
        <v>378501.32</v>
      </c>
      <c r="L119" s="895">
        <v>393785.8</v>
      </c>
      <c r="M119" s="895">
        <v>399161.12</v>
      </c>
      <c r="N119" s="895">
        <v>377874.86</v>
      </c>
      <c r="O119" s="895">
        <v>393906.69</v>
      </c>
      <c r="P119" s="895">
        <v>365096.68</v>
      </c>
      <c r="Q119" s="895">
        <v>398552.55</v>
      </c>
      <c r="R119" s="895">
        <v>378175.34</v>
      </c>
      <c r="S119" s="896">
        <f t="shared" si="31"/>
        <v>393125.44500000007</v>
      </c>
      <c r="T119" s="879"/>
      <c r="U119" s="881">
        <f t="shared" si="29"/>
        <v>393125.44500000007</v>
      </c>
      <c r="V119" s="881"/>
      <c r="W119" s="881"/>
      <c r="X119" s="897"/>
      <c r="Y119" s="881"/>
      <c r="Z119" s="881"/>
      <c r="AA119" s="881"/>
      <c r="AB119" s="881"/>
      <c r="AC119" s="879"/>
      <c r="AD119" s="951">
        <f t="shared" si="30"/>
        <v>393125.44500000007</v>
      </c>
      <c r="AE119" s="879"/>
    </row>
    <row r="120" spans="1:31">
      <c r="A120" s="879">
        <f t="shared" si="21"/>
        <v>106</v>
      </c>
      <c r="B120" s="893" t="s">
        <v>2123</v>
      </c>
      <c r="C120" s="893" t="s">
        <v>472</v>
      </c>
      <c r="D120" s="893" t="s">
        <v>756</v>
      </c>
      <c r="E120" s="894" t="s">
        <v>473</v>
      </c>
      <c r="F120" s="895">
        <v>404805.92</v>
      </c>
      <c r="G120" s="895">
        <v>443702.72</v>
      </c>
      <c r="H120" s="895">
        <v>476176.1</v>
      </c>
      <c r="I120" s="895">
        <v>565432.73</v>
      </c>
      <c r="J120" s="895">
        <v>517118.39</v>
      </c>
      <c r="K120" s="895">
        <v>578348.12</v>
      </c>
      <c r="L120" s="895">
        <v>606841.30000000005</v>
      </c>
      <c r="M120" s="895">
        <v>627608.55000000005</v>
      </c>
      <c r="N120" s="895">
        <v>703403.7</v>
      </c>
      <c r="O120" s="895">
        <v>734806.46</v>
      </c>
      <c r="P120" s="895">
        <v>711113.58</v>
      </c>
      <c r="Q120" s="895">
        <v>728318.69</v>
      </c>
      <c r="R120" s="895">
        <v>718805.86</v>
      </c>
      <c r="S120" s="896">
        <f t="shared" si="31"/>
        <v>604556.35249999992</v>
      </c>
      <c r="T120" s="879"/>
      <c r="U120" s="881">
        <f t="shared" si="29"/>
        <v>604556.35249999992</v>
      </c>
      <c r="V120" s="881"/>
      <c r="W120" s="881"/>
      <c r="X120" s="897"/>
      <c r="Y120" s="881"/>
      <c r="Z120" s="881"/>
      <c r="AA120" s="881"/>
      <c r="AB120" s="881"/>
      <c r="AC120" s="879"/>
      <c r="AD120" s="951">
        <f t="shared" si="30"/>
        <v>604556.35249999992</v>
      </c>
      <c r="AE120" s="879"/>
    </row>
    <row r="121" spans="1:31">
      <c r="A121" s="879">
        <f t="shared" si="21"/>
        <v>107</v>
      </c>
      <c r="B121" s="893" t="s">
        <v>2124</v>
      </c>
      <c r="C121" s="893" t="s">
        <v>472</v>
      </c>
      <c r="D121" s="893" t="s">
        <v>756</v>
      </c>
      <c r="E121" s="894" t="s">
        <v>473</v>
      </c>
      <c r="F121" s="895">
        <v>271531.98</v>
      </c>
      <c r="G121" s="895">
        <v>279884.89</v>
      </c>
      <c r="H121" s="895">
        <v>278879.71999999997</v>
      </c>
      <c r="I121" s="895">
        <v>259995.85</v>
      </c>
      <c r="J121" s="895">
        <v>274512.57</v>
      </c>
      <c r="K121" s="895">
        <v>276407.93</v>
      </c>
      <c r="L121" s="895">
        <v>270886.49</v>
      </c>
      <c r="M121" s="895">
        <v>277302.28000000003</v>
      </c>
      <c r="N121" s="895">
        <v>312584.05</v>
      </c>
      <c r="O121" s="895">
        <v>303956.19</v>
      </c>
      <c r="P121" s="895">
        <v>289957.40000000002</v>
      </c>
      <c r="Q121" s="895">
        <v>290155.73</v>
      </c>
      <c r="R121" s="895">
        <v>278175.96999999997</v>
      </c>
      <c r="S121" s="896">
        <f t="shared" si="31"/>
        <v>282448.08958333329</v>
      </c>
      <c r="T121" s="879"/>
      <c r="U121" s="881">
        <f t="shared" si="29"/>
        <v>282448.08958333329</v>
      </c>
      <c r="V121" s="881"/>
      <c r="W121" s="881"/>
      <c r="X121" s="897"/>
      <c r="Y121" s="881"/>
      <c r="Z121" s="881"/>
      <c r="AA121" s="881"/>
      <c r="AB121" s="881"/>
      <c r="AC121" s="879"/>
      <c r="AD121" s="951">
        <f t="shared" si="30"/>
        <v>282448.08958333329</v>
      </c>
      <c r="AE121" s="879"/>
    </row>
    <row r="122" spans="1:31">
      <c r="A122" s="879">
        <f t="shared" si="21"/>
        <v>108</v>
      </c>
      <c r="B122" s="893" t="s">
        <v>2125</v>
      </c>
      <c r="C122" s="893" t="s">
        <v>472</v>
      </c>
      <c r="D122" s="893" t="s">
        <v>756</v>
      </c>
      <c r="E122" s="894" t="s">
        <v>473</v>
      </c>
      <c r="F122" s="895">
        <v>52620.89</v>
      </c>
      <c r="G122" s="895">
        <v>52202.64</v>
      </c>
      <c r="H122" s="895">
        <v>73119.27</v>
      </c>
      <c r="I122" s="895">
        <v>87180.12</v>
      </c>
      <c r="J122" s="895">
        <v>87831.5</v>
      </c>
      <c r="K122" s="895">
        <v>87214.79</v>
      </c>
      <c r="L122" s="895">
        <v>70874.31</v>
      </c>
      <c r="M122" s="895">
        <v>68993.899999999994</v>
      </c>
      <c r="N122" s="895">
        <v>68637.02</v>
      </c>
      <c r="O122" s="895">
        <v>65584.37</v>
      </c>
      <c r="P122" s="895">
        <v>66523.83</v>
      </c>
      <c r="Q122" s="895">
        <v>66412.59</v>
      </c>
      <c r="R122" s="895">
        <v>61760.08</v>
      </c>
      <c r="S122" s="896">
        <f t="shared" si="31"/>
        <v>70980.402083333334</v>
      </c>
      <c r="T122" s="879"/>
      <c r="U122" s="881">
        <f t="shared" si="29"/>
        <v>70980.402083333334</v>
      </c>
      <c r="V122" s="881"/>
      <c r="W122" s="881"/>
      <c r="X122" s="897"/>
      <c r="Y122" s="881"/>
      <c r="Z122" s="881"/>
      <c r="AA122" s="881"/>
      <c r="AB122" s="881"/>
      <c r="AC122" s="879"/>
      <c r="AD122" s="951">
        <f t="shared" si="30"/>
        <v>70980.402083333334</v>
      </c>
      <c r="AE122" s="879"/>
    </row>
    <row r="123" spans="1:31">
      <c r="A123" s="879">
        <f t="shared" si="21"/>
        <v>109</v>
      </c>
      <c r="B123" s="893" t="s">
        <v>2126</v>
      </c>
      <c r="C123" s="893" t="s">
        <v>472</v>
      </c>
      <c r="D123" s="893" t="s">
        <v>756</v>
      </c>
      <c r="E123" s="894" t="s">
        <v>473</v>
      </c>
      <c r="F123" s="895">
        <v>173335.1</v>
      </c>
      <c r="G123" s="895">
        <v>185385.54</v>
      </c>
      <c r="H123" s="895">
        <v>188250.94</v>
      </c>
      <c r="I123" s="895">
        <v>189393.17</v>
      </c>
      <c r="J123" s="895">
        <v>183342.22</v>
      </c>
      <c r="K123" s="895">
        <v>182637.49</v>
      </c>
      <c r="L123" s="895">
        <v>184485.33</v>
      </c>
      <c r="M123" s="895">
        <v>184222.41</v>
      </c>
      <c r="N123" s="895">
        <v>199360.26</v>
      </c>
      <c r="O123" s="895">
        <v>203184.15</v>
      </c>
      <c r="P123" s="895">
        <v>187235.86</v>
      </c>
      <c r="Q123" s="895">
        <v>201200.29</v>
      </c>
      <c r="R123" s="895">
        <v>208687.12</v>
      </c>
      <c r="S123" s="896">
        <f t="shared" si="31"/>
        <v>189975.73083333331</v>
      </c>
      <c r="T123" s="879"/>
      <c r="U123" s="881">
        <f t="shared" si="29"/>
        <v>189975.73083333331</v>
      </c>
      <c r="V123" s="881"/>
      <c r="W123" s="881"/>
      <c r="X123" s="897"/>
      <c r="Y123" s="881"/>
      <c r="Z123" s="881"/>
      <c r="AA123" s="881"/>
      <c r="AB123" s="881"/>
      <c r="AC123" s="879"/>
      <c r="AD123" s="951">
        <f t="shared" si="30"/>
        <v>189975.73083333331</v>
      </c>
      <c r="AE123" s="879"/>
    </row>
    <row r="124" spans="1:31">
      <c r="A124" s="879">
        <f t="shared" si="21"/>
        <v>110</v>
      </c>
      <c r="B124" s="893" t="s">
        <v>2127</v>
      </c>
      <c r="C124" s="893" t="s">
        <v>472</v>
      </c>
      <c r="D124" s="893" t="s">
        <v>756</v>
      </c>
      <c r="E124" s="894" t="s">
        <v>473</v>
      </c>
      <c r="F124" s="895">
        <v>379827.34</v>
      </c>
      <c r="G124" s="895">
        <v>383939.2</v>
      </c>
      <c r="H124" s="895">
        <v>384357.12</v>
      </c>
      <c r="I124" s="895">
        <v>258216.63</v>
      </c>
      <c r="J124" s="895">
        <v>281801.53999999998</v>
      </c>
      <c r="K124" s="895">
        <v>285986.90000000002</v>
      </c>
      <c r="L124" s="895">
        <v>340404.53</v>
      </c>
      <c r="M124" s="895">
        <v>339683.72</v>
      </c>
      <c r="N124" s="895">
        <v>371903.01</v>
      </c>
      <c r="O124" s="895">
        <v>389301.34</v>
      </c>
      <c r="P124" s="895">
        <v>369063.85</v>
      </c>
      <c r="Q124" s="895">
        <v>335711.23</v>
      </c>
      <c r="R124" s="895">
        <v>324562.34000000003</v>
      </c>
      <c r="S124" s="896">
        <f t="shared" si="31"/>
        <v>341046.99249999999</v>
      </c>
      <c r="T124" s="879"/>
      <c r="U124" s="881">
        <f t="shared" si="29"/>
        <v>341046.99249999999</v>
      </c>
      <c r="V124" s="881"/>
      <c r="W124" s="881"/>
      <c r="X124" s="897"/>
      <c r="Y124" s="881"/>
      <c r="Z124" s="881"/>
      <c r="AA124" s="881"/>
      <c r="AB124" s="881"/>
      <c r="AC124" s="879"/>
      <c r="AD124" s="951">
        <f t="shared" si="30"/>
        <v>341046.99249999999</v>
      </c>
      <c r="AE124" s="879"/>
    </row>
    <row r="125" spans="1:31">
      <c r="A125" s="879">
        <f t="shared" si="21"/>
        <v>111</v>
      </c>
      <c r="B125" s="893" t="s">
        <v>2128</v>
      </c>
      <c r="C125" s="893" t="s">
        <v>472</v>
      </c>
      <c r="D125" s="893" t="s">
        <v>756</v>
      </c>
      <c r="E125" s="894" t="s">
        <v>473</v>
      </c>
      <c r="F125" s="895">
        <v>42175.98</v>
      </c>
      <c r="G125" s="895">
        <v>45369.13</v>
      </c>
      <c r="H125" s="895">
        <v>44828.93</v>
      </c>
      <c r="I125" s="895">
        <v>43573.61</v>
      </c>
      <c r="J125" s="895">
        <v>43659.67</v>
      </c>
      <c r="K125" s="895">
        <v>46796.22</v>
      </c>
      <c r="L125" s="895">
        <v>47503.03</v>
      </c>
      <c r="M125" s="895">
        <v>48559.09</v>
      </c>
      <c r="N125" s="895">
        <v>58007.45</v>
      </c>
      <c r="O125" s="895">
        <v>50180.58</v>
      </c>
      <c r="P125" s="895">
        <v>51574.16</v>
      </c>
      <c r="Q125" s="895">
        <v>84573.3</v>
      </c>
      <c r="R125" s="895">
        <v>88232.45</v>
      </c>
      <c r="S125" s="896">
        <f t="shared" si="31"/>
        <v>52485.782083333332</v>
      </c>
      <c r="T125" s="879"/>
      <c r="U125" s="881">
        <f t="shared" si="29"/>
        <v>52485.782083333332</v>
      </c>
      <c r="V125" s="881"/>
      <c r="W125" s="881"/>
      <c r="X125" s="897"/>
      <c r="Y125" s="881"/>
      <c r="Z125" s="881"/>
      <c r="AA125" s="881"/>
      <c r="AB125" s="881"/>
      <c r="AC125" s="879"/>
      <c r="AD125" s="951">
        <f t="shared" si="30"/>
        <v>52485.782083333332</v>
      </c>
      <c r="AE125" s="879"/>
    </row>
    <row r="126" spans="1:31">
      <c r="A126" s="879">
        <f t="shared" si="21"/>
        <v>112</v>
      </c>
      <c r="B126" s="893" t="s">
        <v>2129</v>
      </c>
      <c r="C126" s="893" t="s">
        <v>472</v>
      </c>
      <c r="D126" s="893" t="s">
        <v>756</v>
      </c>
      <c r="E126" s="894" t="s">
        <v>473</v>
      </c>
      <c r="F126" s="895">
        <v>351531.24</v>
      </c>
      <c r="G126" s="895">
        <v>363983.08</v>
      </c>
      <c r="H126" s="895">
        <v>372970.55</v>
      </c>
      <c r="I126" s="895">
        <v>355342.79</v>
      </c>
      <c r="J126" s="895">
        <v>360870.92</v>
      </c>
      <c r="K126" s="895">
        <v>315703.77</v>
      </c>
      <c r="L126" s="895">
        <v>331923</v>
      </c>
      <c r="M126" s="895">
        <v>326360.61</v>
      </c>
      <c r="N126" s="895">
        <v>318743.71999999997</v>
      </c>
      <c r="O126" s="895">
        <v>306110.75</v>
      </c>
      <c r="P126" s="895">
        <v>315339.05</v>
      </c>
      <c r="Q126" s="895">
        <v>330057.95</v>
      </c>
      <c r="R126" s="895">
        <v>316829.11</v>
      </c>
      <c r="S126" s="896">
        <f t="shared" si="31"/>
        <v>335965.53041666659</v>
      </c>
      <c r="T126" s="879"/>
      <c r="U126" s="881">
        <f t="shared" si="29"/>
        <v>335965.53041666659</v>
      </c>
      <c r="V126" s="881"/>
      <c r="W126" s="881"/>
      <c r="X126" s="897"/>
      <c r="Y126" s="881"/>
      <c r="Z126" s="881"/>
      <c r="AA126" s="881"/>
      <c r="AB126" s="881"/>
      <c r="AC126" s="879"/>
      <c r="AD126" s="951">
        <f t="shared" si="30"/>
        <v>335965.53041666659</v>
      </c>
      <c r="AE126" s="879"/>
    </row>
    <row r="127" spans="1:31">
      <c r="A127" s="879">
        <f t="shared" si="21"/>
        <v>113</v>
      </c>
      <c r="B127" s="893" t="s">
        <v>2130</v>
      </c>
      <c r="C127" s="893" t="s">
        <v>472</v>
      </c>
      <c r="D127" s="893" t="s">
        <v>756</v>
      </c>
      <c r="E127" s="894" t="s">
        <v>473</v>
      </c>
      <c r="F127" s="895">
        <v>276329.71999999997</v>
      </c>
      <c r="G127" s="895">
        <v>258907.08</v>
      </c>
      <c r="H127" s="895">
        <v>256230.43</v>
      </c>
      <c r="I127" s="895">
        <v>258383.56</v>
      </c>
      <c r="J127" s="895">
        <v>248116.23</v>
      </c>
      <c r="K127" s="895">
        <v>256214.33</v>
      </c>
      <c r="L127" s="895">
        <v>250161.19</v>
      </c>
      <c r="M127" s="895">
        <v>245642.38</v>
      </c>
      <c r="N127" s="895">
        <v>241316.94</v>
      </c>
      <c r="O127" s="895">
        <v>252944.47</v>
      </c>
      <c r="P127" s="895">
        <v>259792.1</v>
      </c>
      <c r="Q127" s="895">
        <v>255926.83</v>
      </c>
      <c r="R127" s="895">
        <v>261395.28</v>
      </c>
      <c r="S127" s="896">
        <f t="shared" si="31"/>
        <v>254374.8366666667</v>
      </c>
      <c r="T127" s="879"/>
      <c r="U127" s="881">
        <f t="shared" si="29"/>
        <v>254374.8366666667</v>
      </c>
      <c r="V127" s="881"/>
      <c r="W127" s="881"/>
      <c r="X127" s="897"/>
      <c r="Y127" s="881"/>
      <c r="Z127" s="881"/>
      <c r="AA127" s="881"/>
      <c r="AB127" s="881"/>
      <c r="AC127" s="879"/>
      <c r="AD127" s="951">
        <f t="shared" si="30"/>
        <v>254374.8366666667</v>
      </c>
      <c r="AE127" s="879"/>
    </row>
    <row r="128" spans="1:31">
      <c r="A128" s="879">
        <f t="shared" si="21"/>
        <v>114</v>
      </c>
      <c r="B128" s="893" t="s">
        <v>2131</v>
      </c>
      <c r="C128" s="893" t="s">
        <v>472</v>
      </c>
      <c r="D128" s="893" t="s">
        <v>756</v>
      </c>
      <c r="E128" s="894" t="s">
        <v>473</v>
      </c>
      <c r="F128" s="895">
        <v>136093.64000000001</v>
      </c>
      <c r="G128" s="895">
        <v>158167.9</v>
      </c>
      <c r="H128" s="895">
        <v>157270.49</v>
      </c>
      <c r="I128" s="895">
        <v>154456.73000000001</v>
      </c>
      <c r="J128" s="895">
        <v>155505.5</v>
      </c>
      <c r="K128" s="895">
        <v>158873.95000000001</v>
      </c>
      <c r="L128" s="895">
        <v>159049.97</v>
      </c>
      <c r="M128" s="895">
        <v>155075.1</v>
      </c>
      <c r="N128" s="895">
        <v>150425</v>
      </c>
      <c r="O128" s="895">
        <v>183511.11</v>
      </c>
      <c r="P128" s="895">
        <v>181719.23</v>
      </c>
      <c r="Q128" s="895">
        <v>180020.14</v>
      </c>
      <c r="R128" s="895">
        <v>154660.06</v>
      </c>
      <c r="S128" s="896">
        <f t="shared" si="31"/>
        <v>161620.99750000003</v>
      </c>
      <c r="T128" s="879"/>
      <c r="U128" s="881">
        <f t="shared" si="29"/>
        <v>161620.99750000003</v>
      </c>
      <c r="V128" s="881"/>
      <c r="W128" s="881"/>
      <c r="X128" s="897"/>
      <c r="Y128" s="881"/>
      <c r="Z128" s="881"/>
      <c r="AA128" s="881"/>
      <c r="AB128" s="881"/>
      <c r="AC128" s="879"/>
      <c r="AD128" s="951">
        <f t="shared" si="30"/>
        <v>161620.99750000003</v>
      </c>
      <c r="AE128" s="879"/>
    </row>
    <row r="129" spans="1:31">
      <c r="A129" s="879">
        <f t="shared" si="21"/>
        <v>115</v>
      </c>
      <c r="B129" s="893" t="s">
        <v>2132</v>
      </c>
      <c r="C129" s="893" t="s">
        <v>472</v>
      </c>
      <c r="D129" s="893" t="s">
        <v>756</v>
      </c>
      <c r="E129" s="894" t="s">
        <v>473</v>
      </c>
      <c r="F129" s="895">
        <v>175041.87</v>
      </c>
      <c r="G129" s="895">
        <v>175185.84</v>
      </c>
      <c r="H129" s="895">
        <v>174225.71</v>
      </c>
      <c r="I129" s="895">
        <v>169289.13</v>
      </c>
      <c r="J129" s="895">
        <v>164783.5</v>
      </c>
      <c r="K129" s="895">
        <v>173793.07</v>
      </c>
      <c r="L129" s="895">
        <v>176233.17</v>
      </c>
      <c r="M129" s="895">
        <v>171011.27</v>
      </c>
      <c r="N129" s="895">
        <v>170000.46</v>
      </c>
      <c r="O129" s="895">
        <v>122324.88</v>
      </c>
      <c r="P129" s="895">
        <v>124630.09</v>
      </c>
      <c r="Q129" s="895">
        <v>139876.79999999999</v>
      </c>
      <c r="R129" s="895">
        <v>147698.59</v>
      </c>
      <c r="S129" s="896">
        <f t="shared" si="31"/>
        <v>160227.01249999998</v>
      </c>
      <c r="T129" s="879"/>
      <c r="U129" s="881">
        <f t="shared" si="29"/>
        <v>160227.01249999998</v>
      </c>
      <c r="V129" s="881"/>
      <c r="W129" s="881"/>
      <c r="X129" s="897"/>
      <c r="Y129" s="881"/>
      <c r="Z129" s="881"/>
      <c r="AA129" s="881"/>
      <c r="AB129" s="881"/>
      <c r="AC129" s="879"/>
      <c r="AD129" s="951">
        <f t="shared" si="30"/>
        <v>160227.01249999998</v>
      </c>
      <c r="AE129" s="879"/>
    </row>
    <row r="130" spans="1:31">
      <c r="A130" s="879">
        <f t="shared" si="21"/>
        <v>116</v>
      </c>
      <c r="B130" s="893" t="s">
        <v>2133</v>
      </c>
      <c r="C130" s="893" t="s">
        <v>472</v>
      </c>
      <c r="D130" s="893" t="s">
        <v>756</v>
      </c>
      <c r="E130" s="894" t="s">
        <v>473</v>
      </c>
      <c r="F130" s="895">
        <v>63293.45</v>
      </c>
      <c r="G130" s="895">
        <v>58736.21</v>
      </c>
      <c r="H130" s="895">
        <v>52988.67</v>
      </c>
      <c r="I130" s="895">
        <v>54430.58</v>
      </c>
      <c r="J130" s="895">
        <v>54192.959999999999</v>
      </c>
      <c r="K130" s="895">
        <v>54654.9</v>
      </c>
      <c r="L130" s="895">
        <v>53566.96</v>
      </c>
      <c r="M130" s="895">
        <v>58698.46</v>
      </c>
      <c r="N130" s="895">
        <v>55218.53</v>
      </c>
      <c r="O130" s="895">
        <v>86702.57</v>
      </c>
      <c r="P130" s="895">
        <v>71951.95</v>
      </c>
      <c r="Q130" s="895">
        <v>62085.440000000002</v>
      </c>
      <c r="R130" s="895">
        <v>62912.71</v>
      </c>
      <c r="S130" s="896">
        <f t="shared" si="31"/>
        <v>60527.525833333326</v>
      </c>
      <c r="T130" s="879"/>
      <c r="U130" s="881">
        <f t="shared" si="29"/>
        <v>60527.525833333326</v>
      </c>
      <c r="V130" s="881"/>
      <c r="W130" s="881"/>
      <c r="X130" s="897"/>
      <c r="Y130" s="881"/>
      <c r="Z130" s="881"/>
      <c r="AA130" s="881"/>
      <c r="AB130" s="881"/>
      <c r="AC130" s="879"/>
      <c r="AD130" s="951">
        <f t="shared" si="30"/>
        <v>60527.525833333326</v>
      </c>
      <c r="AE130" s="879"/>
    </row>
    <row r="131" spans="1:31">
      <c r="A131" s="879">
        <f t="shared" si="21"/>
        <v>117</v>
      </c>
      <c r="B131" s="893" t="s">
        <v>2134</v>
      </c>
      <c r="C131" s="893" t="s">
        <v>472</v>
      </c>
      <c r="D131" s="893" t="s">
        <v>756</v>
      </c>
      <c r="E131" s="894" t="s">
        <v>473</v>
      </c>
      <c r="F131" s="895">
        <v>98030.04</v>
      </c>
      <c r="G131" s="895">
        <v>104064.14</v>
      </c>
      <c r="H131" s="895">
        <v>99350.52</v>
      </c>
      <c r="I131" s="895">
        <v>88714.68</v>
      </c>
      <c r="J131" s="895">
        <v>93950.24</v>
      </c>
      <c r="K131" s="895">
        <v>88456.42</v>
      </c>
      <c r="L131" s="895">
        <v>94474.59</v>
      </c>
      <c r="M131" s="895">
        <v>93068.92</v>
      </c>
      <c r="N131" s="895">
        <v>85664.42</v>
      </c>
      <c r="O131" s="895">
        <v>92949.57</v>
      </c>
      <c r="P131" s="895">
        <v>105776.1</v>
      </c>
      <c r="Q131" s="895">
        <v>92682.16</v>
      </c>
      <c r="R131" s="895">
        <v>100899.21</v>
      </c>
      <c r="S131" s="896">
        <f t="shared" si="31"/>
        <v>94884.698749999996</v>
      </c>
      <c r="T131" s="879"/>
      <c r="U131" s="881">
        <f t="shared" si="29"/>
        <v>94884.698749999996</v>
      </c>
      <c r="V131" s="881"/>
      <c r="W131" s="881"/>
      <c r="X131" s="897"/>
      <c r="Y131" s="881"/>
      <c r="Z131" s="881"/>
      <c r="AA131" s="881"/>
      <c r="AB131" s="881"/>
      <c r="AC131" s="879"/>
      <c r="AD131" s="951">
        <f t="shared" si="30"/>
        <v>94884.698749999996</v>
      </c>
      <c r="AE131" s="879"/>
    </row>
    <row r="132" spans="1:31">
      <c r="A132" s="879">
        <f t="shared" si="21"/>
        <v>118</v>
      </c>
      <c r="B132" s="893" t="s">
        <v>1850</v>
      </c>
      <c r="C132" s="893" t="s">
        <v>472</v>
      </c>
      <c r="D132" s="893" t="s">
        <v>2135</v>
      </c>
      <c r="E132" s="894" t="s">
        <v>473</v>
      </c>
      <c r="F132" s="895">
        <v>338137.37</v>
      </c>
      <c r="G132" s="895">
        <v>261348.26</v>
      </c>
      <c r="H132" s="895">
        <v>272123.58</v>
      </c>
      <c r="I132" s="895">
        <v>279633.3</v>
      </c>
      <c r="J132" s="895">
        <v>357791.82</v>
      </c>
      <c r="K132" s="895">
        <v>362477.3</v>
      </c>
      <c r="L132" s="895">
        <v>362477.3</v>
      </c>
      <c r="M132" s="895">
        <v>307502.13</v>
      </c>
      <c r="N132" s="895">
        <v>310275.3</v>
      </c>
      <c r="O132" s="895">
        <v>425221.44</v>
      </c>
      <c r="P132" s="895">
        <v>311148.46000000002</v>
      </c>
      <c r="Q132" s="895">
        <v>311148.46000000002</v>
      </c>
      <c r="R132" s="895">
        <v>311582.09000000003</v>
      </c>
      <c r="S132" s="896">
        <f t="shared" si="31"/>
        <v>323833.92333333334</v>
      </c>
      <c r="T132" s="879"/>
      <c r="U132" s="881">
        <f t="shared" si="29"/>
        <v>323833.92333333334</v>
      </c>
      <c r="V132" s="881"/>
      <c r="W132" s="881"/>
      <c r="X132" s="897"/>
      <c r="Y132" s="881"/>
      <c r="Z132" s="881"/>
      <c r="AA132" s="881"/>
      <c r="AB132" s="881"/>
      <c r="AC132" s="879"/>
      <c r="AD132" s="951">
        <f t="shared" si="30"/>
        <v>323833.92333333334</v>
      </c>
      <c r="AE132" s="879"/>
    </row>
    <row r="133" spans="1:31">
      <c r="A133" s="879">
        <f t="shared" si="21"/>
        <v>119</v>
      </c>
      <c r="B133" s="893" t="s">
        <v>1886</v>
      </c>
      <c r="C133" s="893" t="s">
        <v>472</v>
      </c>
      <c r="D133" s="893" t="s">
        <v>2136</v>
      </c>
      <c r="E133" s="894" t="s">
        <v>473</v>
      </c>
      <c r="F133" s="895">
        <v>40420.85</v>
      </c>
      <c r="G133" s="895">
        <v>40420.85</v>
      </c>
      <c r="H133" s="895">
        <v>40420.85</v>
      </c>
      <c r="I133" s="895">
        <v>40468.69</v>
      </c>
      <c r="J133" s="895">
        <v>40468.69</v>
      </c>
      <c r="K133" s="895">
        <v>40468.69</v>
      </c>
      <c r="L133" s="895">
        <v>40510.57</v>
      </c>
      <c r="M133" s="895">
        <v>40510.57</v>
      </c>
      <c r="N133" s="895">
        <v>43940.800000000003</v>
      </c>
      <c r="O133" s="895">
        <v>43940.800000000003</v>
      </c>
      <c r="P133" s="895">
        <v>43940.800000000003</v>
      </c>
      <c r="Q133" s="895">
        <v>43940.800000000003</v>
      </c>
      <c r="R133" s="895">
        <v>45284.17</v>
      </c>
      <c r="S133" s="896">
        <f t="shared" si="31"/>
        <v>41823.718333333331</v>
      </c>
      <c r="T133" s="879"/>
      <c r="U133" s="881">
        <f t="shared" si="29"/>
        <v>41823.718333333331</v>
      </c>
      <c r="V133" s="881"/>
      <c r="W133" s="881"/>
      <c r="X133" s="897"/>
      <c r="Y133" s="881"/>
      <c r="Z133" s="881"/>
      <c r="AA133" s="881"/>
      <c r="AB133" s="881"/>
      <c r="AC133" s="879"/>
      <c r="AD133" s="951">
        <f t="shared" si="30"/>
        <v>41823.718333333331</v>
      </c>
      <c r="AE133" s="879"/>
    </row>
    <row r="134" spans="1:31">
      <c r="A134" s="879">
        <f t="shared" si="21"/>
        <v>120</v>
      </c>
      <c r="B134" s="893" t="s">
        <v>1853</v>
      </c>
      <c r="C134" s="893" t="s">
        <v>472</v>
      </c>
      <c r="D134" s="893" t="s">
        <v>2136</v>
      </c>
      <c r="E134" s="894" t="s">
        <v>473</v>
      </c>
      <c r="F134" s="895">
        <v>142271.26999999999</v>
      </c>
      <c r="G134" s="895">
        <v>142271.26999999999</v>
      </c>
      <c r="H134" s="895">
        <v>142271.26999999999</v>
      </c>
      <c r="I134" s="895">
        <v>142328.82</v>
      </c>
      <c r="J134" s="895">
        <v>142328.82</v>
      </c>
      <c r="K134" s="895">
        <v>142328.82</v>
      </c>
      <c r="L134" s="895">
        <v>142328.82</v>
      </c>
      <c r="M134" s="895">
        <v>142328.82</v>
      </c>
      <c r="N134" s="895">
        <v>142328.82</v>
      </c>
      <c r="O134" s="895">
        <v>142328.82</v>
      </c>
      <c r="P134" s="895">
        <v>142370.43</v>
      </c>
      <c r="Q134" s="895">
        <v>142371.48000000001</v>
      </c>
      <c r="R134" s="895">
        <v>142371.48000000001</v>
      </c>
      <c r="S134" s="896">
        <f t="shared" si="31"/>
        <v>142325.63041666668</v>
      </c>
      <c r="T134" s="879"/>
      <c r="U134" s="881">
        <f t="shared" si="29"/>
        <v>142325.63041666668</v>
      </c>
      <c r="V134" s="881"/>
      <c r="W134" s="881"/>
      <c r="X134" s="897"/>
      <c r="Y134" s="881"/>
      <c r="Z134" s="881"/>
      <c r="AA134" s="881"/>
      <c r="AB134" s="881"/>
      <c r="AC134" s="879"/>
      <c r="AD134" s="951">
        <f t="shared" si="30"/>
        <v>142325.63041666668</v>
      </c>
      <c r="AE134" s="879"/>
    </row>
    <row r="135" spans="1:31">
      <c r="A135" s="879">
        <f t="shared" si="21"/>
        <v>121</v>
      </c>
      <c r="B135" s="893" t="s">
        <v>1850</v>
      </c>
      <c r="C135" s="893" t="s">
        <v>474</v>
      </c>
      <c r="D135" s="893" t="s">
        <v>2137</v>
      </c>
      <c r="E135" s="894" t="s">
        <v>475</v>
      </c>
      <c r="F135" s="895">
        <v>0</v>
      </c>
      <c r="G135" s="895">
        <v>3974.9</v>
      </c>
      <c r="H135" s="895">
        <v>9473.67</v>
      </c>
      <c r="I135" s="895">
        <v>27704.84</v>
      </c>
      <c r="J135" s="895">
        <v>44958.080000000002</v>
      </c>
      <c r="K135" s="895">
        <v>55071.33</v>
      </c>
      <c r="L135" s="895">
        <v>67012.37</v>
      </c>
      <c r="M135" s="895">
        <v>81770.84</v>
      </c>
      <c r="N135" s="895">
        <v>121159.92</v>
      </c>
      <c r="O135" s="895">
        <v>134749.34</v>
      </c>
      <c r="P135" s="895">
        <v>143286.43</v>
      </c>
      <c r="Q135" s="895">
        <v>154879.12</v>
      </c>
      <c r="R135" s="895">
        <v>0</v>
      </c>
      <c r="S135" s="896">
        <f t="shared" si="31"/>
        <v>70336.736666666664</v>
      </c>
      <c r="T135" s="879"/>
      <c r="U135" s="881">
        <f t="shared" si="29"/>
        <v>70336.736666666664</v>
      </c>
      <c r="V135" s="881"/>
      <c r="W135" s="881"/>
      <c r="X135" s="897"/>
      <c r="Y135" s="881"/>
      <c r="Z135" s="881"/>
      <c r="AA135" s="881"/>
      <c r="AB135" s="881"/>
      <c r="AC135" s="879"/>
      <c r="AD135" s="951">
        <f t="shared" si="30"/>
        <v>70336.736666666664</v>
      </c>
      <c r="AE135" s="879"/>
    </row>
    <row r="136" spans="1:31">
      <c r="A136" s="879">
        <f t="shared" si="21"/>
        <v>122</v>
      </c>
      <c r="B136" s="893" t="s">
        <v>1850</v>
      </c>
      <c r="C136" s="893" t="s">
        <v>474</v>
      </c>
      <c r="D136" s="893" t="s">
        <v>2138</v>
      </c>
      <c r="E136" s="894" t="s">
        <v>475</v>
      </c>
      <c r="F136" s="895">
        <v>-1.4566126083082099E-13</v>
      </c>
      <c r="G136" s="895">
        <v>0</v>
      </c>
      <c r="H136" s="895">
        <v>0</v>
      </c>
      <c r="I136" s="895">
        <v>0</v>
      </c>
      <c r="J136" s="895">
        <v>0</v>
      </c>
      <c r="K136" s="895">
        <v>0</v>
      </c>
      <c r="L136" s="895">
        <v>-449.2</v>
      </c>
      <c r="M136" s="895">
        <v>0</v>
      </c>
      <c r="N136" s="895">
        <v>0</v>
      </c>
      <c r="O136" s="895">
        <v>0</v>
      </c>
      <c r="P136" s="895">
        <v>0</v>
      </c>
      <c r="Q136" s="895">
        <v>0</v>
      </c>
      <c r="R136" s="895">
        <v>0</v>
      </c>
      <c r="S136" s="896">
        <f t="shared" si="31"/>
        <v>-37.433333333333337</v>
      </c>
      <c r="T136" s="879"/>
      <c r="U136" s="881">
        <f t="shared" si="29"/>
        <v>-37.433333333333337</v>
      </c>
      <c r="V136" s="881"/>
      <c r="W136" s="881"/>
      <c r="X136" s="897"/>
      <c r="Y136" s="881"/>
      <c r="Z136" s="881"/>
      <c r="AA136" s="881"/>
      <c r="AB136" s="881"/>
      <c r="AC136" s="879"/>
      <c r="AD136" s="951">
        <f t="shared" si="30"/>
        <v>-37.433333333333337</v>
      </c>
      <c r="AE136" s="879"/>
    </row>
    <row r="137" spans="1:31">
      <c r="A137" s="879">
        <f t="shared" si="21"/>
        <v>123</v>
      </c>
      <c r="B137" s="893" t="s">
        <v>1850</v>
      </c>
      <c r="C137" s="893" t="s">
        <v>474</v>
      </c>
      <c r="D137" s="893" t="s">
        <v>2139</v>
      </c>
      <c r="E137" s="894" t="s">
        <v>475</v>
      </c>
      <c r="F137" s="895">
        <v>0</v>
      </c>
      <c r="G137" s="895">
        <v>2320.35</v>
      </c>
      <c r="H137" s="895">
        <v>-4822.13</v>
      </c>
      <c r="I137" s="895">
        <v>-4598.07</v>
      </c>
      <c r="J137" s="895">
        <v>-3051.51</v>
      </c>
      <c r="K137" s="895">
        <v>12016.23</v>
      </c>
      <c r="L137" s="895">
        <v>18440.2</v>
      </c>
      <c r="M137" s="895">
        <v>20816.79</v>
      </c>
      <c r="N137" s="895">
        <v>30717.03</v>
      </c>
      <c r="O137" s="895">
        <v>32080.83</v>
      </c>
      <c r="P137" s="895">
        <v>30502.92</v>
      </c>
      <c r="Q137" s="895">
        <v>32833.57</v>
      </c>
      <c r="R137" s="895">
        <v>0</v>
      </c>
      <c r="S137" s="896">
        <f t="shared" si="31"/>
        <v>13938.017500000002</v>
      </c>
      <c r="T137" s="879"/>
      <c r="U137" s="881">
        <f t="shared" si="29"/>
        <v>13938.017500000002</v>
      </c>
      <c r="V137" s="881"/>
      <c r="W137" s="881"/>
      <c r="X137" s="897"/>
      <c r="Y137" s="881"/>
      <c r="Z137" s="881"/>
      <c r="AA137" s="881"/>
      <c r="AB137" s="881"/>
      <c r="AC137" s="879"/>
      <c r="AD137" s="951">
        <f t="shared" si="30"/>
        <v>13938.017500000002</v>
      </c>
      <c r="AE137" s="879"/>
    </row>
    <row r="138" spans="1:31">
      <c r="A138" s="879">
        <f t="shared" si="21"/>
        <v>124</v>
      </c>
      <c r="B138" s="893" t="s">
        <v>1850</v>
      </c>
      <c r="C138" s="893" t="s">
        <v>476</v>
      </c>
      <c r="D138" s="893" t="s">
        <v>495</v>
      </c>
      <c r="E138" s="894" t="s">
        <v>477</v>
      </c>
      <c r="F138" s="895">
        <v>0</v>
      </c>
      <c r="G138" s="895">
        <v>0</v>
      </c>
      <c r="H138" s="895">
        <v>0</v>
      </c>
      <c r="I138" s="895">
        <v>0</v>
      </c>
      <c r="J138" s="895">
        <v>0</v>
      </c>
      <c r="K138" s="895">
        <v>0</v>
      </c>
      <c r="L138" s="895">
        <v>0</v>
      </c>
      <c r="M138" s="895">
        <v>0</v>
      </c>
      <c r="N138" s="895">
        <v>0</v>
      </c>
      <c r="O138" s="895">
        <v>0</v>
      </c>
      <c r="P138" s="895">
        <v>0</v>
      </c>
      <c r="Q138" s="895">
        <v>0</v>
      </c>
      <c r="R138" s="895">
        <v>0</v>
      </c>
      <c r="S138" s="896">
        <f t="shared" si="31"/>
        <v>0</v>
      </c>
      <c r="T138" s="879"/>
      <c r="U138" s="881">
        <f t="shared" si="29"/>
        <v>0</v>
      </c>
      <c r="V138" s="881"/>
      <c r="W138" s="881"/>
      <c r="X138" s="897"/>
      <c r="Y138" s="881"/>
      <c r="Z138" s="881"/>
      <c r="AA138" s="881"/>
      <c r="AB138" s="881"/>
      <c r="AC138" s="879"/>
      <c r="AD138" s="951">
        <f t="shared" si="30"/>
        <v>0</v>
      </c>
      <c r="AE138" s="879"/>
    </row>
    <row r="139" spans="1:31">
      <c r="A139" s="879">
        <f t="shared" si="21"/>
        <v>125</v>
      </c>
      <c r="B139" s="893" t="s">
        <v>1850</v>
      </c>
      <c r="C139" s="893" t="s">
        <v>476</v>
      </c>
      <c r="D139" s="893" t="s">
        <v>534</v>
      </c>
      <c r="E139" s="894" t="s">
        <v>477</v>
      </c>
      <c r="F139" s="895">
        <v>0</v>
      </c>
      <c r="G139" s="895">
        <v>0</v>
      </c>
      <c r="H139" s="895">
        <v>0</v>
      </c>
      <c r="I139" s="895">
        <v>0</v>
      </c>
      <c r="J139" s="895">
        <v>0</v>
      </c>
      <c r="K139" s="895">
        <v>0</v>
      </c>
      <c r="L139" s="895">
        <v>0</v>
      </c>
      <c r="M139" s="895">
        <v>0</v>
      </c>
      <c r="N139" s="895">
        <v>0</v>
      </c>
      <c r="O139" s="895">
        <v>0</v>
      </c>
      <c r="P139" s="895">
        <v>0</v>
      </c>
      <c r="Q139" s="895">
        <v>0</v>
      </c>
      <c r="R139" s="895">
        <v>0</v>
      </c>
      <c r="S139" s="896">
        <f t="shared" si="31"/>
        <v>0</v>
      </c>
      <c r="T139" s="879"/>
      <c r="U139" s="881">
        <f t="shared" si="29"/>
        <v>0</v>
      </c>
      <c r="V139" s="881"/>
      <c r="W139" s="881"/>
      <c r="X139" s="897"/>
      <c r="Y139" s="881"/>
      <c r="Z139" s="881"/>
      <c r="AA139" s="881"/>
      <c r="AB139" s="881"/>
      <c r="AC139" s="879"/>
      <c r="AD139" s="951">
        <f t="shared" si="30"/>
        <v>0</v>
      </c>
      <c r="AE139" s="879"/>
    </row>
    <row r="140" spans="1:31">
      <c r="A140" s="879">
        <f t="shared" si="21"/>
        <v>126</v>
      </c>
      <c r="B140" s="893" t="s">
        <v>1850</v>
      </c>
      <c r="C140" s="893" t="s">
        <v>476</v>
      </c>
      <c r="D140" s="893" t="s">
        <v>478</v>
      </c>
      <c r="E140" s="894" t="s">
        <v>479</v>
      </c>
      <c r="F140" s="895">
        <v>52788.7</v>
      </c>
      <c r="G140" s="895">
        <v>592943.59</v>
      </c>
      <c r="H140" s="895">
        <v>0</v>
      </c>
      <c r="I140" s="895">
        <v>278037.19</v>
      </c>
      <c r="J140" s="895">
        <v>364258.05</v>
      </c>
      <c r="K140" s="895">
        <v>91779.05</v>
      </c>
      <c r="L140" s="895">
        <v>6720.03999999999</v>
      </c>
      <c r="M140" s="895">
        <v>-6.3664629124105001E-12</v>
      </c>
      <c r="N140" s="895">
        <v>-6.3664629124105001E-12</v>
      </c>
      <c r="O140" s="895">
        <v>149539.65</v>
      </c>
      <c r="P140" s="895">
        <v>206387.69</v>
      </c>
      <c r="Q140" s="895">
        <v>280814.13</v>
      </c>
      <c r="R140" s="895">
        <v>87958.720000000001</v>
      </c>
      <c r="S140" s="896">
        <f t="shared" si="31"/>
        <v>170071.09166666667</v>
      </c>
      <c r="T140" s="879"/>
      <c r="U140" s="881">
        <f t="shared" si="29"/>
        <v>170071.09166666667</v>
      </c>
      <c r="V140" s="881"/>
      <c r="W140" s="881"/>
      <c r="X140" s="897"/>
      <c r="Y140" s="881"/>
      <c r="Z140" s="881"/>
      <c r="AA140" s="881"/>
      <c r="AB140" s="881"/>
      <c r="AC140" s="879"/>
      <c r="AD140" s="951">
        <f t="shared" si="30"/>
        <v>170071.09166666667</v>
      </c>
      <c r="AE140" s="879"/>
    </row>
    <row r="141" spans="1:31">
      <c r="A141" s="879">
        <f t="shared" si="21"/>
        <v>127</v>
      </c>
      <c r="B141" s="893" t="s">
        <v>1850</v>
      </c>
      <c r="C141" s="893" t="s">
        <v>476</v>
      </c>
      <c r="D141" s="893" t="s">
        <v>536</v>
      </c>
      <c r="E141" s="894" t="s">
        <v>929</v>
      </c>
      <c r="F141" s="895">
        <v>186057.52</v>
      </c>
      <c r="G141" s="895">
        <v>200402.73</v>
      </c>
      <c r="H141" s="895">
        <v>219068.21</v>
      </c>
      <c r="I141" s="895">
        <v>236891.08</v>
      </c>
      <c r="J141" s="895">
        <v>206008.55</v>
      </c>
      <c r="K141" s="895">
        <v>206008.55</v>
      </c>
      <c r="L141" s="895">
        <v>1820.00999999998</v>
      </c>
      <c r="M141" s="895">
        <v>-1.9781509763561199E-11</v>
      </c>
      <c r="N141" s="895">
        <v>51352.98</v>
      </c>
      <c r="O141" s="895">
        <v>89896.35</v>
      </c>
      <c r="P141" s="895">
        <v>89896.35</v>
      </c>
      <c r="Q141" s="895">
        <v>38697.56</v>
      </c>
      <c r="R141" s="895">
        <v>38697.56</v>
      </c>
      <c r="S141" s="896">
        <f t="shared" si="31"/>
        <v>121034.99250000004</v>
      </c>
      <c r="T141" s="879"/>
      <c r="U141" s="881">
        <f t="shared" si="29"/>
        <v>121034.99250000004</v>
      </c>
      <c r="V141" s="881"/>
      <c r="W141" s="881"/>
      <c r="X141" s="897"/>
      <c r="Y141" s="881"/>
      <c r="Z141" s="881"/>
      <c r="AA141" s="881"/>
      <c r="AB141" s="881"/>
      <c r="AC141" s="879"/>
      <c r="AD141" s="951">
        <f t="shared" si="30"/>
        <v>121034.99250000004</v>
      </c>
      <c r="AE141" s="879"/>
    </row>
    <row r="142" spans="1:31">
      <c r="A142" s="879">
        <f t="shared" si="21"/>
        <v>128</v>
      </c>
      <c r="B142" s="893" t="s">
        <v>1850</v>
      </c>
      <c r="C142" s="893" t="s">
        <v>480</v>
      </c>
      <c r="D142" s="893" t="s">
        <v>495</v>
      </c>
      <c r="E142" s="894" t="s">
        <v>481</v>
      </c>
      <c r="F142" s="895">
        <v>712311.02</v>
      </c>
      <c r="G142" s="895">
        <v>697965.81</v>
      </c>
      <c r="H142" s="895">
        <v>679300.33</v>
      </c>
      <c r="I142" s="895">
        <v>661477.46</v>
      </c>
      <c r="J142" s="895">
        <v>1205358</v>
      </c>
      <c r="K142" s="895">
        <v>1258794.78</v>
      </c>
      <c r="L142" s="895">
        <v>1462983.32</v>
      </c>
      <c r="M142" s="895">
        <v>1461900.81</v>
      </c>
      <c r="N142" s="895">
        <v>1905391.12</v>
      </c>
      <c r="O142" s="895">
        <v>2374582.09</v>
      </c>
      <c r="P142" s="895">
        <v>2374582.09</v>
      </c>
      <c r="Q142" s="895">
        <v>2393533.4399999999</v>
      </c>
      <c r="R142" s="895">
        <v>1705163.69</v>
      </c>
      <c r="S142" s="896">
        <f t="shared" si="31"/>
        <v>1473717.2170833331</v>
      </c>
      <c r="T142" s="879"/>
      <c r="U142" s="881">
        <f t="shared" si="29"/>
        <v>1473717.2170833331</v>
      </c>
      <c r="V142" s="881"/>
      <c r="W142" s="881"/>
      <c r="X142" s="897"/>
      <c r="Y142" s="881"/>
      <c r="Z142" s="881"/>
      <c r="AA142" s="881"/>
      <c r="AB142" s="881"/>
      <c r="AC142" s="879"/>
      <c r="AD142" s="951">
        <f t="shared" si="30"/>
        <v>1473717.2170833331</v>
      </c>
      <c r="AE142" s="879"/>
    </row>
    <row r="143" spans="1:31">
      <c r="A143" s="879">
        <f t="shared" si="21"/>
        <v>129</v>
      </c>
      <c r="B143" s="879"/>
      <c r="C143" s="879"/>
      <c r="D143" s="879"/>
      <c r="E143" s="894" t="s">
        <v>482</v>
      </c>
      <c r="F143" s="898">
        <f t="shared" ref="F143:S143" si="32">SUM(F117:F142)</f>
        <v>7970378.9699999988</v>
      </c>
      <c r="G143" s="898">
        <f t="shared" si="32"/>
        <v>8372775.9799999986</v>
      </c>
      <c r="H143" s="898">
        <f t="shared" si="32"/>
        <v>7680087.7199999979</v>
      </c>
      <c r="I143" s="898">
        <f t="shared" si="32"/>
        <v>8033128.1799999997</v>
      </c>
      <c r="J143" s="898">
        <f t="shared" si="32"/>
        <v>8825512.7700000014</v>
      </c>
      <c r="K143" s="898">
        <f t="shared" si="32"/>
        <v>8675448.0000000019</v>
      </c>
      <c r="L143" s="898">
        <f t="shared" si="32"/>
        <v>8790358.4700000007</v>
      </c>
      <c r="M143" s="898">
        <f t="shared" si="32"/>
        <v>8761133.3800000008</v>
      </c>
      <c r="N143" s="898">
        <f t="shared" si="32"/>
        <v>9331887.5800000001</v>
      </c>
      <c r="O143" s="898">
        <f t="shared" si="32"/>
        <v>10577291.140000001</v>
      </c>
      <c r="P143" s="898">
        <f t="shared" si="32"/>
        <v>10386924.389999999</v>
      </c>
      <c r="Q143" s="898">
        <f t="shared" si="32"/>
        <v>10395297.549999999</v>
      </c>
      <c r="R143" s="898">
        <f t="shared" si="32"/>
        <v>9055713.3999999985</v>
      </c>
      <c r="S143" s="899">
        <f t="shared" si="32"/>
        <v>9028574.2787500005</v>
      </c>
      <c r="T143" s="879"/>
      <c r="U143" s="881"/>
      <c r="V143" s="881"/>
      <c r="W143" s="881"/>
      <c r="X143" s="897"/>
      <c r="Y143" s="881"/>
      <c r="Z143" s="881"/>
      <c r="AA143" s="881"/>
      <c r="AB143" s="881"/>
      <c r="AC143" s="879"/>
      <c r="AD143" s="879"/>
      <c r="AE143" s="879"/>
    </row>
    <row r="144" spans="1:31">
      <c r="A144" s="879">
        <f t="shared" si="21"/>
        <v>130</v>
      </c>
      <c r="B144" s="879"/>
      <c r="C144" s="879"/>
      <c r="D144" s="879"/>
      <c r="E144" s="918"/>
      <c r="F144" s="895"/>
      <c r="G144" s="941"/>
      <c r="H144" s="942"/>
      <c r="I144" s="942"/>
      <c r="J144" s="943"/>
      <c r="K144" s="944"/>
      <c r="L144" s="945"/>
      <c r="M144" s="946"/>
      <c r="N144" s="947"/>
      <c r="O144" s="948"/>
      <c r="P144" s="949"/>
      <c r="Q144" s="950"/>
      <c r="R144" s="895"/>
      <c r="S144" s="896"/>
      <c r="T144" s="879"/>
      <c r="U144" s="881"/>
      <c r="V144" s="881"/>
      <c r="W144" s="881"/>
      <c r="X144" s="897"/>
      <c r="Y144" s="881"/>
      <c r="Z144" s="881"/>
      <c r="AA144" s="881"/>
      <c r="AB144" s="881"/>
      <c r="AC144" s="879"/>
      <c r="AD144" s="879"/>
      <c r="AE144" s="879"/>
    </row>
    <row r="145" spans="1:31">
      <c r="A145" s="879">
        <f t="shared" ref="A145:A208" si="33">+A144+1</f>
        <v>131</v>
      </c>
      <c r="B145" s="893" t="s">
        <v>1850</v>
      </c>
      <c r="C145" s="893" t="s">
        <v>483</v>
      </c>
      <c r="D145" s="893" t="s">
        <v>1843</v>
      </c>
      <c r="E145" s="894" t="s">
        <v>484</v>
      </c>
      <c r="F145" s="895">
        <v>141934.38</v>
      </c>
      <c r="G145" s="895">
        <v>1047402.23</v>
      </c>
      <c r="H145" s="895">
        <v>951220.2</v>
      </c>
      <c r="I145" s="895">
        <v>862269.45</v>
      </c>
      <c r="J145" s="895">
        <v>753777.95</v>
      </c>
      <c r="K145" s="895">
        <v>645735.46</v>
      </c>
      <c r="L145" s="895">
        <v>573398.41</v>
      </c>
      <c r="M145" s="895">
        <v>465355.91</v>
      </c>
      <c r="N145" s="895">
        <v>357313.43</v>
      </c>
      <c r="O145" s="895">
        <v>282349.87</v>
      </c>
      <c r="P145" s="895">
        <v>171680.88</v>
      </c>
      <c r="Q145" s="895">
        <v>233437.62</v>
      </c>
      <c r="R145" s="895">
        <v>146719</v>
      </c>
      <c r="S145" s="896">
        <f t="shared" ref="S145:S157" si="34">((F145+R145)+((G145+H145+I145+J145+K145+L145+M145+N145+O145+P145+Q145)*2))/24</f>
        <v>540689.00833333342</v>
      </c>
      <c r="T145" s="879"/>
      <c r="U145" s="881">
        <f t="shared" ref="U145:U157" si="35">+S145</f>
        <v>540689.00833333342</v>
      </c>
      <c r="V145" s="881"/>
      <c r="W145" s="881"/>
      <c r="X145" s="897"/>
      <c r="Y145" s="881"/>
      <c r="Z145" s="881"/>
      <c r="AA145" s="881"/>
      <c r="AB145" s="881"/>
      <c r="AC145" s="879"/>
      <c r="AD145" s="951">
        <f t="shared" ref="AD145:AD157" si="36">+U145</f>
        <v>540689.00833333342</v>
      </c>
      <c r="AE145" s="879"/>
    </row>
    <row r="146" spans="1:31">
      <c r="A146" s="879">
        <f t="shared" si="33"/>
        <v>132</v>
      </c>
      <c r="B146" s="893" t="s">
        <v>1850</v>
      </c>
      <c r="C146" s="893" t="s">
        <v>485</v>
      </c>
      <c r="D146" s="893" t="s">
        <v>515</v>
      </c>
      <c r="E146" s="965" t="s">
        <v>486</v>
      </c>
      <c r="F146" s="895">
        <v>0</v>
      </c>
      <c r="G146" s="895">
        <v>0</v>
      </c>
      <c r="H146" s="895">
        <v>0</v>
      </c>
      <c r="I146" s="895">
        <v>0</v>
      </c>
      <c r="J146" s="895">
        <v>0</v>
      </c>
      <c r="K146" s="895">
        <v>0</v>
      </c>
      <c r="L146" s="895">
        <v>0</v>
      </c>
      <c r="M146" s="895">
        <v>0</v>
      </c>
      <c r="N146" s="895">
        <v>0</v>
      </c>
      <c r="O146" s="895">
        <v>723561.32</v>
      </c>
      <c r="P146" s="895">
        <v>526131.56999999995</v>
      </c>
      <c r="Q146" s="895">
        <v>439278.83</v>
      </c>
      <c r="R146" s="895">
        <v>-5.8207660913467401E-11</v>
      </c>
      <c r="S146" s="896">
        <f t="shared" si="34"/>
        <v>140747.64333333334</v>
      </c>
      <c r="T146" s="879"/>
      <c r="U146" s="881">
        <f t="shared" si="35"/>
        <v>140747.64333333334</v>
      </c>
      <c r="V146" s="881"/>
      <c r="W146" s="881"/>
      <c r="X146" s="897"/>
      <c r="Y146" s="881"/>
      <c r="Z146" s="881"/>
      <c r="AA146" s="881"/>
      <c r="AB146" s="881"/>
      <c r="AC146" s="879"/>
      <c r="AD146" s="951">
        <f t="shared" si="36"/>
        <v>140747.64333333334</v>
      </c>
      <c r="AE146" s="879"/>
    </row>
    <row r="147" spans="1:31">
      <c r="A147" s="879">
        <f t="shared" si="33"/>
        <v>133</v>
      </c>
      <c r="B147" s="893" t="s">
        <v>1886</v>
      </c>
      <c r="C147" s="893" t="s">
        <v>485</v>
      </c>
      <c r="D147" s="893" t="s">
        <v>517</v>
      </c>
      <c r="E147" s="965" t="s">
        <v>486</v>
      </c>
      <c r="F147" s="895">
        <v>0</v>
      </c>
      <c r="G147" s="895">
        <v>0</v>
      </c>
      <c r="H147" s="895">
        <v>0</v>
      </c>
      <c r="I147" s="895">
        <v>0</v>
      </c>
      <c r="J147" s="895">
        <v>0</v>
      </c>
      <c r="K147" s="895">
        <v>0</v>
      </c>
      <c r="L147" s="895">
        <v>0</v>
      </c>
      <c r="M147" s="895">
        <v>0</v>
      </c>
      <c r="N147" s="895">
        <v>0</v>
      </c>
      <c r="O147" s="895">
        <v>28602.61</v>
      </c>
      <c r="P147" s="895">
        <v>28475.47</v>
      </c>
      <c r="Q147" s="895">
        <v>-48137.99</v>
      </c>
      <c r="R147" s="895">
        <v>-7.2759576141834308E-12</v>
      </c>
      <c r="S147" s="896">
        <f t="shared" si="34"/>
        <v>745.00750000000005</v>
      </c>
      <c r="T147" s="879"/>
      <c r="U147" s="881">
        <f t="shared" si="35"/>
        <v>745.00750000000005</v>
      </c>
      <c r="V147" s="881"/>
      <c r="W147" s="881"/>
      <c r="X147" s="897"/>
      <c r="Y147" s="881"/>
      <c r="Z147" s="881"/>
      <c r="AA147" s="881"/>
      <c r="AB147" s="881"/>
      <c r="AC147" s="879"/>
      <c r="AD147" s="951">
        <f t="shared" si="36"/>
        <v>745.00750000000005</v>
      </c>
      <c r="AE147" s="879"/>
    </row>
    <row r="148" spans="1:31">
      <c r="A148" s="879">
        <f t="shared" si="33"/>
        <v>134</v>
      </c>
      <c r="B148" s="893" t="s">
        <v>1850</v>
      </c>
      <c r="C148" s="893" t="s">
        <v>485</v>
      </c>
      <c r="D148" s="893" t="s">
        <v>519</v>
      </c>
      <c r="E148" s="965" t="s">
        <v>486</v>
      </c>
      <c r="F148" s="895">
        <v>0</v>
      </c>
      <c r="G148" s="895">
        <v>0</v>
      </c>
      <c r="H148" s="895">
        <v>0</v>
      </c>
      <c r="I148" s="895">
        <v>0</v>
      </c>
      <c r="J148" s="895">
        <v>0</v>
      </c>
      <c r="K148" s="895">
        <v>0</v>
      </c>
      <c r="L148" s="895">
        <v>0</v>
      </c>
      <c r="M148" s="895">
        <v>0</v>
      </c>
      <c r="N148" s="895">
        <v>0</v>
      </c>
      <c r="O148" s="895">
        <v>0</v>
      </c>
      <c r="P148" s="895">
        <v>0</v>
      </c>
      <c r="Q148" s="895">
        <v>0</v>
      </c>
      <c r="R148" s="895">
        <v>0</v>
      </c>
      <c r="S148" s="896">
        <f t="shared" si="34"/>
        <v>0</v>
      </c>
      <c r="T148" s="879"/>
      <c r="U148" s="881">
        <f t="shared" si="35"/>
        <v>0</v>
      </c>
      <c r="V148" s="881"/>
      <c r="W148" s="881"/>
      <c r="X148" s="897"/>
      <c r="Y148" s="881"/>
      <c r="Z148" s="881"/>
      <c r="AA148" s="881"/>
      <c r="AB148" s="881"/>
      <c r="AC148" s="879"/>
      <c r="AD148" s="951">
        <f t="shared" si="36"/>
        <v>0</v>
      </c>
      <c r="AE148" s="879"/>
    </row>
    <row r="149" spans="1:31">
      <c r="A149" s="879">
        <f t="shared" si="33"/>
        <v>135</v>
      </c>
      <c r="B149" s="893" t="s">
        <v>1850</v>
      </c>
      <c r="C149" s="893" t="s">
        <v>485</v>
      </c>
      <c r="D149" s="893" t="s">
        <v>487</v>
      </c>
      <c r="E149" s="965" t="s">
        <v>488</v>
      </c>
      <c r="F149" s="895">
        <v>2719098.63</v>
      </c>
      <c r="G149" s="895">
        <v>2487523.08</v>
      </c>
      <c r="H149" s="895">
        <v>2183281.08</v>
      </c>
      <c r="I149" s="895">
        <v>344683.95</v>
      </c>
      <c r="J149" s="895">
        <v>344683.95</v>
      </c>
      <c r="K149" s="895">
        <v>1242211.08</v>
      </c>
      <c r="L149" s="895">
        <v>1373709.51</v>
      </c>
      <c r="M149" s="895">
        <v>1911378.55</v>
      </c>
      <c r="N149" s="895">
        <v>2541463.54</v>
      </c>
      <c r="O149" s="895">
        <v>2763023.48</v>
      </c>
      <c r="P149" s="895">
        <v>2763023.48</v>
      </c>
      <c r="Q149" s="895">
        <v>2763023.48</v>
      </c>
      <c r="R149" s="895">
        <v>1381150.02</v>
      </c>
      <c r="S149" s="896">
        <f t="shared" si="34"/>
        <v>1897344.125416667</v>
      </c>
      <c r="T149" s="879"/>
      <c r="U149" s="881">
        <f t="shared" si="35"/>
        <v>1897344.125416667</v>
      </c>
      <c r="V149" s="881"/>
      <c r="W149" s="881"/>
      <c r="X149" s="897"/>
      <c r="Y149" s="881"/>
      <c r="Z149" s="881"/>
      <c r="AA149" s="881"/>
      <c r="AB149" s="881"/>
      <c r="AC149" s="879"/>
      <c r="AD149" s="951">
        <f t="shared" si="36"/>
        <v>1897344.125416667</v>
      </c>
      <c r="AE149" s="879"/>
    </row>
    <row r="150" spans="1:31">
      <c r="A150" s="879">
        <f t="shared" si="33"/>
        <v>136</v>
      </c>
      <c r="B150" s="893" t="s">
        <v>1850</v>
      </c>
      <c r="C150" s="893" t="s">
        <v>485</v>
      </c>
      <c r="D150" s="893" t="s">
        <v>2140</v>
      </c>
      <c r="E150" s="894" t="s">
        <v>489</v>
      </c>
      <c r="F150" s="895">
        <v>0</v>
      </c>
      <c r="G150" s="895">
        <v>0</v>
      </c>
      <c r="H150" s="895">
        <v>0</v>
      </c>
      <c r="I150" s="895">
        <v>0</v>
      </c>
      <c r="J150" s="895">
        <v>0</v>
      </c>
      <c r="K150" s="895">
        <v>0</v>
      </c>
      <c r="L150" s="895">
        <v>0</v>
      </c>
      <c r="M150" s="895">
        <v>0</v>
      </c>
      <c r="N150" s="895">
        <v>0</v>
      </c>
      <c r="O150" s="895">
        <v>0</v>
      </c>
      <c r="P150" s="895">
        <v>0</v>
      </c>
      <c r="Q150" s="895">
        <v>177533.27</v>
      </c>
      <c r="R150" s="895">
        <v>209141.59</v>
      </c>
      <c r="S150" s="896">
        <f t="shared" si="34"/>
        <v>23508.672083333335</v>
      </c>
      <c r="T150" s="879"/>
      <c r="U150" s="881">
        <f t="shared" si="35"/>
        <v>23508.672083333335</v>
      </c>
      <c r="V150" s="881"/>
      <c r="W150" s="881"/>
      <c r="X150" s="897"/>
      <c r="Y150" s="881"/>
      <c r="Z150" s="881"/>
      <c r="AA150" s="881"/>
      <c r="AB150" s="881"/>
      <c r="AC150" s="879"/>
      <c r="AD150" s="951">
        <f t="shared" si="36"/>
        <v>23508.672083333335</v>
      </c>
      <c r="AE150" s="879"/>
    </row>
    <row r="151" spans="1:31">
      <c r="A151" s="879">
        <f t="shared" si="33"/>
        <v>137</v>
      </c>
      <c r="B151" s="893" t="s">
        <v>1886</v>
      </c>
      <c r="C151" s="893" t="s">
        <v>485</v>
      </c>
      <c r="D151" s="893" t="s">
        <v>495</v>
      </c>
      <c r="E151" s="894" t="s">
        <v>489</v>
      </c>
      <c r="F151" s="895">
        <v>-2.00000000368163E-2</v>
      </c>
      <c r="G151" s="895">
        <v>-0.02</v>
      </c>
      <c r="H151" s="895">
        <v>-0.02</v>
      </c>
      <c r="I151" s="895">
        <v>140843.79</v>
      </c>
      <c r="J151" s="895">
        <v>125194.48</v>
      </c>
      <c r="K151" s="895">
        <v>109545.17</v>
      </c>
      <c r="L151" s="895">
        <v>93895.86</v>
      </c>
      <c r="M151" s="895">
        <v>78246.55</v>
      </c>
      <c r="N151" s="895">
        <v>62597.24</v>
      </c>
      <c r="O151" s="895">
        <v>46947.93</v>
      </c>
      <c r="P151" s="895">
        <v>31298.62</v>
      </c>
      <c r="Q151" s="895">
        <v>15649.31</v>
      </c>
      <c r="R151" s="895">
        <v>2.5465851649642E-11</v>
      </c>
      <c r="S151" s="896">
        <f t="shared" si="34"/>
        <v>58684.908333333333</v>
      </c>
      <c r="T151" s="879"/>
      <c r="U151" s="881">
        <f t="shared" si="35"/>
        <v>58684.908333333333</v>
      </c>
      <c r="V151" s="881"/>
      <c r="W151" s="881"/>
      <c r="X151" s="897"/>
      <c r="Y151" s="881"/>
      <c r="Z151" s="881"/>
      <c r="AA151" s="881"/>
      <c r="AB151" s="881"/>
      <c r="AC151" s="879"/>
      <c r="AD151" s="951">
        <f t="shared" si="36"/>
        <v>58684.908333333333</v>
      </c>
      <c r="AE151" s="879"/>
    </row>
    <row r="152" spans="1:31">
      <c r="A152" s="879">
        <f t="shared" si="33"/>
        <v>138</v>
      </c>
      <c r="B152" s="893" t="s">
        <v>1886</v>
      </c>
      <c r="C152" s="893" t="s">
        <v>485</v>
      </c>
      <c r="D152" s="893" t="s">
        <v>478</v>
      </c>
      <c r="E152" s="894" t="s">
        <v>489</v>
      </c>
      <c r="F152" s="895">
        <v>34537.9</v>
      </c>
      <c r="G152" s="895">
        <v>27630.32</v>
      </c>
      <c r="H152" s="895">
        <v>20722.740000000002</v>
      </c>
      <c r="I152" s="895">
        <v>13815.16</v>
      </c>
      <c r="J152" s="895">
        <v>6907.58</v>
      </c>
      <c r="K152" s="895">
        <v>-1.8189894035458601E-12</v>
      </c>
      <c r="L152" s="895">
        <v>71772.25</v>
      </c>
      <c r="M152" s="895">
        <v>65247.5</v>
      </c>
      <c r="N152" s="895">
        <v>58722.75</v>
      </c>
      <c r="O152" s="895">
        <v>52198</v>
      </c>
      <c r="P152" s="895">
        <v>45673.25</v>
      </c>
      <c r="Q152" s="895">
        <v>39148.5</v>
      </c>
      <c r="R152" s="895">
        <v>32623.75</v>
      </c>
      <c r="S152" s="896">
        <f t="shared" si="34"/>
        <v>36284.90625</v>
      </c>
      <c r="T152" s="879"/>
      <c r="U152" s="881">
        <f t="shared" si="35"/>
        <v>36284.90625</v>
      </c>
      <c r="V152" s="881"/>
      <c r="W152" s="881"/>
      <c r="X152" s="897"/>
      <c r="Y152" s="881"/>
      <c r="Z152" s="881"/>
      <c r="AA152" s="881"/>
      <c r="AB152" s="881"/>
      <c r="AC152" s="879"/>
      <c r="AD152" s="951">
        <f t="shared" si="36"/>
        <v>36284.90625</v>
      </c>
      <c r="AE152" s="879"/>
    </row>
    <row r="153" spans="1:31">
      <c r="A153" s="879">
        <f t="shared" si="33"/>
        <v>139</v>
      </c>
      <c r="B153" s="893" t="s">
        <v>1886</v>
      </c>
      <c r="C153" s="893" t="s">
        <v>485</v>
      </c>
      <c r="D153" s="893" t="s">
        <v>534</v>
      </c>
      <c r="E153" s="894" t="s">
        <v>489</v>
      </c>
      <c r="F153" s="895">
        <v>677406.93</v>
      </c>
      <c r="G153" s="895">
        <v>564505.77</v>
      </c>
      <c r="H153" s="895">
        <v>451604.61</v>
      </c>
      <c r="I153" s="895">
        <v>338703.45</v>
      </c>
      <c r="J153" s="895">
        <v>225802.29</v>
      </c>
      <c r="K153" s="895">
        <v>112901.13</v>
      </c>
      <c r="L153" s="895">
        <v>-5.8207660913467401E-11</v>
      </c>
      <c r="M153" s="895">
        <v>-5.8207660913467401E-11</v>
      </c>
      <c r="N153" s="895">
        <v>-5.8207660913467401E-11</v>
      </c>
      <c r="O153" s="895">
        <v>-5.8207660913467401E-11</v>
      </c>
      <c r="P153" s="895">
        <v>-5.8207660913467401E-11</v>
      </c>
      <c r="Q153" s="895">
        <v>801657.79</v>
      </c>
      <c r="R153" s="895">
        <v>687135.25</v>
      </c>
      <c r="S153" s="896">
        <f t="shared" si="34"/>
        <v>264787.17749999999</v>
      </c>
      <c r="T153" s="879"/>
      <c r="U153" s="881">
        <f t="shared" si="35"/>
        <v>264787.17749999999</v>
      </c>
      <c r="V153" s="881"/>
      <c r="W153" s="881"/>
      <c r="X153" s="897"/>
      <c r="Y153" s="881"/>
      <c r="Z153" s="881"/>
      <c r="AA153" s="881"/>
      <c r="AB153" s="881"/>
      <c r="AC153" s="879"/>
      <c r="AD153" s="951">
        <f t="shared" si="36"/>
        <v>264787.17749999999</v>
      </c>
      <c r="AE153" s="879"/>
    </row>
    <row r="154" spans="1:31">
      <c r="A154" s="879">
        <f t="shared" si="33"/>
        <v>140</v>
      </c>
      <c r="B154" s="893" t="s">
        <v>1886</v>
      </c>
      <c r="C154" s="893" t="s">
        <v>490</v>
      </c>
      <c r="D154" s="893" t="s">
        <v>2141</v>
      </c>
      <c r="E154" s="894" t="s">
        <v>491</v>
      </c>
      <c r="F154" s="895">
        <v>0</v>
      </c>
      <c r="G154" s="895">
        <v>0</v>
      </c>
      <c r="H154" s="895">
        <v>0</v>
      </c>
      <c r="I154" s="895">
        <v>0</v>
      </c>
      <c r="J154" s="895">
        <v>0</v>
      </c>
      <c r="K154" s="895">
        <v>0</v>
      </c>
      <c r="L154" s="895">
        <v>0</v>
      </c>
      <c r="M154" s="895">
        <v>0</v>
      </c>
      <c r="N154" s="895">
        <v>0</v>
      </c>
      <c r="O154" s="895">
        <v>0</v>
      </c>
      <c r="P154" s="895">
        <v>0</v>
      </c>
      <c r="Q154" s="895">
        <v>0</v>
      </c>
      <c r="R154" s="895">
        <v>0</v>
      </c>
      <c r="S154" s="896">
        <f t="shared" si="34"/>
        <v>0</v>
      </c>
      <c r="T154" s="879"/>
      <c r="U154" s="881">
        <f t="shared" si="35"/>
        <v>0</v>
      </c>
      <c r="V154" s="881"/>
      <c r="W154" s="881"/>
      <c r="X154" s="897"/>
      <c r="Y154" s="881"/>
      <c r="Z154" s="881"/>
      <c r="AA154" s="881"/>
      <c r="AB154" s="881"/>
      <c r="AC154" s="879"/>
      <c r="AD154" s="951">
        <f t="shared" si="36"/>
        <v>0</v>
      </c>
      <c r="AE154" s="879"/>
    </row>
    <row r="155" spans="1:31">
      <c r="A155" s="879">
        <f t="shared" si="33"/>
        <v>141</v>
      </c>
      <c r="B155" s="893" t="s">
        <v>1853</v>
      </c>
      <c r="C155" s="893" t="s">
        <v>490</v>
      </c>
      <c r="D155" s="893" t="s">
        <v>2142</v>
      </c>
      <c r="E155" s="894" t="s">
        <v>491</v>
      </c>
      <c r="F155" s="895">
        <v>0</v>
      </c>
      <c r="G155" s="895">
        <v>0</v>
      </c>
      <c r="H155" s="895">
        <v>0</v>
      </c>
      <c r="I155" s="895">
        <v>0</v>
      </c>
      <c r="J155" s="895">
        <v>0</v>
      </c>
      <c r="K155" s="895">
        <v>0</v>
      </c>
      <c r="L155" s="895">
        <v>0</v>
      </c>
      <c r="M155" s="895">
        <v>0</v>
      </c>
      <c r="N155" s="895">
        <v>0</v>
      </c>
      <c r="O155" s="895">
        <v>0</v>
      </c>
      <c r="P155" s="895">
        <v>0</v>
      </c>
      <c r="Q155" s="895">
        <v>0</v>
      </c>
      <c r="R155" s="895">
        <v>0</v>
      </c>
      <c r="S155" s="896">
        <f t="shared" si="34"/>
        <v>0</v>
      </c>
      <c r="T155" s="879"/>
      <c r="U155" s="881">
        <f t="shared" si="35"/>
        <v>0</v>
      </c>
      <c r="V155" s="881"/>
      <c r="W155" s="881"/>
      <c r="X155" s="897"/>
      <c r="Y155" s="881"/>
      <c r="Z155" s="881"/>
      <c r="AA155" s="881"/>
      <c r="AB155" s="881"/>
      <c r="AC155" s="879"/>
      <c r="AD155" s="951">
        <f t="shared" si="36"/>
        <v>0</v>
      </c>
      <c r="AE155" s="879"/>
    </row>
    <row r="156" spans="1:31">
      <c r="A156" s="879">
        <f t="shared" si="33"/>
        <v>142</v>
      </c>
      <c r="B156" s="893" t="s">
        <v>1850</v>
      </c>
      <c r="C156" s="893" t="s">
        <v>492</v>
      </c>
      <c r="D156" s="893" t="s">
        <v>495</v>
      </c>
      <c r="E156" s="894" t="s">
        <v>493</v>
      </c>
      <c r="F156" s="895">
        <v>0</v>
      </c>
      <c r="G156" s="895">
        <v>0</v>
      </c>
      <c r="H156" s="895">
        <v>0</v>
      </c>
      <c r="I156" s="895">
        <v>0</v>
      </c>
      <c r="J156" s="895">
        <v>0</v>
      </c>
      <c r="K156" s="895">
        <v>0</v>
      </c>
      <c r="L156" s="895">
        <v>0</v>
      </c>
      <c r="M156" s="895">
        <v>0</v>
      </c>
      <c r="N156" s="895">
        <v>0</v>
      </c>
      <c r="O156" s="895">
        <v>0</v>
      </c>
      <c r="P156" s="895">
        <v>0</v>
      </c>
      <c r="Q156" s="895">
        <v>0</v>
      </c>
      <c r="R156" s="895">
        <v>0</v>
      </c>
      <c r="S156" s="896">
        <f t="shared" si="34"/>
        <v>0</v>
      </c>
      <c r="T156" s="879"/>
      <c r="U156" s="881">
        <f t="shared" si="35"/>
        <v>0</v>
      </c>
      <c r="V156" s="881"/>
      <c r="W156" s="881"/>
      <c r="X156" s="897"/>
      <c r="Y156" s="881"/>
      <c r="Z156" s="881"/>
      <c r="AA156" s="881"/>
      <c r="AB156" s="881"/>
      <c r="AC156" s="879"/>
      <c r="AD156" s="951">
        <f t="shared" si="36"/>
        <v>0</v>
      </c>
      <c r="AE156" s="879"/>
    </row>
    <row r="157" spans="1:31">
      <c r="A157" s="879">
        <f t="shared" si="33"/>
        <v>143</v>
      </c>
      <c r="B157" s="893" t="s">
        <v>1850</v>
      </c>
      <c r="C157" s="893" t="s">
        <v>494</v>
      </c>
      <c r="D157" s="893" t="s">
        <v>495</v>
      </c>
      <c r="E157" s="894" t="s">
        <v>496</v>
      </c>
      <c r="F157" s="895">
        <v>0</v>
      </c>
      <c r="G157" s="895">
        <v>0</v>
      </c>
      <c r="H157" s="895">
        <v>0</v>
      </c>
      <c r="I157" s="895">
        <v>0</v>
      </c>
      <c r="J157" s="895">
        <v>0</v>
      </c>
      <c r="K157" s="895">
        <v>0</v>
      </c>
      <c r="L157" s="895">
        <v>0</v>
      </c>
      <c r="M157" s="895">
        <v>0</v>
      </c>
      <c r="N157" s="895">
        <v>0</v>
      </c>
      <c r="O157" s="895">
        <v>0</v>
      </c>
      <c r="P157" s="895">
        <v>0</v>
      </c>
      <c r="Q157" s="895">
        <v>0</v>
      </c>
      <c r="R157" s="895">
        <v>0</v>
      </c>
      <c r="S157" s="896">
        <f t="shared" si="34"/>
        <v>0</v>
      </c>
      <c r="T157" s="879"/>
      <c r="U157" s="881">
        <f t="shared" si="35"/>
        <v>0</v>
      </c>
      <c r="V157" s="881"/>
      <c r="W157" s="881"/>
      <c r="X157" s="897"/>
      <c r="Y157" s="881"/>
      <c r="Z157" s="881"/>
      <c r="AA157" s="881"/>
      <c r="AB157" s="881"/>
      <c r="AC157" s="879"/>
      <c r="AD157" s="951">
        <f t="shared" si="36"/>
        <v>0</v>
      </c>
      <c r="AE157" s="879"/>
    </row>
    <row r="158" spans="1:31">
      <c r="A158" s="879">
        <f t="shared" si="33"/>
        <v>144</v>
      </c>
      <c r="B158" s="879"/>
      <c r="C158" s="879"/>
      <c r="D158" s="879"/>
      <c r="E158" s="894" t="s">
        <v>497</v>
      </c>
      <c r="F158" s="898">
        <f t="shared" ref="F158:S158" si="37">SUM(F145:F157)</f>
        <v>3572977.82</v>
      </c>
      <c r="G158" s="898">
        <f t="shared" si="37"/>
        <v>4127061.38</v>
      </c>
      <c r="H158" s="898">
        <f t="shared" si="37"/>
        <v>3606828.6100000003</v>
      </c>
      <c r="I158" s="898">
        <f t="shared" si="37"/>
        <v>1700315.7999999998</v>
      </c>
      <c r="J158" s="898">
        <f t="shared" si="37"/>
        <v>1456366.25</v>
      </c>
      <c r="K158" s="898">
        <f t="shared" si="37"/>
        <v>2110392.84</v>
      </c>
      <c r="L158" s="898">
        <f t="shared" si="37"/>
        <v>2112776.0300000003</v>
      </c>
      <c r="M158" s="898">
        <f t="shared" si="37"/>
        <v>2520228.5099999998</v>
      </c>
      <c r="N158" s="898">
        <f t="shared" si="37"/>
        <v>3020096.9600000004</v>
      </c>
      <c r="O158" s="898">
        <f t="shared" si="37"/>
        <v>3896683.21</v>
      </c>
      <c r="P158" s="898">
        <f t="shared" si="37"/>
        <v>3566283.27</v>
      </c>
      <c r="Q158" s="898">
        <f t="shared" si="37"/>
        <v>4421590.8100000005</v>
      </c>
      <c r="R158" s="898">
        <f t="shared" si="37"/>
        <v>2456769.6100000003</v>
      </c>
      <c r="S158" s="899">
        <f t="shared" si="37"/>
        <v>2962791.4487500004</v>
      </c>
      <c r="T158" s="879"/>
      <c r="U158" s="881"/>
      <c r="V158" s="881"/>
      <c r="W158" s="881"/>
      <c r="X158" s="897"/>
      <c r="Y158" s="881"/>
      <c r="Z158" s="881"/>
      <c r="AA158" s="881"/>
      <c r="AB158" s="881"/>
      <c r="AC158" s="879"/>
      <c r="AD158" s="879"/>
      <c r="AE158" s="879"/>
    </row>
    <row r="159" spans="1:31">
      <c r="A159" s="879">
        <f t="shared" si="33"/>
        <v>145</v>
      </c>
      <c r="B159" s="879"/>
      <c r="C159" s="879"/>
      <c r="D159" s="879"/>
      <c r="E159" s="918"/>
      <c r="F159" s="895"/>
      <c r="G159" s="966"/>
      <c r="H159" s="942"/>
      <c r="I159" s="942"/>
      <c r="J159" s="943"/>
      <c r="K159" s="944"/>
      <c r="L159" s="945"/>
      <c r="M159" s="946"/>
      <c r="N159" s="947"/>
      <c r="O159" s="948"/>
      <c r="P159" s="949"/>
      <c r="Q159" s="967"/>
      <c r="R159" s="895"/>
      <c r="S159" s="896"/>
      <c r="T159" s="879"/>
      <c r="U159" s="881"/>
      <c r="V159" s="881"/>
      <c r="W159" s="881"/>
      <c r="X159" s="897"/>
      <c r="Y159" s="881"/>
      <c r="Z159" s="881"/>
      <c r="AA159" s="881"/>
      <c r="AB159" s="881"/>
      <c r="AC159" s="879"/>
      <c r="AD159" s="879"/>
      <c r="AE159" s="879"/>
    </row>
    <row r="160" spans="1:31">
      <c r="A160" s="879">
        <f t="shared" si="33"/>
        <v>146</v>
      </c>
      <c r="B160" s="893" t="s">
        <v>1886</v>
      </c>
      <c r="C160" s="893" t="s">
        <v>498</v>
      </c>
      <c r="D160" s="893" t="s">
        <v>495</v>
      </c>
      <c r="E160" s="894" t="s">
        <v>499</v>
      </c>
      <c r="F160" s="895">
        <v>4903434.7300000004</v>
      </c>
      <c r="G160" s="895">
        <v>3869605.74</v>
      </c>
      <c r="H160" s="895">
        <v>3180952.9</v>
      </c>
      <c r="I160" s="895">
        <v>2393067.38</v>
      </c>
      <c r="J160" s="895">
        <v>1394256.84</v>
      </c>
      <c r="K160" s="895">
        <v>974131.02</v>
      </c>
      <c r="L160" s="895">
        <v>679202.03</v>
      </c>
      <c r="M160" s="895">
        <v>514539.24</v>
      </c>
      <c r="N160" s="895">
        <v>428095.03</v>
      </c>
      <c r="O160" s="895">
        <v>615361.19999999995</v>
      </c>
      <c r="P160" s="895">
        <v>1775897.12</v>
      </c>
      <c r="Q160" s="895">
        <v>2753184.16</v>
      </c>
      <c r="R160" s="895">
        <v>5386168.7699999996</v>
      </c>
      <c r="S160" s="896">
        <f>((F160+R160)+((G160+H160+I160+J160+K160+L160+M160+N160+O160+P160+Q160)*2))/24</f>
        <v>1976924.5341666664</v>
      </c>
      <c r="T160" s="879"/>
      <c r="U160" s="881">
        <f t="shared" ref="U160:U169" si="38">+S160</f>
        <v>1976924.5341666664</v>
      </c>
      <c r="V160" s="881"/>
      <c r="W160" s="881"/>
      <c r="X160" s="897"/>
      <c r="Y160" s="881"/>
      <c r="Z160" s="881"/>
      <c r="AA160" s="881"/>
      <c r="AB160" s="881"/>
      <c r="AC160" s="879"/>
      <c r="AD160" s="951">
        <f t="shared" ref="AD160:AD169" si="39">+U160</f>
        <v>1976924.5341666664</v>
      </c>
      <c r="AE160" s="879"/>
    </row>
    <row r="161" spans="1:31">
      <c r="A161" s="879">
        <f t="shared" si="33"/>
        <v>147</v>
      </c>
      <c r="B161" s="893" t="s">
        <v>1853</v>
      </c>
      <c r="C161" s="893" t="s">
        <v>498</v>
      </c>
      <c r="D161" s="893" t="s">
        <v>495</v>
      </c>
      <c r="E161" s="894" t="s">
        <v>499</v>
      </c>
      <c r="F161" s="895">
        <v>12256437.789999999</v>
      </c>
      <c r="G161" s="895">
        <v>10666175.199999999</v>
      </c>
      <c r="H161" s="895">
        <v>7996734.5599999996</v>
      </c>
      <c r="I161" s="895">
        <v>6156393.4500000002</v>
      </c>
      <c r="J161" s="895">
        <v>3355246.86</v>
      </c>
      <c r="K161" s="895">
        <v>2355948.31</v>
      </c>
      <c r="L161" s="895">
        <v>1562430.88</v>
      </c>
      <c r="M161" s="895">
        <v>1361602.81</v>
      </c>
      <c r="N161" s="895">
        <v>1141337.43</v>
      </c>
      <c r="O161" s="895">
        <v>1486370.64</v>
      </c>
      <c r="P161" s="895">
        <v>3886255.76</v>
      </c>
      <c r="Q161" s="895">
        <v>7353414.6200000001</v>
      </c>
      <c r="R161" s="895">
        <v>14358958.449999999</v>
      </c>
      <c r="S161" s="896">
        <f t="shared" ref="S161:S168" si="40">((F161+R161)+((G161+H161+I161+J161+K161+L161+M161+N161+O161+P161+Q161)*2))/24</f>
        <v>5052467.3866666658</v>
      </c>
      <c r="T161" s="879"/>
      <c r="U161" s="881">
        <f t="shared" si="38"/>
        <v>5052467.3866666658</v>
      </c>
      <c r="V161" s="881"/>
      <c r="W161" s="881"/>
      <c r="X161" s="897"/>
      <c r="Y161" s="881"/>
      <c r="Z161" s="881"/>
      <c r="AA161" s="881"/>
      <c r="AB161" s="881"/>
      <c r="AC161" s="879"/>
      <c r="AD161" s="951">
        <f t="shared" si="39"/>
        <v>5052467.3866666658</v>
      </c>
      <c r="AE161" s="879"/>
    </row>
    <row r="162" spans="1:31">
      <c r="A162" s="879">
        <f t="shared" si="33"/>
        <v>148</v>
      </c>
      <c r="B162" s="893" t="s">
        <v>1886</v>
      </c>
      <c r="C162" s="893" t="s">
        <v>498</v>
      </c>
      <c r="D162" s="893" t="s">
        <v>478</v>
      </c>
      <c r="E162" s="894" t="s">
        <v>499</v>
      </c>
      <c r="F162" s="895">
        <v>2868532.9</v>
      </c>
      <c r="G162" s="895">
        <v>2263436.91</v>
      </c>
      <c r="H162" s="895">
        <v>1913933.47</v>
      </c>
      <c r="I162" s="895">
        <v>1383647.98</v>
      </c>
      <c r="J162" s="895">
        <v>823529.27</v>
      </c>
      <c r="K162" s="895">
        <v>617838.57999999996</v>
      </c>
      <c r="L162" s="895">
        <v>455322.67</v>
      </c>
      <c r="M162" s="895">
        <v>411380.78</v>
      </c>
      <c r="N162" s="895">
        <v>378040.54</v>
      </c>
      <c r="O162" s="895">
        <v>507629.45</v>
      </c>
      <c r="P162" s="895">
        <v>1108562.43</v>
      </c>
      <c r="Q162" s="895">
        <v>1503342.29</v>
      </c>
      <c r="R162" s="895">
        <v>2836438.46</v>
      </c>
      <c r="S162" s="896">
        <f t="shared" si="40"/>
        <v>1184929.1708333332</v>
      </c>
      <c r="T162" s="879"/>
      <c r="U162" s="881">
        <f t="shared" si="38"/>
        <v>1184929.1708333332</v>
      </c>
      <c r="V162" s="881"/>
      <c r="W162" s="881"/>
      <c r="X162" s="897"/>
      <c r="Y162" s="881"/>
      <c r="Z162" s="881"/>
      <c r="AA162" s="881"/>
      <c r="AB162" s="881"/>
      <c r="AC162" s="879"/>
      <c r="AD162" s="951">
        <f t="shared" si="39"/>
        <v>1184929.1708333332</v>
      </c>
      <c r="AE162" s="879"/>
    </row>
    <row r="163" spans="1:31">
      <c r="A163" s="879">
        <f t="shared" si="33"/>
        <v>149</v>
      </c>
      <c r="B163" s="893" t="s">
        <v>1853</v>
      </c>
      <c r="C163" s="893" t="s">
        <v>498</v>
      </c>
      <c r="D163" s="893" t="s">
        <v>478</v>
      </c>
      <c r="E163" s="894" t="s">
        <v>499</v>
      </c>
      <c r="F163" s="895">
        <v>8083995.7199999997</v>
      </c>
      <c r="G163" s="895">
        <v>7305944.3200000003</v>
      </c>
      <c r="H163" s="895">
        <v>5658630.3099999996</v>
      </c>
      <c r="I163" s="895">
        <v>4262955.03</v>
      </c>
      <c r="J163" s="895">
        <v>2423210.7599999998</v>
      </c>
      <c r="K163" s="895">
        <v>1850740.23</v>
      </c>
      <c r="L163" s="895">
        <v>1304616.47</v>
      </c>
      <c r="M163" s="895">
        <v>1238949.6000000001</v>
      </c>
      <c r="N163" s="895">
        <v>1113050.77</v>
      </c>
      <c r="O163" s="895">
        <v>1405339.72</v>
      </c>
      <c r="P163" s="895">
        <v>3057778.73</v>
      </c>
      <c r="Q163" s="895">
        <v>4886542.6100000003</v>
      </c>
      <c r="R163" s="895">
        <v>8981548.7599999998</v>
      </c>
      <c r="S163" s="896">
        <f t="shared" si="40"/>
        <v>3586710.8991666674</v>
      </c>
      <c r="T163" s="879"/>
      <c r="U163" s="881">
        <f t="shared" si="38"/>
        <v>3586710.8991666674</v>
      </c>
      <c r="V163" s="881"/>
      <c r="W163" s="881"/>
      <c r="X163" s="897"/>
      <c r="Y163" s="881"/>
      <c r="Z163" s="881"/>
      <c r="AA163" s="881"/>
      <c r="AB163" s="881"/>
      <c r="AC163" s="879"/>
      <c r="AD163" s="951">
        <f t="shared" si="39"/>
        <v>3586710.8991666674</v>
      </c>
      <c r="AE163" s="879"/>
    </row>
    <row r="164" spans="1:31">
      <c r="A164" s="879">
        <f t="shared" si="33"/>
        <v>150</v>
      </c>
      <c r="B164" s="893" t="s">
        <v>1886</v>
      </c>
      <c r="C164" s="893" t="s">
        <v>498</v>
      </c>
      <c r="D164" s="893" t="s">
        <v>534</v>
      </c>
      <c r="E164" s="894" t="s">
        <v>499</v>
      </c>
      <c r="F164" s="895">
        <v>227911.99</v>
      </c>
      <c r="G164" s="895">
        <v>230772.39</v>
      </c>
      <c r="H164" s="895">
        <v>177379.45</v>
      </c>
      <c r="I164" s="895">
        <v>150037.38</v>
      </c>
      <c r="J164" s="895">
        <v>101253.69</v>
      </c>
      <c r="K164" s="895">
        <v>81576.55</v>
      </c>
      <c r="L164" s="895">
        <v>71941.62</v>
      </c>
      <c r="M164" s="895">
        <v>70757.63</v>
      </c>
      <c r="N164" s="895">
        <v>73005.58</v>
      </c>
      <c r="O164" s="895">
        <v>78350.05</v>
      </c>
      <c r="P164" s="895">
        <v>119945.49</v>
      </c>
      <c r="Q164" s="895">
        <v>121961.78</v>
      </c>
      <c r="R164" s="895">
        <v>211874.71</v>
      </c>
      <c r="S164" s="896">
        <f t="shared" si="40"/>
        <v>124739.58</v>
      </c>
      <c r="T164" s="879"/>
      <c r="U164" s="881">
        <f t="shared" si="38"/>
        <v>124739.58</v>
      </c>
      <c r="V164" s="881"/>
      <c r="W164" s="881"/>
      <c r="X164" s="897"/>
      <c r="Y164" s="881"/>
      <c r="Z164" s="881"/>
      <c r="AA164" s="881"/>
      <c r="AB164" s="881"/>
      <c r="AC164" s="879"/>
      <c r="AD164" s="951">
        <f t="shared" si="39"/>
        <v>124739.58</v>
      </c>
      <c r="AE164" s="879"/>
    </row>
    <row r="165" spans="1:31">
      <c r="A165" s="879">
        <f t="shared" si="33"/>
        <v>151</v>
      </c>
      <c r="B165" s="893" t="s">
        <v>1853</v>
      </c>
      <c r="C165" s="893" t="s">
        <v>498</v>
      </c>
      <c r="D165" s="893" t="s">
        <v>534</v>
      </c>
      <c r="E165" s="894" t="s">
        <v>499</v>
      </c>
      <c r="F165" s="895">
        <v>291687.52</v>
      </c>
      <c r="G165" s="895">
        <v>290972.61</v>
      </c>
      <c r="H165" s="895">
        <v>239165.62</v>
      </c>
      <c r="I165" s="895">
        <v>237758.22</v>
      </c>
      <c r="J165" s="895">
        <v>172685.98</v>
      </c>
      <c r="K165" s="895">
        <v>144303.67999999999</v>
      </c>
      <c r="L165" s="895">
        <v>118175.12</v>
      </c>
      <c r="M165" s="895">
        <v>139489.96</v>
      </c>
      <c r="N165" s="895">
        <v>109514.81</v>
      </c>
      <c r="O165" s="895">
        <v>122060.03</v>
      </c>
      <c r="P165" s="895">
        <v>169298.12</v>
      </c>
      <c r="Q165" s="895">
        <v>194542.92</v>
      </c>
      <c r="R165" s="895">
        <v>283640.55</v>
      </c>
      <c r="S165" s="896">
        <f t="shared" si="40"/>
        <v>185469.25875000001</v>
      </c>
      <c r="T165" s="879"/>
      <c r="U165" s="881">
        <f t="shared" si="38"/>
        <v>185469.25875000001</v>
      </c>
      <c r="V165" s="881"/>
      <c r="W165" s="881"/>
      <c r="X165" s="897"/>
      <c r="Y165" s="881"/>
      <c r="Z165" s="881"/>
      <c r="AA165" s="881"/>
      <c r="AB165" s="881"/>
      <c r="AC165" s="879"/>
      <c r="AD165" s="951">
        <f t="shared" si="39"/>
        <v>185469.25875000001</v>
      </c>
      <c r="AE165" s="879"/>
    </row>
    <row r="166" spans="1:31">
      <c r="A166" s="879">
        <f t="shared" si="33"/>
        <v>152</v>
      </c>
      <c r="B166" s="893" t="s">
        <v>1886</v>
      </c>
      <c r="C166" s="893" t="s">
        <v>500</v>
      </c>
      <c r="D166" s="893" t="s">
        <v>534</v>
      </c>
      <c r="E166" s="894" t="s">
        <v>501</v>
      </c>
      <c r="F166" s="895">
        <v>213263.22</v>
      </c>
      <c r="G166" s="895">
        <v>220516.74</v>
      </c>
      <c r="H166" s="895">
        <v>223101.47</v>
      </c>
      <c r="I166" s="895">
        <v>219705.94</v>
      </c>
      <c r="J166" s="895">
        <v>217484.52</v>
      </c>
      <c r="K166" s="895">
        <v>220776.14</v>
      </c>
      <c r="L166" s="895">
        <v>224713.15</v>
      </c>
      <c r="M166" s="895">
        <v>211754.69</v>
      </c>
      <c r="N166" s="895">
        <v>220090.28</v>
      </c>
      <c r="O166" s="895">
        <v>231126.2</v>
      </c>
      <c r="P166" s="895">
        <v>248955.74</v>
      </c>
      <c r="Q166" s="895">
        <v>226784.98</v>
      </c>
      <c r="R166" s="895">
        <v>233456.33</v>
      </c>
      <c r="S166" s="896">
        <f t="shared" si="40"/>
        <v>224030.80208333334</v>
      </c>
      <c r="T166" s="879"/>
      <c r="U166" s="881">
        <f t="shared" si="38"/>
        <v>224030.80208333334</v>
      </c>
      <c r="V166" s="881"/>
      <c r="W166" s="881"/>
      <c r="X166" s="897"/>
      <c r="Y166" s="881"/>
      <c r="Z166" s="881"/>
      <c r="AA166" s="881"/>
      <c r="AB166" s="881"/>
      <c r="AC166" s="879"/>
      <c r="AD166" s="951">
        <f t="shared" si="39"/>
        <v>224030.80208333334</v>
      </c>
      <c r="AE166" s="879"/>
    </row>
    <row r="167" spans="1:31">
      <c r="A167" s="879">
        <f t="shared" si="33"/>
        <v>153</v>
      </c>
      <c r="B167" s="893" t="s">
        <v>1853</v>
      </c>
      <c r="C167" s="893" t="s">
        <v>500</v>
      </c>
      <c r="D167" s="960" t="s">
        <v>534</v>
      </c>
      <c r="E167" s="894" t="s">
        <v>501</v>
      </c>
      <c r="F167" s="895">
        <v>1155150.45</v>
      </c>
      <c r="G167" s="895">
        <v>1199510.2</v>
      </c>
      <c r="H167" s="895">
        <v>1109357.54</v>
      </c>
      <c r="I167" s="895">
        <v>1084212.26</v>
      </c>
      <c r="J167" s="895">
        <v>1015472.72</v>
      </c>
      <c r="K167" s="895">
        <v>1024241.51</v>
      </c>
      <c r="L167" s="895">
        <v>1037938.3</v>
      </c>
      <c r="M167" s="895">
        <v>1038871.38</v>
      </c>
      <c r="N167" s="895">
        <v>1058751.1100000001</v>
      </c>
      <c r="O167" s="895">
        <v>1290126.6399999999</v>
      </c>
      <c r="P167" s="895">
        <v>1347318.28</v>
      </c>
      <c r="Q167" s="895">
        <v>1315856.57</v>
      </c>
      <c r="R167" s="895">
        <v>1407815.71</v>
      </c>
      <c r="S167" s="896">
        <f t="shared" si="40"/>
        <v>1150261.6325000001</v>
      </c>
      <c r="T167" s="879"/>
      <c r="U167" s="881">
        <f t="shared" si="38"/>
        <v>1150261.6325000001</v>
      </c>
      <c r="V167" s="881"/>
      <c r="W167" s="881"/>
      <c r="X167" s="897"/>
      <c r="Y167" s="881"/>
      <c r="Z167" s="881"/>
      <c r="AA167" s="881"/>
      <c r="AB167" s="881"/>
      <c r="AC167" s="879"/>
      <c r="AD167" s="951">
        <f t="shared" si="39"/>
        <v>1150261.6325000001</v>
      </c>
      <c r="AE167" s="879"/>
    </row>
    <row r="168" spans="1:31">
      <c r="A168" s="879">
        <f t="shared" si="33"/>
        <v>154</v>
      </c>
      <c r="B168" s="893" t="s">
        <v>1886</v>
      </c>
      <c r="C168" s="893" t="s">
        <v>500</v>
      </c>
      <c r="D168" s="893" t="s">
        <v>536</v>
      </c>
      <c r="E168" s="894" t="s">
        <v>501</v>
      </c>
      <c r="F168" s="895">
        <v>125332.5</v>
      </c>
      <c r="G168" s="895">
        <v>120495.18</v>
      </c>
      <c r="H168" s="895">
        <v>122632.95</v>
      </c>
      <c r="I168" s="895">
        <v>120632.09</v>
      </c>
      <c r="J168" s="895">
        <v>109128.6</v>
      </c>
      <c r="K168" s="895">
        <v>106350.57</v>
      </c>
      <c r="L168" s="895">
        <v>109637.61</v>
      </c>
      <c r="M168" s="895">
        <v>107381.8</v>
      </c>
      <c r="N168" s="895">
        <v>111735.49</v>
      </c>
      <c r="O168" s="895">
        <v>115215.24</v>
      </c>
      <c r="P168" s="895">
        <v>105231.93</v>
      </c>
      <c r="Q168" s="895">
        <v>107911.43</v>
      </c>
      <c r="R168" s="895">
        <v>118489.37</v>
      </c>
      <c r="S168" s="896">
        <f t="shared" si="40"/>
        <v>113188.65208333333</v>
      </c>
      <c r="T168" s="879"/>
      <c r="U168" s="881">
        <f t="shared" si="38"/>
        <v>113188.65208333333</v>
      </c>
      <c r="V168" s="881"/>
      <c r="W168" s="881"/>
      <c r="X168" s="897"/>
      <c r="Y168" s="881"/>
      <c r="Z168" s="881"/>
      <c r="AA168" s="881"/>
      <c r="AB168" s="881"/>
      <c r="AC168" s="879"/>
      <c r="AD168" s="951">
        <f t="shared" si="39"/>
        <v>113188.65208333333</v>
      </c>
      <c r="AE168" s="879"/>
    </row>
    <row r="169" spans="1:31">
      <c r="A169" s="879">
        <f t="shared" si="33"/>
        <v>155</v>
      </c>
      <c r="B169" s="893" t="s">
        <v>1853</v>
      </c>
      <c r="C169" s="893" t="s">
        <v>500</v>
      </c>
      <c r="D169" s="893" t="s">
        <v>536</v>
      </c>
      <c r="E169" s="894" t="s">
        <v>501</v>
      </c>
      <c r="F169" s="912">
        <v>614585.31000000006</v>
      </c>
      <c r="G169" s="912">
        <v>616384.78</v>
      </c>
      <c r="H169" s="912">
        <v>590107.78</v>
      </c>
      <c r="I169" s="912">
        <v>522178.24</v>
      </c>
      <c r="J169" s="912">
        <v>513460.17</v>
      </c>
      <c r="K169" s="912">
        <v>546328.93999999994</v>
      </c>
      <c r="L169" s="912">
        <v>563779.17000000004</v>
      </c>
      <c r="M169" s="912">
        <v>628717.28</v>
      </c>
      <c r="N169" s="912">
        <v>757608.82</v>
      </c>
      <c r="O169" s="912">
        <v>694769.32</v>
      </c>
      <c r="P169" s="912">
        <v>586694.39</v>
      </c>
      <c r="Q169" s="912">
        <v>616802.82999999996</v>
      </c>
      <c r="R169" s="912">
        <v>703891.54</v>
      </c>
      <c r="S169" s="913">
        <f>((F169+R169)+((G169+H169+I169+J169+K169+L169+M169+N169+O169+P169+Q169)*2))/24</f>
        <v>608005.84541666671</v>
      </c>
      <c r="T169" s="879"/>
      <c r="U169" s="881">
        <f t="shared" si="38"/>
        <v>608005.84541666671</v>
      </c>
      <c r="V169" s="881"/>
      <c r="W169" s="881"/>
      <c r="X169" s="897"/>
      <c r="Y169" s="881"/>
      <c r="Z169" s="881"/>
      <c r="AA169" s="881"/>
      <c r="AB169" s="881"/>
      <c r="AC169" s="879"/>
      <c r="AD169" s="951">
        <f t="shared" si="39"/>
        <v>608005.84541666671</v>
      </c>
      <c r="AE169" s="879"/>
    </row>
    <row r="170" spans="1:31">
      <c r="A170" s="879">
        <f t="shared" si="33"/>
        <v>156</v>
      </c>
      <c r="B170" s="879"/>
      <c r="C170" s="879"/>
      <c r="D170" s="879"/>
      <c r="E170" s="894" t="s">
        <v>502</v>
      </c>
      <c r="F170" s="898">
        <f>SUM(F160:F169)</f>
        <v>30740332.129999992</v>
      </c>
      <c r="G170" s="898">
        <f t="shared" ref="G170:R170" si="41">SUM(G160:G169)</f>
        <v>26783814.07</v>
      </c>
      <c r="H170" s="898">
        <f t="shared" si="41"/>
        <v>21211996.049999997</v>
      </c>
      <c r="I170" s="898">
        <f t="shared" si="41"/>
        <v>16530587.970000001</v>
      </c>
      <c r="J170" s="898">
        <f t="shared" si="41"/>
        <v>10125729.410000002</v>
      </c>
      <c r="K170" s="898">
        <f t="shared" si="41"/>
        <v>7922235.5299999993</v>
      </c>
      <c r="L170" s="898">
        <f t="shared" si="41"/>
        <v>6127757.0200000005</v>
      </c>
      <c r="M170" s="898">
        <f t="shared" si="41"/>
        <v>5723445.1699999999</v>
      </c>
      <c r="N170" s="898">
        <f t="shared" si="41"/>
        <v>5391229.8600000003</v>
      </c>
      <c r="O170" s="898">
        <f t="shared" si="41"/>
        <v>6546348.4900000002</v>
      </c>
      <c r="P170" s="898">
        <f t="shared" si="41"/>
        <v>12405937.989999998</v>
      </c>
      <c r="Q170" s="898">
        <f t="shared" si="41"/>
        <v>19080344.189999998</v>
      </c>
      <c r="R170" s="898">
        <f t="shared" si="41"/>
        <v>34522282.649999991</v>
      </c>
      <c r="S170" s="899">
        <f>SUM(S160:S169)</f>
        <v>14206727.761666667</v>
      </c>
      <c r="T170" s="879"/>
      <c r="U170" s="881"/>
      <c r="V170" s="881"/>
      <c r="W170" s="881"/>
      <c r="X170" s="897"/>
      <c r="Y170" s="881"/>
      <c r="Z170" s="881"/>
      <c r="AA170" s="881"/>
      <c r="AB170" s="881"/>
      <c r="AC170" s="879"/>
      <c r="AD170" s="879"/>
      <c r="AE170" s="879"/>
    </row>
    <row r="171" spans="1:31">
      <c r="A171" s="879">
        <f t="shared" si="33"/>
        <v>157</v>
      </c>
      <c r="B171" s="879"/>
      <c r="C171" s="879"/>
      <c r="D171" s="879"/>
      <c r="E171" s="918"/>
      <c r="F171" s="895"/>
      <c r="G171" s="966"/>
      <c r="H171" s="942"/>
      <c r="I171" s="942"/>
      <c r="J171" s="943"/>
      <c r="K171" s="944"/>
      <c r="L171" s="945"/>
      <c r="M171" s="946"/>
      <c r="N171" s="947"/>
      <c r="O171" s="948"/>
      <c r="P171" s="949"/>
      <c r="Q171" s="967"/>
      <c r="R171" s="895"/>
      <c r="S171" s="896"/>
      <c r="T171" s="879"/>
      <c r="U171" s="881"/>
      <c r="V171" s="881"/>
      <c r="W171" s="881"/>
      <c r="X171" s="897"/>
      <c r="Y171" s="881"/>
      <c r="Z171" s="881"/>
      <c r="AA171" s="881"/>
      <c r="AB171" s="881"/>
      <c r="AC171" s="879"/>
      <c r="AD171" s="879"/>
      <c r="AE171" s="879"/>
    </row>
    <row r="172" spans="1:31">
      <c r="A172" s="879">
        <f t="shared" si="33"/>
        <v>158</v>
      </c>
      <c r="B172" s="893" t="s">
        <v>1886</v>
      </c>
      <c r="C172" s="893" t="s">
        <v>503</v>
      </c>
      <c r="D172" s="893" t="s">
        <v>1889</v>
      </c>
      <c r="E172" s="894" t="s">
        <v>505</v>
      </c>
      <c r="F172" s="895">
        <v>1046839.47</v>
      </c>
      <c r="G172" s="895">
        <v>1043849.9</v>
      </c>
      <c r="H172" s="895">
        <v>1040860.3</v>
      </c>
      <c r="I172" s="895">
        <v>1234602.46</v>
      </c>
      <c r="J172" s="895">
        <v>1231035.8500000001</v>
      </c>
      <c r="K172" s="895">
        <v>1227469.24</v>
      </c>
      <c r="L172" s="895">
        <v>1220128.8400000001</v>
      </c>
      <c r="M172" s="895">
        <v>1215932.1200000001</v>
      </c>
      <c r="N172" s="895">
        <v>1211735.3999999999</v>
      </c>
      <c r="O172" s="895">
        <v>1207973.5</v>
      </c>
      <c r="P172" s="895">
        <v>1203825.0900000001</v>
      </c>
      <c r="Q172" s="895">
        <v>1196257.51</v>
      </c>
      <c r="R172" s="895">
        <v>1197013.44</v>
      </c>
      <c r="S172" s="896">
        <f>((F172+R172)+((G172+H172+I172+J172+K172+L172+M172+N172+O172+P172+Q172)*2))/24</f>
        <v>1179633.0554166667</v>
      </c>
      <c r="T172" s="879"/>
      <c r="U172" s="881">
        <f t="shared" ref="U172:U175" si="42">+S172</f>
        <v>1179633.0554166667</v>
      </c>
      <c r="V172" s="881"/>
      <c r="W172" s="881"/>
      <c r="X172" s="897"/>
      <c r="Y172" s="881"/>
      <c r="Z172" s="881"/>
      <c r="AA172" s="881"/>
      <c r="AB172" s="881"/>
      <c r="AC172" s="879"/>
      <c r="AD172" s="951">
        <f>+U172</f>
        <v>1179633.0554166667</v>
      </c>
      <c r="AE172" s="879"/>
    </row>
    <row r="173" spans="1:31">
      <c r="A173" s="879">
        <f t="shared" si="33"/>
        <v>159</v>
      </c>
      <c r="B173" s="893" t="s">
        <v>1886</v>
      </c>
      <c r="C173" s="893" t="s">
        <v>503</v>
      </c>
      <c r="D173" s="893" t="s">
        <v>205</v>
      </c>
      <c r="E173" s="894" t="s">
        <v>504</v>
      </c>
      <c r="F173" s="895">
        <v>71217.440000000002</v>
      </c>
      <c r="G173" s="895">
        <v>74677.58</v>
      </c>
      <c r="H173" s="895">
        <v>78137.740000000005</v>
      </c>
      <c r="I173" s="895">
        <v>97407.88</v>
      </c>
      <c r="J173" s="895">
        <v>101562.55</v>
      </c>
      <c r="K173" s="895">
        <v>105717.26</v>
      </c>
      <c r="L173" s="895">
        <v>109485.34</v>
      </c>
      <c r="M173" s="895">
        <v>113575.61</v>
      </c>
      <c r="N173" s="895">
        <v>117665.87</v>
      </c>
      <c r="O173" s="895">
        <v>121206.01</v>
      </c>
      <c r="P173" s="895">
        <v>125235.32</v>
      </c>
      <c r="Q173" s="895">
        <v>127355.57</v>
      </c>
      <c r="R173" s="895">
        <v>117915.62</v>
      </c>
      <c r="S173" s="896">
        <f>((F173+R173)+((G173+H173+I173+J173+K173+L173+M173+N173+O173+P173+Q173)*2))/24</f>
        <v>105549.43833333334</v>
      </c>
      <c r="T173" s="879"/>
      <c r="U173" s="881">
        <f t="shared" si="42"/>
        <v>105549.43833333334</v>
      </c>
      <c r="V173" s="881"/>
      <c r="W173" s="881"/>
      <c r="X173" s="897"/>
      <c r="Y173" s="881"/>
      <c r="Z173" s="881"/>
      <c r="AA173" s="881"/>
      <c r="AB173" s="881"/>
      <c r="AC173" s="879"/>
      <c r="AD173" s="951">
        <f>+U173</f>
        <v>105549.43833333334</v>
      </c>
      <c r="AE173" s="879"/>
    </row>
    <row r="174" spans="1:31">
      <c r="A174" s="879">
        <f t="shared" si="33"/>
        <v>160</v>
      </c>
      <c r="B174" s="893" t="s">
        <v>1850</v>
      </c>
      <c r="C174" s="893" t="s">
        <v>503</v>
      </c>
      <c r="D174" s="893" t="s">
        <v>1892</v>
      </c>
      <c r="E174" s="894" t="s">
        <v>505</v>
      </c>
      <c r="F174" s="895">
        <v>23658791.530000001</v>
      </c>
      <c r="G174" s="895">
        <v>23590998.620000001</v>
      </c>
      <c r="H174" s="895">
        <v>23523205.690000001</v>
      </c>
      <c r="I174" s="895">
        <v>23405999.100000001</v>
      </c>
      <c r="J174" s="895">
        <v>23338190.969999999</v>
      </c>
      <c r="K174" s="895">
        <v>23270382.850000001</v>
      </c>
      <c r="L174" s="895">
        <v>23130827.550000001</v>
      </c>
      <c r="M174" s="895">
        <v>23051039.609999999</v>
      </c>
      <c r="N174" s="895">
        <v>22971251.649999999</v>
      </c>
      <c r="O174" s="895">
        <v>22899730.420000002</v>
      </c>
      <c r="P174" s="895">
        <v>22994877</v>
      </c>
      <c r="Q174" s="895">
        <v>22917218.559999999</v>
      </c>
      <c r="R174" s="895">
        <v>22931590.550000001</v>
      </c>
      <c r="S174" s="896">
        <f>((F174+R174)+((G174+H174+I174+J174+K174+L174+M174+N174+O174+P174+Q174)*2))/24</f>
        <v>23199076.088333335</v>
      </c>
      <c r="T174" s="879"/>
      <c r="U174" s="881">
        <f t="shared" si="42"/>
        <v>23199076.088333335</v>
      </c>
      <c r="V174" s="881"/>
      <c r="W174" s="881"/>
      <c r="X174" s="897"/>
      <c r="Y174" s="881"/>
      <c r="Z174" s="881"/>
      <c r="AA174" s="881"/>
      <c r="AB174" s="881"/>
      <c r="AC174" s="879"/>
      <c r="AD174" s="951">
        <f>+U174</f>
        <v>23199076.088333335</v>
      </c>
      <c r="AE174" s="879"/>
    </row>
    <row r="175" spans="1:31">
      <c r="A175" s="879">
        <f t="shared" si="33"/>
        <v>161</v>
      </c>
      <c r="B175" s="893" t="s">
        <v>1850</v>
      </c>
      <c r="C175" s="893" t="s">
        <v>503</v>
      </c>
      <c r="D175" s="893" t="s">
        <v>2143</v>
      </c>
      <c r="E175" s="894" t="s">
        <v>504</v>
      </c>
      <c r="F175" s="895">
        <v>1614949.09</v>
      </c>
      <c r="G175" s="895">
        <v>1693412.54</v>
      </c>
      <c r="H175" s="895">
        <v>1771876.02</v>
      </c>
      <c r="I175" s="895">
        <v>1851955.56</v>
      </c>
      <c r="J175" s="895">
        <v>1930944.17</v>
      </c>
      <c r="K175" s="895">
        <v>2009932.72</v>
      </c>
      <c r="L175" s="895">
        <v>2081571.92</v>
      </c>
      <c r="M175" s="895">
        <v>2159335.81</v>
      </c>
      <c r="N175" s="895">
        <v>2237099.79</v>
      </c>
      <c r="O175" s="895">
        <v>2304404.86</v>
      </c>
      <c r="P175" s="895">
        <v>2381009.86</v>
      </c>
      <c r="Q175" s="895">
        <v>2421279.31</v>
      </c>
      <c r="R175" s="895">
        <v>2241807.33</v>
      </c>
      <c r="S175" s="896">
        <f>((F175+R175)+((G175+H175+I175+J175+K175+L175+M175+N175+O175+P175+Q175)*2))/24</f>
        <v>2064266.7308333332</v>
      </c>
      <c r="T175" s="879"/>
      <c r="U175" s="881">
        <f t="shared" si="42"/>
        <v>2064266.7308333332</v>
      </c>
      <c r="V175" s="881"/>
      <c r="W175" s="881"/>
      <c r="X175" s="897"/>
      <c r="Y175" s="881"/>
      <c r="Z175" s="881"/>
      <c r="AA175" s="881"/>
      <c r="AB175" s="881"/>
      <c r="AC175" s="879"/>
      <c r="AD175" s="951">
        <f>+U175</f>
        <v>2064266.7308333332</v>
      </c>
      <c r="AE175" s="879"/>
    </row>
    <row r="176" spans="1:31">
      <c r="A176" s="879">
        <f t="shared" si="33"/>
        <v>162</v>
      </c>
      <c r="B176" s="879"/>
      <c r="C176" s="879"/>
      <c r="D176" s="879"/>
      <c r="E176" s="918"/>
      <c r="F176" s="895"/>
      <c r="G176" s="966"/>
      <c r="H176" s="942"/>
      <c r="I176" s="942"/>
      <c r="J176" s="943"/>
      <c r="K176" s="944"/>
      <c r="L176" s="945"/>
      <c r="M176" s="946"/>
      <c r="N176" s="947"/>
      <c r="O176" s="948"/>
      <c r="P176" s="949"/>
      <c r="Q176" s="967"/>
      <c r="R176" s="895"/>
      <c r="S176" s="896"/>
      <c r="T176" s="879"/>
      <c r="U176" s="881"/>
      <c r="V176" s="881"/>
      <c r="W176" s="881"/>
      <c r="X176" s="897"/>
      <c r="Y176" s="881"/>
      <c r="Z176" s="881"/>
      <c r="AA176" s="881"/>
      <c r="AB176" s="881"/>
      <c r="AC176" s="879"/>
      <c r="AD176" s="879"/>
      <c r="AE176" s="879"/>
    </row>
    <row r="177" spans="1:31">
      <c r="A177" s="879">
        <f t="shared" si="33"/>
        <v>163</v>
      </c>
      <c r="B177" s="879" t="s">
        <v>1853</v>
      </c>
      <c r="C177" s="893" t="s">
        <v>506</v>
      </c>
      <c r="D177" s="893" t="s">
        <v>495</v>
      </c>
      <c r="E177" s="894" t="s">
        <v>507</v>
      </c>
      <c r="F177" s="895">
        <v>-9.3132257461547893E-10</v>
      </c>
      <c r="G177" s="895">
        <v>0</v>
      </c>
      <c r="H177" s="895">
        <v>0</v>
      </c>
      <c r="I177" s="895">
        <v>0</v>
      </c>
      <c r="J177" s="895">
        <v>0</v>
      </c>
      <c r="K177" s="895">
        <v>0</v>
      </c>
      <c r="L177" s="895">
        <v>0</v>
      </c>
      <c r="M177" s="895">
        <v>0</v>
      </c>
      <c r="N177" s="895">
        <v>0</v>
      </c>
      <c r="O177" s="895">
        <v>0</v>
      </c>
      <c r="P177" s="895">
        <v>0</v>
      </c>
      <c r="Q177" s="895">
        <v>0</v>
      </c>
      <c r="R177" s="895">
        <v>318120.33</v>
      </c>
      <c r="S177" s="896">
        <f>((F177+R177)+((G177+H177+I177+J177+K177+L177+M177+N177+O177+P177+Q177)*2))/24</f>
        <v>13255.013749999962</v>
      </c>
      <c r="T177" s="879"/>
      <c r="U177" s="881"/>
      <c r="V177" s="881"/>
      <c r="W177" s="881"/>
      <c r="X177" s="897">
        <f>+S177</f>
        <v>13255.013749999962</v>
      </c>
      <c r="Y177" s="881"/>
      <c r="Z177" s="881"/>
      <c r="AA177" s="881"/>
      <c r="AB177" s="881">
        <f>+S177</f>
        <v>13255.013749999962</v>
      </c>
      <c r="AC177" s="879"/>
      <c r="AD177" s="879"/>
      <c r="AE177" s="879"/>
    </row>
    <row r="178" spans="1:31">
      <c r="A178" s="879">
        <f t="shared" si="33"/>
        <v>164</v>
      </c>
      <c r="B178" s="879"/>
      <c r="C178" s="879"/>
      <c r="D178" s="879"/>
      <c r="E178" s="918"/>
      <c r="F178" s="895"/>
      <c r="G178" s="966"/>
      <c r="H178" s="942"/>
      <c r="I178" s="942"/>
      <c r="J178" s="943"/>
      <c r="K178" s="944"/>
      <c r="L178" s="945"/>
      <c r="M178" s="946"/>
      <c r="N178" s="947"/>
      <c r="O178" s="948"/>
      <c r="P178" s="949"/>
      <c r="Q178" s="967"/>
      <c r="R178" s="895"/>
      <c r="S178" s="896"/>
      <c r="T178" s="879"/>
      <c r="U178" s="881"/>
      <c r="V178" s="881"/>
      <c r="W178" s="881"/>
      <c r="X178" s="897"/>
      <c r="Y178" s="881"/>
      <c r="Z178" s="881"/>
      <c r="AA178" s="881"/>
      <c r="AB178" s="881"/>
      <c r="AC178" s="879"/>
      <c r="AD178" s="879"/>
      <c r="AE178" s="879"/>
    </row>
    <row r="179" spans="1:31">
      <c r="A179" s="879">
        <f t="shared" si="33"/>
        <v>165</v>
      </c>
      <c r="B179" s="893" t="s">
        <v>1850</v>
      </c>
      <c r="C179" s="960" t="s">
        <v>508</v>
      </c>
      <c r="D179" s="893" t="s">
        <v>509</v>
      </c>
      <c r="E179" s="894" t="s">
        <v>510</v>
      </c>
      <c r="F179" s="895">
        <v>78604.129999999903</v>
      </c>
      <c r="G179" s="895">
        <v>78044.67</v>
      </c>
      <c r="H179" s="895">
        <v>77485.210000000006</v>
      </c>
      <c r="I179" s="895">
        <v>76925.75</v>
      </c>
      <c r="J179" s="895">
        <v>76366.289999999994</v>
      </c>
      <c r="K179" s="895">
        <v>75806.83</v>
      </c>
      <c r="L179" s="895">
        <v>75247.37</v>
      </c>
      <c r="M179" s="895">
        <v>74687.91</v>
      </c>
      <c r="N179" s="895">
        <v>74128.45</v>
      </c>
      <c r="O179" s="895">
        <v>73568.989999999903</v>
      </c>
      <c r="P179" s="895">
        <v>73009.529999999897</v>
      </c>
      <c r="Q179" s="895">
        <v>72450.069999999905</v>
      </c>
      <c r="R179" s="895">
        <v>71890.609999999899</v>
      </c>
      <c r="S179" s="896">
        <f t="shared" ref="S179:S191" si="43">((F179+R179)+((G179+H179+I179+J179+K179+L179+M179+N179+O179+P179+Q179)*2))/24</f>
        <v>75247.369999999966</v>
      </c>
      <c r="T179" s="879"/>
      <c r="U179" s="881"/>
      <c r="V179" s="881"/>
      <c r="W179" s="881">
        <f>+S179</f>
        <v>75247.369999999966</v>
      </c>
      <c r="X179" s="897"/>
      <c r="Y179" s="881"/>
      <c r="Z179" s="881"/>
      <c r="AA179" s="881"/>
      <c r="AB179" s="881"/>
      <c r="AC179" s="951">
        <f t="shared" ref="AC179:AC191" si="44">+S179</f>
        <v>75247.369999999966</v>
      </c>
      <c r="AD179" s="879"/>
      <c r="AE179" s="879"/>
    </row>
    <row r="180" spans="1:31">
      <c r="A180" s="879">
        <f t="shared" si="33"/>
        <v>166</v>
      </c>
      <c r="B180" s="893" t="s">
        <v>1850</v>
      </c>
      <c r="C180" s="960" t="s">
        <v>508</v>
      </c>
      <c r="D180" s="893" t="s">
        <v>511</v>
      </c>
      <c r="E180" s="894" t="s">
        <v>512</v>
      </c>
      <c r="F180" s="895">
        <v>66295.419999999896</v>
      </c>
      <c r="G180" s="895">
        <v>65875.820000000007</v>
      </c>
      <c r="H180" s="895">
        <v>65456.22</v>
      </c>
      <c r="I180" s="895">
        <v>65036.62</v>
      </c>
      <c r="J180" s="895">
        <v>64617.02</v>
      </c>
      <c r="K180" s="895">
        <v>64197.42</v>
      </c>
      <c r="L180" s="895">
        <v>63777.82</v>
      </c>
      <c r="M180" s="895">
        <v>63358.22</v>
      </c>
      <c r="N180" s="895">
        <v>62938.62</v>
      </c>
      <c r="O180" s="895">
        <v>62519.02</v>
      </c>
      <c r="P180" s="895">
        <v>62099.42</v>
      </c>
      <c r="Q180" s="895">
        <v>61679.82</v>
      </c>
      <c r="R180" s="895">
        <v>61260.22</v>
      </c>
      <c r="S180" s="896">
        <f t="shared" si="43"/>
        <v>63777.82</v>
      </c>
      <c r="T180" s="879"/>
      <c r="U180" s="881"/>
      <c r="V180" s="881"/>
      <c r="W180" s="881">
        <f t="shared" ref="W180:W191" si="45">+S180</f>
        <v>63777.82</v>
      </c>
      <c r="X180" s="897"/>
      <c r="Y180" s="881"/>
      <c r="Z180" s="881"/>
      <c r="AA180" s="881"/>
      <c r="AB180" s="881"/>
      <c r="AC180" s="951">
        <f t="shared" si="44"/>
        <v>63777.82</v>
      </c>
      <c r="AD180" s="879"/>
      <c r="AE180" s="879"/>
    </row>
    <row r="181" spans="1:31">
      <c r="A181" s="879">
        <f t="shared" si="33"/>
        <v>167</v>
      </c>
      <c r="B181" s="893" t="s">
        <v>1850</v>
      </c>
      <c r="C181" s="960" t="s">
        <v>508</v>
      </c>
      <c r="D181" s="893" t="s">
        <v>513</v>
      </c>
      <c r="E181" s="894" t="s">
        <v>514</v>
      </c>
      <c r="F181" s="895">
        <v>1240690.05</v>
      </c>
      <c r="G181" s="895">
        <v>1235272.18</v>
      </c>
      <c r="H181" s="895">
        <v>1229854.31</v>
      </c>
      <c r="I181" s="895">
        <v>1224436.44</v>
      </c>
      <c r="J181" s="895">
        <v>1219018.57</v>
      </c>
      <c r="K181" s="895">
        <v>1213600.7</v>
      </c>
      <c r="L181" s="895">
        <v>1208182.83</v>
      </c>
      <c r="M181" s="895">
        <v>1202764.96</v>
      </c>
      <c r="N181" s="895">
        <v>1197347.0900000001</v>
      </c>
      <c r="O181" s="895">
        <v>1191929.22</v>
      </c>
      <c r="P181" s="895">
        <v>1186511.3500000001</v>
      </c>
      <c r="Q181" s="895">
        <v>1181093.48</v>
      </c>
      <c r="R181" s="895">
        <v>1175675.6100000001</v>
      </c>
      <c r="S181" s="896">
        <f t="shared" si="43"/>
        <v>1208182.83</v>
      </c>
      <c r="T181" s="879"/>
      <c r="U181" s="881"/>
      <c r="V181" s="881"/>
      <c r="W181" s="881">
        <f t="shared" si="45"/>
        <v>1208182.83</v>
      </c>
      <c r="X181" s="897"/>
      <c r="Y181" s="881"/>
      <c r="Z181" s="881"/>
      <c r="AA181" s="881"/>
      <c r="AB181" s="881"/>
      <c r="AC181" s="951">
        <f t="shared" si="44"/>
        <v>1208182.83</v>
      </c>
      <c r="AD181" s="879"/>
      <c r="AE181" s="879"/>
    </row>
    <row r="182" spans="1:31">
      <c r="A182" s="879">
        <f t="shared" si="33"/>
        <v>168</v>
      </c>
      <c r="B182" s="893" t="s">
        <v>1850</v>
      </c>
      <c r="C182" s="960" t="s">
        <v>508</v>
      </c>
      <c r="D182" s="893" t="s">
        <v>515</v>
      </c>
      <c r="E182" s="894" t="s">
        <v>516</v>
      </c>
      <c r="F182" s="895">
        <v>73826.64</v>
      </c>
      <c r="G182" s="895">
        <v>72478.58</v>
      </c>
      <c r="H182" s="895">
        <v>71130.52</v>
      </c>
      <c r="I182" s="895">
        <v>69782.460000000006</v>
      </c>
      <c r="J182" s="895">
        <v>68434.399999999994</v>
      </c>
      <c r="K182" s="895">
        <v>67086.34</v>
      </c>
      <c r="L182" s="895">
        <v>65738.28</v>
      </c>
      <c r="M182" s="895">
        <v>64390.22</v>
      </c>
      <c r="N182" s="895">
        <v>63042.16</v>
      </c>
      <c r="O182" s="895">
        <v>61694.1</v>
      </c>
      <c r="P182" s="895">
        <v>60346.04</v>
      </c>
      <c r="Q182" s="895">
        <v>58997.98</v>
      </c>
      <c r="R182" s="895">
        <v>57649.919999999998</v>
      </c>
      <c r="S182" s="896">
        <f t="shared" si="43"/>
        <v>65738.28</v>
      </c>
      <c r="T182" s="879"/>
      <c r="U182" s="881"/>
      <c r="V182" s="881"/>
      <c r="W182" s="881">
        <f t="shared" si="45"/>
        <v>65738.28</v>
      </c>
      <c r="X182" s="897"/>
      <c r="Y182" s="881"/>
      <c r="Z182" s="881"/>
      <c r="AA182" s="881"/>
      <c r="AB182" s="881"/>
      <c r="AC182" s="951">
        <f t="shared" si="44"/>
        <v>65738.28</v>
      </c>
      <c r="AD182" s="879"/>
      <c r="AE182" s="879"/>
    </row>
    <row r="183" spans="1:31">
      <c r="A183" s="879">
        <f t="shared" si="33"/>
        <v>169</v>
      </c>
      <c r="B183" s="893" t="s">
        <v>1850</v>
      </c>
      <c r="C183" s="960" t="s">
        <v>508</v>
      </c>
      <c r="D183" s="893" t="s">
        <v>517</v>
      </c>
      <c r="E183" s="894" t="s">
        <v>518</v>
      </c>
      <c r="F183" s="895">
        <v>164515.07999999999</v>
      </c>
      <c r="G183" s="895">
        <v>163867.57999999999</v>
      </c>
      <c r="H183" s="895">
        <v>163220.07999999999</v>
      </c>
      <c r="I183" s="895">
        <v>162572.57999999999</v>
      </c>
      <c r="J183" s="895">
        <v>161925.07999999999</v>
      </c>
      <c r="K183" s="895">
        <v>161277.57999999999</v>
      </c>
      <c r="L183" s="895">
        <v>160630.07999999999</v>
      </c>
      <c r="M183" s="895">
        <v>159982.57999999999</v>
      </c>
      <c r="N183" s="895">
        <v>159335.07999999999</v>
      </c>
      <c r="O183" s="895">
        <v>158687.57999999999</v>
      </c>
      <c r="P183" s="895">
        <v>158040.07999999999</v>
      </c>
      <c r="Q183" s="895">
        <v>157392.57999999999</v>
      </c>
      <c r="R183" s="895">
        <v>156745.07999999999</v>
      </c>
      <c r="S183" s="896">
        <f t="shared" si="43"/>
        <v>160630.08000000002</v>
      </c>
      <c r="T183" s="879"/>
      <c r="U183" s="881"/>
      <c r="V183" s="881"/>
      <c r="W183" s="881">
        <f t="shared" si="45"/>
        <v>160630.08000000002</v>
      </c>
      <c r="X183" s="897"/>
      <c r="Y183" s="881"/>
      <c r="Z183" s="881"/>
      <c r="AA183" s="881"/>
      <c r="AB183" s="881"/>
      <c r="AC183" s="951">
        <f t="shared" si="44"/>
        <v>160630.08000000002</v>
      </c>
      <c r="AD183" s="879"/>
      <c r="AE183" s="879"/>
    </row>
    <row r="184" spans="1:31">
      <c r="A184" s="879">
        <f t="shared" si="33"/>
        <v>170</v>
      </c>
      <c r="B184" s="893" t="s">
        <v>1850</v>
      </c>
      <c r="C184" s="960" t="s">
        <v>508</v>
      </c>
      <c r="D184" s="893" t="s">
        <v>519</v>
      </c>
      <c r="E184" s="968" t="s">
        <v>520</v>
      </c>
      <c r="F184" s="895">
        <v>120596.71</v>
      </c>
      <c r="G184" s="895">
        <v>119548.04</v>
      </c>
      <c r="H184" s="895">
        <v>118499.37</v>
      </c>
      <c r="I184" s="895">
        <v>117450.7</v>
      </c>
      <c r="J184" s="895">
        <v>116402.03</v>
      </c>
      <c r="K184" s="895">
        <v>115353.36</v>
      </c>
      <c r="L184" s="895">
        <v>114304.69</v>
      </c>
      <c r="M184" s="895">
        <v>113256.02</v>
      </c>
      <c r="N184" s="895">
        <v>112207.35</v>
      </c>
      <c r="O184" s="895">
        <v>111158.68</v>
      </c>
      <c r="P184" s="895">
        <v>110110.01</v>
      </c>
      <c r="Q184" s="895">
        <v>109061.34</v>
      </c>
      <c r="R184" s="895">
        <v>108012.67</v>
      </c>
      <c r="S184" s="896">
        <f t="shared" si="43"/>
        <v>114304.69</v>
      </c>
      <c r="T184" s="879"/>
      <c r="U184" s="881"/>
      <c r="V184" s="881"/>
      <c r="W184" s="881">
        <f t="shared" si="45"/>
        <v>114304.69</v>
      </c>
      <c r="X184" s="897"/>
      <c r="Y184" s="881"/>
      <c r="Z184" s="881"/>
      <c r="AA184" s="881"/>
      <c r="AB184" s="881"/>
      <c r="AC184" s="951">
        <f t="shared" si="44"/>
        <v>114304.69</v>
      </c>
      <c r="AD184" s="879"/>
      <c r="AE184" s="879"/>
    </row>
    <row r="185" spans="1:31">
      <c r="A185" s="879">
        <f t="shared" si="33"/>
        <v>171</v>
      </c>
      <c r="B185" s="893" t="s">
        <v>1850</v>
      </c>
      <c r="C185" s="960" t="s">
        <v>508</v>
      </c>
      <c r="D185" s="893" t="s">
        <v>521</v>
      </c>
      <c r="E185" s="968" t="s">
        <v>522</v>
      </c>
      <c r="F185" s="895">
        <v>126678.97</v>
      </c>
      <c r="G185" s="895">
        <v>125840.04</v>
      </c>
      <c r="H185" s="895">
        <v>125001.11</v>
      </c>
      <c r="I185" s="895">
        <v>124162.18</v>
      </c>
      <c r="J185" s="895">
        <v>123323.25</v>
      </c>
      <c r="K185" s="895">
        <v>122484.32</v>
      </c>
      <c r="L185" s="895">
        <v>121645.39</v>
      </c>
      <c r="M185" s="895">
        <v>120806.46</v>
      </c>
      <c r="N185" s="895">
        <v>119967.53</v>
      </c>
      <c r="O185" s="895">
        <v>119128.6</v>
      </c>
      <c r="P185" s="895">
        <v>118289.67</v>
      </c>
      <c r="Q185" s="895">
        <v>117450.74</v>
      </c>
      <c r="R185" s="895">
        <v>116611.81</v>
      </c>
      <c r="S185" s="896">
        <f t="shared" si="43"/>
        <v>121645.38999999997</v>
      </c>
      <c r="T185" s="879"/>
      <c r="U185" s="881"/>
      <c r="V185" s="881"/>
      <c r="W185" s="881">
        <f t="shared" si="45"/>
        <v>121645.38999999997</v>
      </c>
      <c r="X185" s="897"/>
      <c r="Y185" s="881"/>
      <c r="Z185" s="881"/>
      <c r="AA185" s="881"/>
      <c r="AB185" s="881"/>
      <c r="AC185" s="951">
        <f t="shared" si="44"/>
        <v>121645.38999999997</v>
      </c>
      <c r="AD185" s="879"/>
      <c r="AE185" s="879"/>
    </row>
    <row r="186" spans="1:31">
      <c r="A186" s="879">
        <f t="shared" si="33"/>
        <v>172</v>
      </c>
      <c r="B186" s="893" t="s">
        <v>1850</v>
      </c>
      <c r="C186" s="960" t="s">
        <v>508</v>
      </c>
      <c r="D186" s="893" t="s">
        <v>487</v>
      </c>
      <c r="E186" s="968" t="s">
        <v>523</v>
      </c>
      <c r="F186" s="895">
        <v>103750.1</v>
      </c>
      <c r="G186" s="895">
        <v>100291.77</v>
      </c>
      <c r="H186" s="895">
        <v>96833.44</v>
      </c>
      <c r="I186" s="895">
        <v>93375.11</v>
      </c>
      <c r="J186" s="895">
        <v>89916.78</v>
      </c>
      <c r="K186" s="895">
        <v>86458.45</v>
      </c>
      <c r="L186" s="895">
        <v>83000.12</v>
      </c>
      <c r="M186" s="895">
        <v>79541.789999999994</v>
      </c>
      <c r="N186" s="895">
        <v>76083.460000000006</v>
      </c>
      <c r="O186" s="895">
        <v>72625.13</v>
      </c>
      <c r="P186" s="895">
        <v>69166.8</v>
      </c>
      <c r="Q186" s="895">
        <v>65708.47</v>
      </c>
      <c r="R186" s="895">
        <v>62250.14</v>
      </c>
      <c r="S186" s="896">
        <f t="shared" si="43"/>
        <v>83000.12</v>
      </c>
      <c r="T186" s="879"/>
      <c r="U186" s="881"/>
      <c r="V186" s="881"/>
      <c r="W186" s="881">
        <f t="shared" si="45"/>
        <v>83000.12</v>
      </c>
      <c r="X186" s="897"/>
      <c r="Y186" s="881"/>
      <c r="Z186" s="881"/>
      <c r="AA186" s="881"/>
      <c r="AB186" s="881"/>
      <c r="AC186" s="951">
        <f t="shared" si="44"/>
        <v>83000.12</v>
      </c>
      <c r="AD186" s="879"/>
      <c r="AE186" s="879"/>
    </row>
    <row r="187" spans="1:31">
      <c r="A187" s="879">
        <f t="shared" si="33"/>
        <v>173</v>
      </c>
      <c r="B187" s="893" t="s">
        <v>1850</v>
      </c>
      <c r="C187" s="960" t="s">
        <v>508</v>
      </c>
      <c r="D187" s="893" t="s">
        <v>524</v>
      </c>
      <c r="E187" s="968" t="s">
        <v>525</v>
      </c>
      <c r="F187" s="895">
        <v>61144.39</v>
      </c>
      <c r="G187" s="895">
        <v>60967.67</v>
      </c>
      <c r="H187" s="895">
        <v>60790.95</v>
      </c>
      <c r="I187" s="895">
        <v>59506.01</v>
      </c>
      <c r="J187" s="895">
        <v>59332.52</v>
      </c>
      <c r="K187" s="895">
        <v>59159.03</v>
      </c>
      <c r="L187" s="895">
        <v>58985.54</v>
      </c>
      <c r="M187" s="895">
        <v>58812.05</v>
      </c>
      <c r="N187" s="895">
        <v>58638.559999999998</v>
      </c>
      <c r="O187" s="895">
        <v>58465.07</v>
      </c>
      <c r="P187" s="895">
        <v>58291.58</v>
      </c>
      <c r="Q187" s="895">
        <v>58118.09</v>
      </c>
      <c r="R187" s="895">
        <v>57944.6</v>
      </c>
      <c r="S187" s="896">
        <f t="shared" si="43"/>
        <v>59217.630416666652</v>
      </c>
      <c r="T187" s="879"/>
      <c r="U187" s="881"/>
      <c r="V187" s="881"/>
      <c r="W187" s="881">
        <f t="shared" si="45"/>
        <v>59217.630416666652</v>
      </c>
      <c r="X187" s="897"/>
      <c r="Y187" s="881"/>
      <c r="Z187" s="881"/>
      <c r="AA187" s="881"/>
      <c r="AB187" s="881"/>
      <c r="AC187" s="951">
        <f t="shared" si="44"/>
        <v>59217.630416666652</v>
      </c>
      <c r="AD187" s="879"/>
      <c r="AE187" s="879"/>
    </row>
    <row r="188" spans="1:31">
      <c r="A188" s="879">
        <f t="shared" si="33"/>
        <v>174</v>
      </c>
      <c r="B188" s="893" t="s">
        <v>1850</v>
      </c>
      <c r="C188" s="960" t="s">
        <v>508</v>
      </c>
      <c r="D188" s="893" t="s">
        <v>526</v>
      </c>
      <c r="E188" s="968" t="s">
        <v>527</v>
      </c>
      <c r="F188" s="895">
        <v>60452.25</v>
      </c>
      <c r="G188" s="895">
        <v>60322.52</v>
      </c>
      <c r="H188" s="895">
        <v>60192.79</v>
      </c>
      <c r="I188" s="895">
        <v>58941.24</v>
      </c>
      <c r="J188" s="895">
        <v>58813.94</v>
      </c>
      <c r="K188" s="895">
        <v>58686.64</v>
      </c>
      <c r="L188" s="895">
        <v>58559.34</v>
      </c>
      <c r="M188" s="895">
        <v>58432.04</v>
      </c>
      <c r="N188" s="895">
        <v>58304.74</v>
      </c>
      <c r="O188" s="895">
        <v>58177.440000000002</v>
      </c>
      <c r="P188" s="895">
        <v>58050.14</v>
      </c>
      <c r="Q188" s="895">
        <v>57922.84</v>
      </c>
      <c r="R188" s="895">
        <v>57795.54</v>
      </c>
      <c r="S188" s="896">
        <f t="shared" si="43"/>
        <v>58793.963749999995</v>
      </c>
      <c r="T188" s="879"/>
      <c r="U188" s="881"/>
      <c r="V188" s="881"/>
      <c r="W188" s="881">
        <f t="shared" si="45"/>
        <v>58793.963749999995</v>
      </c>
      <c r="X188" s="897"/>
      <c r="Y188" s="881"/>
      <c r="Z188" s="881"/>
      <c r="AA188" s="881"/>
      <c r="AB188" s="881"/>
      <c r="AC188" s="951">
        <f t="shared" si="44"/>
        <v>58793.963749999995</v>
      </c>
      <c r="AD188" s="879"/>
      <c r="AE188" s="879"/>
    </row>
    <row r="189" spans="1:31">
      <c r="A189" s="879">
        <f t="shared" si="33"/>
        <v>175</v>
      </c>
      <c r="B189" s="893" t="s">
        <v>1850</v>
      </c>
      <c r="C189" s="960" t="s">
        <v>508</v>
      </c>
      <c r="D189" s="893" t="s">
        <v>528</v>
      </c>
      <c r="E189" s="968" t="s">
        <v>527</v>
      </c>
      <c r="F189" s="895">
        <v>61497.83</v>
      </c>
      <c r="G189" s="895">
        <v>61321.11</v>
      </c>
      <c r="H189" s="895">
        <v>61144.39</v>
      </c>
      <c r="I189" s="895">
        <v>59852.99</v>
      </c>
      <c r="J189" s="895">
        <v>59679.5</v>
      </c>
      <c r="K189" s="895">
        <v>59506.01</v>
      </c>
      <c r="L189" s="895">
        <v>59332.52</v>
      </c>
      <c r="M189" s="895">
        <v>59159.03</v>
      </c>
      <c r="N189" s="895">
        <v>58985.54</v>
      </c>
      <c r="O189" s="895">
        <v>58812.05</v>
      </c>
      <c r="P189" s="895">
        <v>58638.559999999998</v>
      </c>
      <c r="Q189" s="895">
        <v>58465.07</v>
      </c>
      <c r="R189" s="895">
        <v>58291.58</v>
      </c>
      <c r="S189" s="896">
        <f t="shared" si="43"/>
        <v>59565.956249999988</v>
      </c>
      <c r="T189" s="879"/>
      <c r="U189" s="881"/>
      <c r="V189" s="881"/>
      <c r="W189" s="881">
        <f t="shared" si="45"/>
        <v>59565.956249999988</v>
      </c>
      <c r="X189" s="897"/>
      <c r="Y189" s="881"/>
      <c r="Z189" s="881"/>
      <c r="AA189" s="881"/>
      <c r="AB189" s="881"/>
      <c r="AC189" s="951">
        <f t="shared" si="44"/>
        <v>59565.956249999988</v>
      </c>
      <c r="AD189" s="879"/>
      <c r="AE189" s="879"/>
    </row>
    <row r="190" spans="1:31">
      <c r="A190" s="879">
        <f t="shared" si="33"/>
        <v>176</v>
      </c>
      <c r="B190" s="893" t="s">
        <v>1850</v>
      </c>
      <c r="C190" s="960" t="s">
        <v>508</v>
      </c>
      <c r="D190" s="893" t="s">
        <v>529</v>
      </c>
      <c r="E190" s="968" t="s">
        <v>527</v>
      </c>
      <c r="F190" s="895">
        <v>60711.71</v>
      </c>
      <c r="G190" s="895">
        <v>60581.98</v>
      </c>
      <c r="H190" s="895">
        <v>60452.25</v>
      </c>
      <c r="I190" s="895">
        <v>59195.839999999997</v>
      </c>
      <c r="J190" s="895">
        <v>59068.54</v>
      </c>
      <c r="K190" s="895">
        <v>58941.24</v>
      </c>
      <c r="L190" s="895">
        <v>58813.94</v>
      </c>
      <c r="M190" s="895">
        <v>58686.64</v>
      </c>
      <c r="N190" s="895">
        <v>58559.34</v>
      </c>
      <c r="O190" s="895">
        <v>58432.04</v>
      </c>
      <c r="P190" s="895">
        <v>58304.74</v>
      </c>
      <c r="Q190" s="895">
        <v>58177.440000000002</v>
      </c>
      <c r="R190" s="895">
        <v>58050.14</v>
      </c>
      <c r="S190" s="896">
        <f t="shared" si="43"/>
        <v>59049.576250000006</v>
      </c>
      <c r="T190" s="879"/>
      <c r="U190" s="881"/>
      <c r="V190" s="881"/>
      <c r="W190" s="881">
        <f t="shared" si="45"/>
        <v>59049.576250000006</v>
      </c>
      <c r="X190" s="897"/>
      <c r="Y190" s="881"/>
      <c r="Z190" s="881"/>
      <c r="AA190" s="881"/>
      <c r="AB190" s="881"/>
      <c r="AC190" s="951">
        <f t="shared" si="44"/>
        <v>59049.576250000006</v>
      </c>
      <c r="AD190" s="879"/>
      <c r="AE190" s="879"/>
    </row>
    <row r="191" spans="1:31">
      <c r="A191" s="879">
        <f t="shared" si="33"/>
        <v>177</v>
      </c>
      <c r="B191" s="893" t="s">
        <v>1850</v>
      </c>
      <c r="C191" s="960" t="s">
        <v>508</v>
      </c>
      <c r="D191" s="893" t="s">
        <v>930</v>
      </c>
      <c r="E191" s="968" t="s">
        <v>931</v>
      </c>
      <c r="F191" s="912">
        <v>0</v>
      </c>
      <c r="G191" s="912">
        <v>-2104120.19</v>
      </c>
      <c r="H191" s="912">
        <v>-2093227.2</v>
      </c>
      <c r="I191" s="912">
        <v>-2077862.81</v>
      </c>
      <c r="J191" s="912">
        <v>-2066981.14</v>
      </c>
      <c r="K191" s="912">
        <v>-2056099.47</v>
      </c>
      <c r="L191" s="912">
        <v>-2045217.8</v>
      </c>
      <c r="M191" s="912">
        <v>-2034336.13</v>
      </c>
      <c r="N191" s="912">
        <v>-2023454.46</v>
      </c>
      <c r="O191" s="912">
        <v>-2012572.79</v>
      </c>
      <c r="P191" s="912">
        <v>-2001691.12</v>
      </c>
      <c r="Q191" s="912">
        <v>-1990809.45</v>
      </c>
      <c r="R191" s="912">
        <v>-1979927.78</v>
      </c>
      <c r="S191" s="913">
        <f t="shared" si="43"/>
        <v>-1958028.0374999999</v>
      </c>
      <c r="T191" s="879"/>
      <c r="U191" s="881"/>
      <c r="V191" s="881"/>
      <c r="W191" s="881">
        <f t="shared" si="45"/>
        <v>-1958028.0374999999</v>
      </c>
      <c r="X191" s="897"/>
      <c r="Y191" s="881"/>
      <c r="Z191" s="881"/>
      <c r="AA191" s="881"/>
      <c r="AB191" s="881"/>
      <c r="AC191" s="951">
        <f t="shared" si="44"/>
        <v>-1958028.0374999999</v>
      </c>
      <c r="AD191" s="879"/>
      <c r="AE191" s="879"/>
    </row>
    <row r="192" spans="1:31">
      <c r="A192" s="879">
        <f t="shared" si="33"/>
        <v>178</v>
      </c>
      <c r="B192" s="879"/>
      <c r="C192" s="879"/>
      <c r="D192" s="879"/>
      <c r="E192" s="969" t="s">
        <v>530</v>
      </c>
      <c r="F192" s="895">
        <f>SUM(F179:F191)</f>
        <v>2218763.2799999998</v>
      </c>
      <c r="G192" s="895">
        <f t="shared" ref="G192:S192" si="46">SUM(G179:G191)</f>
        <v>100291.77000000002</v>
      </c>
      <c r="H192" s="895">
        <f t="shared" si="46"/>
        <v>96833.440000000177</v>
      </c>
      <c r="I192" s="895">
        <f t="shared" si="46"/>
        <v>93375.10999999987</v>
      </c>
      <c r="J192" s="895">
        <f t="shared" si="46"/>
        <v>89916.780000000028</v>
      </c>
      <c r="K192" s="895">
        <f t="shared" si="46"/>
        <v>86458.450000000419</v>
      </c>
      <c r="L192" s="895">
        <f t="shared" si="46"/>
        <v>83000.120000000345</v>
      </c>
      <c r="M192" s="895">
        <f t="shared" si="46"/>
        <v>79541.790000000037</v>
      </c>
      <c r="N192" s="895">
        <f t="shared" si="46"/>
        <v>76083.460000000428</v>
      </c>
      <c r="O192" s="895">
        <f t="shared" si="46"/>
        <v>72625.130000000354</v>
      </c>
      <c r="P192" s="895">
        <f t="shared" si="46"/>
        <v>69166.800000000047</v>
      </c>
      <c r="Q192" s="895">
        <f t="shared" si="46"/>
        <v>65708.470000000205</v>
      </c>
      <c r="R192" s="895">
        <f t="shared" si="46"/>
        <v>62250.139999999898</v>
      </c>
      <c r="S192" s="896">
        <f t="shared" si="46"/>
        <v>171125.66916666715</v>
      </c>
      <c r="T192" s="879"/>
      <c r="U192" s="881"/>
      <c r="V192" s="881"/>
      <c r="W192" s="881"/>
      <c r="X192" s="897"/>
      <c r="Y192" s="881"/>
      <c r="Z192" s="881"/>
      <c r="AA192" s="881"/>
      <c r="AB192" s="881"/>
      <c r="AC192" s="879"/>
      <c r="AD192" s="879"/>
      <c r="AE192" s="879"/>
    </row>
    <row r="193" spans="1:31">
      <c r="A193" s="879">
        <f t="shared" si="33"/>
        <v>179</v>
      </c>
      <c r="B193" s="879"/>
      <c r="C193" s="879"/>
      <c r="D193" s="879"/>
      <c r="E193" s="970"/>
      <c r="F193" s="895"/>
      <c r="G193" s="966"/>
      <c r="H193" s="942"/>
      <c r="I193" s="942"/>
      <c r="J193" s="943"/>
      <c r="K193" s="944"/>
      <c r="L193" s="945"/>
      <c r="M193" s="946"/>
      <c r="N193" s="947"/>
      <c r="O193" s="948"/>
      <c r="P193" s="949"/>
      <c r="Q193" s="967"/>
      <c r="R193" s="895"/>
      <c r="S193" s="896"/>
      <c r="T193" s="879"/>
      <c r="U193" s="881"/>
      <c r="V193" s="881"/>
      <c r="W193" s="881"/>
      <c r="X193" s="897"/>
      <c r="Y193" s="881"/>
      <c r="Z193" s="881"/>
      <c r="AA193" s="881"/>
      <c r="AB193" s="881"/>
      <c r="AC193" s="879"/>
      <c r="AD193" s="879"/>
      <c r="AE193" s="879"/>
    </row>
    <row r="194" spans="1:31">
      <c r="A194" s="879">
        <f t="shared" si="33"/>
        <v>180</v>
      </c>
      <c r="B194" s="893" t="s">
        <v>1850</v>
      </c>
      <c r="C194" s="893" t="s">
        <v>531</v>
      </c>
      <c r="D194" s="893" t="s">
        <v>495</v>
      </c>
      <c r="E194" s="969" t="s">
        <v>532</v>
      </c>
      <c r="F194" s="895">
        <v>0</v>
      </c>
      <c r="G194" s="895">
        <v>0</v>
      </c>
      <c r="H194" s="895">
        <v>0</v>
      </c>
      <c r="I194" s="895">
        <v>0</v>
      </c>
      <c r="J194" s="895">
        <v>0</v>
      </c>
      <c r="K194" s="895">
        <v>0</v>
      </c>
      <c r="L194" s="895">
        <v>0</v>
      </c>
      <c r="M194" s="895">
        <v>0</v>
      </c>
      <c r="N194" s="895">
        <v>0</v>
      </c>
      <c r="O194" s="895">
        <v>0</v>
      </c>
      <c r="P194" s="895">
        <v>0</v>
      </c>
      <c r="Q194" s="895">
        <v>0</v>
      </c>
      <c r="R194" s="895">
        <v>0</v>
      </c>
      <c r="S194" s="896">
        <f>((F194+R194)+((G194+H194+I194+J194+K194+L194+M194+N194+O194+P194+Q194)*2))/24</f>
        <v>0</v>
      </c>
      <c r="T194" s="879"/>
      <c r="U194" s="881"/>
      <c r="V194" s="881"/>
      <c r="W194" s="881">
        <f t="shared" ref="W194:W198" si="47">+S194</f>
        <v>0</v>
      </c>
      <c r="X194" s="897"/>
      <c r="Y194" s="881"/>
      <c r="Z194" s="881"/>
      <c r="AA194" s="881"/>
      <c r="AB194" s="881"/>
      <c r="AC194" s="951">
        <f>+S194</f>
        <v>0</v>
      </c>
      <c r="AD194" s="879"/>
      <c r="AE194" s="879"/>
    </row>
    <row r="195" spans="1:31">
      <c r="A195" s="879">
        <f t="shared" si="33"/>
        <v>181</v>
      </c>
      <c r="B195" s="893" t="s">
        <v>1850</v>
      </c>
      <c r="C195" s="893" t="s">
        <v>531</v>
      </c>
      <c r="D195" s="893" t="s">
        <v>478</v>
      </c>
      <c r="E195" s="894" t="s">
        <v>533</v>
      </c>
      <c r="F195" s="895">
        <v>0</v>
      </c>
      <c r="G195" s="895">
        <v>0</v>
      </c>
      <c r="H195" s="895">
        <v>0</v>
      </c>
      <c r="I195" s="895">
        <v>0</v>
      </c>
      <c r="J195" s="895">
        <v>0</v>
      </c>
      <c r="K195" s="895">
        <v>0</v>
      </c>
      <c r="L195" s="895">
        <v>0</v>
      </c>
      <c r="M195" s="895">
        <v>0</v>
      </c>
      <c r="N195" s="895">
        <v>0</v>
      </c>
      <c r="O195" s="895">
        <v>0</v>
      </c>
      <c r="P195" s="895">
        <v>0</v>
      </c>
      <c r="Q195" s="895">
        <v>0</v>
      </c>
      <c r="R195" s="895">
        <v>0</v>
      </c>
      <c r="S195" s="896">
        <f>((F195+R195)+((G195+H195+I195+J195+K195+L195+M195+N195+O195+P195+Q195)*2))/24</f>
        <v>0</v>
      </c>
      <c r="T195" s="879"/>
      <c r="U195" s="881"/>
      <c r="V195" s="881"/>
      <c r="W195" s="881">
        <f t="shared" si="47"/>
        <v>0</v>
      </c>
      <c r="X195" s="897"/>
      <c r="Y195" s="881"/>
      <c r="Z195" s="881"/>
      <c r="AA195" s="881"/>
      <c r="AB195" s="881"/>
      <c r="AC195" s="951">
        <f>+S195</f>
        <v>0</v>
      </c>
      <c r="AD195" s="879"/>
      <c r="AE195" s="879"/>
    </row>
    <row r="196" spans="1:31">
      <c r="A196" s="879">
        <f t="shared" si="33"/>
        <v>182</v>
      </c>
      <c r="B196" s="893" t="s">
        <v>1850</v>
      </c>
      <c r="C196" s="893" t="s">
        <v>531</v>
      </c>
      <c r="D196" s="893" t="s">
        <v>534</v>
      </c>
      <c r="E196" s="894" t="s">
        <v>535</v>
      </c>
      <c r="F196" s="895">
        <v>0</v>
      </c>
      <c r="G196" s="895">
        <v>0</v>
      </c>
      <c r="H196" s="895">
        <v>0</v>
      </c>
      <c r="I196" s="895">
        <v>0</v>
      </c>
      <c r="J196" s="895">
        <v>0</v>
      </c>
      <c r="K196" s="895">
        <v>0</v>
      </c>
      <c r="L196" s="895">
        <v>0</v>
      </c>
      <c r="M196" s="895">
        <v>0</v>
      </c>
      <c r="N196" s="895">
        <v>0</v>
      </c>
      <c r="O196" s="895">
        <v>0</v>
      </c>
      <c r="P196" s="895">
        <v>0</v>
      </c>
      <c r="Q196" s="895">
        <v>0</v>
      </c>
      <c r="R196" s="895">
        <v>0</v>
      </c>
      <c r="S196" s="896">
        <f>((F196+R196)+((G196+H196+I196+J196+K196+L196+M196+N196+O196+P196+Q196)*2))/24</f>
        <v>0</v>
      </c>
      <c r="T196" s="879"/>
      <c r="U196" s="881"/>
      <c r="V196" s="881"/>
      <c r="W196" s="881">
        <f t="shared" si="47"/>
        <v>0</v>
      </c>
      <c r="X196" s="897"/>
      <c r="Y196" s="881"/>
      <c r="Z196" s="881"/>
      <c r="AA196" s="881"/>
      <c r="AB196" s="881"/>
      <c r="AC196" s="951">
        <f>+S196</f>
        <v>0</v>
      </c>
      <c r="AD196" s="879"/>
      <c r="AE196" s="879"/>
    </row>
    <row r="197" spans="1:31">
      <c r="A197" s="879">
        <f t="shared" si="33"/>
        <v>183</v>
      </c>
      <c r="B197" s="893" t="s">
        <v>1850</v>
      </c>
      <c r="C197" s="893" t="s">
        <v>531</v>
      </c>
      <c r="D197" s="893" t="s">
        <v>536</v>
      </c>
      <c r="E197" s="894" t="s">
        <v>537</v>
      </c>
      <c r="F197" s="895">
        <v>867212.39</v>
      </c>
      <c r="G197" s="895">
        <v>863798.17</v>
      </c>
      <c r="H197" s="895">
        <v>860383.95</v>
      </c>
      <c r="I197" s="895">
        <v>856969.73</v>
      </c>
      <c r="J197" s="895">
        <v>853555.51</v>
      </c>
      <c r="K197" s="895">
        <v>850141.29</v>
      </c>
      <c r="L197" s="895">
        <v>846727.07</v>
      </c>
      <c r="M197" s="895">
        <v>843312.85</v>
      </c>
      <c r="N197" s="895">
        <v>839898.63</v>
      </c>
      <c r="O197" s="895">
        <v>836484.41</v>
      </c>
      <c r="P197" s="895">
        <v>833070.19</v>
      </c>
      <c r="Q197" s="895">
        <v>829655.97</v>
      </c>
      <c r="R197" s="895">
        <v>826241.75</v>
      </c>
      <c r="S197" s="896">
        <f>((F197+R197)+((G197+H197+I197+J197+K197+L197+M197+N197+O197+P197+Q197)*2))/24</f>
        <v>846727.07000000018</v>
      </c>
      <c r="T197" s="879"/>
      <c r="U197" s="881"/>
      <c r="V197" s="881"/>
      <c r="W197" s="881">
        <f t="shared" si="47"/>
        <v>846727.07000000018</v>
      </c>
      <c r="X197" s="897"/>
      <c r="Y197" s="881"/>
      <c r="Z197" s="881"/>
      <c r="AA197" s="881"/>
      <c r="AB197" s="881"/>
      <c r="AC197" s="951">
        <f>+S197</f>
        <v>846727.07000000018</v>
      </c>
      <c r="AD197" s="879"/>
      <c r="AE197" s="879"/>
    </row>
    <row r="198" spans="1:31">
      <c r="A198" s="879">
        <f t="shared" si="33"/>
        <v>184</v>
      </c>
      <c r="B198" s="893" t="s">
        <v>1850</v>
      </c>
      <c r="C198" s="893" t="s">
        <v>531</v>
      </c>
      <c r="D198" s="879"/>
      <c r="E198" s="894" t="s">
        <v>538</v>
      </c>
      <c r="F198" s="912">
        <v>0</v>
      </c>
      <c r="G198" s="912">
        <v>0</v>
      </c>
      <c r="H198" s="912">
        <v>0</v>
      </c>
      <c r="I198" s="912">
        <v>0</v>
      </c>
      <c r="J198" s="912">
        <v>0</v>
      </c>
      <c r="K198" s="912">
        <v>0</v>
      </c>
      <c r="L198" s="912">
        <v>0</v>
      </c>
      <c r="M198" s="912">
        <v>0</v>
      </c>
      <c r="N198" s="912">
        <v>0</v>
      </c>
      <c r="O198" s="912">
        <v>0</v>
      </c>
      <c r="P198" s="912">
        <v>0</v>
      </c>
      <c r="Q198" s="912">
        <v>0</v>
      </c>
      <c r="R198" s="912">
        <v>0</v>
      </c>
      <c r="S198" s="896">
        <f>((F198+R198)+((G198+H198+I198+J198+K198+L198+M198+N198+O198+P198+Q198)*2))/24</f>
        <v>0</v>
      </c>
      <c r="T198" s="879"/>
      <c r="U198" s="881"/>
      <c r="V198" s="881"/>
      <c r="W198" s="881">
        <f t="shared" si="47"/>
        <v>0</v>
      </c>
      <c r="X198" s="897"/>
      <c r="Y198" s="881"/>
      <c r="Z198" s="881"/>
      <c r="AA198" s="881"/>
      <c r="AB198" s="881"/>
      <c r="AC198" s="951">
        <f>+S198</f>
        <v>0</v>
      </c>
      <c r="AD198" s="879"/>
      <c r="AE198" s="879"/>
    </row>
    <row r="199" spans="1:31">
      <c r="A199" s="879">
        <f t="shared" si="33"/>
        <v>185</v>
      </c>
      <c r="B199" s="879"/>
      <c r="C199" s="879"/>
      <c r="D199" s="879"/>
      <c r="E199" s="894" t="s">
        <v>530</v>
      </c>
      <c r="F199" s="898">
        <f t="shared" ref="F199:S199" si="48">SUM(F194:F198)</f>
        <v>867212.39</v>
      </c>
      <c r="G199" s="898">
        <f t="shared" si="48"/>
        <v>863798.17</v>
      </c>
      <c r="H199" s="898">
        <f t="shared" si="48"/>
        <v>860383.95</v>
      </c>
      <c r="I199" s="898">
        <f t="shared" si="48"/>
        <v>856969.73</v>
      </c>
      <c r="J199" s="898">
        <f t="shared" si="48"/>
        <v>853555.51</v>
      </c>
      <c r="K199" s="898">
        <f t="shared" si="48"/>
        <v>850141.29</v>
      </c>
      <c r="L199" s="898">
        <f t="shared" si="48"/>
        <v>846727.07</v>
      </c>
      <c r="M199" s="898">
        <f t="shared" si="48"/>
        <v>843312.85</v>
      </c>
      <c r="N199" s="898">
        <f t="shared" si="48"/>
        <v>839898.63</v>
      </c>
      <c r="O199" s="898">
        <f t="shared" si="48"/>
        <v>836484.41</v>
      </c>
      <c r="P199" s="898">
        <f t="shared" si="48"/>
        <v>833070.19</v>
      </c>
      <c r="Q199" s="898">
        <f t="shared" si="48"/>
        <v>829655.97</v>
      </c>
      <c r="R199" s="898">
        <f t="shared" si="48"/>
        <v>826241.75</v>
      </c>
      <c r="S199" s="899">
        <f t="shared" si="48"/>
        <v>846727.07000000018</v>
      </c>
      <c r="T199" s="879"/>
      <c r="U199" s="881"/>
      <c r="V199" s="881"/>
      <c r="W199" s="881"/>
      <c r="X199" s="897"/>
      <c r="Y199" s="881"/>
      <c r="Z199" s="881"/>
      <c r="AA199" s="881"/>
      <c r="AB199" s="881"/>
      <c r="AC199" s="879"/>
      <c r="AD199" s="879"/>
      <c r="AE199" s="879"/>
    </row>
    <row r="200" spans="1:31">
      <c r="A200" s="879">
        <f t="shared" si="33"/>
        <v>186</v>
      </c>
      <c r="B200" s="879"/>
      <c r="C200" s="879"/>
      <c r="D200" s="879"/>
      <c r="E200" s="918"/>
      <c r="F200" s="895"/>
      <c r="G200" s="966"/>
      <c r="H200" s="942"/>
      <c r="I200" s="942"/>
      <c r="J200" s="943"/>
      <c r="K200" s="944"/>
      <c r="L200" s="945"/>
      <c r="M200" s="946"/>
      <c r="N200" s="947"/>
      <c r="O200" s="948"/>
      <c r="P200" s="949"/>
      <c r="Q200" s="967"/>
      <c r="R200" s="895"/>
      <c r="S200" s="896"/>
      <c r="T200" s="879"/>
      <c r="U200" s="881"/>
      <c r="V200" s="881"/>
      <c r="W200" s="881"/>
      <c r="X200" s="897"/>
      <c r="Y200" s="881"/>
      <c r="Z200" s="881"/>
      <c r="AA200" s="881"/>
      <c r="AB200" s="881"/>
      <c r="AC200" s="879"/>
      <c r="AD200" s="879"/>
      <c r="AE200" s="879"/>
    </row>
    <row r="201" spans="1:31">
      <c r="A201" s="879">
        <f t="shared" si="33"/>
        <v>187</v>
      </c>
      <c r="B201" s="893" t="s">
        <v>1850</v>
      </c>
      <c r="C201" s="893" t="s">
        <v>494</v>
      </c>
      <c r="D201" s="893" t="s">
        <v>478</v>
      </c>
      <c r="E201" s="894" t="s">
        <v>539</v>
      </c>
      <c r="F201" s="895">
        <v>0</v>
      </c>
      <c r="G201" s="895">
        <v>0</v>
      </c>
      <c r="H201" s="895">
        <v>0</v>
      </c>
      <c r="I201" s="895">
        <v>0</v>
      </c>
      <c r="J201" s="895">
        <v>0</v>
      </c>
      <c r="K201" s="895">
        <v>0</v>
      </c>
      <c r="L201" s="895">
        <v>0</v>
      </c>
      <c r="M201" s="895">
        <v>0</v>
      </c>
      <c r="N201" s="895">
        <v>0</v>
      </c>
      <c r="O201" s="895">
        <v>0</v>
      </c>
      <c r="P201" s="895">
        <v>0</v>
      </c>
      <c r="Q201" s="895">
        <v>0</v>
      </c>
      <c r="R201" s="895">
        <v>0</v>
      </c>
      <c r="S201" s="896">
        <f t="shared" ref="S201:S246" si="49">((F201+R201)+((G201+H201+I201+J201+K201+L201+M201+N201+O201+P201+Q201)*2))/24</f>
        <v>0</v>
      </c>
      <c r="T201" s="879"/>
      <c r="U201" s="881">
        <f t="shared" ref="U201:U244" si="50">+S201</f>
        <v>0</v>
      </c>
      <c r="V201" s="881"/>
      <c r="W201" s="881"/>
      <c r="X201" s="897"/>
      <c r="Y201" s="881"/>
      <c r="Z201" s="881"/>
      <c r="AA201" s="881"/>
      <c r="AB201" s="881"/>
      <c r="AC201" s="879"/>
      <c r="AD201" s="951">
        <f t="shared" ref="AD201:AD237" si="51">+U201</f>
        <v>0</v>
      </c>
      <c r="AE201" s="879"/>
    </row>
    <row r="202" spans="1:31">
      <c r="A202" s="879">
        <f t="shared" si="33"/>
        <v>188</v>
      </c>
      <c r="B202" s="893" t="s">
        <v>1850</v>
      </c>
      <c r="C202" s="893" t="s">
        <v>485</v>
      </c>
      <c r="D202" s="893" t="s">
        <v>521</v>
      </c>
      <c r="E202" s="894" t="s">
        <v>489</v>
      </c>
      <c r="F202" s="895">
        <v>0</v>
      </c>
      <c r="G202" s="895">
        <v>0</v>
      </c>
      <c r="H202" s="895">
        <v>0</v>
      </c>
      <c r="I202" s="895">
        <v>0</v>
      </c>
      <c r="J202" s="895">
        <v>0</v>
      </c>
      <c r="K202" s="895">
        <v>0</v>
      </c>
      <c r="L202" s="895">
        <v>0</v>
      </c>
      <c r="M202" s="895">
        <v>0</v>
      </c>
      <c r="N202" s="895">
        <v>0</v>
      </c>
      <c r="O202" s="895">
        <v>0</v>
      </c>
      <c r="P202" s="895">
        <v>0</v>
      </c>
      <c r="Q202" s="895">
        <v>0</v>
      </c>
      <c r="R202" s="895">
        <v>0</v>
      </c>
      <c r="S202" s="896">
        <f t="shared" si="49"/>
        <v>0</v>
      </c>
      <c r="T202" s="879"/>
      <c r="U202" s="881">
        <f t="shared" si="50"/>
        <v>0</v>
      </c>
      <c r="V202" s="881"/>
      <c r="W202" s="881"/>
      <c r="X202" s="897"/>
      <c r="Y202" s="881"/>
      <c r="Z202" s="881"/>
      <c r="AA202" s="881"/>
      <c r="AB202" s="881"/>
      <c r="AC202" s="879"/>
      <c r="AD202" s="951">
        <f t="shared" si="51"/>
        <v>0</v>
      </c>
      <c r="AE202" s="879"/>
    </row>
    <row r="203" spans="1:31">
      <c r="A203" s="971">
        <f t="shared" si="33"/>
        <v>189</v>
      </c>
      <c r="B203" s="972" t="s">
        <v>1886</v>
      </c>
      <c r="C203" s="972" t="s">
        <v>540</v>
      </c>
      <c r="D203" s="972" t="s">
        <v>2144</v>
      </c>
      <c r="E203" s="894" t="s">
        <v>541</v>
      </c>
      <c r="F203" s="895">
        <v>175415.88</v>
      </c>
      <c r="G203" s="895">
        <v>174992.17</v>
      </c>
      <c r="H203" s="895">
        <v>174568.43</v>
      </c>
      <c r="I203" s="895">
        <v>968314.03</v>
      </c>
      <c r="J203" s="895">
        <v>967042.41</v>
      </c>
      <c r="K203" s="895">
        <v>965770.77</v>
      </c>
      <c r="L203" s="895">
        <v>964564.8</v>
      </c>
      <c r="M203" s="895">
        <v>963304.13</v>
      </c>
      <c r="N203" s="895">
        <v>962043.42</v>
      </c>
      <c r="O203" s="895">
        <v>975086.57</v>
      </c>
      <c r="P203" s="895">
        <v>975415.22</v>
      </c>
      <c r="Q203" s="895">
        <v>914535</v>
      </c>
      <c r="R203" s="895">
        <v>872885.49</v>
      </c>
      <c r="S203" s="896">
        <f t="shared" si="49"/>
        <v>794148.96958333335</v>
      </c>
      <c r="T203" s="971"/>
      <c r="U203" s="973">
        <f t="shared" si="50"/>
        <v>794148.96958333335</v>
      </c>
      <c r="V203" s="973"/>
      <c r="W203" s="973"/>
      <c r="X203" s="974"/>
      <c r="Y203" s="973"/>
      <c r="Z203" s="973"/>
      <c r="AA203" s="973"/>
      <c r="AB203" s="973"/>
      <c r="AC203" s="971"/>
      <c r="AD203" s="975">
        <f t="shared" si="51"/>
        <v>794148.96958333335</v>
      </c>
      <c r="AE203" s="971"/>
    </row>
    <row r="204" spans="1:31">
      <c r="A204" s="971">
        <f t="shared" si="33"/>
        <v>190</v>
      </c>
      <c r="B204" s="972" t="s">
        <v>1853</v>
      </c>
      <c r="C204" s="972" t="s">
        <v>540</v>
      </c>
      <c r="D204" s="972" t="s">
        <v>2145</v>
      </c>
      <c r="E204" s="894" t="s">
        <v>541</v>
      </c>
      <c r="F204" s="895">
        <v>1.16415321826935E-10</v>
      </c>
      <c r="G204" s="895">
        <v>3260.41</v>
      </c>
      <c r="H204" s="895">
        <v>6537.55</v>
      </c>
      <c r="I204" s="895">
        <v>9831.5</v>
      </c>
      <c r="J204" s="895">
        <v>13142.34</v>
      </c>
      <c r="K204" s="895">
        <v>16470.14</v>
      </c>
      <c r="L204" s="895">
        <v>19815.060000000001</v>
      </c>
      <c r="M204" s="895">
        <v>23177.11</v>
      </c>
      <c r="N204" s="895">
        <v>-3.6379788070917101E-12</v>
      </c>
      <c r="O204" s="895">
        <v>-3.6379788070917101E-12</v>
      </c>
      <c r="P204" s="895">
        <v>-3.6379788070917101E-12</v>
      </c>
      <c r="Q204" s="895">
        <v>-3.6379788070917101E-12</v>
      </c>
      <c r="R204" s="895">
        <v>-3.6379788070917101E-12</v>
      </c>
      <c r="S204" s="896">
        <f t="shared" si="49"/>
        <v>7686.1758333333382</v>
      </c>
      <c r="T204" s="971"/>
      <c r="U204" s="973">
        <f t="shared" si="50"/>
        <v>7686.1758333333382</v>
      </c>
      <c r="V204" s="973"/>
      <c r="W204" s="973"/>
      <c r="X204" s="974"/>
      <c r="Y204" s="973"/>
      <c r="Z204" s="973"/>
      <c r="AA204" s="973"/>
      <c r="AB204" s="973"/>
      <c r="AC204" s="971"/>
      <c r="AD204" s="975">
        <f t="shared" si="51"/>
        <v>7686.1758333333382</v>
      </c>
      <c r="AE204" s="971"/>
    </row>
    <row r="205" spans="1:31">
      <c r="A205" s="971">
        <f t="shared" si="33"/>
        <v>191</v>
      </c>
      <c r="B205" s="972" t="s">
        <v>1886</v>
      </c>
      <c r="C205" s="972" t="s">
        <v>540</v>
      </c>
      <c r="D205" s="972" t="s">
        <v>2146</v>
      </c>
      <c r="E205" s="894" t="s">
        <v>541</v>
      </c>
      <c r="F205" s="895">
        <v>0</v>
      </c>
      <c r="G205" s="895">
        <v>147.78</v>
      </c>
      <c r="H205" s="895">
        <v>296.29000000000002</v>
      </c>
      <c r="I205" s="895">
        <v>445.51</v>
      </c>
      <c r="J205" s="895">
        <v>595.49</v>
      </c>
      <c r="K205" s="895">
        <v>746.19</v>
      </c>
      <c r="L205" s="895">
        <v>897.65</v>
      </c>
      <c r="M205" s="895">
        <v>1049.83</v>
      </c>
      <c r="N205" s="895">
        <v>2.2737367544323201E-13</v>
      </c>
      <c r="O205" s="895">
        <v>2.2737367544323201E-13</v>
      </c>
      <c r="P205" s="895">
        <v>2.2737367544323201E-13</v>
      </c>
      <c r="Q205" s="895">
        <v>2.2737367544323201E-13</v>
      </c>
      <c r="R205" s="895">
        <v>2.2737367544323201E-13</v>
      </c>
      <c r="S205" s="896">
        <f t="shared" si="49"/>
        <v>348.2283333333333</v>
      </c>
      <c r="T205" s="971"/>
      <c r="U205" s="973">
        <f t="shared" si="50"/>
        <v>348.2283333333333</v>
      </c>
      <c r="V205" s="973"/>
      <c r="W205" s="973"/>
      <c r="X205" s="974"/>
      <c r="Y205" s="973"/>
      <c r="Z205" s="973"/>
      <c r="AA205" s="973"/>
      <c r="AB205" s="973"/>
      <c r="AC205" s="971"/>
      <c r="AD205" s="975">
        <f t="shared" si="51"/>
        <v>348.2283333333333</v>
      </c>
      <c r="AE205" s="971"/>
    </row>
    <row r="206" spans="1:31">
      <c r="A206" s="971">
        <f t="shared" si="33"/>
        <v>192</v>
      </c>
      <c r="B206" s="972" t="s">
        <v>1853</v>
      </c>
      <c r="C206" s="972" t="s">
        <v>540</v>
      </c>
      <c r="D206" s="972" t="s">
        <v>2147</v>
      </c>
      <c r="E206" s="894" t="s">
        <v>2148</v>
      </c>
      <c r="F206" s="895">
        <v>49879715.100000001</v>
      </c>
      <c r="G206" s="895">
        <v>49879715.100000001</v>
      </c>
      <c r="H206" s="895">
        <v>49879715.100000001</v>
      </c>
      <c r="I206" s="895">
        <v>49879715.100000001</v>
      </c>
      <c r="J206" s="895">
        <v>49879715.100000001</v>
      </c>
      <c r="K206" s="895">
        <v>49879715.100000001</v>
      </c>
      <c r="L206" s="895">
        <v>49879715.100000001</v>
      </c>
      <c r="M206" s="895">
        <v>49879715.100000001</v>
      </c>
      <c r="N206" s="895">
        <v>49879715.100000001</v>
      </c>
      <c r="O206" s="895">
        <v>49879715.100000001</v>
      </c>
      <c r="P206" s="895">
        <v>49879715.100000001</v>
      </c>
      <c r="Q206" s="895">
        <v>49879715.100000001</v>
      </c>
      <c r="R206" s="895">
        <v>47758057.100000001</v>
      </c>
      <c r="S206" s="896">
        <f t="shared" si="49"/>
        <v>49791312.683333345</v>
      </c>
      <c r="T206" s="971"/>
      <c r="U206" s="973">
        <f t="shared" si="50"/>
        <v>49791312.683333345</v>
      </c>
      <c r="V206" s="973"/>
      <c r="W206" s="973"/>
      <c r="X206" s="974"/>
      <c r="Y206" s="973"/>
      <c r="Z206" s="973"/>
      <c r="AA206" s="973"/>
      <c r="AB206" s="973"/>
      <c r="AC206" s="971"/>
      <c r="AD206" s="975">
        <f t="shared" si="51"/>
        <v>49791312.683333345</v>
      </c>
      <c r="AE206" s="971"/>
    </row>
    <row r="207" spans="1:31">
      <c r="A207" s="971">
        <f t="shared" si="33"/>
        <v>193</v>
      </c>
      <c r="B207" s="972" t="s">
        <v>1853</v>
      </c>
      <c r="C207" s="972" t="s">
        <v>540</v>
      </c>
      <c r="D207" s="972" t="s">
        <v>2149</v>
      </c>
      <c r="E207" s="894" t="s">
        <v>541</v>
      </c>
      <c r="F207" s="895">
        <v>1771115</v>
      </c>
      <c r="G207" s="895">
        <v>1771115</v>
      </c>
      <c r="H207" s="895">
        <v>1771115</v>
      </c>
      <c r="I207" s="895">
        <v>1771115</v>
      </c>
      <c r="J207" s="895">
        <v>1771115</v>
      </c>
      <c r="K207" s="895">
        <v>1771115</v>
      </c>
      <c r="L207" s="895">
        <v>1771115</v>
      </c>
      <c r="M207" s="895">
        <v>1771115</v>
      </c>
      <c r="N207" s="895">
        <v>1771115</v>
      </c>
      <c r="O207" s="895">
        <v>1771115</v>
      </c>
      <c r="P207" s="895">
        <v>1771115</v>
      </c>
      <c r="Q207" s="895">
        <v>1771115</v>
      </c>
      <c r="R207" s="895">
        <v>1237512</v>
      </c>
      <c r="S207" s="896">
        <f t="shared" si="49"/>
        <v>1748881.5416666667</v>
      </c>
      <c r="T207" s="971"/>
      <c r="U207" s="973">
        <f t="shared" si="50"/>
        <v>1748881.5416666667</v>
      </c>
      <c r="V207" s="973"/>
      <c r="W207" s="973"/>
      <c r="X207" s="974"/>
      <c r="Y207" s="973"/>
      <c r="Z207" s="973"/>
      <c r="AA207" s="973"/>
      <c r="AB207" s="973"/>
      <c r="AC207" s="971"/>
      <c r="AD207" s="975">
        <f t="shared" si="51"/>
        <v>1748881.5416666667</v>
      </c>
      <c r="AE207" s="971"/>
    </row>
    <row r="208" spans="1:31">
      <c r="A208" s="971">
        <f t="shared" si="33"/>
        <v>194</v>
      </c>
      <c r="B208" s="972" t="s">
        <v>1886</v>
      </c>
      <c r="C208" s="972" t="s">
        <v>540</v>
      </c>
      <c r="D208" s="972" t="s">
        <v>2150</v>
      </c>
      <c r="E208" s="894" t="s">
        <v>541</v>
      </c>
      <c r="F208" s="895">
        <v>-355126.66</v>
      </c>
      <c r="G208" s="895">
        <v>-355126.69</v>
      </c>
      <c r="H208" s="895">
        <v>-355126.66</v>
      </c>
      <c r="I208" s="895">
        <v>-270504.86</v>
      </c>
      <c r="J208" s="895">
        <v>-269865.07</v>
      </c>
      <c r="K208" s="895">
        <v>-269225.28999999998</v>
      </c>
      <c r="L208" s="895">
        <v>-268516.27</v>
      </c>
      <c r="M208" s="895">
        <v>-267788.53000000003</v>
      </c>
      <c r="N208" s="895">
        <v>-267060.81</v>
      </c>
      <c r="O208" s="895">
        <v>-267210.95</v>
      </c>
      <c r="P208" s="895">
        <v>-266582.58</v>
      </c>
      <c r="Q208" s="895">
        <v>-265700.55</v>
      </c>
      <c r="R208" s="895">
        <v>-241113.93</v>
      </c>
      <c r="S208" s="896">
        <f t="shared" si="49"/>
        <v>-285069.04625000001</v>
      </c>
      <c r="T208" s="971"/>
      <c r="U208" s="973">
        <f t="shared" si="50"/>
        <v>-285069.04625000001</v>
      </c>
      <c r="V208" s="973"/>
      <c r="W208" s="973"/>
      <c r="X208" s="974"/>
      <c r="Y208" s="973"/>
      <c r="Z208" s="973"/>
      <c r="AA208" s="973"/>
      <c r="AB208" s="973"/>
      <c r="AC208" s="971"/>
      <c r="AD208" s="975">
        <f t="shared" si="51"/>
        <v>-285069.04625000001</v>
      </c>
      <c r="AE208" s="971"/>
    </row>
    <row r="209" spans="1:31">
      <c r="A209" s="952">
        <f t="shared" ref="A209:A272" si="52">+A208+1</f>
        <v>195</v>
      </c>
      <c r="B209" s="953" t="s">
        <v>1853</v>
      </c>
      <c r="C209" s="953" t="s">
        <v>540</v>
      </c>
      <c r="D209" s="953" t="s">
        <v>2151</v>
      </c>
      <c r="E209" s="954" t="s">
        <v>2297</v>
      </c>
      <c r="F209" s="955">
        <v>0</v>
      </c>
      <c r="G209" s="955">
        <v>0</v>
      </c>
      <c r="H209" s="955">
        <v>0</v>
      </c>
      <c r="I209" s="955">
        <v>0</v>
      </c>
      <c r="J209" s="955">
        <v>0</v>
      </c>
      <c r="K209" s="955">
        <v>0</v>
      </c>
      <c r="L209" s="955">
        <v>0</v>
      </c>
      <c r="M209" s="955">
        <v>30117.18</v>
      </c>
      <c r="N209" s="955">
        <v>172031.18</v>
      </c>
      <c r="O209" s="955">
        <v>500380.48</v>
      </c>
      <c r="P209" s="955">
        <v>1504154.47</v>
      </c>
      <c r="Q209" s="955">
        <v>0</v>
      </c>
      <c r="R209" s="955">
        <v>0</v>
      </c>
      <c r="S209" s="956">
        <f t="shared" si="49"/>
        <v>183890.27583333335</v>
      </c>
      <c r="T209" s="952" t="s">
        <v>2110</v>
      </c>
      <c r="U209" s="957">
        <f>+S209*V6</f>
        <v>183890.27583333335</v>
      </c>
      <c r="V209" s="957"/>
      <c r="W209" s="957">
        <f>+S209-U209</f>
        <v>0</v>
      </c>
      <c r="X209" s="958"/>
      <c r="Y209" s="957"/>
      <c r="Z209" s="957"/>
      <c r="AA209" s="957"/>
      <c r="AB209" s="957"/>
      <c r="AC209" s="952"/>
      <c r="AD209" s="959">
        <f t="shared" si="51"/>
        <v>183890.27583333335</v>
      </c>
      <c r="AE209" s="952"/>
    </row>
    <row r="210" spans="1:31">
      <c r="A210" s="879">
        <f t="shared" si="52"/>
        <v>196</v>
      </c>
      <c r="B210" s="893" t="s">
        <v>1850</v>
      </c>
      <c r="C210" s="893" t="s">
        <v>542</v>
      </c>
      <c r="D210" s="893" t="s">
        <v>2152</v>
      </c>
      <c r="E210" s="894" t="s">
        <v>543</v>
      </c>
      <c r="F210" s="895">
        <v>0</v>
      </c>
      <c r="G210" s="895">
        <v>-2075.12</v>
      </c>
      <c r="H210" s="895">
        <v>-4185.32</v>
      </c>
      <c r="I210" s="895">
        <v>-7192.76</v>
      </c>
      <c r="J210" s="895">
        <v>-9197.7199999999993</v>
      </c>
      <c r="K210" s="895">
        <v>-11202.68</v>
      </c>
      <c r="L210" s="895">
        <v>-13207.64</v>
      </c>
      <c r="M210" s="895">
        <v>-15212.6</v>
      </c>
      <c r="N210" s="895">
        <v>-18220.04</v>
      </c>
      <c r="O210" s="895">
        <v>-20225</v>
      </c>
      <c r="P210" s="895">
        <v>-22229.96</v>
      </c>
      <c r="Q210" s="895">
        <v>-24234.92</v>
      </c>
      <c r="R210" s="895">
        <v>3.6379788070917101E-12</v>
      </c>
      <c r="S210" s="896">
        <f t="shared" si="49"/>
        <v>-12265.313333333334</v>
      </c>
      <c r="T210" s="879"/>
      <c r="U210" s="881">
        <f t="shared" si="50"/>
        <v>-12265.313333333334</v>
      </c>
      <c r="V210" s="881"/>
      <c r="W210" s="881"/>
      <c r="X210" s="897"/>
      <c r="Y210" s="881"/>
      <c r="Z210" s="881"/>
      <c r="AA210" s="881"/>
      <c r="AB210" s="881"/>
      <c r="AC210" s="879"/>
      <c r="AD210" s="951">
        <f t="shared" si="51"/>
        <v>-12265.313333333334</v>
      </c>
      <c r="AE210" s="879"/>
    </row>
    <row r="211" spans="1:31">
      <c r="A211" s="879">
        <f t="shared" si="52"/>
        <v>197</v>
      </c>
      <c r="B211" s="893" t="s">
        <v>1850</v>
      </c>
      <c r="C211" s="893" t="s">
        <v>542</v>
      </c>
      <c r="D211" s="960" t="s">
        <v>2153</v>
      </c>
      <c r="E211" s="894" t="s">
        <v>543</v>
      </c>
      <c r="F211" s="895">
        <v>0</v>
      </c>
      <c r="G211" s="895">
        <v>244953.9</v>
      </c>
      <c r="H211" s="895">
        <v>488078.87</v>
      </c>
      <c r="I211" s="895">
        <v>708570.74</v>
      </c>
      <c r="J211" s="895">
        <v>956674.35</v>
      </c>
      <c r="K211" s="895">
        <v>1208706.1200000001</v>
      </c>
      <c r="L211" s="895">
        <v>1463457.97</v>
      </c>
      <c r="M211" s="895">
        <v>1716960.12</v>
      </c>
      <c r="N211" s="895">
        <v>1951932.78</v>
      </c>
      <c r="O211" s="895">
        <v>2210826.21</v>
      </c>
      <c r="P211" s="895">
        <v>2468846.23</v>
      </c>
      <c r="Q211" s="895">
        <v>2728321.79</v>
      </c>
      <c r="R211" s="895">
        <v>0</v>
      </c>
      <c r="S211" s="896">
        <f t="shared" si="49"/>
        <v>1345610.7566666666</v>
      </c>
      <c r="T211" s="879"/>
      <c r="U211" s="881">
        <f t="shared" si="50"/>
        <v>1345610.7566666666</v>
      </c>
      <c r="V211" s="881"/>
      <c r="W211" s="881"/>
      <c r="X211" s="897"/>
      <c r="Y211" s="881"/>
      <c r="Z211" s="881"/>
      <c r="AA211" s="881"/>
      <c r="AB211" s="881"/>
      <c r="AC211" s="879"/>
      <c r="AD211" s="951">
        <f t="shared" si="51"/>
        <v>1345610.7566666666</v>
      </c>
      <c r="AE211" s="879"/>
    </row>
    <row r="212" spans="1:31">
      <c r="A212" s="879">
        <f t="shared" si="52"/>
        <v>198</v>
      </c>
      <c r="B212" s="893" t="s">
        <v>1850</v>
      </c>
      <c r="C212" s="893" t="s">
        <v>542</v>
      </c>
      <c r="D212" s="893" t="s">
        <v>2154</v>
      </c>
      <c r="E212" s="894" t="s">
        <v>543</v>
      </c>
      <c r="F212" s="895">
        <v>4.65661287307739E-10</v>
      </c>
      <c r="G212" s="895">
        <v>-271672.83</v>
      </c>
      <c r="H212" s="895">
        <v>-503427.95</v>
      </c>
      <c r="I212" s="895">
        <v>-763675.75</v>
      </c>
      <c r="J212" s="895">
        <v>-1003916.57</v>
      </c>
      <c r="K212" s="895">
        <v>-1257875.1599999999</v>
      </c>
      <c r="L212" s="895">
        <v>-1478788.67</v>
      </c>
      <c r="M212" s="895">
        <v>-1703239.93</v>
      </c>
      <c r="N212" s="895">
        <v>-1989786.64</v>
      </c>
      <c r="O212" s="895">
        <v>-2245886.87</v>
      </c>
      <c r="P212" s="895">
        <v>-2490386.59</v>
      </c>
      <c r="Q212" s="895">
        <v>-2745798.97</v>
      </c>
      <c r="R212" s="895">
        <v>0</v>
      </c>
      <c r="S212" s="896">
        <f t="shared" si="49"/>
        <v>-1371204.6608333334</v>
      </c>
      <c r="T212" s="879"/>
      <c r="U212" s="881">
        <f t="shared" si="50"/>
        <v>-1371204.6608333334</v>
      </c>
      <c r="V212" s="881"/>
      <c r="W212" s="881"/>
      <c r="X212" s="897"/>
      <c r="Y212" s="881"/>
      <c r="Z212" s="881"/>
      <c r="AA212" s="881"/>
      <c r="AB212" s="881"/>
      <c r="AC212" s="879"/>
      <c r="AD212" s="951">
        <f t="shared" si="51"/>
        <v>-1371204.6608333334</v>
      </c>
      <c r="AE212" s="879"/>
    </row>
    <row r="213" spans="1:31">
      <c r="A213" s="879">
        <f t="shared" si="52"/>
        <v>199</v>
      </c>
      <c r="B213" s="893" t="s">
        <v>1850</v>
      </c>
      <c r="C213" s="893" t="s">
        <v>542</v>
      </c>
      <c r="D213" s="893" t="s">
        <v>2155</v>
      </c>
      <c r="E213" s="894" t="s">
        <v>543</v>
      </c>
      <c r="F213" s="895">
        <v>0</v>
      </c>
      <c r="G213" s="895">
        <v>-438.52</v>
      </c>
      <c r="H213" s="895">
        <v>-895.5</v>
      </c>
      <c r="I213" s="895">
        <v>-1497.9</v>
      </c>
      <c r="J213" s="895">
        <v>-1899.5</v>
      </c>
      <c r="K213" s="895">
        <v>-2301.1</v>
      </c>
      <c r="L213" s="895">
        <v>-2702.7</v>
      </c>
      <c r="M213" s="895">
        <v>-3104.3</v>
      </c>
      <c r="N213" s="895">
        <v>-3706.7</v>
      </c>
      <c r="O213" s="895">
        <v>-4108.3</v>
      </c>
      <c r="P213" s="895">
        <v>-4509.8999999999996</v>
      </c>
      <c r="Q213" s="895">
        <v>-4911.5</v>
      </c>
      <c r="R213" s="895">
        <v>-9.0949470177292804E-13</v>
      </c>
      <c r="S213" s="896">
        <f t="shared" si="49"/>
        <v>-2506.3266666666664</v>
      </c>
      <c r="T213" s="879"/>
      <c r="U213" s="881">
        <f t="shared" si="50"/>
        <v>-2506.3266666666664</v>
      </c>
      <c r="V213" s="881"/>
      <c r="W213" s="881"/>
      <c r="X213" s="897"/>
      <c r="Y213" s="881"/>
      <c r="Z213" s="881"/>
      <c r="AA213" s="881"/>
      <c r="AB213" s="881"/>
      <c r="AC213" s="879"/>
      <c r="AD213" s="951">
        <f t="shared" si="51"/>
        <v>-2506.3266666666664</v>
      </c>
      <c r="AE213" s="879"/>
    </row>
    <row r="214" spans="1:31">
      <c r="A214" s="879">
        <f t="shared" si="52"/>
        <v>200</v>
      </c>
      <c r="B214" s="893" t="s">
        <v>1850</v>
      </c>
      <c r="C214" s="893" t="s">
        <v>542</v>
      </c>
      <c r="D214" s="893" t="s">
        <v>2156</v>
      </c>
      <c r="E214" s="894" t="s">
        <v>543</v>
      </c>
      <c r="F214" s="895">
        <v>0</v>
      </c>
      <c r="G214" s="895">
        <v>15703.92</v>
      </c>
      <c r="H214" s="895">
        <v>31554.66</v>
      </c>
      <c r="I214" s="895">
        <v>42939.03</v>
      </c>
      <c r="J214" s="895">
        <v>58830.37</v>
      </c>
      <c r="K214" s="895">
        <v>75066.48</v>
      </c>
      <c r="L214" s="895">
        <v>91528.12</v>
      </c>
      <c r="M214" s="895">
        <v>107680.92</v>
      </c>
      <c r="N214" s="895">
        <v>119822.65</v>
      </c>
      <c r="O214" s="895">
        <v>136479.64000000001</v>
      </c>
      <c r="P214" s="895">
        <v>153138.76</v>
      </c>
      <c r="Q214" s="895">
        <v>169666.5</v>
      </c>
      <c r="R214" s="895">
        <v>-2.91038304567337E-11</v>
      </c>
      <c r="S214" s="896">
        <f t="shared" si="49"/>
        <v>83534.254166666666</v>
      </c>
      <c r="T214" s="879"/>
      <c r="U214" s="881">
        <f t="shared" si="50"/>
        <v>83534.254166666666</v>
      </c>
      <c r="V214" s="881"/>
      <c r="W214" s="881"/>
      <c r="X214" s="897"/>
      <c r="Y214" s="881"/>
      <c r="Z214" s="881"/>
      <c r="AA214" s="881"/>
      <c r="AB214" s="881"/>
      <c r="AC214" s="879"/>
      <c r="AD214" s="951">
        <f t="shared" si="51"/>
        <v>83534.254166666666</v>
      </c>
      <c r="AE214" s="879"/>
    </row>
    <row r="215" spans="1:31">
      <c r="A215" s="879">
        <f t="shared" si="52"/>
        <v>201</v>
      </c>
      <c r="B215" s="893" t="s">
        <v>1850</v>
      </c>
      <c r="C215" s="893" t="s">
        <v>542</v>
      </c>
      <c r="D215" s="893" t="s">
        <v>2157</v>
      </c>
      <c r="E215" s="894" t="s">
        <v>543</v>
      </c>
      <c r="F215" s="895">
        <v>2.91038304567337E-11</v>
      </c>
      <c r="G215" s="895">
        <v>-14131.09</v>
      </c>
      <c r="H215" s="895">
        <v>-28322.26</v>
      </c>
      <c r="I215" s="895">
        <v>-44165.61</v>
      </c>
      <c r="J215" s="895">
        <v>-58754.55</v>
      </c>
      <c r="K215" s="895">
        <v>-74150.759999999995</v>
      </c>
      <c r="L215" s="895">
        <v>-89476.93</v>
      </c>
      <c r="M215" s="895">
        <v>-103141.75999999999</v>
      </c>
      <c r="N215" s="895">
        <v>-120551.17</v>
      </c>
      <c r="O215" s="895">
        <v>-136031.22</v>
      </c>
      <c r="P215" s="895">
        <v>-150762.95000000001</v>
      </c>
      <c r="Q215" s="895">
        <v>-166160.4</v>
      </c>
      <c r="R215" s="895">
        <v>-2.91038304567337E-11</v>
      </c>
      <c r="S215" s="896">
        <f t="shared" si="49"/>
        <v>-82137.391666666677</v>
      </c>
      <c r="T215" s="879"/>
      <c r="U215" s="881">
        <f t="shared" si="50"/>
        <v>-82137.391666666677</v>
      </c>
      <c r="V215" s="881"/>
      <c r="W215" s="881"/>
      <c r="X215" s="897"/>
      <c r="Y215" s="881"/>
      <c r="Z215" s="881"/>
      <c r="AA215" s="881"/>
      <c r="AB215" s="881"/>
      <c r="AC215" s="879"/>
      <c r="AD215" s="951">
        <f t="shared" si="51"/>
        <v>-82137.391666666677</v>
      </c>
      <c r="AE215" s="879"/>
    </row>
    <row r="216" spans="1:31">
      <c r="A216" s="879">
        <f t="shared" si="52"/>
        <v>202</v>
      </c>
      <c r="B216" s="893" t="s">
        <v>1850</v>
      </c>
      <c r="C216" s="893" t="s">
        <v>542</v>
      </c>
      <c r="D216" s="893" t="s">
        <v>2158</v>
      </c>
      <c r="E216" s="894" t="s">
        <v>543</v>
      </c>
      <c r="F216" s="895">
        <v>0</v>
      </c>
      <c r="G216" s="895">
        <v>-189.22</v>
      </c>
      <c r="H216" s="895">
        <v>-388.59</v>
      </c>
      <c r="I216" s="895">
        <v>-641.97</v>
      </c>
      <c r="J216" s="895">
        <v>-810.89</v>
      </c>
      <c r="K216" s="895">
        <v>-979.81</v>
      </c>
      <c r="L216" s="895">
        <v>-1148.73</v>
      </c>
      <c r="M216" s="895">
        <v>-1317.65</v>
      </c>
      <c r="N216" s="895">
        <v>-1571.03</v>
      </c>
      <c r="O216" s="895">
        <v>-1739.95</v>
      </c>
      <c r="P216" s="895">
        <v>-1908.87</v>
      </c>
      <c r="Q216" s="895">
        <v>-2077.79</v>
      </c>
      <c r="R216" s="895">
        <v>-4.5474735088646402E-13</v>
      </c>
      <c r="S216" s="896">
        <f t="shared" si="49"/>
        <v>-1064.5416666666667</v>
      </c>
      <c r="T216" s="879"/>
      <c r="U216" s="881">
        <f t="shared" si="50"/>
        <v>-1064.5416666666667</v>
      </c>
      <c r="V216" s="881"/>
      <c r="W216" s="881"/>
      <c r="X216" s="897"/>
      <c r="Y216" s="881"/>
      <c r="Z216" s="881"/>
      <c r="AA216" s="881"/>
      <c r="AB216" s="881"/>
      <c r="AC216" s="879"/>
      <c r="AD216" s="951">
        <f t="shared" si="51"/>
        <v>-1064.5416666666667</v>
      </c>
      <c r="AE216" s="879"/>
    </row>
    <row r="217" spans="1:31">
      <c r="A217" s="879">
        <f t="shared" si="52"/>
        <v>203</v>
      </c>
      <c r="B217" s="893" t="s">
        <v>1850</v>
      </c>
      <c r="C217" s="893" t="s">
        <v>542</v>
      </c>
      <c r="D217" s="893" t="s">
        <v>414</v>
      </c>
      <c r="E217" s="894" t="s">
        <v>543</v>
      </c>
      <c r="F217" s="895">
        <v>9.0949470177292804E-13</v>
      </c>
      <c r="G217" s="895">
        <v>566.14</v>
      </c>
      <c r="H217" s="895">
        <v>1050.72</v>
      </c>
      <c r="I217" s="895">
        <v>-497.13</v>
      </c>
      <c r="J217" s="895">
        <v>1.7400000000001199</v>
      </c>
      <c r="K217" s="895">
        <v>489.19</v>
      </c>
      <c r="L217" s="895">
        <v>1038.8599999999999</v>
      </c>
      <c r="M217" s="895">
        <v>1500.74</v>
      </c>
      <c r="N217" s="895">
        <v>-352.7</v>
      </c>
      <c r="O217" s="895">
        <v>180.31</v>
      </c>
      <c r="P217" s="895">
        <v>704.33</v>
      </c>
      <c r="Q217" s="895">
        <v>1232.6500000000001</v>
      </c>
      <c r="R217" s="895">
        <v>0</v>
      </c>
      <c r="S217" s="896">
        <f t="shared" si="49"/>
        <v>492.9041666666667</v>
      </c>
      <c r="T217" s="879"/>
      <c r="U217" s="881">
        <f t="shared" si="50"/>
        <v>492.9041666666667</v>
      </c>
      <c r="V217" s="881"/>
      <c r="W217" s="881"/>
      <c r="X217" s="897"/>
      <c r="Y217" s="881"/>
      <c r="Z217" s="881"/>
      <c r="AA217" s="881"/>
      <c r="AB217" s="881"/>
      <c r="AC217" s="879"/>
      <c r="AD217" s="951">
        <f t="shared" si="51"/>
        <v>492.9041666666667</v>
      </c>
      <c r="AE217" s="879"/>
    </row>
    <row r="218" spans="1:31">
      <c r="A218" s="879">
        <f t="shared" si="52"/>
        <v>204</v>
      </c>
      <c r="B218" s="893" t="s">
        <v>1850</v>
      </c>
      <c r="C218" s="893" t="s">
        <v>542</v>
      </c>
      <c r="D218" s="960" t="s">
        <v>2159</v>
      </c>
      <c r="E218" s="894" t="s">
        <v>543</v>
      </c>
      <c r="F218" s="895">
        <v>0</v>
      </c>
      <c r="G218" s="895">
        <v>55.26</v>
      </c>
      <c r="H218" s="895">
        <v>105.5</v>
      </c>
      <c r="I218" s="895">
        <v>-416.4</v>
      </c>
      <c r="J218" s="895">
        <v>-371.92</v>
      </c>
      <c r="K218" s="895">
        <v>-380.07</v>
      </c>
      <c r="L218" s="895">
        <v>-3.91999999999996</v>
      </c>
      <c r="M218" s="895">
        <v>190.32</v>
      </c>
      <c r="N218" s="895">
        <v>-55.96</v>
      </c>
      <c r="O218" s="895">
        <v>-505.85</v>
      </c>
      <c r="P218" s="895">
        <v>-462.61</v>
      </c>
      <c r="Q218" s="895">
        <v>-489.98</v>
      </c>
      <c r="R218" s="895">
        <v>1.13686837721616E-13</v>
      </c>
      <c r="S218" s="896">
        <f t="shared" si="49"/>
        <v>-194.63583333333335</v>
      </c>
      <c r="T218" s="879"/>
      <c r="U218" s="881">
        <f t="shared" si="50"/>
        <v>-194.63583333333335</v>
      </c>
      <c r="V218" s="881"/>
      <c r="W218" s="881"/>
      <c r="X218" s="897"/>
      <c r="Y218" s="881"/>
      <c r="Z218" s="881"/>
      <c r="AA218" s="881"/>
      <c r="AB218" s="881"/>
      <c r="AC218" s="879"/>
      <c r="AD218" s="951">
        <f t="shared" si="51"/>
        <v>-194.63583333333335</v>
      </c>
      <c r="AE218" s="879"/>
    </row>
    <row r="219" spans="1:31">
      <c r="A219" s="879">
        <f t="shared" si="52"/>
        <v>205</v>
      </c>
      <c r="B219" s="893" t="s">
        <v>1850</v>
      </c>
      <c r="C219" s="893" t="s">
        <v>542</v>
      </c>
      <c r="D219" s="893" t="s">
        <v>640</v>
      </c>
      <c r="E219" s="894" t="s">
        <v>543</v>
      </c>
      <c r="F219" s="895">
        <v>0</v>
      </c>
      <c r="G219" s="895">
        <v>336.14</v>
      </c>
      <c r="H219" s="895">
        <v>731.99</v>
      </c>
      <c r="I219" s="895">
        <v>-1084.99</v>
      </c>
      <c r="J219" s="895">
        <v>-729.62</v>
      </c>
      <c r="K219" s="895">
        <v>-408.26</v>
      </c>
      <c r="L219" s="895">
        <v>-51.61</v>
      </c>
      <c r="M219" s="895">
        <v>289.45999999999998</v>
      </c>
      <c r="N219" s="895">
        <v>-1523.08</v>
      </c>
      <c r="O219" s="895">
        <v>-1164.21</v>
      </c>
      <c r="P219" s="895">
        <v>-803.26</v>
      </c>
      <c r="Q219" s="895">
        <v>-452.43</v>
      </c>
      <c r="R219" s="895">
        <v>0</v>
      </c>
      <c r="S219" s="896">
        <f t="shared" si="49"/>
        <v>-404.98916666666668</v>
      </c>
      <c r="T219" s="879"/>
      <c r="U219" s="881">
        <f t="shared" si="50"/>
        <v>-404.98916666666668</v>
      </c>
      <c r="V219" s="881"/>
      <c r="W219" s="881"/>
      <c r="X219" s="897"/>
      <c r="Y219" s="881"/>
      <c r="Z219" s="881"/>
      <c r="AA219" s="881"/>
      <c r="AB219" s="881"/>
      <c r="AC219" s="879"/>
      <c r="AD219" s="951">
        <f t="shared" si="51"/>
        <v>-404.98916666666668</v>
      </c>
      <c r="AE219" s="879"/>
    </row>
    <row r="220" spans="1:31">
      <c r="A220" s="879">
        <f t="shared" si="52"/>
        <v>206</v>
      </c>
      <c r="B220" s="893" t="s">
        <v>1850</v>
      </c>
      <c r="C220" s="893" t="s">
        <v>542</v>
      </c>
      <c r="D220" s="893" t="s">
        <v>2160</v>
      </c>
      <c r="E220" s="894" t="s">
        <v>543</v>
      </c>
      <c r="F220" s="895">
        <v>-1.4210854715202001E-14</v>
      </c>
      <c r="G220" s="895">
        <v>36.590000000000003</v>
      </c>
      <c r="H220" s="895">
        <v>72.31</v>
      </c>
      <c r="I220" s="895">
        <v>-110.49</v>
      </c>
      <c r="J220" s="895">
        <v>-75.66</v>
      </c>
      <c r="K220" s="895">
        <v>-37.549999999999997</v>
      </c>
      <c r="L220" s="895">
        <v>-2.1300000000000101</v>
      </c>
      <c r="M220" s="895">
        <v>28.47</v>
      </c>
      <c r="N220" s="895">
        <v>-155.66</v>
      </c>
      <c r="O220" s="895">
        <v>-121.12</v>
      </c>
      <c r="P220" s="895">
        <v>-85.57</v>
      </c>
      <c r="Q220" s="895">
        <v>-50.4</v>
      </c>
      <c r="R220" s="895">
        <v>-7.1054273576010003E-15</v>
      </c>
      <c r="S220" s="896">
        <f t="shared" si="49"/>
        <v>-41.767499999999998</v>
      </c>
      <c r="T220" s="879"/>
      <c r="U220" s="881">
        <f t="shared" si="50"/>
        <v>-41.767499999999998</v>
      </c>
      <c r="V220" s="881"/>
      <c r="W220" s="881"/>
      <c r="X220" s="897"/>
      <c r="Y220" s="881"/>
      <c r="Z220" s="881"/>
      <c r="AA220" s="881"/>
      <c r="AB220" s="881"/>
      <c r="AC220" s="879"/>
      <c r="AD220" s="951">
        <f t="shared" si="51"/>
        <v>-41.767499999999998</v>
      </c>
      <c r="AE220" s="879"/>
    </row>
    <row r="221" spans="1:31">
      <c r="A221" s="879">
        <f t="shared" si="52"/>
        <v>207</v>
      </c>
      <c r="B221" s="893" t="s">
        <v>1850</v>
      </c>
      <c r="C221" s="893" t="s">
        <v>542</v>
      </c>
      <c r="D221" s="893" t="s">
        <v>2161</v>
      </c>
      <c r="E221" s="894" t="s">
        <v>543</v>
      </c>
      <c r="F221" s="895">
        <v>4.2632564145605999E-14</v>
      </c>
      <c r="G221" s="895">
        <v>-13.87</v>
      </c>
      <c r="H221" s="895">
        <v>-29.9</v>
      </c>
      <c r="I221" s="895">
        <v>-69.239999999999995</v>
      </c>
      <c r="J221" s="895">
        <v>1321.81</v>
      </c>
      <c r="K221" s="895">
        <v>1421.28</v>
      </c>
      <c r="L221" s="895">
        <v>1516.83</v>
      </c>
      <c r="M221" s="895">
        <v>1647.71</v>
      </c>
      <c r="N221" s="895">
        <v>1723.97</v>
      </c>
      <c r="O221" s="895">
        <v>1833.26</v>
      </c>
      <c r="P221" s="895">
        <v>1954.89</v>
      </c>
      <c r="Q221" s="895">
        <v>2065.3000000000002</v>
      </c>
      <c r="R221" s="895">
        <v>-4.5474735088646402E-13</v>
      </c>
      <c r="S221" s="896">
        <f t="shared" si="49"/>
        <v>1114.3366666666668</v>
      </c>
      <c r="T221" s="879"/>
      <c r="U221" s="881">
        <f t="shared" si="50"/>
        <v>1114.3366666666668</v>
      </c>
      <c r="V221" s="881"/>
      <c r="W221" s="881"/>
      <c r="X221" s="897"/>
      <c r="Y221" s="881"/>
      <c r="Z221" s="881"/>
      <c r="AA221" s="881"/>
      <c r="AB221" s="881"/>
      <c r="AC221" s="879"/>
      <c r="AD221" s="951">
        <f t="shared" si="51"/>
        <v>1114.3366666666668</v>
      </c>
      <c r="AE221" s="879"/>
    </row>
    <row r="222" spans="1:31">
      <c r="A222" s="879">
        <f t="shared" si="52"/>
        <v>208</v>
      </c>
      <c r="B222" s="893" t="s">
        <v>1850</v>
      </c>
      <c r="C222" s="893" t="s">
        <v>542</v>
      </c>
      <c r="D222" s="893" t="s">
        <v>756</v>
      </c>
      <c r="E222" s="894" t="s">
        <v>543</v>
      </c>
      <c r="F222" s="895">
        <v>-5.6843418860808002E-14</v>
      </c>
      <c r="G222" s="895">
        <v>111.12</v>
      </c>
      <c r="H222" s="895">
        <v>232.87</v>
      </c>
      <c r="I222" s="895">
        <v>-353.34</v>
      </c>
      <c r="J222" s="895">
        <v>-312.99</v>
      </c>
      <c r="K222" s="895">
        <v>-173.87</v>
      </c>
      <c r="L222" s="895">
        <v>-60.61</v>
      </c>
      <c r="M222" s="895">
        <v>52.65</v>
      </c>
      <c r="N222" s="895">
        <v>-514.28</v>
      </c>
      <c r="O222" s="895">
        <v>-402.18</v>
      </c>
      <c r="P222" s="895">
        <v>-288.98</v>
      </c>
      <c r="Q222" s="895">
        <v>-175.78</v>
      </c>
      <c r="R222" s="895">
        <v>2.8421709430404001E-14</v>
      </c>
      <c r="S222" s="896">
        <f t="shared" si="49"/>
        <v>-157.11583333333331</v>
      </c>
      <c r="T222" s="879"/>
      <c r="U222" s="881">
        <f t="shared" si="50"/>
        <v>-157.11583333333331</v>
      </c>
      <c r="V222" s="881"/>
      <c r="W222" s="881"/>
      <c r="X222" s="897"/>
      <c r="Y222" s="881"/>
      <c r="Z222" s="881"/>
      <c r="AA222" s="881"/>
      <c r="AB222" s="881"/>
      <c r="AC222" s="879"/>
      <c r="AD222" s="951">
        <f t="shared" si="51"/>
        <v>-157.11583333333331</v>
      </c>
      <c r="AE222" s="879"/>
    </row>
    <row r="223" spans="1:31">
      <c r="A223" s="879">
        <f t="shared" si="52"/>
        <v>209</v>
      </c>
      <c r="B223" s="893" t="s">
        <v>1850</v>
      </c>
      <c r="C223" s="893" t="s">
        <v>542</v>
      </c>
      <c r="D223" s="893" t="s">
        <v>2136</v>
      </c>
      <c r="E223" s="894" t="s">
        <v>543</v>
      </c>
      <c r="F223" s="895">
        <v>5.3290705182007498E-15</v>
      </c>
      <c r="G223" s="895">
        <v>3.1</v>
      </c>
      <c r="H223" s="895">
        <v>6.06</v>
      </c>
      <c r="I223" s="895">
        <v>-12.58</v>
      </c>
      <c r="J223" s="895">
        <v>-10.08</v>
      </c>
      <c r="K223" s="895">
        <v>-8.7200000000000006</v>
      </c>
      <c r="L223" s="895">
        <v>-5.62</v>
      </c>
      <c r="M223" s="895">
        <v>-2.8</v>
      </c>
      <c r="N223" s="895">
        <v>-22.2</v>
      </c>
      <c r="O223" s="895">
        <v>-19.059999999999999</v>
      </c>
      <c r="P223" s="895">
        <v>-16.2</v>
      </c>
      <c r="Q223" s="895">
        <v>-13.02</v>
      </c>
      <c r="R223" s="895">
        <v>0</v>
      </c>
      <c r="S223" s="896">
        <f t="shared" si="49"/>
        <v>-8.4266666666666676</v>
      </c>
      <c r="T223" s="879"/>
      <c r="U223" s="881">
        <f t="shared" si="50"/>
        <v>-8.4266666666666676</v>
      </c>
      <c r="V223" s="881"/>
      <c r="W223" s="881"/>
      <c r="X223" s="897"/>
      <c r="Y223" s="881"/>
      <c r="Z223" s="881"/>
      <c r="AA223" s="881"/>
      <c r="AB223" s="881"/>
      <c r="AC223" s="879"/>
      <c r="AD223" s="951">
        <f t="shared" si="51"/>
        <v>-8.4266666666666676</v>
      </c>
      <c r="AE223" s="879"/>
    </row>
    <row r="224" spans="1:31">
      <c r="A224" s="879">
        <f t="shared" si="52"/>
        <v>210</v>
      </c>
      <c r="B224" s="893" t="s">
        <v>1850</v>
      </c>
      <c r="C224" s="893" t="s">
        <v>542</v>
      </c>
      <c r="D224" s="893" t="s">
        <v>2162</v>
      </c>
      <c r="E224" s="894" t="s">
        <v>543</v>
      </c>
      <c r="F224" s="895">
        <v>0</v>
      </c>
      <c r="G224" s="895">
        <v>-1008.98</v>
      </c>
      <c r="H224" s="895">
        <v>-2032.73</v>
      </c>
      <c r="I224" s="895">
        <v>-3173.1</v>
      </c>
      <c r="J224" s="895">
        <v>-4225.6899999999996</v>
      </c>
      <c r="K224" s="895">
        <v>-5322.19</v>
      </c>
      <c r="L224" s="895">
        <v>-6426.47</v>
      </c>
      <c r="M224" s="895">
        <v>-7411.82</v>
      </c>
      <c r="N224" s="895">
        <v>-8670.92</v>
      </c>
      <c r="O224" s="895">
        <v>-9789.93</v>
      </c>
      <c r="P224" s="895">
        <v>-10866.57</v>
      </c>
      <c r="Q224" s="895">
        <v>-11995.35</v>
      </c>
      <c r="R224" s="895">
        <v>0</v>
      </c>
      <c r="S224" s="896">
        <f t="shared" si="49"/>
        <v>-5910.3125</v>
      </c>
      <c r="T224" s="879"/>
      <c r="U224" s="881">
        <f t="shared" si="50"/>
        <v>-5910.3125</v>
      </c>
      <c r="V224" s="881"/>
      <c r="W224" s="881"/>
      <c r="X224" s="897"/>
      <c r="Y224" s="881"/>
      <c r="Z224" s="881"/>
      <c r="AA224" s="881"/>
      <c r="AB224" s="881"/>
      <c r="AC224" s="879"/>
      <c r="AD224" s="951">
        <f t="shared" si="51"/>
        <v>-5910.3125</v>
      </c>
      <c r="AE224" s="879"/>
    </row>
    <row r="225" spans="1:31">
      <c r="A225" s="879">
        <f t="shared" si="52"/>
        <v>211</v>
      </c>
      <c r="B225" s="893" t="s">
        <v>1850</v>
      </c>
      <c r="C225" s="893" t="s">
        <v>542</v>
      </c>
      <c r="D225" s="893" t="s">
        <v>2163</v>
      </c>
      <c r="E225" s="894" t="s">
        <v>543</v>
      </c>
      <c r="F225" s="895">
        <v>-4.2632564145605999E-14</v>
      </c>
      <c r="G225" s="895">
        <v>-478.28</v>
      </c>
      <c r="H225" s="895">
        <v>-961.27</v>
      </c>
      <c r="I225" s="895">
        <v>-2468.9499999999998</v>
      </c>
      <c r="J225" s="895">
        <v>-3024.78</v>
      </c>
      <c r="K225" s="895">
        <v>-3526.08</v>
      </c>
      <c r="L225" s="895">
        <v>-3337.36</v>
      </c>
      <c r="M225" s="895">
        <v>-3773.79</v>
      </c>
      <c r="N225" s="895">
        <v>-5183.28</v>
      </c>
      <c r="O225" s="895">
        <v>-5600.67</v>
      </c>
      <c r="P225" s="895">
        <v>-6027.93</v>
      </c>
      <c r="Q225" s="895">
        <v>-6444.95</v>
      </c>
      <c r="R225" s="895">
        <v>-9.0949470177292804E-13</v>
      </c>
      <c r="S225" s="896">
        <f t="shared" si="49"/>
        <v>-3402.2783333333332</v>
      </c>
      <c r="T225" s="879"/>
      <c r="U225" s="881">
        <f t="shared" si="50"/>
        <v>-3402.2783333333332</v>
      </c>
      <c r="V225" s="881"/>
      <c r="W225" s="881"/>
      <c r="X225" s="897"/>
      <c r="Y225" s="881"/>
      <c r="Z225" s="881"/>
      <c r="AA225" s="881"/>
      <c r="AB225" s="881"/>
      <c r="AC225" s="879"/>
      <c r="AD225" s="951">
        <f t="shared" si="51"/>
        <v>-3402.2783333333332</v>
      </c>
      <c r="AE225" s="879"/>
    </row>
    <row r="226" spans="1:31">
      <c r="A226" s="879">
        <f t="shared" si="52"/>
        <v>212</v>
      </c>
      <c r="B226" s="893" t="s">
        <v>1850</v>
      </c>
      <c r="C226" s="893" t="s">
        <v>542</v>
      </c>
      <c r="D226" s="960" t="s">
        <v>2164</v>
      </c>
      <c r="E226" s="894" t="s">
        <v>543</v>
      </c>
      <c r="F226" s="895">
        <v>-2.2737367544323201E-13</v>
      </c>
      <c r="G226" s="895">
        <v>-1233.1500000000001</v>
      </c>
      <c r="H226" s="895">
        <v>-2397.37</v>
      </c>
      <c r="I226" s="895">
        <v>-787.71</v>
      </c>
      <c r="J226" s="895">
        <v>-2014.86</v>
      </c>
      <c r="K226" s="895">
        <v>-3316.7</v>
      </c>
      <c r="L226" s="895">
        <v>-2.1499999999996402</v>
      </c>
      <c r="M226" s="895">
        <v>-841.96</v>
      </c>
      <c r="N226" s="895">
        <v>-2366.9699999999998</v>
      </c>
      <c r="O226" s="895">
        <v>-849.95999999999901</v>
      </c>
      <c r="P226" s="895">
        <v>-1633.91</v>
      </c>
      <c r="Q226" s="895">
        <v>-2386.29</v>
      </c>
      <c r="R226" s="895">
        <v>4.5474735088646402E-13</v>
      </c>
      <c r="S226" s="896">
        <f t="shared" si="49"/>
        <v>-1485.9191666666663</v>
      </c>
      <c r="T226" s="879"/>
      <c r="U226" s="881">
        <f t="shared" si="50"/>
        <v>-1485.9191666666663</v>
      </c>
      <c r="V226" s="881"/>
      <c r="W226" s="881"/>
      <c r="X226" s="897"/>
      <c r="Y226" s="881"/>
      <c r="Z226" s="881"/>
      <c r="AA226" s="881"/>
      <c r="AB226" s="881"/>
      <c r="AC226" s="879"/>
      <c r="AD226" s="951">
        <f t="shared" si="51"/>
        <v>-1485.9191666666663</v>
      </c>
      <c r="AE226" s="879"/>
    </row>
    <row r="227" spans="1:31">
      <c r="A227" s="879">
        <f t="shared" si="52"/>
        <v>213</v>
      </c>
      <c r="B227" s="893" t="s">
        <v>1850</v>
      </c>
      <c r="C227" s="893" t="s">
        <v>542</v>
      </c>
      <c r="D227" s="893" t="s">
        <v>2165</v>
      </c>
      <c r="E227" s="894" t="s">
        <v>543</v>
      </c>
      <c r="F227" s="895">
        <v>0</v>
      </c>
      <c r="G227" s="895">
        <v>-189.83</v>
      </c>
      <c r="H227" s="895">
        <v>-378.12</v>
      </c>
      <c r="I227" s="895">
        <v>-588.85</v>
      </c>
      <c r="J227" s="895">
        <v>-787.85</v>
      </c>
      <c r="K227" s="895">
        <v>-994.61</v>
      </c>
      <c r="L227" s="895">
        <v>-1208.5</v>
      </c>
      <c r="M227" s="895">
        <v>-1396.49</v>
      </c>
      <c r="N227" s="895">
        <v>-1639.96</v>
      </c>
      <c r="O227" s="895">
        <v>-1854.87</v>
      </c>
      <c r="P227" s="895">
        <v>-2065.1999999999998</v>
      </c>
      <c r="Q227" s="895">
        <v>-2287.15</v>
      </c>
      <c r="R227" s="895">
        <v>0</v>
      </c>
      <c r="S227" s="896">
        <f t="shared" si="49"/>
        <v>-1115.9524999999999</v>
      </c>
      <c r="T227" s="879"/>
      <c r="U227" s="881">
        <f t="shared" si="50"/>
        <v>-1115.9524999999999</v>
      </c>
      <c r="V227" s="881"/>
      <c r="W227" s="881"/>
      <c r="X227" s="897"/>
      <c r="Y227" s="881"/>
      <c r="Z227" s="881"/>
      <c r="AA227" s="881"/>
      <c r="AB227" s="881"/>
      <c r="AC227" s="879"/>
      <c r="AD227" s="951">
        <f t="shared" si="51"/>
        <v>-1115.9524999999999</v>
      </c>
      <c r="AE227" s="879"/>
    </row>
    <row r="228" spans="1:31">
      <c r="A228" s="879">
        <f t="shared" si="52"/>
        <v>214</v>
      </c>
      <c r="B228" s="893" t="s">
        <v>1850</v>
      </c>
      <c r="C228" s="893" t="s">
        <v>542</v>
      </c>
      <c r="D228" s="893" t="s">
        <v>85</v>
      </c>
      <c r="E228" s="894" t="s">
        <v>543</v>
      </c>
      <c r="F228" s="895">
        <v>7.2759576141834308E-12</v>
      </c>
      <c r="G228" s="895">
        <v>2473</v>
      </c>
      <c r="H228" s="895">
        <v>3205.34</v>
      </c>
      <c r="I228" s="895">
        <v>2580.4299999999998</v>
      </c>
      <c r="J228" s="895">
        <v>2683.99</v>
      </c>
      <c r="K228" s="895">
        <v>2005.66</v>
      </c>
      <c r="L228" s="895">
        <v>2313.46</v>
      </c>
      <c r="M228" s="895">
        <v>3682.54</v>
      </c>
      <c r="N228" s="895">
        <v>1601.46</v>
      </c>
      <c r="O228" s="895">
        <v>961.87</v>
      </c>
      <c r="P228" s="895">
        <v>877.88</v>
      </c>
      <c r="Q228" s="895">
        <v>1594.72</v>
      </c>
      <c r="R228" s="895">
        <v>4.5474735088646402E-13</v>
      </c>
      <c r="S228" s="896">
        <f t="shared" si="49"/>
        <v>1998.3625000000004</v>
      </c>
      <c r="T228" s="879"/>
      <c r="U228" s="881">
        <f t="shared" si="50"/>
        <v>1998.3625000000004</v>
      </c>
      <c r="V228" s="881"/>
      <c r="W228" s="881"/>
      <c r="X228" s="897"/>
      <c r="Y228" s="881"/>
      <c r="Z228" s="881"/>
      <c r="AA228" s="881"/>
      <c r="AB228" s="881"/>
      <c r="AC228" s="879"/>
      <c r="AD228" s="951">
        <f t="shared" si="51"/>
        <v>1998.3625000000004</v>
      </c>
      <c r="AE228" s="879"/>
    </row>
    <row r="229" spans="1:31">
      <c r="A229" s="879">
        <f t="shared" si="52"/>
        <v>215</v>
      </c>
      <c r="B229" s="893" t="s">
        <v>1850</v>
      </c>
      <c r="C229" s="893" t="s">
        <v>542</v>
      </c>
      <c r="D229" s="893" t="s">
        <v>2166</v>
      </c>
      <c r="E229" s="894" t="s">
        <v>543</v>
      </c>
      <c r="F229" s="895">
        <v>-1067.71</v>
      </c>
      <c r="G229" s="895">
        <v>-386.56</v>
      </c>
      <c r="H229" s="895">
        <v>-741.95</v>
      </c>
      <c r="I229" s="895">
        <v>-1221.0999999999999</v>
      </c>
      <c r="J229" s="895">
        <v>-427.27</v>
      </c>
      <c r="K229" s="895">
        <v>-820.14</v>
      </c>
      <c r="L229" s="895">
        <v>-1175.31</v>
      </c>
      <c r="M229" s="895">
        <v>-456.56</v>
      </c>
      <c r="N229" s="895">
        <v>-994.11</v>
      </c>
      <c r="O229" s="895">
        <v>-1397.08</v>
      </c>
      <c r="P229" s="895">
        <v>-469.13</v>
      </c>
      <c r="Q229" s="895">
        <v>-832.86</v>
      </c>
      <c r="R229" s="895">
        <v>-1179.49</v>
      </c>
      <c r="S229" s="896">
        <f t="shared" si="49"/>
        <v>-837.13916666666671</v>
      </c>
      <c r="T229" s="879"/>
      <c r="U229" s="881">
        <f t="shared" si="50"/>
        <v>-837.13916666666671</v>
      </c>
      <c r="V229" s="881"/>
      <c r="W229" s="881"/>
      <c r="X229" s="897"/>
      <c r="Y229" s="881"/>
      <c r="Z229" s="881"/>
      <c r="AA229" s="881"/>
      <c r="AB229" s="881"/>
      <c r="AC229" s="879"/>
      <c r="AD229" s="951">
        <f t="shared" si="51"/>
        <v>-837.13916666666671</v>
      </c>
      <c r="AE229" s="879"/>
    </row>
    <row r="230" spans="1:31">
      <c r="A230" s="879">
        <f t="shared" si="52"/>
        <v>216</v>
      </c>
      <c r="B230" s="893" t="s">
        <v>1850</v>
      </c>
      <c r="C230" s="893" t="s">
        <v>542</v>
      </c>
      <c r="D230" s="893" t="s">
        <v>111</v>
      </c>
      <c r="E230" s="894" t="s">
        <v>543</v>
      </c>
      <c r="F230" s="895">
        <v>-66564.61</v>
      </c>
      <c r="G230" s="895">
        <v>-85608.68</v>
      </c>
      <c r="H230" s="895">
        <v>-44897.07</v>
      </c>
      <c r="I230" s="895">
        <v>-71549.539999999994</v>
      </c>
      <c r="J230" s="895">
        <v>-94303.42</v>
      </c>
      <c r="K230" s="895">
        <v>-53414.83</v>
      </c>
      <c r="L230" s="895">
        <v>-73285.8</v>
      </c>
      <c r="M230" s="895">
        <v>-83277.919999999998</v>
      </c>
      <c r="N230" s="895">
        <v>-51225.86</v>
      </c>
      <c r="O230" s="895">
        <v>-71286.789999999994</v>
      </c>
      <c r="P230" s="895">
        <v>-92257.14</v>
      </c>
      <c r="Q230" s="895">
        <v>-44185.64</v>
      </c>
      <c r="R230" s="895">
        <v>-63018.53</v>
      </c>
      <c r="S230" s="896">
        <f t="shared" si="49"/>
        <v>-69173.688333333339</v>
      </c>
      <c r="T230" s="879"/>
      <c r="U230" s="881">
        <f t="shared" si="50"/>
        <v>-69173.688333333339</v>
      </c>
      <c r="V230" s="881"/>
      <c r="W230" s="881"/>
      <c r="X230" s="897"/>
      <c r="Y230" s="881"/>
      <c r="Z230" s="881"/>
      <c r="AA230" s="881"/>
      <c r="AB230" s="881"/>
      <c r="AC230" s="879"/>
      <c r="AD230" s="951">
        <f t="shared" si="51"/>
        <v>-69173.688333333339</v>
      </c>
      <c r="AE230" s="879"/>
    </row>
    <row r="231" spans="1:31">
      <c r="A231" s="879">
        <f t="shared" si="52"/>
        <v>217</v>
      </c>
      <c r="B231" s="893" t="s">
        <v>389</v>
      </c>
      <c r="C231" s="972" t="s">
        <v>544</v>
      </c>
      <c r="D231" s="879" t="s">
        <v>389</v>
      </c>
      <c r="E231" s="894" t="s">
        <v>545</v>
      </c>
      <c r="F231" s="895">
        <v>10483.599999999395</v>
      </c>
      <c r="G231" s="895">
        <v>-18042.149999999965</v>
      </c>
      <c r="H231" s="895">
        <v>-35788.389999999985</v>
      </c>
      <c r="I231" s="895">
        <v>-81566.229999999952</v>
      </c>
      <c r="J231" s="895">
        <v>-75237.21000000005</v>
      </c>
      <c r="K231" s="895">
        <v>-87120.200000000259</v>
      </c>
      <c r="L231" s="895">
        <v>-142541.12000000017</v>
      </c>
      <c r="M231" s="895">
        <v>-155721.53000000009</v>
      </c>
      <c r="N231" s="895">
        <v>-128242.38000000009</v>
      </c>
      <c r="O231" s="895">
        <v>-104739.89999999988</v>
      </c>
      <c r="P231" s="895">
        <v>-68900.880000000179</v>
      </c>
      <c r="Q231" s="895">
        <v>-15703.479999999923</v>
      </c>
      <c r="R231" s="895">
        <v>168813.17000000004</v>
      </c>
      <c r="S231" s="896">
        <f t="shared" si="49"/>
        <v>-68662.923750000075</v>
      </c>
      <c r="T231" s="879"/>
      <c r="U231" s="881">
        <f t="shared" si="50"/>
        <v>-68662.923750000075</v>
      </c>
      <c r="V231" s="881"/>
      <c r="W231" s="881"/>
      <c r="X231" s="897"/>
      <c r="Y231" s="881"/>
      <c r="Z231" s="881"/>
      <c r="AA231" s="881"/>
      <c r="AB231" s="881"/>
      <c r="AC231" s="879"/>
      <c r="AD231" s="951">
        <f t="shared" si="51"/>
        <v>-68662.923750000075</v>
      </c>
      <c r="AE231" s="879"/>
    </row>
    <row r="232" spans="1:31">
      <c r="A232" s="879">
        <f t="shared" si="52"/>
        <v>218</v>
      </c>
      <c r="B232" s="893" t="s">
        <v>1850</v>
      </c>
      <c r="C232" s="893" t="s">
        <v>490</v>
      </c>
      <c r="D232" s="893" t="s">
        <v>2167</v>
      </c>
      <c r="E232" s="894" t="s">
        <v>546</v>
      </c>
      <c r="F232" s="895">
        <v>0</v>
      </c>
      <c r="G232" s="895">
        <v>0</v>
      </c>
      <c r="H232" s="895">
        <v>0</v>
      </c>
      <c r="I232" s="895">
        <v>0</v>
      </c>
      <c r="J232" s="895">
        <v>0</v>
      </c>
      <c r="K232" s="895">
        <v>0</v>
      </c>
      <c r="L232" s="895">
        <v>0</v>
      </c>
      <c r="M232" s="895">
        <v>0</v>
      </c>
      <c r="N232" s="895">
        <v>0</v>
      </c>
      <c r="O232" s="895">
        <v>0</v>
      </c>
      <c r="P232" s="895">
        <v>0</v>
      </c>
      <c r="Q232" s="895">
        <v>0</v>
      </c>
      <c r="R232" s="895">
        <v>0</v>
      </c>
      <c r="S232" s="896">
        <f t="shared" si="49"/>
        <v>0</v>
      </c>
      <c r="T232" s="879"/>
      <c r="U232" s="881">
        <f t="shared" si="50"/>
        <v>0</v>
      </c>
      <c r="V232" s="881"/>
      <c r="W232" s="881"/>
      <c r="X232" s="897"/>
      <c r="Y232" s="881"/>
      <c r="Z232" s="881"/>
      <c r="AA232" s="881"/>
      <c r="AB232" s="881"/>
      <c r="AC232" s="879"/>
      <c r="AD232" s="951">
        <f t="shared" si="51"/>
        <v>0</v>
      </c>
      <c r="AE232" s="879"/>
    </row>
    <row r="233" spans="1:31">
      <c r="A233" s="879">
        <f t="shared" si="52"/>
        <v>219</v>
      </c>
      <c r="B233" s="893" t="s">
        <v>1850</v>
      </c>
      <c r="C233" s="893" t="s">
        <v>490</v>
      </c>
      <c r="D233" s="893" t="s">
        <v>2168</v>
      </c>
      <c r="E233" s="894" t="s">
        <v>547</v>
      </c>
      <c r="F233" s="895">
        <v>0</v>
      </c>
      <c r="G233" s="895">
        <v>0</v>
      </c>
      <c r="H233" s="895">
        <v>0</v>
      </c>
      <c r="I233" s="895">
        <v>0</v>
      </c>
      <c r="J233" s="895">
        <v>0</v>
      </c>
      <c r="K233" s="895">
        <v>0</v>
      </c>
      <c r="L233" s="895">
        <v>0</v>
      </c>
      <c r="M233" s="895">
        <v>0</v>
      </c>
      <c r="N233" s="895">
        <v>0</v>
      </c>
      <c r="O233" s="895">
        <v>0</v>
      </c>
      <c r="P233" s="895">
        <v>0</v>
      </c>
      <c r="Q233" s="895">
        <v>0</v>
      </c>
      <c r="R233" s="895">
        <v>0</v>
      </c>
      <c r="S233" s="896">
        <f t="shared" si="49"/>
        <v>0</v>
      </c>
      <c r="T233" s="879"/>
      <c r="U233" s="881">
        <f t="shared" si="50"/>
        <v>0</v>
      </c>
      <c r="V233" s="881"/>
      <c r="W233" s="881"/>
      <c r="X233" s="897"/>
      <c r="Y233" s="881"/>
      <c r="Z233" s="881"/>
      <c r="AA233" s="881"/>
      <c r="AB233" s="881"/>
      <c r="AC233" s="879"/>
      <c r="AD233" s="951">
        <f t="shared" si="51"/>
        <v>0</v>
      </c>
      <c r="AE233" s="879"/>
    </row>
    <row r="234" spans="1:31">
      <c r="A234" s="971">
        <f t="shared" si="52"/>
        <v>220</v>
      </c>
      <c r="B234" s="972" t="s">
        <v>1850</v>
      </c>
      <c r="C234" s="972" t="s">
        <v>490</v>
      </c>
      <c r="D234" s="972" t="s">
        <v>2169</v>
      </c>
      <c r="E234" s="894" t="s">
        <v>548</v>
      </c>
      <c r="F234" s="895">
        <v>998935.74</v>
      </c>
      <c r="G234" s="895">
        <v>985897.7</v>
      </c>
      <c r="H234" s="895">
        <v>970609.92</v>
      </c>
      <c r="I234" s="895">
        <v>954524.1</v>
      </c>
      <c r="J234" s="895">
        <v>938438.28</v>
      </c>
      <c r="K234" s="895">
        <v>962286.22</v>
      </c>
      <c r="L234" s="895">
        <v>953634.98</v>
      </c>
      <c r="M234" s="895">
        <v>945067.25</v>
      </c>
      <c r="N234" s="895">
        <v>936499.52</v>
      </c>
      <c r="O234" s="895">
        <v>927931.79</v>
      </c>
      <c r="P234" s="895">
        <v>944933.42</v>
      </c>
      <c r="Q234" s="895">
        <v>938997.83</v>
      </c>
      <c r="R234" s="895">
        <v>1321815.02</v>
      </c>
      <c r="S234" s="896">
        <f t="shared" si="49"/>
        <v>968266.36583333311</v>
      </c>
      <c r="T234" s="971"/>
      <c r="U234" s="973">
        <f t="shared" si="50"/>
        <v>968266.36583333311</v>
      </c>
      <c r="V234" s="973"/>
      <c r="W234" s="973"/>
      <c r="X234" s="974"/>
      <c r="Y234" s="973"/>
      <c r="Z234" s="973"/>
      <c r="AA234" s="973"/>
      <c r="AB234" s="973"/>
      <c r="AC234" s="971"/>
      <c r="AD234" s="975">
        <f t="shared" si="51"/>
        <v>968266.36583333311</v>
      </c>
      <c r="AE234" s="971"/>
    </row>
    <row r="235" spans="1:31">
      <c r="A235" s="879">
        <f t="shared" si="52"/>
        <v>221</v>
      </c>
      <c r="B235" s="893" t="s">
        <v>1850</v>
      </c>
      <c r="C235" s="893" t="s">
        <v>490</v>
      </c>
      <c r="D235" s="893" t="s">
        <v>549</v>
      </c>
      <c r="E235" s="894" t="s">
        <v>550</v>
      </c>
      <c r="F235" s="895">
        <v>0</v>
      </c>
      <c r="G235" s="895">
        <v>0</v>
      </c>
      <c r="H235" s="895">
        <v>0</v>
      </c>
      <c r="I235" s="895">
        <v>0</v>
      </c>
      <c r="J235" s="895">
        <v>0</v>
      </c>
      <c r="K235" s="895">
        <v>0</v>
      </c>
      <c r="L235" s="895">
        <v>0</v>
      </c>
      <c r="M235" s="895">
        <v>0</v>
      </c>
      <c r="N235" s="895">
        <v>0</v>
      </c>
      <c r="O235" s="895">
        <v>0</v>
      </c>
      <c r="P235" s="895">
        <v>0</v>
      </c>
      <c r="Q235" s="895">
        <v>0</v>
      </c>
      <c r="R235" s="895">
        <v>0</v>
      </c>
      <c r="S235" s="896">
        <f t="shared" si="49"/>
        <v>0</v>
      </c>
      <c r="T235" s="879"/>
      <c r="U235" s="881">
        <f t="shared" si="50"/>
        <v>0</v>
      </c>
      <c r="V235" s="881"/>
      <c r="W235" s="881"/>
      <c r="X235" s="897"/>
      <c r="Y235" s="881"/>
      <c r="Z235" s="881"/>
      <c r="AA235" s="881"/>
      <c r="AB235" s="881"/>
      <c r="AC235" s="879"/>
      <c r="AD235" s="951">
        <f t="shared" si="51"/>
        <v>0</v>
      </c>
      <c r="AE235" s="879"/>
    </row>
    <row r="236" spans="1:31">
      <c r="A236" s="879">
        <f t="shared" si="52"/>
        <v>222</v>
      </c>
      <c r="B236" s="893" t="s">
        <v>1853</v>
      </c>
      <c r="C236" s="893" t="s">
        <v>490</v>
      </c>
      <c r="D236" s="893" t="s">
        <v>2170</v>
      </c>
      <c r="E236" s="894" t="s">
        <v>551</v>
      </c>
      <c r="F236" s="895">
        <v>0</v>
      </c>
      <c r="G236" s="895">
        <v>0</v>
      </c>
      <c r="H236" s="895">
        <v>0</v>
      </c>
      <c r="I236" s="895">
        <v>0</v>
      </c>
      <c r="J236" s="895">
        <v>0</v>
      </c>
      <c r="K236" s="895">
        <v>0</v>
      </c>
      <c r="L236" s="895">
        <v>0</v>
      </c>
      <c r="M236" s="895">
        <v>0</v>
      </c>
      <c r="N236" s="895">
        <v>0</v>
      </c>
      <c r="O236" s="895">
        <v>0</v>
      </c>
      <c r="P236" s="895">
        <v>0</v>
      </c>
      <c r="Q236" s="895">
        <v>0</v>
      </c>
      <c r="R236" s="895">
        <v>0</v>
      </c>
      <c r="S236" s="896">
        <f t="shared" si="49"/>
        <v>0</v>
      </c>
      <c r="T236" s="879"/>
      <c r="U236" s="881">
        <f t="shared" si="50"/>
        <v>0</v>
      </c>
      <c r="V236" s="881"/>
      <c r="W236" s="881"/>
      <c r="X236" s="897"/>
      <c r="Y236" s="881"/>
      <c r="Z236" s="881"/>
      <c r="AA236" s="881"/>
      <c r="AB236" s="881"/>
      <c r="AC236" s="879"/>
      <c r="AD236" s="951">
        <f t="shared" si="51"/>
        <v>0</v>
      </c>
      <c r="AE236" s="879"/>
    </row>
    <row r="237" spans="1:31">
      <c r="A237" s="879">
        <f t="shared" si="52"/>
        <v>223</v>
      </c>
      <c r="B237" s="893" t="s">
        <v>1886</v>
      </c>
      <c r="C237" s="893" t="s">
        <v>490</v>
      </c>
      <c r="D237" s="893" t="s">
        <v>2171</v>
      </c>
      <c r="E237" s="894" t="s">
        <v>551</v>
      </c>
      <c r="F237" s="895">
        <v>0</v>
      </c>
      <c r="G237" s="895">
        <v>0</v>
      </c>
      <c r="H237" s="895">
        <v>0</v>
      </c>
      <c r="I237" s="895">
        <v>0</v>
      </c>
      <c r="J237" s="895">
        <v>0</v>
      </c>
      <c r="K237" s="895">
        <v>0</v>
      </c>
      <c r="L237" s="895">
        <v>0</v>
      </c>
      <c r="M237" s="895">
        <v>0</v>
      </c>
      <c r="N237" s="895">
        <v>0</v>
      </c>
      <c r="O237" s="895">
        <v>0</v>
      </c>
      <c r="P237" s="895">
        <v>0</v>
      </c>
      <c r="Q237" s="895">
        <v>0</v>
      </c>
      <c r="R237" s="895">
        <v>0</v>
      </c>
      <c r="S237" s="896">
        <f t="shared" si="49"/>
        <v>0</v>
      </c>
      <c r="T237" s="879"/>
      <c r="U237" s="881">
        <f t="shared" si="50"/>
        <v>0</v>
      </c>
      <c r="V237" s="881"/>
      <c r="W237" s="881"/>
      <c r="X237" s="897"/>
      <c r="Y237" s="881"/>
      <c r="Z237" s="881"/>
      <c r="AA237" s="881"/>
      <c r="AB237" s="881"/>
      <c r="AC237" s="879"/>
      <c r="AD237" s="951">
        <f t="shared" si="51"/>
        <v>0</v>
      </c>
      <c r="AE237" s="879"/>
    </row>
    <row r="238" spans="1:31">
      <c r="A238" s="879">
        <f t="shared" si="52"/>
        <v>224</v>
      </c>
      <c r="B238" s="893" t="s">
        <v>1886</v>
      </c>
      <c r="C238" s="893" t="s">
        <v>490</v>
      </c>
      <c r="D238" s="893" t="s">
        <v>2172</v>
      </c>
      <c r="E238" s="894" t="s">
        <v>552</v>
      </c>
      <c r="F238" s="895">
        <v>64946.27</v>
      </c>
      <c r="G238" s="895">
        <v>92142.77</v>
      </c>
      <c r="H238" s="895">
        <v>86484.57</v>
      </c>
      <c r="I238" s="895">
        <v>81477.23</v>
      </c>
      <c r="J238" s="895">
        <v>78037.11</v>
      </c>
      <c r="K238" s="895">
        <v>76264.84</v>
      </c>
      <c r="L238" s="895">
        <v>74720.13</v>
      </c>
      <c r="M238" s="895">
        <v>4361.7799999999797</v>
      </c>
      <c r="N238" s="895">
        <v>3431.8799999999801</v>
      </c>
      <c r="O238" s="895">
        <v>2394.4899999999798</v>
      </c>
      <c r="P238" s="895">
        <v>687.089999999984</v>
      </c>
      <c r="Q238" s="895">
        <v>70452.63</v>
      </c>
      <c r="R238" s="895">
        <v>59312.94</v>
      </c>
      <c r="S238" s="896">
        <f t="shared" si="49"/>
        <v>52715.34375</v>
      </c>
      <c r="T238" s="879" t="s">
        <v>2110</v>
      </c>
      <c r="U238" s="881"/>
      <c r="V238" s="881"/>
      <c r="W238" s="881"/>
      <c r="X238" s="974">
        <f>+S238</f>
        <v>52715.34375</v>
      </c>
      <c r="Y238" s="881"/>
      <c r="Z238" s="881"/>
      <c r="AA238" s="881"/>
      <c r="AB238" s="973">
        <f>+S238</f>
        <v>52715.34375</v>
      </c>
      <c r="AC238" s="879"/>
      <c r="AD238" s="951"/>
      <c r="AE238" s="879"/>
    </row>
    <row r="239" spans="1:31">
      <c r="A239" s="879">
        <f t="shared" si="52"/>
        <v>225</v>
      </c>
      <c r="B239" s="893" t="s">
        <v>1886</v>
      </c>
      <c r="C239" s="893" t="s">
        <v>490</v>
      </c>
      <c r="D239" s="893" t="s">
        <v>2173</v>
      </c>
      <c r="E239" s="894" t="s">
        <v>552</v>
      </c>
      <c r="F239" s="895">
        <v>0</v>
      </c>
      <c r="G239" s="895">
        <v>0</v>
      </c>
      <c r="H239" s="895">
        <v>0</v>
      </c>
      <c r="I239" s="895">
        <v>0</v>
      </c>
      <c r="J239" s="895">
        <v>0</v>
      </c>
      <c r="K239" s="895">
        <v>0</v>
      </c>
      <c r="L239" s="895">
        <v>0</v>
      </c>
      <c r="M239" s="895">
        <v>71750.289999999994</v>
      </c>
      <c r="N239" s="895">
        <v>72205.38</v>
      </c>
      <c r="O239" s="895">
        <v>81128.58</v>
      </c>
      <c r="P239" s="895">
        <v>88256.15</v>
      </c>
      <c r="Q239" s="895">
        <v>15239.75</v>
      </c>
      <c r="R239" s="895">
        <v>15336.41</v>
      </c>
      <c r="S239" s="896">
        <f t="shared" si="49"/>
        <v>28020.696250000005</v>
      </c>
      <c r="T239" s="879" t="s">
        <v>2110</v>
      </c>
      <c r="U239" s="881"/>
      <c r="V239" s="881"/>
      <c r="W239" s="881"/>
      <c r="X239" s="974">
        <f t="shared" ref="X239:X240" si="53">+S239</f>
        <v>28020.696250000005</v>
      </c>
      <c r="Y239" s="881"/>
      <c r="Z239" s="881"/>
      <c r="AA239" s="881"/>
      <c r="AB239" s="973">
        <f>+S239</f>
        <v>28020.696250000005</v>
      </c>
      <c r="AC239" s="879"/>
      <c r="AD239" s="951"/>
      <c r="AE239" s="879"/>
    </row>
    <row r="240" spans="1:31">
      <c r="A240" s="879">
        <f t="shared" si="52"/>
        <v>226</v>
      </c>
      <c r="B240" s="893" t="s">
        <v>1886</v>
      </c>
      <c r="C240" s="893" t="s">
        <v>490</v>
      </c>
      <c r="D240" s="893" t="s">
        <v>2174</v>
      </c>
      <c r="E240" s="894" t="s">
        <v>552</v>
      </c>
      <c r="F240" s="895">
        <v>11201.49</v>
      </c>
      <c r="G240" s="895">
        <v>10986.59</v>
      </c>
      <c r="H240" s="895">
        <v>45079.12</v>
      </c>
      <c r="I240" s="895">
        <v>49885.26</v>
      </c>
      <c r="J240" s="895">
        <v>49763.73</v>
      </c>
      <c r="K240" s="895">
        <v>49658.27</v>
      </c>
      <c r="L240" s="895">
        <v>49551.88</v>
      </c>
      <c r="M240" s="895">
        <v>6238.84</v>
      </c>
      <c r="N240" s="895">
        <v>473.13999999999697</v>
      </c>
      <c r="O240" s="895">
        <v>280.58999999999702</v>
      </c>
      <c r="P240" s="895">
        <v>63.099999999996697</v>
      </c>
      <c r="Q240" s="895">
        <v>47327.519999999997</v>
      </c>
      <c r="R240" s="895">
        <v>42467.74</v>
      </c>
      <c r="S240" s="896">
        <f t="shared" si="49"/>
        <v>28011.887916666663</v>
      </c>
      <c r="T240" s="879" t="s">
        <v>2110</v>
      </c>
      <c r="U240" s="881"/>
      <c r="V240" s="881"/>
      <c r="W240" s="881"/>
      <c r="X240" s="974">
        <f t="shared" si="53"/>
        <v>28011.887916666663</v>
      </c>
      <c r="Y240" s="881"/>
      <c r="Z240" s="881"/>
      <c r="AA240" s="881"/>
      <c r="AB240" s="973">
        <f>+S240</f>
        <v>28011.887916666663</v>
      </c>
      <c r="AC240" s="879"/>
      <c r="AD240" s="951"/>
      <c r="AE240" s="879"/>
    </row>
    <row r="241" spans="1:31">
      <c r="A241" s="879">
        <f t="shared" si="52"/>
        <v>227</v>
      </c>
      <c r="B241" s="893" t="s">
        <v>1853</v>
      </c>
      <c r="C241" s="893" t="s">
        <v>490</v>
      </c>
      <c r="D241" s="893" t="s">
        <v>2175</v>
      </c>
      <c r="E241" s="894" t="s">
        <v>552</v>
      </c>
      <c r="F241" s="895">
        <v>-9369.99</v>
      </c>
      <c r="G241" s="895">
        <v>-6136.25</v>
      </c>
      <c r="H241" s="895">
        <v>-3360.06</v>
      </c>
      <c r="I241" s="895">
        <v>-1517.38</v>
      </c>
      <c r="J241" s="895">
        <v>182.14</v>
      </c>
      <c r="K241" s="895">
        <v>2425.7399999999998</v>
      </c>
      <c r="L241" s="895">
        <v>5009.04</v>
      </c>
      <c r="M241" s="895">
        <v>8007.15</v>
      </c>
      <c r="N241" s="895">
        <v>11617.84</v>
      </c>
      <c r="O241" s="895">
        <v>0</v>
      </c>
      <c r="P241" s="895">
        <v>0</v>
      </c>
      <c r="Q241" s="895">
        <v>0</v>
      </c>
      <c r="R241" s="895">
        <v>0</v>
      </c>
      <c r="S241" s="896">
        <f>((F241+R241)+((G241+H241+I241+J241+K241+L241+M241+N241+O241+P241+Q241)*2))/24</f>
        <v>961.93541666666681</v>
      </c>
      <c r="T241" s="879"/>
      <c r="U241" s="881">
        <f t="shared" si="50"/>
        <v>961.93541666666681</v>
      </c>
      <c r="V241" s="881"/>
      <c r="W241" s="881"/>
      <c r="X241" s="897"/>
      <c r="Y241" s="881"/>
      <c r="Z241" s="881"/>
      <c r="AA241" s="881"/>
      <c r="AB241" s="881"/>
      <c r="AC241" s="879"/>
      <c r="AD241" s="951">
        <f>+U241</f>
        <v>961.93541666666681</v>
      </c>
      <c r="AE241" s="879"/>
    </row>
    <row r="242" spans="1:31">
      <c r="A242" s="879">
        <f t="shared" si="52"/>
        <v>228</v>
      </c>
      <c r="B242" s="893" t="s">
        <v>1886</v>
      </c>
      <c r="C242" s="893" t="s">
        <v>490</v>
      </c>
      <c r="D242" s="893" t="s">
        <v>2176</v>
      </c>
      <c r="E242" s="894" t="s">
        <v>552</v>
      </c>
      <c r="F242" s="895">
        <v>0</v>
      </c>
      <c r="G242" s="895">
        <v>0</v>
      </c>
      <c r="H242" s="895">
        <v>0</v>
      </c>
      <c r="I242" s="895">
        <v>0</v>
      </c>
      <c r="J242" s="895">
        <v>0</v>
      </c>
      <c r="K242" s="895">
        <v>0</v>
      </c>
      <c r="L242" s="895">
        <v>0</v>
      </c>
      <c r="M242" s="895">
        <v>50112.55</v>
      </c>
      <c r="N242" s="895">
        <v>56047.26</v>
      </c>
      <c r="O242" s="895">
        <v>56391.28</v>
      </c>
      <c r="P242" s="895">
        <v>56748.95</v>
      </c>
      <c r="Q242" s="895">
        <v>5722.0799999999899</v>
      </c>
      <c r="R242" s="895">
        <v>15323.37</v>
      </c>
      <c r="S242" s="896">
        <f t="shared" si="49"/>
        <v>19390.317083333332</v>
      </c>
      <c r="T242" s="879"/>
      <c r="U242" s="881">
        <f t="shared" si="50"/>
        <v>19390.317083333332</v>
      </c>
      <c r="V242" s="881"/>
      <c r="W242" s="881"/>
      <c r="X242" s="897"/>
      <c r="Y242" s="881"/>
      <c r="Z242" s="881"/>
      <c r="AA242" s="881"/>
      <c r="AB242" s="881"/>
      <c r="AC242" s="879"/>
      <c r="AD242" s="951">
        <f>+U242</f>
        <v>19390.317083333332</v>
      </c>
      <c r="AE242" s="879"/>
    </row>
    <row r="243" spans="1:31">
      <c r="A243" s="971">
        <f t="shared" si="52"/>
        <v>229</v>
      </c>
      <c r="B243" s="972" t="s">
        <v>1853</v>
      </c>
      <c r="C243" s="972" t="s">
        <v>490</v>
      </c>
      <c r="D243" s="972" t="s">
        <v>2177</v>
      </c>
      <c r="E243" s="894" t="s">
        <v>2178</v>
      </c>
      <c r="F243" s="895">
        <v>16255320.83</v>
      </c>
      <c r="G243" s="895">
        <v>16259234.85</v>
      </c>
      <c r="H243" s="895">
        <v>16259234.85</v>
      </c>
      <c r="I243" s="895">
        <v>16272056.949999999</v>
      </c>
      <c r="J243" s="895">
        <v>16288076.949999999</v>
      </c>
      <c r="K243" s="895">
        <v>16289984.949999999</v>
      </c>
      <c r="L243" s="895">
        <v>15989122.390000001</v>
      </c>
      <c r="M243" s="895">
        <v>15866311.17</v>
      </c>
      <c r="N243" s="895">
        <v>15870707.33</v>
      </c>
      <c r="O243" s="895">
        <v>15931764.66</v>
      </c>
      <c r="P243" s="895">
        <v>15943334.359999999</v>
      </c>
      <c r="Q243" s="895">
        <v>15890366.970000001</v>
      </c>
      <c r="R243" s="895">
        <v>15841014.98</v>
      </c>
      <c r="S243" s="896">
        <f>((F243+R243)+((G243+H243+I243+J243+K243+L243+M243+N243+O243+P243+Q243)*2))/24</f>
        <v>16075696.944583332</v>
      </c>
      <c r="T243" s="971"/>
      <c r="U243" s="973">
        <f t="shared" si="50"/>
        <v>16075696.944583332</v>
      </c>
      <c r="V243" s="973"/>
      <c r="W243" s="973"/>
      <c r="X243" s="974"/>
      <c r="Y243" s="973"/>
      <c r="Z243" s="973"/>
      <c r="AA243" s="973"/>
      <c r="AB243" s="973"/>
      <c r="AC243" s="971"/>
      <c r="AD243" s="975">
        <f>+U243</f>
        <v>16075696.944583332</v>
      </c>
      <c r="AE243" s="971"/>
    </row>
    <row r="244" spans="1:31">
      <c r="A244" s="879">
        <f t="shared" si="52"/>
        <v>230</v>
      </c>
      <c r="B244" s="893" t="s">
        <v>1853</v>
      </c>
      <c r="C244" s="893" t="s">
        <v>490</v>
      </c>
      <c r="D244" s="893" t="s">
        <v>2179</v>
      </c>
      <c r="E244" s="894" t="s">
        <v>552</v>
      </c>
      <c r="F244" s="895">
        <v>-3994.21</v>
      </c>
      <c r="G244" s="895">
        <v>-4005.24</v>
      </c>
      <c r="H244" s="895">
        <v>-4015.58</v>
      </c>
      <c r="I244" s="895">
        <v>-4026.66</v>
      </c>
      <c r="J244" s="895">
        <v>-4038.11</v>
      </c>
      <c r="K244" s="895">
        <v>-4049.98</v>
      </c>
      <c r="L244" s="895">
        <v>-4061.5</v>
      </c>
      <c r="M244" s="895">
        <v>-4073.57</v>
      </c>
      <c r="N244" s="895">
        <v>-4085.68</v>
      </c>
      <c r="O244" s="895">
        <v>-4.5474735088646402E-13</v>
      </c>
      <c r="P244" s="895">
        <v>-4.5474735088646402E-13</v>
      </c>
      <c r="Q244" s="895">
        <v>-4.5474735088646402E-13</v>
      </c>
      <c r="R244" s="895">
        <v>-4.5474735088646402E-13</v>
      </c>
      <c r="S244" s="896">
        <f>((F244+R244)+((G244+H244+I244+J244+K244+L244+M244+N244+O244+P244+Q244)*2))/24</f>
        <v>-2862.7854166666671</v>
      </c>
      <c r="T244" s="879"/>
      <c r="U244" s="881">
        <f t="shared" si="50"/>
        <v>-2862.7854166666671</v>
      </c>
      <c r="V244" s="881"/>
      <c r="W244" s="881"/>
      <c r="X244" s="897"/>
      <c r="Y244" s="881"/>
      <c r="Z244" s="881"/>
      <c r="AA244" s="881"/>
      <c r="AB244" s="881"/>
      <c r="AC244" s="879"/>
      <c r="AD244" s="951">
        <f>+U244</f>
        <v>-2862.7854166666671</v>
      </c>
      <c r="AE244" s="879"/>
    </row>
    <row r="245" spans="1:31">
      <c r="A245" s="879">
        <f t="shared" si="52"/>
        <v>231</v>
      </c>
      <c r="B245" s="893" t="s">
        <v>1886</v>
      </c>
      <c r="C245" s="893" t="s">
        <v>490</v>
      </c>
      <c r="D245" s="893" t="s">
        <v>2180</v>
      </c>
      <c r="E245" s="894" t="s">
        <v>552</v>
      </c>
      <c r="F245" s="895">
        <v>1882524.13</v>
      </c>
      <c r="G245" s="895">
        <v>1899810.94</v>
      </c>
      <c r="H245" s="895">
        <v>1901768.5</v>
      </c>
      <c r="I245" s="895">
        <v>1905479.73</v>
      </c>
      <c r="J245" s="895">
        <v>1911999.84</v>
      </c>
      <c r="K245" s="895">
        <v>1896857.98</v>
      </c>
      <c r="L245" s="895">
        <v>1905165.12</v>
      </c>
      <c r="M245" s="895">
        <v>1910975.07</v>
      </c>
      <c r="N245" s="895">
        <v>1909938.91</v>
      </c>
      <c r="O245" s="895">
        <v>1914096.1</v>
      </c>
      <c r="P245" s="895">
        <v>1925850.83</v>
      </c>
      <c r="Q245" s="895">
        <v>1930217.68</v>
      </c>
      <c r="R245" s="895">
        <v>1946127.31</v>
      </c>
      <c r="S245" s="896">
        <f t="shared" si="49"/>
        <v>1910540.5350000001</v>
      </c>
      <c r="T245" s="879"/>
      <c r="U245" s="881"/>
      <c r="V245" s="881"/>
      <c r="W245" s="881"/>
      <c r="X245" s="897">
        <f>+S245</f>
        <v>1910540.5350000001</v>
      </c>
      <c r="Y245" s="881"/>
      <c r="Z245" s="881"/>
      <c r="AA245" s="881"/>
      <c r="AB245" s="881">
        <f>+S245</f>
        <v>1910540.5350000001</v>
      </c>
      <c r="AC245" s="879"/>
      <c r="AD245" s="951"/>
      <c r="AE245" s="879"/>
    </row>
    <row r="246" spans="1:31">
      <c r="A246" s="971">
        <f t="shared" si="52"/>
        <v>232</v>
      </c>
      <c r="B246" s="972" t="s">
        <v>1886</v>
      </c>
      <c r="C246" s="972" t="s">
        <v>490</v>
      </c>
      <c r="D246" s="972" t="s">
        <v>2181</v>
      </c>
      <c r="E246" s="894" t="s">
        <v>2182</v>
      </c>
      <c r="F246" s="895">
        <v>479.89</v>
      </c>
      <c r="G246" s="895">
        <v>480.68</v>
      </c>
      <c r="H246" s="895">
        <v>481.42</v>
      </c>
      <c r="I246" s="895">
        <v>482.21</v>
      </c>
      <c r="J246" s="895">
        <v>482.97</v>
      </c>
      <c r="K246" s="895">
        <v>483.76</v>
      </c>
      <c r="L246" s="895">
        <v>484.53</v>
      </c>
      <c r="M246" s="895">
        <v>485.32</v>
      </c>
      <c r="N246" s="895">
        <v>486.12</v>
      </c>
      <c r="O246" s="895">
        <v>486.89</v>
      </c>
      <c r="P246" s="895">
        <v>487.69</v>
      </c>
      <c r="Q246" s="895">
        <v>5.6843418860808002E-14</v>
      </c>
      <c r="R246" s="895">
        <v>5.6843418860808002E-14</v>
      </c>
      <c r="S246" s="896">
        <f t="shared" si="49"/>
        <v>423.46124999999989</v>
      </c>
      <c r="T246" s="971"/>
      <c r="U246" s="973">
        <f>+S246</f>
        <v>423.46124999999989</v>
      </c>
      <c r="V246" s="973"/>
      <c r="W246" s="973"/>
      <c r="X246" s="974"/>
      <c r="Y246" s="973"/>
      <c r="Z246" s="973"/>
      <c r="AA246" s="973"/>
      <c r="AB246" s="973"/>
      <c r="AC246" s="971"/>
      <c r="AD246" s="975"/>
      <c r="AE246" s="971"/>
    </row>
    <row r="247" spans="1:31">
      <c r="A247" s="952">
        <f t="shared" si="52"/>
        <v>233</v>
      </c>
      <c r="B247" s="953" t="s">
        <v>1853</v>
      </c>
      <c r="C247" s="953" t="s">
        <v>490</v>
      </c>
      <c r="D247" s="953" t="s">
        <v>2183</v>
      </c>
      <c r="E247" s="954" t="s">
        <v>2296</v>
      </c>
      <c r="F247" s="955">
        <v>0</v>
      </c>
      <c r="G247" s="955">
        <v>0</v>
      </c>
      <c r="H247" s="955">
        <v>0</v>
      </c>
      <c r="I247" s="955">
        <v>0</v>
      </c>
      <c r="J247" s="955">
        <v>0</v>
      </c>
      <c r="K247" s="955">
        <v>0</v>
      </c>
      <c r="L247" s="955">
        <v>0</v>
      </c>
      <c r="M247" s="955">
        <v>0</v>
      </c>
      <c r="N247" s="955">
        <v>0</v>
      </c>
      <c r="O247" s="955">
        <v>0</v>
      </c>
      <c r="P247" s="955">
        <v>0</v>
      </c>
      <c r="Q247" s="955">
        <v>1829584.26</v>
      </c>
      <c r="R247" s="955">
        <v>2219857.09</v>
      </c>
      <c r="S247" s="956">
        <f>((F247+R247)+((G247+H247+I247+J247+K247+L247+M247+N247+O247+P247+Q247)*2))/24</f>
        <v>244959.40041666664</v>
      </c>
      <c r="T247" s="952" t="s">
        <v>2110</v>
      </c>
      <c r="U247" s="957">
        <f>+S247*V7</f>
        <v>244959.40041666664</v>
      </c>
      <c r="V247" s="957"/>
      <c r="W247" s="957">
        <f>+S247-U247</f>
        <v>0</v>
      </c>
      <c r="X247" s="958"/>
      <c r="Y247" s="957"/>
      <c r="Z247" s="957"/>
      <c r="AA247" s="957"/>
      <c r="AB247" s="957"/>
      <c r="AC247" s="952"/>
      <c r="AD247" s="959">
        <f>+U247</f>
        <v>244959.40041666664</v>
      </c>
      <c r="AE247" s="952"/>
    </row>
    <row r="248" spans="1:31">
      <c r="A248" s="879">
        <f t="shared" si="52"/>
        <v>234</v>
      </c>
      <c r="B248" s="893" t="s">
        <v>1853</v>
      </c>
      <c r="C248" s="893" t="s">
        <v>553</v>
      </c>
      <c r="D248" s="893" t="s">
        <v>2184</v>
      </c>
      <c r="E248" s="894" t="s">
        <v>554</v>
      </c>
      <c r="F248" s="895">
        <v>353466.37</v>
      </c>
      <c r="G248" s="895">
        <v>396597.03</v>
      </c>
      <c r="H248" s="895">
        <v>444345.07</v>
      </c>
      <c r="I248" s="895">
        <v>450121.58</v>
      </c>
      <c r="J248" s="895">
        <v>455874.65</v>
      </c>
      <c r="K248" s="895">
        <v>497742.3</v>
      </c>
      <c r="L248" s="895">
        <v>506146.8</v>
      </c>
      <c r="M248" s="895">
        <v>515139.37</v>
      </c>
      <c r="N248" s="895">
        <v>536634.17000000004</v>
      </c>
      <c r="O248" s="895">
        <v>562702.56000000006</v>
      </c>
      <c r="P248" s="895">
        <v>564375.25</v>
      </c>
      <c r="Q248" s="895">
        <v>258154.98</v>
      </c>
      <c r="R248" s="895">
        <v>342409.84</v>
      </c>
      <c r="S248" s="896">
        <f t="shared" ref="S248:S258" si="54">((F248+R248)+((G248+H248+I248+J248+K248+L248+M248+N248+O248+P248+Q248)*2))/24</f>
        <v>461314.32208333333</v>
      </c>
      <c r="T248" s="879"/>
      <c r="U248" s="881"/>
      <c r="V248" s="881"/>
      <c r="W248" s="881"/>
      <c r="X248" s="897">
        <f>+S248</f>
        <v>461314.32208333333</v>
      </c>
      <c r="Y248" s="881"/>
      <c r="Z248" s="881"/>
      <c r="AA248" s="881"/>
      <c r="AB248" s="881">
        <f t="shared" ref="AB248:AB260" si="55">+S248</f>
        <v>461314.32208333333</v>
      </c>
      <c r="AC248" s="879"/>
      <c r="AD248" s="951"/>
      <c r="AE248" s="879"/>
    </row>
    <row r="249" spans="1:31">
      <c r="A249" s="879">
        <f t="shared" si="52"/>
        <v>235</v>
      </c>
      <c r="B249" s="893" t="s">
        <v>1853</v>
      </c>
      <c r="C249" s="893" t="s">
        <v>553</v>
      </c>
      <c r="D249" s="893" t="s">
        <v>2185</v>
      </c>
      <c r="E249" s="894" t="s">
        <v>554</v>
      </c>
      <c r="F249" s="895">
        <v>30806.42</v>
      </c>
      <c r="G249" s="895">
        <v>39442.58</v>
      </c>
      <c r="H249" s="895">
        <v>42979.5</v>
      </c>
      <c r="I249" s="895">
        <v>47510.9</v>
      </c>
      <c r="J249" s="895">
        <v>73049.740000000005</v>
      </c>
      <c r="K249" s="895">
        <v>76953.2</v>
      </c>
      <c r="L249" s="895">
        <v>77172.039999999994</v>
      </c>
      <c r="M249" s="895">
        <v>90089.59</v>
      </c>
      <c r="N249" s="895">
        <v>93457.09</v>
      </c>
      <c r="O249" s="895">
        <v>101035.6</v>
      </c>
      <c r="P249" s="895">
        <v>101335.94</v>
      </c>
      <c r="Q249" s="895">
        <v>19670.41</v>
      </c>
      <c r="R249" s="895">
        <v>29326.92</v>
      </c>
      <c r="S249" s="896">
        <f t="shared" si="54"/>
        <v>66063.604999999996</v>
      </c>
      <c r="T249" s="879"/>
      <c r="U249" s="881"/>
      <c r="V249" s="881"/>
      <c r="W249" s="881"/>
      <c r="X249" s="897">
        <f t="shared" ref="X249:X260" si="56">+S249</f>
        <v>66063.604999999996</v>
      </c>
      <c r="Y249" s="881"/>
      <c r="Z249" s="881"/>
      <c r="AA249" s="881"/>
      <c r="AB249" s="881">
        <f t="shared" si="55"/>
        <v>66063.604999999996</v>
      </c>
      <c r="AC249" s="879"/>
      <c r="AD249" s="951"/>
      <c r="AE249" s="879"/>
    </row>
    <row r="250" spans="1:31">
      <c r="A250" s="879">
        <f t="shared" si="52"/>
        <v>236</v>
      </c>
      <c r="B250" s="893" t="s">
        <v>1853</v>
      </c>
      <c r="C250" s="893" t="s">
        <v>553</v>
      </c>
      <c r="D250" s="893" t="s">
        <v>2173</v>
      </c>
      <c r="E250" s="894" t="s">
        <v>554</v>
      </c>
      <c r="F250" s="895">
        <v>737661.95</v>
      </c>
      <c r="G250" s="895">
        <v>800415.5</v>
      </c>
      <c r="H250" s="895">
        <v>963389.94</v>
      </c>
      <c r="I250" s="895">
        <v>1139590.18</v>
      </c>
      <c r="J250" s="895">
        <v>1341688.31</v>
      </c>
      <c r="K250" s="895">
        <v>1467981.58</v>
      </c>
      <c r="L250" s="895">
        <v>1498274.48</v>
      </c>
      <c r="M250" s="895">
        <v>1898331.86</v>
      </c>
      <c r="N250" s="895">
        <v>1947486.76</v>
      </c>
      <c r="O250" s="895">
        <v>2055594.99</v>
      </c>
      <c r="P250" s="895">
        <v>2153910.5499999998</v>
      </c>
      <c r="Q250" s="895">
        <v>386485.3</v>
      </c>
      <c r="R250" s="895">
        <v>535877.85</v>
      </c>
      <c r="S250" s="896">
        <f t="shared" si="54"/>
        <v>1357493.2791666666</v>
      </c>
      <c r="T250" s="879"/>
      <c r="U250" s="881"/>
      <c r="V250" s="881"/>
      <c r="W250" s="881"/>
      <c r="X250" s="897">
        <f t="shared" si="56"/>
        <v>1357493.2791666666</v>
      </c>
      <c r="Y250" s="881"/>
      <c r="Z250" s="881"/>
      <c r="AA250" s="881"/>
      <c r="AB250" s="881">
        <f t="shared" si="55"/>
        <v>1357493.2791666666</v>
      </c>
      <c r="AC250" s="879"/>
      <c r="AD250" s="951"/>
      <c r="AE250" s="879"/>
    </row>
    <row r="251" spans="1:31">
      <c r="A251" s="879">
        <f t="shared" si="52"/>
        <v>237</v>
      </c>
      <c r="B251" s="893" t="s">
        <v>1853</v>
      </c>
      <c r="C251" s="893" t="s">
        <v>553</v>
      </c>
      <c r="D251" s="893" t="s">
        <v>2176</v>
      </c>
      <c r="E251" s="894" t="s">
        <v>554</v>
      </c>
      <c r="F251" s="895">
        <v>145886.24</v>
      </c>
      <c r="G251" s="895">
        <v>236355.98</v>
      </c>
      <c r="H251" s="895">
        <v>261269.65</v>
      </c>
      <c r="I251" s="895">
        <v>295561.98</v>
      </c>
      <c r="J251" s="895">
        <v>321045.01</v>
      </c>
      <c r="K251" s="895">
        <v>342461.79</v>
      </c>
      <c r="L251" s="895">
        <v>416560.72</v>
      </c>
      <c r="M251" s="895">
        <v>438116.64</v>
      </c>
      <c r="N251" s="895">
        <v>482208.84</v>
      </c>
      <c r="O251" s="895">
        <v>525370.56999999995</v>
      </c>
      <c r="P251" s="895">
        <v>573340.79</v>
      </c>
      <c r="Q251" s="895">
        <v>170987.44</v>
      </c>
      <c r="R251" s="895">
        <v>195142.29</v>
      </c>
      <c r="S251" s="896">
        <f t="shared" si="54"/>
        <v>352816.13958333334</v>
      </c>
      <c r="T251" s="879"/>
      <c r="U251" s="881"/>
      <c r="V251" s="881"/>
      <c r="W251" s="881"/>
      <c r="X251" s="897">
        <f t="shared" si="56"/>
        <v>352816.13958333334</v>
      </c>
      <c r="Y251" s="881"/>
      <c r="Z251" s="881"/>
      <c r="AA251" s="881"/>
      <c r="AB251" s="881">
        <f t="shared" si="55"/>
        <v>352816.13958333334</v>
      </c>
      <c r="AC251" s="879"/>
      <c r="AD251" s="951"/>
      <c r="AE251" s="879"/>
    </row>
    <row r="252" spans="1:31">
      <c r="A252" s="879">
        <f t="shared" si="52"/>
        <v>238</v>
      </c>
      <c r="B252" s="893" t="s">
        <v>1886</v>
      </c>
      <c r="C252" s="893" t="s">
        <v>553</v>
      </c>
      <c r="D252" s="893" t="s">
        <v>2186</v>
      </c>
      <c r="E252" s="894" t="s">
        <v>554</v>
      </c>
      <c r="F252" s="895">
        <v>143796.94</v>
      </c>
      <c r="G252" s="895">
        <v>309035.58</v>
      </c>
      <c r="H252" s="895">
        <v>685127.92</v>
      </c>
      <c r="I252" s="895">
        <v>781697.76</v>
      </c>
      <c r="J252" s="895">
        <v>1156477.74</v>
      </c>
      <c r="K252" s="895">
        <v>1423761.68</v>
      </c>
      <c r="L252" s="895">
        <v>1470466.86</v>
      </c>
      <c r="M252" s="895">
        <v>1572001.66</v>
      </c>
      <c r="N252" s="895">
        <v>1741080.44</v>
      </c>
      <c r="O252" s="895">
        <v>1654692.88</v>
      </c>
      <c r="P252" s="895">
        <v>1754551.75</v>
      </c>
      <c r="Q252" s="895">
        <v>875554.02</v>
      </c>
      <c r="R252" s="895">
        <v>-4091.5</v>
      </c>
      <c r="S252" s="896">
        <f t="shared" si="54"/>
        <v>1124525.0841666667</v>
      </c>
      <c r="T252" s="879"/>
      <c r="U252" s="881"/>
      <c r="V252" s="881"/>
      <c r="W252" s="881"/>
      <c r="X252" s="897">
        <f t="shared" si="56"/>
        <v>1124525.0841666667</v>
      </c>
      <c r="Y252" s="881"/>
      <c r="Z252" s="881"/>
      <c r="AA252" s="881"/>
      <c r="AB252" s="881">
        <f t="shared" si="55"/>
        <v>1124525.0841666667</v>
      </c>
      <c r="AC252" s="879"/>
      <c r="AD252" s="951"/>
      <c r="AE252" s="879"/>
    </row>
    <row r="253" spans="1:31">
      <c r="A253" s="879">
        <f t="shared" si="52"/>
        <v>239</v>
      </c>
      <c r="B253" s="893" t="s">
        <v>1886</v>
      </c>
      <c r="C253" s="893" t="s">
        <v>553</v>
      </c>
      <c r="D253" s="893" t="s">
        <v>2187</v>
      </c>
      <c r="E253" s="894" t="s">
        <v>554</v>
      </c>
      <c r="F253" s="895">
        <v>-82916.92</v>
      </c>
      <c r="G253" s="895">
        <v>-211709.92</v>
      </c>
      <c r="H253" s="895">
        <v>-273948.06</v>
      </c>
      <c r="I253" s="895">
        <v>-108655.6</v>
      </c>
      <c r="J253" s="895">
        <v>-11817.05</v>
      </c>
      <c r="K253" s="895">
        <v>-388295.87</v>
      </c>
      <c r="L253" s="895">
        <v>-468811.62</v>
      </c>
      <c r="M253" s="895">
        <v>-590218.77</v>
      </c>
      <c r="N253" s="895">
        <v>-723976.95</v>
      </c>
      <c r="O253" s="895">
        <v>-631443.59</v>
      </c>
      <c r="P253" s="895">
        <v>-872481.37</v>
      </c>
      <c r="Q253" s="895">
        <v>-720979.04</v>
      </c>
      <c r="R253" s="895">
        <v>-1172118.56</v>
      </c>
      <c r="S253" s="896">
        <f t="shared" si="54"/>
        <v>-469154.63166666665</v>
      </c>
      <c r="T253" s="879"/>
      <c r="U253" s="881"/>
      <c r="V253" s="881"/>
      <c r="W253" s="881"/>
      <c r="X253" s="897">
        <f t="shared" si="56"/>
        <v>-469154.63166666665</v>
      </c>
      <c r="Y253" s="881"/>
      <c r="Z253" s="881"/>
      <c r="AA253" s="881"/>
      <c r="AB253" s="881">
        <f t="shared" si="55"/>
        <v>-469154.63166666665</v>
      </c>
      <c r="AC253" s="879"/>
      <c r="AD253" s="951"/>
      <c r="AE253" s="879"/>
    </row>
    <row r="254" spans="1:31">
      <c r="A254" s="879">
        <f t="shared" si="52"/>
        <v>240</v>
      </c>
      <c r="B254" s="893" t="s">
        <v>1886</v>
      </c>
      <c r="C254" s="893" t="s">
        <v>553</v>
      </c>
      <c r="D254" s="893" t="s">
        <v>2188</v>
      </c>
      <c r="E254" s="894" t="s">
        <v>554</v>
      </c>
      <c r="F254" s="895">
        <v>-5.8207660913467401E-11</v>
      </c>
      <c r="G254" s="895">
        <v>0</v>
      </c>
      <c r="H254" s="895">
        <v>0</v>
      </c>
      <c r="I254" s="895">
        <v>0</v>
      </c>
      <c r="J254" s="895">
        <v>0</v>
      </c>
      <c r="K254" s="895">
        <v>0</v>
      </c>
      <c r="L254" s="895">
        <v>0</v>
      </c>
      <c r="M254" s="895">
        <v>0</v>
      </c>
      <c r="N254" s="895">
        <v>0</v>
      </c>
      <c r="O254" s="895">
        <v>0</v>
      </c>
      <c r="P254" s="895">
        <v>0</v>
      </c>
      <c r="Q254" s="895">
        <v>0</v>
      </c>
      <c r="R254" s="895">
        <v>313393.84000000003</v>
      </c>
      <c r="S254" s="896">
        <f>((F254+R254)+((G254+H254+I254+J254+K254+L254+M254+N254+O254+P254+Q254)*2))/24</f>
        <v>13058.076666666666</v>
      </c>
      <c r="T254" s="879"/>
      <c r="U254" s="881"/>
      <c r="V254" s="881"/>
      <c r="W254" s="881"/>
      <c r="X254" s="897">
        <f t="shared" si="56"/>
        <v>13058.076666666666</v>
      </c>
      <c r="Y254" s="881"/>
      <c r="Z254" s="881"/>
      <c r="AA254" s="881"/>
      <c r="AB254" s="881">
        <f t="shared" si="55"/>
        <v>13058.076666666666</v>
      </c>
      <c r="AC254" s="879"/>
      <c r="AD254" s="951"/>
      <c r="AE254" s="879"/>
    </row>
    <row r="255" spans="1:31">
      <c r="A255" s="879">
        <f t="shared" si="52"/>
        <v>241</v>
      </c>
      <c r="B255" s="893" t="s">
        <v>1886</v>
      </c>
      <c r="C255" s="893" t="s">
        <v>553</v>
      </c>
      <c r="D255" s="893" t="s">
        <v>2189</v>
      </c>
      <c r="E255" s="894" t="s">
        <v>554</v>
      </c>
      <c r="F255" s="895">
        <v>559657.72</v>
      </c>
      <c r="G255" s="895">
        <v>435922.17</v>
      </c>
      <c r="H255" s="895">
        <v>337930.39</v>
      </c>
      <c r="I255" s="895">
        <v>252456.16</v>
      </c>
      <c r="J255" s="895">
        <v>192640.47</v>
      </c>
      <c r="K255" s="895">
        <v>160007.15</v>
      </c>
      <c r="L255" s="895">
        <v>130678.43</v>
      </c>
      <c r="M255" s="895">
        <v>109571.81</v>
      </c>
      <c r="N255" s="895">
        <v>90938.71</v>
      </c>
      <c r="O255" s="895">
        <v>70801.960000000006</v>
      </c>
      <c r="P255" s="895">
        <v>41346.81</v>
      </c>
      <c r="Q255" s="895">
        <v>2.18278728425503E-11</v>
      </c>
      <c r="R255" s="895">
        <v>2.18278728425503E-11</v>
      </c>
      <c r="S255" s="896">
        <f t="shared" si="54"/>
        <v>175176.91</v>
      </c>
      <c r="T255" s="879"/>
      <c r="U255" s="881"/>
      <c r="V255" s="881"/>
      <c r="W255" s="881"/>
      <c r="X255" s="897">
        <f t="shared" si="56"/>
        <v>175176.91</v>
      </c>
      <c r="Y255" s="881"/>
      <c r="Z255" s="881"/>
      <c r="AA255" s="881"/>
      <c r="AB255" s="881">
        <f t="shared" si="55"/>
        <v>175176.91</v>
      </c>
      <c r="AC255" s="879"/>
      <c r="AD255" s="951"/>
      <c r="AE255" s="879"/>
    </row>
    <row r="256" spans="1:31">
      <c r="A256" s="879">
        <f t="shared" si="52"/>
        <v>242</v>
      </c>
      <c r="B256" s="893" t="s">
        <v>1853</v>
      </c>
      <c r="C256" s="893" t="s">
        <v>553</v>
      </c>
      <c r="D256" s="893" t="s">
        <v>2190</v>
      </c>
      <c r="E256" s="894" t="s">
        <v>554</v>
      </c>
      <c r="F256" s="895">
        <v>2228426.9</v>
      </c>
      <c r="G256" s="895">
        <v>1824607.43</v>
      </c>
      <c r="H256" s="895">
        <v>1526836.28</v>
      </c>
      <c r="I256" s="895">
        <v>1255749.7</v>
      </c>
      <c r="J256" s="895">
        <v>1077850.6000000001</v>
      </c>
      <c r="K256" s="895">
        <v>977002.8</v>
      </c>
      <c r="L256" s="895">
        <v>888672.36</v>
      </c>
      <c r="M256" s="895">
        <v>818263.15</v>
      </c>
      <c r="N256" s="895">
        <v>753589.18</v>
      </c>
      <c r="O256" s="895">
        <v>681868.69</v>
      </c>
      <c r="P256" s="895">
        <v>581148.86</v>
      </c>
      <c r="Q256" s="895">
        <v>-2.3283064365386999E-10</v>
      </c>
      <c r="R256" s="895">
        <v>-2.3283064365386999E-10</v>
      </c>
      <c r="S256" s="896">
        <f t="shared" si="54"/>
        <v>958316.87499999988</v>
      </c>
      <c r="T256" s="879"/>
      <c r="U256" s="881"/>
      <c r="V256" s="881"/>
      <c r="W256" s="881"/>
      <c r="X256" s="897">
        <f t="shared" si="56"/>
        <v>958316.87499999988</v>
      </c>
      <c r="Y256" s="881"/>
      <c r="Z256" s="881"/>
      <c r="AA256" s="881"/>
      <c r="AB256" s="881">
        <f t="shared" si="55"/>
        <v>958316.87499999988</v>
      </c>
      <c r="AC256" s="879"/>
      <c r="AD256" s="951"/>
      <c r="AE256" s="879"/>
    </row>
    <row r="257" spans="1:31">
      <c r="A257" s="879">
        <f t="shared" si="52"/>
        <v>243</v>
      </c>
      <c r="B257" s="893" t="s">
        <v>1886</v>
      </c>
      <c r="C257" s="893" t="s">
        <v>553</v>
      </c>
      <c r="D257" s="893" t="s">
        <v>2191</v>
      </c>
      <c r="E257" s="894" t="s">
        <v>554</v>
      </c>
      <c r="F257" s="895">
        <v>0</v>
      </c>
      <c r="G257" s="895">
        <v>0</v>
      </c>
      <c r="H257" s="895">
        <v>0</v>
      </c>
      <c r="I257" s="895">
        <v>0</v>
      </c>
      <c r="J257" s="895">
        <v>0</v>
      </c>
      <c r="K257" s="895">
        <v>0</v>
      </c>
      <c r="L257" s="895">
        <v>0</v>
      </c>
      <c r="M257" s="895">
        <v>0</v>
      </c>
      <c r="N257" s="895">
        <v>0</v>
      </c>
      <c r="O257" s="895">
        <v>0</v>
      </c>
      <c r="P257" s="895">
        <v>0</v>
      </c>
      <c r="Q257" s="895">
        <v>1014629.45</v>
      </c>
      <c r="R257" s="895">
        <v>862816.22</v>
      </c>
      <c r="S257" s="896">
        <f>((F257+R257)+((G257+H257+I257+J257+K257+L257+M257+N257+O257+P257+Q257)*2))/24</f>
        <v>120503.13</v>
      </c>
      <c r="T257" s="879"/>
      <c r="U257" s="881"/>
      <c r="V257" s="881"/>
      <c r="W257" s="881"/>
      <c r="X257" s="897">
        <f t="shared" si="56"/>
        <v>120503.13</v>
      </c>
      <c r="Y257" s="881"/>
      <c r="Z257" s="881"/>
      <c r="AA257" s="881"/>
      <c r="AB257" s="881">
        <f t="shared" si="55"/>
        <v>120503.13</v>
      </c>
      <c r="AC257" s="879"/>
      <c r="AD257" s="951"/>
      <c r="AE257" s="879"/>
    </row>
    <row r="258" spans="1:31">
      <c r="A258" s="879">
        <f t="shared" si="52"/>
        <v>244</v>
      </c>
      <c r="B258" s="893" t="s">
        <v>1853</v>
      </c>
      <c r="C258" s="893" t="s">
        <v>553</v>
      </c>
      <c r="D258" s="893" t="s">
        <v>2192</v>
      </c>
      <c r="E258" s="894" t="s">
        <v>554</v>
      </c>
      <c r="F258" s="895">
        <v>0</v>
      </c>
      <c r="G258" s="895">
        <v>0</v>
      </c>
      <c r="H258" s="895">
        <v>0</v>
      </c>
      <c r="I258" s="895">
        <v>0</v>
      </c>
      <c r="J258" s="895">
        <v>0</v>
      </c>
      <c r="K258" s="895">
        <v>0</v>
      </c>
      <c r="L258" s="895">
        <v>0</v>
      </c>
      <c r="M258" s="895">
        <v>0</v>
      </c>
      <c r="N258" s="895">
        <v>0</v>
      </c>
      <c r="O258" s="895">
        <v>20479.23</v>
      </c>
      <c r="P258" s="895">
        <v>143649.13</v>
      </c>
      <c r="Q258" s="895">
        <v>1732329.49</v>
      </c>
      <c r="R258" s="895">
        <v>-92332.799999999799</v>
      </c>
      <c r="S258" s="896">
        <f t="shared" si="54"/>
        <v>154190.95416666669</v>
      </c>
      <c r="T258" s="879"/>
      <c r="U258" s="881"/>
      <c r="V258" s="881"/>
      <c r="W258" s="881"/>
      <c r="X258" s="897">
        <f t="shared" si="56"/>
        <v>154190.95416666669</v>
      </c>
      <c r="Y258" s="881"/>
      <c r="Z258" s="881"/>
      <c r="AA258" s="881"/>
      <c r="AB258" s="881">
        <f t="shared" si="55"/>
        <v>154190.95416666669</v>
      </c>
      <c r="AC258" s="879"/>
      <c r="AD258" s="951"/>
      <c r="AE258" s="879"/>
    </row>
    <row r="259" spans="1:31">
      <c r="A259" s="879">
        <f t="shared" si="52"/>
        <v>245</v>
      </c>
      <c r="B259" s="893" t="s">
        <v>1853</v>
      </c>
      <c r="C259" s="893" t="s">
        <v>553</v>
      </c>
      <c r="D259" s="893" t="s">
        <v>2181</v>
      </c>
      <c r="E259" s="894" t="s">
        <v>554</v>
      </c>
      <c r="F259" s="895">
        <v>0</v>
      </c>
      <c r="G259" s="895">
        <v>0</v>
      </c>
      <c r="H259" s="895">
        <v>0</v>
      </c>
      <c r="I259" s="895">
        <v>0</v>
      </c>
      <c r="J259" s="895">
        <v>0</v>
      </c>
      <c r="K259" s="895">
        <v>0</v>
      </c>
      <c r="L259" s="895">
        <v>0</v>
      </c>
      <c r="M259" s="895">
        <v>0</v>
      </c>
      <c r="N259" s="895">
        <v>0</v>
      </c>
      <c r="O259" s="895">
        <v>0</v>
      </c>
      <c r="P259" s="895">
        <v>0</v>
      </c>
      <c r="Q259" s="895">
        <v>3393106.82</v>
      </c>
      <c r="R259" s="895">
        <v>3003260.61</v>
      </c>
      <c r="S259" s="896">
        <f>((F259+R259)+((G259+H259+I259+J259+K259+L259+M259+N259+O259+P259+Q259)*2))/24</f>
        <v>407894.76041666669</v>
      </c>
      <c r="T259" s="879"/>
      <c r="U259" s="881"/>
      <c r="V259" s="881"/>
      <c r="W259" s="881"/>
      <c r="X259" s="897">
        <f t="shared" si="56"/>
        <v>407894.76041666669</v>
      </c>
      <c r="Y259" s="881"/>
      <c r="Z259" s="881"/>
      <c r="AA259" s="881"/>
      <c r="AB259" s="881">
        <f t="shared" si="55"/>
        <v>407894.76041666669</v>
      </c>
      <c r="AC259" s="879"/>
      <c r="AD259" s="951"/>
      <c r="AE259" s="879"/>
    </row>
    <row r="260" spans="1:31">
      <c r="A260" s="879">
        <f t="shared" si="52"/>
        <v>246</v>
      </c>
      <c r="B260" s="893" t="s">
        <v>1850</v>
      </c>
      <c r="C260" s="893" t="s">
        <v>555</v>
      </c>
      <c r="D260" s="893" t="s">
        <v>495</v>
      </c>
      <c r="E260" s="948" t="s">
        <v>2193</v>
      </c>
      <c r="F260" s="912">
        <v>3597416</v>
      </c>
      <c r="G260" s="912">
        <v>3597416</v>
      </c>
      <c r="H260" s="912">
        <v>3597416</v>
      </c>
      <c r="I260" s="912">
        <v>3555871</v>
      </c>
      <c r="J260" s="912">
        <v>3555871</v>
      </c>
      <c r="K260" s="912">
        <v>3555871</v>
      </c>
      <c r="L260" s="912">
        <v>3555871</v>
      </c>
      <c r="M260" s="912">
        <v>3555871</v>
      </c>
      <c r="N260" s="912">
        <v>3555871</v>
      </c>
      <c r="O260" s="912">
        <v>3555871</v>
      </c>
      <c r="P260" s="912">
        <v>3555871</v>
      </c>
      <c r="Q260" s="912">
        <v>3555871</v>
      </c>
      <c r="R260" s="912">
        <v>3555871</v>
      </c>
      <c r="S260" s="896">
        <f>((F260+R260)+((G260+H260+I260+J260+K260+L260+M260+N260+O260+P260+Q260)*2))/24</f>
        <v>3564526.2083333335</v>
      </c>
      <c r="T260" s="879"/>
      <c r="U260" s="881"/>
      <c r="V260" s="881"/>
      <c r="W260" s="881"/>
      <c r="X260" s="897">
        <f t="shared" si="56"/>
        <v>3564526.2083333335</v>
      </c>
      <c r="Y260" s="881"/>
      <c r="Z260" s="881"/>
      <c r="AA260" s="881"/>
      <c r="AB260" s="881">
        <f t="shared" si="55"/>
        <v>3564526.2083333335</v>
      </c>
      <c r="AC260" s="879"/>
      <c r="AD260" s="951"/>
      <c r="AE260" s="879"/>
    </row>
    <row r="261" spans="1:31">
      <c r="A261" s="879">
        <f t="shared" si="52"/>
        <v>247</v>
      </c>
      <c r="B261" s="879"/>
      <c r="C261" s="879"/>
      <c r="D261" s="879"/>
      <c r="E261" s="894" t="s">
        <v>556</v>
      </c>
      <c r="F261" s="898">
        <f t="shared" ref="F261:S261" si="57">SUM(F201:F260)</f>
        <v>78328216.37000002</v>
      </c>
      <c r="G261" s="898">
        <f t="shared" si="57"/>
        <v>78009369.050000042</v>
      </c>
      <c r="H261" s="898">
        <f t="shared" si="57"/>
        <v>78219327.040000007</v>
      </c>
      <c r="I261" s="898">
        <f t="shared" si="57"/>
        <v>79060197.940000013</v>
      </c>
      <c r="J261" s="898">
        <f t="shared" si="57"/>
        <v>79550780.330000013</v>
      </c>
      <c r="K261" s="898">
        <f t="shared" si="57"/>
        <v>79537645.320000023</v>
      </c>
      <c r="L261" s="898">
        <f t="shared" si="57"/>
        <v>79162678.950000003</v>
      </c>
      <c r="M261" s="898">
        <f t="shared" si="57"/>
        <v>79420225.800000012</v>
      </c>
      <c r="N261" s="898">
        <f t="shared" si="57"/>
        <v>79592752.75</v>
      </c>
      <c r="O261" s="898">
        <f t="shared" si="57"/>
        <v>80115092.799999967</v>
      </c>
      <c r="P261" s="898">
        <f t="shared" si="57"/>
        <v>81193073.949999988</v>
      </c>
      <c r="Q261" s="898">
        <f t="shared" si="57"/>
        <v>83588063.189999998</v>
      </c>
      <c r="R261" s="898">
        <f t="shared" si="57"/>
        <v>78762766.38000001</v>
      </c>
      <c r="S261" s="899">
        <f t="shared" si="57"/>
        <v>79666224.874583364</v>
      </c>
      <c r="T261" s="879"/>
      <c r="U261" s="881"/>
      <c r="V261" s="881"/>
      <c r="W261" s="881"/>
      <c r="X261" s="897"/>
      <c r="Y261" s="881"/>
      <c r="Z261" s="881"/>
      <c r="AA261" s="881"/>
      <c r="AB261" s="881"/>
      <c r="AC261" s="879"/>
      <c r="AD261" s="879"/>
      <c r="AE261" s="879"/>
    </row>
    <row r="262" spans="1:31">
      <c r="A262" s="879">
        <f t="shared" si="52"/>
        <v>248</v>
      </c>
      <c r="B262" s="879"/>
      <c r="C262" s="879"/>
      <c r="D262" s="879"/>
      <c r="E262" s="918"/>
      <c r="F262" s="895"/>
      <c r="G262" s="966"/>
      <c r="H262" s="942"/>
      <c r="I262" s="942"/>
      <c r="J262" s="943"/>
      <c r="K262" s="944"/>
      <c r="L262" s="945"/>
      <c r="M262" s="946"/>
      <c r="N262" s="947"/>
      <c r="O262" s="948"/>
      <c r="P262" s="949"/>
      <c r="Q262" s="967"/>
      <c r="R262" s="895"/>
      <c r="S262" s="896"/>
      <c r="T262" s="879"/>
      <c r="U262" s="881"/>
      <c r="V262" s="881"/>
      <c r="W262" s="881"/>
      <c r="X262" s="897"/>
      <c r="Y262" s="881"/>
      <c r="Z262" s="881"/>
      <c r="AA262" s="881"/>
      <c r="AB262" s="881"/>
      <c r="AC262" s="879"/>
      <c r="AD262" s="879"/>
      <c r="AE262" s="879"/>
    </row>
    <row r="263" spans="1:31">
      <c r="A263" s="879">
        <f t="shared" si="52"/>
        <v>249</v>
      </c>
      <c r="B263" s="976" t="s">
        <v>389</v>
      </c>
      <c r="C263" s="976" t="s">
        <v>557</v>
      </c>
      <c r="D263" s="976" t="s">
        <v>389</v>
      </c>
      <c r="E263" s="977" t="s">
        <v>558</v>
      </c>
      <c r="F263" s="961">
        <v>156305207.13</v>
      </c>
      <c r="G263" s="961">
        <v>24421868.41</v>
      </c>
      <c r="H263" s="961">
        <v>41171423.25</v>
      </c>
      <c r="I263" s="961">
        <v>56483768.100000001</v>
      </c>
      <c r="J263" s="961">
        <v>64753779.909999996</v>
      </c>
      <c r="K263" s="961">
        <v>70295784.159999996</v>
      </c>
      <c r="L263" s="961">
        <v>75264580.459999993</v>
      </c>
      <c r="M263" s="961">
        <v>79770220.25</v>
      </c>
      <c r="N263" s="961">
        <v>83874065.469999999</v>
      </c>
      <c r="O263" s="961">
        <v>88861448.659999996</v>
      </c>
      <c r="P263" s="961">
        <v>98160199.450000003</v>
      </c>
      <c r="Q263" s="961">
        <v>110210704.31</v>
      </c>
      <c r="R263" s="961">
        <v>135117509.71000001</v>
      </c>
      <c r="S263" s="978">
        <f>((F263+R263)+((G263+H263+I263+J263+K263+L263+M263+N263+O263+P263+Q263)*2))/24</f>
        <v>78248266.737500012</v>
      </c>
      <c r="T263" s="879"/>
      <c r="U263" s="881"/>
      <c r="V263" s="881"/>
      <c r="W263" s="881">
        <f t="shared" ref="W263:W266" si="58">+S263</f>
        <v>78248266.737500012</v>
      </c>
      <c r="X263" s="897"/>
      <c r="Y263" s="881"/>
      <c r="Z263" s="881"/>
      <c r="AA263" s="881"/>
      <c r="AB263" s="881"/>
      <c r="AC263" s="879"/>
      <c r="AD263" s="879"/>
      <c r="AE263" s="879"/>
    </row>
    <row r="264" spans="1:31">
      <c r="A264" s="879">
        <f t="shared" si="52"/>
        <v>250</v>
      </c>
      <c r="B264" s="976" t="s">
        <v>389</v>
      </c>
      <c r="C264" s="976" t="s">
        <v>559</v>
      </c>
      <c r="D264" s="976" t="s">
        <v>389</v>
      </c>
      <c r="E264" s="977" t="s">
        <v>560</v>
      </c>
      <c r="F264" s="961">
        <v>46817597.850000001</v>
      </c>
      <c r="G264" s="961">
        <v>4329047.46</v>
      </c>
      <c r="H264" s="961">
        <v>8144824.2199999997</v>
      </c>
      <c r="I264" s="961">
        <v>11913582.199999999</v>
      </c>
      <c r="J264" s="961">
        <v>15629660.82</v>
      </c>
      <c r="K264" s="961">
        <v>19641103.890000001</v>
      </c>
      <c r="L264" s="961">
        <v>23808301.02</v>
      </c>
      <c r="M264" s="961">
        <v>27425881.100000001</v>
      </c>
      <c r="N264" s="961">
        <v>31996474.899999999</v>
      </c>
      <c r="O264" s="961">
        <v>36090125.700000003</v>
      </c>
      <c r="P264" s="961">
        <v>40028030.579999998</v>
      </c>
      <c r="Q264" s="961">
        <v>44017177.710000001</v>
      </c>
      <c r="R264" s="961">
        <v>48703743.799999997</v>
      </c>
      <c r="S264" s="978">
        <f>((F264+R264)+((G264+H264+I264+J264+K264+L264+M264+N264+O264+P264+Q264)*2))/24</f>
        <v>25898740.035416666</v>
      </c>
      <c r="T264" s="879"/>
      <c r="U264" s="881"/>
      <c r="V264" s="881"/>
      <c r="W264" s="881">
        <f t="shared" si="58"/>
        <v>25898740.035416666</v>
      </c>
      <c r="X264" s="897"/>
      <c r="Y264" s="881"/>
      <c r="Z264" s="881"/>
      <c r="AA264" s="881"/>
      <c r="AB264" s="881"/>
      <c r="AC264" s="879"/>
      <c r="AD264" s="879"/>
      <c r="AE264" s="879"/>
    </row>
    <row r="265" spans="1:31">
      <c r="A265" s="879">
        <f t="shared" si="52"/>
        <v>251</v>
      </c>
      <c r="B265" s="976" t="s">
        <v>389</v>
      </c>
      <c r="C265" s="976" t="s">
        <v>561</v>
      </c>
      <c r="D265" s="976" t="s">
        <v>562</v>
      </c>
      <c r="E265" s="977" t="s">
        <v>563</v>
      </c>
      <c r="F265" s="961">
        <v>0</v>
      </c>
      <c r="G265" s="961">
        <v>315.98</v>
      </c>
      <c r="H265" s="961">
        <v>315.98</v>
      </c>
      <c r="I265" s="961">
        <v>315.98</v>
      </c>
      <c r="J265" s="961">
        <v>315.98</v>
      </c>
      <c r="K265" s="961">
        <v>315.98</v>
      </c>
      <c r="L265" s="961">
        <v>315.98</v>
      </c>
      <c r="M265" s="961">
        <v>315.98</v>
      </c>
      <c r="N265" s="961">
        <v>315.98</v>
      </c>
      <c r="O265" s="961">
        <v>315.98</v>
      </c>
      <c r="P265" s="961">
        <v>315.98</v>
      </c>
      <c r="Q265" s="961">
        <v>315.98</v>
      </c>
      <c r="R265" s="961">
        <v>315.98</v>
      </c>
      <c r="S265" s="978">
        <f>((F265+R265)+((G265+H265+I265+J265+K265+L265+M265+N265+O265+P265+Q265)*2))/24</f>
        <v>302.81416666666672</v>
      </c>
      <c r="T265" s="879"/>
      <c r="U265" s="881"/>
      <c r="V265" s="881"/>
      <c r="W265" s="881">
        <f t="shared" si="58"/>
        <v>302.81416666666672</v>
      </c>
      <c r="X265" s="897"/>
      <c r="Y265" s="881"/>
      <c r="Z265" s="881"/>
      <c r="AA265" s="881"/>
      <c r="AB265" s="881"/>
      <c r="AC265" s="879"/>
      <c r="AD265" s="879"/>
      <c r="AE265" s="879"/>
    </row>
    <row r="266" spans="1:31">
      <c r="A266" s="879">
        <f t="shared" si="52"/>
        <v>252</v>
      </c>
      <c r="B266" s="976" t="s">
        <v>389</v>
      </c>
      <c r="C266" s="976" t="s">
        <v>564</v>
      </c>
      <c r="D266" s="976" t="s">
        <v>389</v>
      </c>
      <c r="E266" s="977" t="s">
        <v>565</v>
      </c>
      <c r="F266" s="979">
        <v>5473309.9500000002</v>
      </c>
      <c r="G266" s="979">
        <v>429269.29</v>
      </c>
      <c r="H266" s="979">
        <v>844912.97</v>
      </c>
      <c r="I266" s="979">
        <v>1337555.07</v>
      </c>
      <c r="J266" s="979">
        <v>1801041.39</v>
      </c>
      <c r="K266" s="979">
        <v>2272948.0699999998</v>
      </c>
      <c r="L266" s="979">
        <v>2748701.28</v>
      </c>
      <c r="M266" s="979">
        <v>3219897.06</v>
      </c>
      <c r="N266" s="979">
        <v>3771772.86</v>
      </c>
      <c r="O266" s="979">
        <v>4251828.58</v>
      </c>
      <c r="P266" s="979">
        <v>4693376.74</v>
      </c>
      <c r="Q266" s="979">
        <v>5170135.07</v>
      </c>
      <c r="R266" s="979">
        <v>5729641.6100000003</v>
      </c>
      <c r="S266" s="978">
        <f>((F266+R266)+((G266+H266+I266+J266+K266+L266+M266+N266+O266+P266+Q266)*2))/24</f>
        <v>3011909.5133333337</v>
      </c>
      <c r="T266" s="879"/>
      <c r="U266" s="881"/>
      <c r="V266" s="881"/>
      <c r="W266" s="881">
        <f t="shared" si="58"/>
        <v>3011909.5133333337</v>
      </c>
      <c r="X266" s="897"/>
      <c r="Y266" s="881"/>
      <c r="Z266" s="881"/>
      <c r="AA266" s="881"/>
      <c r="AB266" s="881"/>
      <c r="AC266" s="879"/>
      <c r="AD266" s="879"/>
      <c r="AE266" s="879"/>
    </row>
    <row r="267" spans="1:31">
      <c r="A267" s="879">
        <f t="shared" si="52"/>
        <v>253</v>
      </c>
      <c r="B267" s="976"/>
      <c r="C267" s="976"/>
      <c r="D267" s="976"/>
      <c r="E267" s="977" t="s">
        <v>566</v>
      </c>
      <c r="F267" s="980">
        <f>SUM(F263:F266)</f>
        <v>208596114.92999998</v>
      </c>
      <c r="G267" s="980">
        <f t="shared" ref="G267:S267" si="59">SUM(G263:G266)</f>
        <v>29180501.140000001</v>
      </c>
      <c r="H267" s="980">
        <f t="shared" si="59"/>
        <v>50161476.419999994</v>
      </c>
      <c r="I267" s="980">
        <f t="shared" si="59"/>
        <v>69735221.349999994</v>
      </c>
      <c r="J267" s="980">
        <f t="shared" si="59"/>
        <v>82184798.099999994</v>
      </c>
      <c r="K267" s="980">
        <f t="shared" si="59"/>
        <v>92210152.099999994</v>
      </c>
      <c r="L267" s="980">
        <f t="shared" si="59"/>
        <v>101821898.73999999</v>
      </c>
      <c r="M267" s="980">
        <f t="shared" si="59"/>
        <v>110416314.39</v>
      </c>
      <c r="N267" s="980">
        <f t="shared" si="59"/>
        <v>119642629.21000001</v>
      </c>
      <c r="O267" s="980">
        <f t="shared" si="59"/>
        <v>129203718.92</v>
      </c>
      <c r="P267" s="980">
        <f t="shared" si="59"/>
        <v>142881922.75</v>
      </c>
      <c r="Q267" s="980">
        <f t="shared" si="59"/>
        <v>159398333.06999999</v>
      </c>
      <c r="R267" s="980">
        <f t="shared" si="59"/>
        <v>189551211.09999999</v>
      </c>
      <c r="S267" s="981">
        <f t="shared" si="59"/>
        <v>107159219.10041668</v>
      </c>
      <c r="T267" s="879"/>
      <c r="U267" s="881"/>
      <c r="V267" s="881"/>
      <c r="W267" s="881"/>
      <c r="X267" s="897"/>
      <c r="Y267" s="881"/>
      <c r="Z267" s="881"/>
      <c r="AA267" s="881"/>
      <c r="AB267" s="881"/>
      <c r="AC267" s="879"/>
      <c r="AD267" s="879"/>
      <c r="AE267" s="879"/>
    </row>
    <row r="268" spans="1:31">
      <c r="A268" s="879">
        <f t="shared" si="52"/>
        <v>254</v>
      </c>
      <c r="B268" s="879"/>
      <c r="C268" s="879"/>
      <c r="D268" s="879"/>
      <c r="E268" s="918"/>
      <c r="F268" s="895"/>
      <c r="G268" s="966"/>
      <c r="H268" s="942"/>
      <c r="I268" s="942"/>
      <c r="J268" s="943"/>
      <c r="K268" s="944"/>
      <c r="L268" s="945"/>
      <c r="M268" s="946"/>
      <c r="N268" s="947"/>
      <c r="O268" s="948"/>
      <c r="P268" s="949"/>
      <c r="Q268" s="967"/>
      <c r="R268" s="895"/>
      <c r="S268" s="896"/>
      <c r="T268" s="879"/>
      <c r="U268" s="881"/>
      <c r="V268" s="881"/>
      <c r="W268" s="881"/>
      <c r="X268" s="897"/>
      <c r="Y268" s="881"/>
      <c r="Z268" s="881"/>
      <c r="AA268" s="881"/>
      <c r="AB268" s="881"/>
      <c r="AC268" s="879"/>
      <c r="AD268" s="879"/>
      <c r="AE268" s="879"/>
    </row>
    <row r="269" spans="1:31">
      <c r="A269" s="879">
        <f t="shared" si="52"/>
        <v>255</v>
      </c>
      <c r="B269" s="893" t="s">
        <v>1886</v>
      </c>
      <c r="C269" s="893" t="s">
        <v>567</v>
      </c>
      <c r="D269" s="879"/>
      <c r="E269" s="894" t="s">
        <v>568</v>
      </c>
      <c r="F269" s="895">
        <v>0</v>
      </c>
      <c r="G269" s="895">
        <v>0</v>
      </c>
      <c r="H269" s="895">
        <v>0</v>
      </c>
      <c r="I269" s="895">
        <v>0</v>
      </c>
      <c r="J269" s="895">
        <v>0</v>
      </c>
      <c r="K269" s="895">
        <v>0</v>
      </c>
      <c r="L269" s="895">
        <v>0</v>
      </c>
      <c r="M269" s="895">
        <v>0</v>
      </c>
      <c r="N269" s="895">
        <v>0</v>
      </c>
      <c r="O269" s="895">
        <v>0</v>
      </c>
      <c r="P269" s="895">
        <v>0</v>
      </c>
      <c r="Q269" s="895">
        <v>0</v>
      </c>
      <c r="R269" s="895">
        <v>0</v>
      </c>
      <c r="S269" s="896">
        <f>((F269+R269)+((G269+H269+I269+J269+K269+L269+M269+N269+O269+P269+Q269)*2))/24</f>
        <v>0</v>
      </c>
      <c r="T269" s="879"/>
      <c r="U269" s="881"/>
      <c r="V269" s="881"/>
      <c r="W269" s="881">
        <f t="shared" ref="W269:W286" si="60">+S269</f>
        <v>0</v>
      </c>
      <c r="X269" s="897"/>
      <c r="Y269" s="881"/>
      <c r="Z269" s="881"/>
      <c r="AA269" s="881"/>
      <c r="AB269" s="881"/>
      <c r="AC269" s="879"/>
      <c r="AD269" s="879"/>
      <c r="AE269" s="879"/>
    </row>
    <row r="270" spans="1:31">
      <c r="A270" s="879">
        <f t="shared" si="52"/>
        <v>256</v>
      </c>
      <c r="B270" s="893" t="s">
        <v>1853</v>
      </c>
      <c r="C270" s="893" t="s">
        <v>567</v>
      </c>
      <c r="D270" s="879"/>
      <c r="E270" s="894" t="s">
        <v>568</v>
      </c>
      <c r="F270" s="895">
        <v>0</v>
      </c>
      <c r="G270" s="895">
        <v>0</v>
      </c>
      <c r="H270" s="895">
        <v>0</v>
      </c>
      <c r="I270" s="895">
        <v>0</v>
      </c>
      <c r="J270" s="895">
        <v>0</v>
      </c>
      <c r="K270" s="895">
        <v>0</v>
      </c>
      <c r="L270" s="895">
        <v>0</v>
      </c>
      <c r="M270" s="895">
        <v>0</v>
      </c>
      <c r="N270" s="895">
        <v>0</v>
      </c>
      <c r="O270" s="895">
        <v>0</v>
      </c>
      <c r="P270" s="895">
        <v>0</v>
      </c>
      <c r="Q270" s="895">
        <v>0</v>
      </c>
      <c r="R270" s="895">
        <v>0</v>
      </c>
      <c r="S270" s="896">
        <f>((F270+R270)+((G270+H270+I270+J270+K270+L270+M270+N270+O270+P270+Q270)*2))/24</f>
        <v>0</v>
      </c>
      <c r="T270" s="879"/>
      <c r="U270" s="881"/>
      <c r="V270" s="881"/>
      <c r="W270" s="881">
        <f t="shared" si="60"/>
        <v>0</v>
      </c>
      <c r="X270" s="897"/>
      <c r="Y270" s="881"/>
      <c r="Z270" s="881"/>
      <c r="AA270" s="881"/>
      <c r="AB270" s="881"/>
      <c r="AC270" s="879"/>
      <c r="AD270" s="879"/>
      <c r="AE270" s="879"/>
    </row>
    <row r="271" spans="1:31">
      <c r="A271" s="879">
        <f t="shared" si="52"/>
        <v>257</v>
      </c>
      <c r="B271" s="879"/>
      <c r="C271" s="879"/>
      <c r="D271" s="879"/>
      <c r="E271" s="918"/>
      <c r="F271" s="895"/>
      <c r="G271" s="966"/>
      <c r="H271" s="942"/>
      <c r="I271" s="942"/>
      <c r="J271" s="943"/>
      <c r="K271" s="944"/>
      <c r="L271" s="945"/>
      <c r="M271" s="946"/>
      <c r="N271" s="947"/>
      <c r="O271" s="948"/>
      <c r="P271" s="949"/>
      <c r="Q271" s="967"/>
      <c r="R271" s="895"/>
      <c r="S271" s="896"/>
      <c r="T271" s="879"/>
      <c r="U271" s="881"/>
      <c r="V271" s="881"/>
      <c r="W271" s="881">
        <f t="shared" si="60"/>
        <v>0</v>
      </c>
      <c r="X271" s="897"/>
      <c r="Y271" s="881"/>
      <c r="Z271" s="881"/>
      <c r="AA271" s="881"/>
      <c r="AB271" s="881"/>
      <c r="AC271" s="879"/>
      <c r="AD271" s="879"/>
      <c r="AE271" s="879"/>
    </row>
    <row r="272" spans="1:31">
      <c r="A272" s="879">
        <f t="shared" si="52"/>
        <v>258</v>
      </c>
      <c r="B272" s="893" t="s">
        <v>1886</v>
      </c>
      <c r="C272" s="893" t="s">
        <v>569</v>
      </c>
      <c r="D272" s="893" t="s">
        <v>2194</v>
      </c>
      <c r="E272" s="894" t="s">
        <v>570</v>
      </c>
      <c r="F272" s="895">
        <v>175231.24</v>
      </c>
      <c r="G272" s="895">
        <v>14772.52</v>
      </c>
      <c r="H272" s="895">
        <v>29545.040000000001</v>
      </c>
      <c r="I272" s="895">
        <v>45194.31</v>
      </c>
      <c r="J272" s="895">
        <v>60843.62</v>
      </c>
      <c r="K272" s="895">
        <v>76492.929999999993</v>
      </c>
      <c r="L272" s="895">
        <v>92142.24</v>
      </c>
      <c r="M272" s="895">
        <v>107791.55</v>
      </c>
      <c r="N272" s="895">
        <v>123440.86</v>
      </c>
      <c r="O272" s="895">
        <v>139090.17000000001</v>
      </c>
      <c r="P272" s="895">
        <v>154739.48000000001</v>
      </c>
      <c r="Q272" s="895">
        <v>170388.79</v>
      </c>
      <c r="R272" s="895">
        <v>186038.1</v>
      </c>
      <c r="S272" s="896">
        <f>((F272+R272)+((G272+H272+I272+J272+K272+L272+M272+N272+O272+P272+Q272)*2))/24</f>
        <v>99589.681666666656</v>
      </c>
      <c r="T272" s="879"/>
      <c r="U272" s="881"/>
      <c r="V272" s="881"/>
      <c r="W272" s="881">
        <f t="shared" si="60"/>
        <v>99589.681666666656</v>
      </c>
      <c r="X272" s="897"/>
      <c r="Y272" s="881"/>
      <c r="Z272" s="881"/>
      <c r="AA272" s="881"/>
      <c r="AB272" s="881"/>
      <c r="AC272" s="879"/>
      <c r="AD272" s="879"/>
      <c r="AE272" s="879"/>
    </row>
    <row r="273" spans="1:31">
      <c r="A273" s="879">
        <f t="shared" ref="A273:A336" si="61">+A272+1</f>
        <v>259</v>
      </c>
      <c r="B273" s="893" t="s">
        <v>1853</v>
      </c>
      <c r="C273" s="893" t="s">
        <v>569</v>
      </c>
      <c r="D273" s="893" t="s">
        <v>2194</v>
      </c>
      <c r="E273" s="894" t="s">
        <v>570</v>
      </c>
      <c r="F273" s="895">
        <v>437602.47</v>
      </c>
      <c r="G273" s="895">
        <v>73146.45</v>
      </c>
      <c r="H273" s="895">
        <v>128789.44</v>
      </c>
      <c r="I273" s="895">
        <v>179421.77</v>
      </c>
      <c r="J273" s="895">
        <v>206537.84</v>
      </c>
      <c r="K273" s="895">
        <v>228784.5</v>
      </c>
      <c r="L273" s="895">
        <v>248971.34</v>
      </c>
      <c r="M273" s="895">
        <v>266128.83</v>
      </c>
      <c r="N273" s="895">
        <v>282521.3</v>
      </c>
      <c r="O273" s="895">
        <v>299709.96999999997</v>
      </c>
      <c r="P273" s="895">
        <v>320641.95</v>
      </c>
      <c r="Q273" s="895">
        <v>348688.83</v>
      </c>
      <c r="R273" s="895">
        <v>399876.96</v>
      </c>
      <c r="S273" s="896">
        <f t="shared" ref="S273:S285" si="62">((F273+R273)+((G273+H273+I273+J273+K273+L273+M273+N273+O273+P273+Q273)*2))/24</f>
        <v>250173.49458333335</v>
      </c>
      <c r="T273" s="879"/>
      <c r="U273" s="881"/>
      <c r="V273" s="881"/>
      <c r="W273" s="881">
        <f t="shared" si="60"/>
        <v>250173.49458333335</v>
      </c>
      <c r="X273" s="897"/>
      <c r="Y273" s="881"/>
      <c r="Z273" s="881"/>
      <c r="AA273" s="881"/>
      <c r="AB273" s="881"/>
      <c r="AC273" s="879"/>
      <c r="AD273" s="879"/>
      <c r="AE273" s="879"/>
    </row>
    <row r="274" spans="1:31">
      <c r="A274" s="879">
        <f t="shared" si="61"/>
        <v>260</v>
      </c>
      <c r="B274" s="893" t="s">
        <v>1853</v>
      </c>
      <c r="C274" s="893" t="s">
        <v>569</v>
      </c>
      <c r="D274" s="893" t="s">
        <v>464</v>
      </c>
      <c r="E274" s="894" t="s">
        <v>570</v>
      </c>
      <c r="F274" s="895">
        <v>9193313.2599999998</v>
      </c>
      <c r="G274" s="895">
        <v>1622760.18</v>
      </c>
      <c r="H274" s="895">
        <v>2847856.93</v>
      </c>
      <c r="I274" s="895">
        <v>3932006.25</v>
      </c>
      <c r="J274" s="895">
        <v>4660182.8099999996</v>
      </c>
      <c r="K274" s="895">
        <v>5100226.92</v>
      </c>
      <c r="L274" s="895">
        <v>5499081.7800000003</v>
      </c>
      <c r="M274" s="895">
        <v>5818134.8700000001</v>
      </c>
      <c r="N274" s="895">
        <v>6139986.46</v>
      </c>
      <c r="O274" s="895">
        <v>6469144.7300000004</v>
      </c>
      <c r="P274" s="895">
        <v>6860507.4699999997</v>
      </c>
      <c r="Q274" s="895">
        <v>7422000.2400000002</v>
      </c>
      <c r="R274" s="895">
        <v>8528645.0299999993</v>
      </c>
      <c r="S274" s="896">
        <f t="shared" si="62"/>
        <v>5436072.3154166667</v>
      </c>
      <c r="T274" s="879"/>
      <c r="U274" s="881"/>
      <c r="V274" s="881"/>
      <c r="W274" s="881">
        <f t="shared" si="60"/>
        <v>5436072.3154166667</v>
      </c>
      <c r="X274" s="897"/>
      <c r="Y274" s="881"/>
      <c r="Z274" s="881"/>
      <c r="AA274" s="881"/>
      <c r="AB274" s="881"/>
      <c r="AC274" s="879"/>
      <c r="AD274" s="879"/>
      <c r="AE274" s="879"/>
    </row>
    <row r="275" spans="1:31">
      <c r="A275" s="879">
        <f t="shared" si="61"/>
        <v>261</v>
      </c>
      <c r="B275" s="893" t="s">
        <v>1853</v>
      </c>
      <c r="C275" s="893" t="s">
        <v>569</v>
      </c>
      <c r="D275" s="893" t="s">
        <v>466</v>
      </c>
      <c r="E275" s="894" t="s">
        <v>570</v>
      </c>
      <c r="F275" s="895">
        <v>8352607.0700000003</v>
      </c>
      <c r="G275" s="895">
        <v>1316315.6100000001</v>
      </c>
      <c r="H275" s="895">
        <v>2214022.5499999998</v>
      </c>
      <c r="I275" s="895">
        <v>3058190.95</v>
      </c>
      <c r="J275" s="895">
        <v>3551008.94</v>
      </c>
      <c r="K275" s="895">
        <v>3918151.71</v>
      </c>
      <c r="L275" s="895">
        <v>4252602.71</v>
      </c>
      <c r="M275" s="895">
        <v>4571305</v>
      </c>
      <c r="N275" s="895">
        <v>4874120.3</v>
      </c>
      <c r="O275" s="895">
        <v>5232469.07</v>
      </c>
      <c r="P275" s="895">
        <v>5789683.5499999998</v>
      </c>
      <c r="Q275" s="895">
        <v>6535190.3300000001</v>
      </c>
      <c r="R275" s="895">
        <v>7954166.0599999996</v>
      </c>
      <c r="S275" s="896">
        <f t="shared" si="62"/>
        <v>4455537.2737499997</v>
      </c>
      <c r="T275" s="879"/>
      <c r="U275" s="881"/>
      <c r="V275" s="881"/>
      <c r="W275" s="881">
        <f t="shared" si="60"/>
        <v>4455537.2737499997</v>
      </c>
      <c r="X275" s="897"/>
      <c r="Y275" s="881"/>
      <c r="Z275" s="881"/>
      <c r="AA275" s="881"/>
      <c r="AB275" s="881"/>
      <c r="AC275" s="879"/>
      <c r="AD275" s="879"/>
      <c r="AE275" s="879"/>
    </row>
    <row r="276" spans="1:31">
      <c r="A276" s="879">
        <f t="shared" si="61"/>
        <v>262</v>
      </c>
      <c r="B276" s="893" t="s">
        <v>1886</v>
      </c>
      <c r="C276" s="893" t="s">
        <v>569</v>
      </c>
      <c r="D276" s="960" t="s">
        <v>2195</v>
      </c>
      <c r="E276" s="894" t="s">
        <v>570</v>
      </c>
      <c r="F276" s="895">
        <v>68341.600000000006</v>
      </c>
      <c r="G276" s="895">
        <v>6907.58</v>
      </c>
      <c r="H276" s="895">
        <v>13815.16</v>
      </c>
      <c r="I276" s="895">
        <v>20722.740000000002</v>
      </c>
      <c r="J276" s="895">
        <v>27630.32</v>
      </c>
      <c r="K276" s="895">
        <v>34537.9</v>
      </c>
      <c r="L276" s="895">
        <v>41062.65</v>
      </c>
      <c r="M276" s="895">
        <v>47587.4</v>
      </c>
      <c r="N276" s="895">
        <v>54112.15</v>
      </c>
      <c r="O276" s="895">
        <v>60636.9</v>
      </c>
      <c r="P276" s="895">
        <v>67161.649999999994</v>
      </c>
      <c r="Q276" s="895">
        <v>73686.399999999994</v>
      </c>
      <c r="R276" s="895">
        <v>80211.149999999994</v>
      </c>
      <c r="S276" s="896">
        <f t="shared" si="62"/>
        <v>43511.435416666667</v>
      </c>
      <c r="T276" s="879"/>
      <c r="U276" s="881"/>
      <c r="V276" s="881"/>
      <c r="W276" s="881">
        <f t="shared" si="60"/>
        <v>43511.435416666667</v>
      </c>
      <c r="X276" s="897"/>
      <c r="Y276" s="881"/>
      <c r="Z276" s="881"/>
      <c r="AA276" s="881"/>
      <c r="AB276" s="881"/>
      <c r="AC276" s="879"/>
      <c r="AD276" s="879"/>
      <c r="AE276" s="879"/>
    </row>
    <row r="277" spans="1:31">
      <c r="A277" s="879">
        <f t="shared" si="61"/>
        <v>263</v>
      </c>
      <c r="B277" s="893" t="s">
        <v>1886</v>
      </c>
      <c r="C277" s="893" t="s">
        <v>569</v>
      </c>
      <c r="D277" s="960" t="s">
        <v>2196</v>
      </c>
      <c r="E277" s="894" t="s">
        <v>570</v>
      </c>
      <c r="F277" s="895">
        <v>1562711.12</v>
      </c>
      <c r="G277" s="895">
        <v>239566.84</v>
      </c>
      <c r="H277" s="895">
        <v>437108.87</v>
      </c>
      <c r="I277" s="895">
        <v>603319.43000000005</v>
      </c>
      <c r="J277" s="895">
        <v>708331.7</v>
      </c>
      <c r="K277" s="895">
        <v>775926.29</v>
      </c>
      <c r="L277" s="895">
        <v>836017.43</v>
      </c>
      <c r="M277" s="895">
        <v>884792.39</v>
      </c>
      <c r="N277" s="895">
        <v>930979.12</v>
      </c>
      <c r="O277" s="895">
        <v>990067.18</v>
      </c>
      <c r="P277" s="895">
        <v>1105323.68</v>
      </c>
      <c r="Q277" s="895">
        <v>1243891.8600000001</v>
      </c>
      <c r="R277" s="895">
        <v>1534303.81</v>
      </c>
      <c r="S277" s="896">
        <f t="shared" si="62"/>
        <v>858652.68791666662</v>
      </c>
      <c r="T277" s="879"/>
      <c r="U277" s="881"/>
      <c r="V277" s="881"/>
      <c r="W277" s="881">
        <f t="shared" si="60"/>
        <v>858652.68791666662</v>
      </c>
      <c r="X277" s="897"/>
      <c r="Y277" s="881"/>
      <c r="Z277" s="881"/>
      <c r="AA277" s="881"/>
      <c r="AB277" s="881"/>
      <c r="AC277" s="879"/>
      <c r="AD277" s="879"/>
      <c r="AE277" s="879"/>
    </row>
    <row r="278" spans="1:31">
      <c r="A278" s="879">
        <f t="shared" si="61"/>
        <v>264</v>
      </c>
      <c r="B278" s="893" t="s">
        <v>1853</v>
      </c>
      <c r="C278" s="893" t="s">
        <v>569</v>
      </c>
      <c r="D278" s="893" t="s">
        <v>2196</v>
      </c>
      <c r="E278" s="894" t="s">
        <v>570</v>
      </c>
      <c r="F278" s="895">
        <v>67473.83</v>
      </c>
      <c r="G278" s="895">
        <v>11008.07</v>
      </c>
      <c r="H278" s="895">
        <v>19657.07</v>
      </c>
      <c r="I278" s="895">
        <v>27974.89</v>
      </c>
      <c r="J278" s="895">
        <v>34726.42</v>
      </c>
      <c r="K278" s="895">
        <v>38697.46</v>
      </c>
      <c r="L278" s="895">
        <v>42048.51</v>
      </c>
      <c r="M278" s="895">
        <v>44821.33</v>
      </c>
      <c r="N278" s="895">
        <v>47334.52</v>
      </c>
      <c r="O278" s="895">
        <v>49682.46</v>
      </c>
      <c r="P278" s="895">
        <v>52383.68</v>
      </c>
      <c r="Q278" s="895">
        <v>56603.32</v>
      </c>
      <c r="R278" s="895">
        <v>63652.480000000003</v>
      </c>
      <c r="S278" s="896">
        <f t="shared" si="62"/>
        <v>40875.073750000003</v>
      </c>
      <c r="T278" s="879"/>
      <c r="U278" s="881"/>
      <c r="V278" s="881"/>
      <c r="W278" s="881">
        <f t="shared" si="60"/>
        <v>40875.073750000003</v>
      </c>
      <c r="X278" s="897"/>
      <c r="Y278" s="881"/>
      <c r="Z278" s="881"/>
      <c r="AA278" s="881"/>
      <c r="AB278" s="881"/>
      <c r="AC278" s="879"/>
      <c r="AD278" s="879"/>
      <c r="AE278" s="879"/>
    </row>
    <row r="279" spans="1:31">
      <c r="A279" s="879">
        <f t="shared" si="61"/>
        <v>265</v>
      </c>
      <c r="B279" s="893" t="s">
        <v>1886</v>
      </c>
      <c r="C279" s="893" t="s">
        <v>569</v>
      </c>
      <c r="D279" s="893" t="s">
        <v>2197</v>
      </c>
      <c r="E279" s="894" t="s">
        <v>570</v>
      </c>
      <c r="F279" s="895">
        <v>1071196.6000000001</v>
      </c>
      <c r="G279" s="895">
        <v>198422.64</v>
      </c>
      <c r="H279" s="895">
        <v>358834.64</v>
      </c>
      <c r="I279" s="895">
        <v>500778.34</v>
      </c>
      <c r="J279" s="895">
        <v>605995.43000000005</v>
      </c>
      <c r="K279" s="895">
        <v>664243.16</v>
      </c>
      <c r="L279" s="895">
        <v>715173.32</v>
      </c>
      <c r="M279" s="895">
        <v>753324.47</v>
      </c>
      <c r="N279" s="895">
        <v>788077.87</v>
      </c>
      <c r="O279" s="895">
        <v>824321.12</v>
      </c>
      <c r="P279" s="895">
        <v>876578.43</v>
      </c>
      <c r="Q279" s="895">
        <v>953545.51</v>
      </c>
      <c r="R279" s="895">
        <v>1088017.54</v>
      </c>
      <c r="S279" s="896">
        <f t="shared" si="62"/>
        <v>693241.83333333337</v>
      </c>
      <c r="T279" s="879"/>
      <c r="U279" s="881"/>
      <c r="V279" s="881"/>
      <c r="W279" s="881">
        <f t="shared" si="60"/>
        <v>693241.83333333337</v>
      </c>
      <c r="X279" s="897"/>
      <c r="Y279" s="881"/>
      <c r="Z279" s="881"/>
      <c r="AA279" s="881"/>
      <c r="AB279" s="881"/>
      <c r="AC279" s="879"/>
      <c r="AD279" s="879"/>
      <c r="AE279" s="879"/>
    </row>
    <row r="280" spans="1:31">
      <c r="A280" s="879">
        <f t="shared" si="61"/>
        <v>266</v>
      </c>
      <c r="B280" s="893" t="s">
        <v>1850</v>
      </c>
      <c r="C280" s="893" t="s">
        <v>569</v>
      </c>
      <c r="D280" s="893" t="s">
        <v>2198</v>
      </c>
      <c r="E280" s="894" t="s">
        <v>570</v>
      </c>
      <c r="F280" s="895">
        <v>268244.40000000002</v>
      </c>
      <c r="G280" s="895">
        <v>21486.79</v>
      </c>
      <c r="H280" s="895">
        <v>42973.58</v>
      </c>
      <c r="I280" s="895">
        <v>64460.37</v>
      </c>
      <c r="J280" s="895">
        <v>84675.18</v>
      </c>
      <c r="K280" s="895">
        <v>107810.3</v>
      </c>
      <c r="L280" s="895">
        <v>130190.33</v>
      </c>
      <c r="M280" s="895">
        <v>152570.35999999999</v>
      </c>
      <c r="N280" s="895">
        <v>161251.42000000001</v>
      </c>
      <c r="O280" s="895">
        <v>182089.8</v>
      </c>
      <c r="P280" s="895">
        <v>202928.18</v>
      </c>
      <c r="Q280" s="895">
        <v>223766.56</v>
      </c>
      <c r="R280" s="895">
        <v>244604.94</v>
      </c>
      <c r="S280" s="896">
        <f t="shared" si="62"/>
        <v>135885.62833333333</v>
      </c>
      <c r="T280" s="879"/>
      <c r="U280" s="881"/>
      <c r="V280" s="881"/>
      <c r="W280" s="881">
        <f t="shared" si="60"/>
        <v>135885.62833333333</v>
      </c>
      <c r="X280" s="897"/>
      <c r="Y280" s="881"/>
      <c r="Z280" s="881"/>
      <c r="AA280" s="881"/>
      <c r="AB280" s="881"/>
      <c r="AC280" s="879"/>
      <c r="AD280" s="879"/>
      <c r="AE280" s="879"/>
    </row>
    <row r="281" spans="1:31">
      <c r="A281" s="879">
        <f t="shared" si="61"/>
        <v>267</v>
      </c>
      <c r="B281" s="893" t="s">
        <v>1886</v>
      </c>
      <c r="C281" s="893" t="s">
        <v>569</v>
      </c>
      <c r="D281" s="893" t="s">
        <v>2198</v>
      </c>
      <c r="E281" s="894" t="s">
        <v>570</v>
      </c>
      <c r="F281" s="895">
        <v>1310830.52</v>
      </c>
      <c r="G281" s="895">
        <v>112901.16</v>
      </c>
      <c r="H281" s="895">
        <v>225802.32</v>
      </c>
      <c r="I281" s="895">
        <v>338703.48</v>
      </c>
      <c r="J281" s="895">
        <v>451604.64</v>
      </c>
      <c r="K281" s="895">
        <v>564505.80000000005</v>
      </c>
      <c r="L281" s="895">
        <v>677406.93</v>
      </c>
      <c r="M281" s="895">
        <v>792460.29</v>
      </c>
      <c r="N281" s="895">
        <v>907513.65</v>
      </c>
      <c r="O281" s="895">
        <v>1022567.01</v>
      </c>
      <c r="P281" s="895">
        <v>1137620.3700000001</v>
      </c>
      <c r="Q281" s="895">
        <v>1252142.9099999999</v>
      </c>
      <c r="R281" s="895">
        <v>1366665.45</v>
      </c>
      <c r="S281" s="896">
        <f>((F281+R281)+((G281+H281+I281+J281+K281+L281+M281+N281+O281+P281+Q281)*2))/24</f>
        <v>735164.71208333329</v>
      </c>
      <c r="T281" s="879"/>
      <c r="U281" s="881"/>
      <c r="V281" s="881"/>
      <c r="W281" s="881">
        <f t="shared" si="60"/>
        <v>735164.71208333329</v>
      </c>
      <c r="X281" s="897"/>
      <c r="Y281" s="881"/>
      <c r="Z281" s="881"/>
      <c r="AA281" s="881"/>
      <c r="AB281" s="881"/>
      <c r="AC281" s="879"/>
      <c r="AD281" s="879"/>
      <c r="AE281" s="879"/>
    </row>
    <row r="282" spans="1:31">
      <c r="A282" s="879">
        <f t="shared" si="61"/>
        <v>268</v>
      </c>
      <c r="B282" s="893" t="s">
        <v>1853</v>
      </c>
      <c r="C282" s="893" t="s">
        <v>569</v>
      </c>
      <c r="D282" s="893" t="s">
        <v>2198</v>
      </c>
      <c r="E282" s="894" t="s">
        <v>570</v>
      </c>
      <c r="F282" s="895">
        <v>2124138.42</v>
      </c>
      <c r="G282" s="895">
        <v>207531.25</v>
      </c>
      <c r="H282" s="895">
        <v>415062.5</v>
      </c>
      <c r="I282" s="895">
        <v>622593.75</v>
      </c>
      <c r="J282" s="895">
        <v>819564.71</v>
      </c>
      <c r="K282" s="895">
        <v>1032104.55</v>
      </c>
      <c r="L282" s="895">
        <v>1237707.49</v>
      </c>
      <c r="M282" s="895">
        <v>1440528.38</v>
      </c>
      <c r="N282" s="895">
        <v>1520166.01</v>
      </c>
      <c r="O282" s="895">
        <v>1711331.6</v>
      </c>
      <c r="P282" s="895">
        <v>1902497.19</v>
      </c>
      <c r="Q282" s="895">
        <v>2093662.78</v>
      </c>
      <c r="R282" s="895">
        <v>2284828.37</v>
      </c>
      <c r="S282" s="896">
        <f t="shared" si="62"/>
        <v>1267269.4670833333</v>
      </c>
      <c r="T282" s="879"/>
      <c r="U282" s="881"/>
      <c r="V282" s="881"/>
      <c r="W282" s="881">
        <f t="shared" si="60"/>
        <v>1267269.4670833333</v>
      </c>
      <c r="X282" s="897"/>
      <c r="Y282" s="881"/>
      <c r="Z282" s="881"/>
      <c r="AA282" s="881"/>
      <c r="AB282" s="881"/>
      <c r="AC282" s="879"/>
      <c r="AD282" s="879"/>
      <c r="AE282" s="879"/>
    </row>
    <row r="283" spans="1:31">
      <c r="A283" s="879">
        <f t="shared" si="61"/>
        <v>269</v>
      </c>
      <c r="B283" s="893" t="s">
        <v>1850</v>
      </c>
      <c r="C283" s="893" t="s">
        <v>569</v>
      </c>
      <c r="D283" s="893" t="s">
        <v>2199</v>
      </c>
      <c r="E283" s="894" t="s">
        <v>570</v>
      </c>
      <c r="F283" s="895">
        <v>888.22</v>
      </c>
      <c r="G283" s="895">
        <v>0</v>
      </c>
      <c r="H283" s="895">
        <v>72.8</v>
      </c>
      <c r="I283" s="895">
        <v>107.41</v>
      </c>
      <c r="J283" s="895">
        <v>107.41</v>
      </c>
      <c r="K283" s="895">
        <v>107.41</v>
      </c>
      <c r="L283" s="895">
        <v>107.41</v>
      </c>
      <c r="M283" s="895">
        <v>107.41</v>
      </c>
      <c r="N283" s="895">
        <v>107.41</v>
      </c>
      <c r="O283" s="895">
        <v>107.41</v>
      </c>
      <c r="P283" s="895">
        <v>107.41</v>
      </c>
      <c r="Q283" s="895">
        <v>542.76</v>
      </c>
      <c r="R283" s="895">
        <v>640.16</v>
      </c>
      <c r="S283" s="896">
        <f t="shared" si="62"/>
        <v>186.58583333333331</v>
      </c>
      <c r="T283" s="879"/>
      <c r="U283" s="881"/>
      <c r="V283" s="881"/>
      <c r="W283" s="881">
        <f t="shared" si="60"/>
        <v>186.58583333333331</v>
      </c>
      <c r="X283" s="897"/>
      <c r="Y283" s="881"/>
      <c r="Z283" s="881"/>
      <c r="AA283" s="881"/>
      <c r="AB283" s="881"/>
      <c r="AC283" s="879"/>
      <c r="AD283" s="879"/>
      <c r="AE283" s="879"/>
    </row>
    <row r="284" spans="1:31">
      <c r="A284" s="879">
        <f t="shared" si="61"/>
        <v>270</v>
      </c>
      <c r="B284" s="893" t="s">
        <v>1886</v>
      </c>
      <c r="C284" s="893" t="s">
        <v>569</v>
      </c>
      <c r="D284" s="893" t="s">
        <v>2199</v>
      </c>
      <c r="E284" s="894" t="s">
        <v>570</v>
      </c>
      <c r="F284" s="895">
        <v>25303.75</v>
      </c>
      <c r="G284" s="895">
        <v>275</v>
      </c>
      <c r="H284" s="895">
        <v>1110.3900000000001</v>
      </c>
      <c r="I284" s="895">
        <v>1541.1</v>
      </c>
      <c r="J284" s="895">
        <v>1953.84</v>
      </c>
      <c r="K284" s="895">
        <v>9299.33</v>
      </c>
      <c r="L284" s="895">
        <v>9576.85</v>
      </c>
      <c r="M284" s="895">
        <v>9798.7800000000007</v>
      </c>
      <c r="N284" s="895">
        <v>9979.42</v>
      </c>
      <c r="O284" s="895">
        <v>10182.200000000001</v>
      </c>
      <c r="P284" s="895">
        <v>10301.709999999999</v>
      </c>
      <c r="Q284" s="895">
        <v>10754.14</v>
      </c>
      <c r="R284" s="895">
        <v>11061.21</v>
      </c>
      <c r="S284" s="896">
        <f t="shared" si="62"/>
        <v>7746.27</v>
      </c>
      <c r="T284" s="879"/>
      <c r="U284" s="881"/>
      <c r="V284" s="881"/>
      <c r="W284" s="881">
        <f t="shared" si="60"/>
        <v>7746.27</v>
      </c>
      <c r="X284" s="897"/>
      <c r="Y284" s="881"/>
      <c r="Z284" s="881"/>
      <c r="AA284" s="881"/>
      <c r="AB284" s="881"/>
      <c r="AC284" s="879"/>
      <c r="AD284" s="879"/>
      <c r="AE284" s="879"/>
    </row>
    <row r="285" spans="1:31">
      <c r="A285" s="879">
        <f t="shared" si="61"/>
        <v>271</v>
      </c>
      <c r="B285" s="893" t="s">
        <v>1853</v>
      </c>
      <c r="C285" s="893" t="s">
        <v>569</v>
      </c>
      <c r="D285" s="893" t="s">
        <v>2199</v>
      </c>
      <c r="E285" s="894" t="s">
        <v>570</v>
      </c>
      <c r="F285" s="895">
        <v>91659.37</v>
      </c>
      <c r="G285" s="895">
        <v>11878.57</v>
      </c>
      <c r="H285" s="895">
        <v>16903.150000000001</v>
      </c>
      <c r="I285" s="895">
        <v>37004.53</v>
      </c>
      <c r="J285" s="895">
        <v>44314.05</v>
      </c>
      <c r="K285" s="895">
        <v>46010.95</v>
      </c>
      <c r="L285" s="895">
        <v>47734.18</v>
      </c>
      <c r="M285" s="895">
        <v>47530.82</v>
      </c>
      <c r="N285" s="895">
        <v>75201.23</v>
      </c>
      <c r="O285" s="895">
        <v>75951.06</v>
      </c>
      <c r="P285" s="895">
        <v>76710.44</v>
      </c>
      <c r="Q285" s="895">
        <v>77436.100000000006</v>
      </c>
      <c r="R285" s="895">
        <v>79122.11</v>
      </c>
      <c r="S285" s="896">
        <f t="shared" si="62"/>
        <v>53505.484999999993</v>
      </c>
      <c r="T285" s="879"/>
      <c r="U285" s="881"/>
      <c r="V285" s="881"/>
      <c r="W285" s="881">
        <f t="shared" si="60"/>
        <v>53505.484999999993</v>
      </c>
      <c r="X285" s="897"/>
      <c r="Y285" s="881"/>
      <c r="Z285" s="881"/>
      <c r="AA285" s="881"/>
      <c r="AB285" s="881"/>
      <c r="AC285" s="879"/>
      <c r="AD285" s="879"/>
      <c r="AE285" s="879"/>
    </row>
    <row r="286" spans="1:31">
      <c r="A286" s="879">
        <f t="shared" si="61"/>
        <v>272</v>
      </c>
      <c r="B286" s="982" t="s">
        <v>389</v>
      </c>
      <c r="C286" s="982" t="s">
        <v>571</v>
      </c>
      <c r="D286" s="982" t="s">
        <v>389</v>
      </c>
      <c r="E286" s="977" t="s">
        <v>572</v>
      </c>
      <c r="F286" s="979">
        <v>2089762.22</v>
      </c>
      <c r="G286" s="979">
        <v>211533.78</v>
      </c>
      <c r="H286" s="979">
        <v>420032.08</v>
      </c>
      <c r="I286" s="979">
        <v>640876.53</v>
      </c>
      <c r="J286" s="979">
        <v>843451.4</v>
      </c>
      <c r="K286" s="979">
        <v>1017339.53</v>
      </c>
      <c r="L286" s="979">
        <v>1186862.9099999999</v>
      </c>
      <c r="M286" s="979">
        <v>1239648.44</v>
      </c>
      <c r="N286" s="979">
        <v>1429082.66</v>
      </c>
      <c r="O286" s="979">
        <v>1601150.82</v>
      </c>
      <c r="P286" s="979">
        <v>1756791.44</v>
      </c>
      <c r="Q286" s="979">
        <v>1915268.6</v>
      </c>
      <c r="R286" s="979">
        <v>2104822.19</v>
      </c>
      <c r="S286" s="978">
        <f>((F286+R286)+((G286+H286+I286+J286+K286+L286+M286+N286+O286+P286+Q286)*2))/24</f>
        <v>1196610.86625</v>
      </c>
      <c r="T286" s="879"/>
      <c r="U286" s="881"/>
      <c r="V286" s="881"/>
      <c r="W286" s="881">
        <f t="shared" si="60"/>
        <v>1196610.86625</v>
      </c>
      <c r="X286" s="897"/>
      <c r="Y286" s="881"/>
      <c r="Z286" s="881"/>
      <c r="AA286" s="881"/>
      <c r="AB286" s="881"/>
      <c r="AC286" s="879"/>
      <c r="AD286" s="879"/>
      <c r="AE286" s="879"/>
    </row>
    <row r="287" spans="1:31">
      <c r="A287" s="879">
        <f t="shared" si="61"/>
        <v>273</v>
      </c>
      <c r="B287" s="879"/>
      <c r="C287" s="879"/>
      <c r="D287" s="879"/>
      <c r="E287" s="918" t="s">
        <v>573</v>
      </c>
      <c r="F287" s="898">
        <f t="shared" ref="F287:S287" si="63">SUM(F272:F286)</f>
        <v>26839304.09</v>
      </c>
      <c r="G287" s="898">
        <f t="shared" si="63"/>
        <v>4048506.4399999995</v>
      </c>
      <c r="H287" s="898">
        <f t="shared" si="63"/>
        <v>7171586.5200000005</v>
      </c>
      <c r="I287" s="898">
        <f t="shared" si="63"/>
        <v>10072895.849999998</v>
      </c>
      <c r="J287" s="898">
        <f t="shared" si="63"/>
        <v>12100928.310000001</v>
      </c>
      <c r="K287" s="898">
        <f t="shared" si="63"/>
        <v>13614238.740000002</v>
      </c>
      <c r="L287" s="898">
        <f t="shared" si="63"/>
        <v>15016686.08</v>
      </c>
      <c r="M287" s="898">
        <f t="shared" si="63"/>
        <v>16176530.32</v>
      </c>
      <c r="N287" s="898">
        <f t="shared" si="63"/>
        <v>17343874.379999999</v>
      </c>
      <c r="O287" s="898">
        <f t="shared" si="63"/>
        <v>18668501.5</v>
      </c>
      <c r="P287" s="898">
        <f t="shared" si="63"/>
        <v>20313976.630000003</v>
      </c>
      <c r="Q287" s="898">
        <f t="shared" si="63"/>
        <v>22377569.130000006</v>
      </c>
      <c r="R287" s="898">
        <f t="shared" si="63"/>
        <v>25926655.559999999</v>
      </c>
      <c r="S287" s="899">
        <f t="shared" si="63"/>
        <v>15274022.810416669</v>
      </c>
      <c r="T287" s="879"/>
      <c r="U287" s="881"/>
      <c r="V287" s="881"/>
      <c r="W287" s="881"/>
      <c r="X287" s="897"/>
      <c r="Y287" s="881"/>
      <c r="Z287" s="881"/>
      <c r="AA287" s="881"/>
      <c r="AB287" s="881"/>
      <c r="AC287" s="879"/>
      <c r="AD287" s="879"/>
      <c r="AE287" s="879"/>
    </row>
    <row r="288" spans="1:31">
      <c r="A288" s="879">
        <f t="shared" si="61"/>
        <v>274</v>
      </c>
      <c r="B288" s="879"/>
      <c r="C288" s="879"/>
      <c r="D288" s="879"/>
      <c r="E288" s="918"/>
      <c r="F288" s="895"/>
      <c r="G288" s="966"/>
      <c r="H288" s="942"/>
      <c r="I288" s="942"/>
      <c r="J288" s="943"/>
      <c r="K288" s="944"/>
      <c r="L288" s="945"/>
      <c r="M288" s="946"/>
      <c r="N288" s="947"/>
      <c r="O288" s="948"/>
      <c r="P288" s="949"/>
      <c r="Q288" s="967"/>
      <c r="R288" s="895"/>
      <c r="S288" s="896"/>
      <c r="T288" s="879"/>
      <c r="U288" s="881"/>
      <c r="V288" s="881"/>
      <c r="W288" s="881"/>
      <c r="X288" s="897"/>
      <c r="Y288" s="881"/>
      <c r="Z288" s="881"/>
      <c r="AA288" s="881"/>
      <c r="AB288" s="881"/>
      <c r="AC288" s="879"/>
      <c r="AD288" s="879"/>
      <c r="AE288" s="879"/>
    </row>
    <row r="289" spans="1:31">
      <c r="A289" s="879">
        <f t="shared" si="61"/>
        <v>275</v>
      </c>
      <c r="B289" s="893" t="s">
        <v>1850</v>
      </c>
      <c r="C289" s="893" t="s">
        <v>574</v>
      </c>
      <c r="D289" s="879"/>
      <c r="E289" s="894" t="s">
        <v>575</v>
      </c>
      <c r="F289" s="895">
        <v>25145321.359999999</v>
      </c>
      <c r="G289" s="895">
        <v>1807641.44</v>
      </c>
      <c r="H289" s="895">
        <v>3662870.53</v>
      </c>
      <c r="I289" s="895">
        <v>5500503.2699999996</v>
      </c>
      <c r="J289" s="895">
        <v>7345620.5999999996</v>
      </c>
      <c r="K289" s="895">
        <v>9204261.5399999991</v>
      </c>
      <c r="L289" s="895">
        <v>11070351.52</v>
      </c>
      <c r="M289" s="895">
        <v>12942828.140000001</v>
      </c>
      <c r="N289" s="895">
        <v>14826797.029999999</v>
      </c>
      <c r="O289" s="895">
        <v>16728621.310000001</v>
      </c>
      <c r="P289" s="895">
        <v>18641977.399999999</v>
      </c>
      <c r="Q289" s="895">
        <v>20568906.449999999</v>
      </c>
      <c r="R289" s="895">
        <v>22501731.329999998</v>
      </c>
      <c r="S289" s="896">
        <f>((F289+R289)+((G289+H289+I289+J289+K289+L289+M289+N289+O289+P289+Q289)*2))/24</f>
        <v>12176992.13125</v>
      </c>
      <c r="T289" s="879"/>
      <c r="U289" s="881"/>
      <c r="V289" s="881"/>
      <c r="W289" s="881">
        <f t="shared" ref="W289:W291" si="64">+S289</f>
        <v>12176992.13125</v>
      </c>
      <c r="X289" s="897"/>
      <c r="Y289" s="881"/>
      <c r="Z289" s="881"/>
      <c r="AA289" s="881"/>
      <c r="AB289" s="881"/>
      <c r="AC289" s="879"/>
      <c r="AD289" s="879"/>
      <c r="AE289" s="879"/>
    </row>
    <row r="290" spans="1:31">
      <c r="A290" s="879">
        <f t="shared" si="61"/>
        <v>276</v>
      </c>
      <c r="B290" s="893" t="s">
        <v>1850</v>
      </c>
      <c r="C290" s="893" t="s">
        <v>576</v>
      </c>
      <c r="D290" s="879"/>
      <c r="E290" s="894" t="s">
        <v>577</v>
      </c>
      <c r="F290" s="895">
        <v>2538010.06</v>
      </c>
      <c r="G290" s="895">
        <v>243401.61</v>
      </c>
      <c r="H290" s="895">
        <v>489696.84</v>
      </c>
      <c r="I290" s="895">
        <v>699331.25</v>
      </c>
      <c r="J290" s="895">
        <v>936229.3</v>
      </c>
      <c r="K290" s="895">
        <v>1172861.54</v>
      </c>
      <c r="L290" s="895">
        <v>1409534.14</v>
      </c>
      <c r="M290" s="895">
        <v>1630631.32</v>
      </c>
      <c r="N290" s="895">
        <v>1851728.5</v>
      </c>
      <c r="O290" s="895">
        <v>2072825.68</v>
      </c>
      <c r="P290" s="895">
        <v>2294485.88</v>
      </c>
      <c r="Q290" s="895">
        <v>2515583.06</v>
      </c>
      <c r="R290" s="895">
        <v>2736728</v>
      </c>
      <c r="S290" s="896">
        <f>((F290+R290)+((G290+H290+I290+J290+K290+L290+M290+N290+O290+P290+Q290)*2))/24</f>
        <v>1496139.8458333332</v>
      </c>
      <c r="T290" s="879"/>
      <c r="U290" s="881"/>
      <c r="V290" s="881"/>
      <c r="W290" s="881">
        <f t="shared" si="64"/>
        <v>1496139.8458333332</v>
      </c>
      <c r="X290" s="897"/>
      <c r="Y290" s="881"/>
      <c r="Z290" s="881"/>
      <c r="AA290" s="881"/>
      <c r="AB290" s="881"/>
      <c r="AC290" s="879"/>
      <c r="AD290" s="879"/>
      <c r="AE290" s="879"/>
    </row>
    <row r="291" spans="1:31">
      <c r="A291" s="879">
        <f t="shared" si="61"/>
        <v>277</v>
      </c>
      <c r="B291" s="893" t="s">
        <v>1850</v>
      </c>
      <c r="C291" s="960" t="s">
        <v>578</v>
      </c>
      <c r="D291" s="879"/>
      <c r="E291" s="894" t="s">
        <v>579</v>
      </c>
      <c r="F291" s="912">
        <v>0</v>
      </c>
      <c r="G291" s="912">
        <v>0</v>
      </c>
      <c r="H291" s="912">
        <v>0</v>
      </c>
      <c r="I291" s="912">
        <v>0</v>
      </c>
      <c r="J291" s="912">
        <v>0</v>
      </c>
      <c r="K291" s="912">
        <v>0</v>
      </c>
      <c r="L291" s="912">
        <v>0</v>
      </c>
      <c r="M291" s="912">
        <v>0</v>
      </c>
      <c r="N291" s="912">
        <v>0</v>
      </c>
      <c r="O291" s="912">
        <v>0</v>
      </c>
      <c r="P291" s="912">
        <v>0</v>
      </c>
      <c r="Q291" s="912">
        <v>0</v>
      </c>
      <c r="R291" s="912">
        <v>0</v>
      </c>
      <c r="S291" s="896">
        <f>((F291+R291)+((G291+H291+I291+J291+K291+L291+M291+N291+O291+P291+Q291)*2))/24</f>
        <v>0</v>
      </c>
      <c r="T291" s="879"/>
      <c r="U291" s="881"/>
      <c r="V291" s="881"/>
      <c r="W291" s="881">
        <f t="shared" si="64"/>
        <v>0</v>
      </c>
      <c r="X291" s="897"/>
      <c r="Y291" s="881"/>
      <c r="Z291" s="881"/>
      <c r="AA291" s="881"/>
      <c r="AB291" s="881"/>
      <c r="AC291" s="879"/>
      <c r="AD291" s="879"/>
      <c r="AE291" s="879"/>
    </row>
    <row r="292" spans="1:31">
      <c r="A292" s="879">
        <f t="shared" si="61"/>
        <v>278</v>
      </c>
      <c r="B292" s="879"/>
      <c r="C292" s="879"/>
      <c r="D292" s="879"/>
      <c r="E292" s="894" t="s">
        <v>580</v>
      </c>
      <c r="F292" s="898">
        <f>SUM(F289:F291)</f>
        <v>27683331.419999998</v>
      </c>
      <c r="G292" s="898">
        <f t="shared" ref="G292:S292" si="65">SUM(G289:G291)</f>
        <v>2051043.0499999998</v>
      </c>
      <c r="H292" s="898">
        <f t="shared" si="65"/>
        <v>4152567.3699999996</v>
      </c>
      <c r="I292" s="898">
        <f t="shared" si="65"/>
        <v>6199834.5199999996</v>
      </c>
      <c r="J292" s="898">
        <f t="shared" si="65"/>
        <v>8281849.8999999994</v>
      </c>
      <c r="K292" s="898">
        <f t="shared" si="65"/>
        <v>10377123.079999998</v>
      </c>
      <c r="L292" s="898">
        <f t="shared" si="65"/>
        <v>12479885.66</v>
      </c>
      <c r="M292" s="898">
        <f t="shared" si="65"/>
        <v>14573459.460000001</v>
      </c>
      <c r="N292" s="898">
        <f t="shared" si="65"/>
        <v>16678525.529999999</v>
      </c>
      <c r="O292" s="898">
        <f t="shared" si="65"/>
        <v>18801446.990000002</v>
      </c>
      <c r="P292" s="898">
        <f t="shared" si="65"/>
        <v>20936463.279999997</v>
      </c>
      <c r="Q292" s="898">
        <f t="shared" si="65"/>
        <v>23084489.509999998</v>
      </c>
      <c r="R292" s="898">
        <f t="shared" si="65"/>
        <v>25238459.329999998</v>
      </c>
      <c r="S292" s="899">
        <f t="shared" si="65"/>
        <v>13673131.977083333</v>
      </c>
      <c r="T292" s="879"/>
      <c r="U292" s="881"/>
      <c r="V292" s="881"/>
      <c r="W292" s="881"/>
      <c r="X292" s="897"/>
      <c r="Y292" s="881"/>
      <c r="Z292" s="881"/>
      <c r="AA292" s="881"/>
      <c r="AB292" s="881"/>
      <c r="AC292" s="879"/>
      <c r="AD292" s="879"/>
      <c r="AE292" s="879"/>
    </row>
    <row r="293" spans="1:31">
      <c r="A293" s="879">
        <f t="shared" si="61"/>
        <v>279</v>
      </c>
      <c r="B293" s="879"/>
      <c r="C293" s="879"/>
      <c r="D293" s="879"/>
      <c r="E293" s="918"/>
      <c r="F293" s="895"/>
      <c r="G293" s="966"/>
      <c r="H293" s="942"/>
      <c r="I293" s="942"/>
      <c r="J293" s="943"/>
      <c r="K293" s="944"/>
      <c r="L293" s="945"/>
      <c r="M293" s="946"/>
      <c r="N293" s="947"/>
      <c r="O293" s="948"/>
      <c r="P293" s="949"/>
      <c r="Q293" s="967"/>
      <c r="R293" s="895"/>
      <c r="S293" s="896"/>
      <c r="T293" s="879"/>
      <c r="U293" s="881"/>
      <c r="V293" s="881"/>
      <c r="W293" s="881"/>
      <c r="X293" s="897"/>
      <c r="Y293" s="881"/>
      <c r="Z293" s="881"/>
      <c r="AA293" s="881"/>
      <c r="AB293" s="881"/>
      <c r="AC293" s="879"/>
      <c r="AD293" s="879"/>
      <c r="AE293" s="879"/>
    </row>
    <row r="294" spans="1:31">
      <c r="A294" s="879">
        <f t="shared" si="61"/>
        <v>280</v>
      </c>
      <c r="B294" s="893" t="s">
        <v>1850</v>
      </c>
      <c r="C294" s="893" t="s">
        <v>581</v>
      </c>
      <c r="D294" s="879"/>
      <c r="E294" s="894" t="s">
        <v>582</v>
      </c>
      <c r="F294" s="895">
        <v>0</v>
      </c>
      <c r="G294" s="895">
        <v>0</v>
      </c>
      <c r="H294" s="895">
        <v>0</v>
      </c>
      <c r="I294" s="895">
        <v>0</v>
      </c>
      <c r="J294" s="895">
        <v>0</v>
      </c>
      <c r="K294" s="895">
        <v>0</v>
      </c>
      <c r="L294" s="895">
        <v>0</v>
      </c>
      <c r="M294" s="895">
        <v>0</v>
      </c>
      <c r="N294" s="895">
        <v>0</v>
      </c>
      <c r="O294" s="895">
        <v>0</v>
      </c>
      <c r="P294" s="895">
        <v>0</v>
      </c>
      <c r="Q294" s="895">
        <v>0</v>
      </c>
      <c r="R294" s="895">
        <v>0</v>
      </c>
      <c r="S294" s="896">
        <f>((F294+R294)+((G294+H294+I294+J294+K294+L294+M294+N294+O294+P294+Q294)*2))/24</f>
        <v>0</v>
      </c>
      <c r="T294" s="879"/>
      <c r="U294" s="881"/>
      <c r="V294" s="881"/>
      <c r="W294" s="881"/>
      <c r="X294" s="897"/>
      <c r="Y294" s="881"/>
      <c r="Z294" s="881"/>
      <c r="AA294" s="881"/>
      <c r="AB294" s="881"/>
      <c r="AC294" s="879"/>
      <c r="AD294" s="879"/>
      <c r="AE294" s="879"/>
    </row>
    <row r="295" spans="1:31">
      <c r="A295" s="879">
        <f t="shared" si="61"/>
        <v>281</v>
      </c>
      <c r="B295" s="893" t="s">
        <v>1850</v>
      </c>
      <c r="C295" s="893" t="s">
        <v>583</v>
      </c>
      <c r="D295" s="879"/>
      <c r="E295" s="894" t="s">
        <v>584</v>
      </c>
      <c r="F295" s="895">
        <v>11047666.279999999</v>
      </c>
      <c r="G295" s="895">
        <v>929093.54</v>
      </c>
      <c r="H295" s="895">
        <v>1857968.35</v>
      </c>
      <c r="I295" s="895">
        <v>2786843.12</v>
      </c>
      <c r="J295" s="895">
        <v>3715717.91</v>
      </c>
      <c r="K295" s="895">
        <v>4644373.96</v>
      </c>
      <c r="L295" s="895">
        <v>5573030.0099999998</v>
      </c>
      <c r="M295" s="895">
        <v>6501686.0499999998</v>
      </c>
      <c r="N295" s="895">
        <v>7430263.3399999999</v>
      </c>
      <c r="O295" s="895">
        <v>8358840.6399999997</v>
      </c>
      <c r="P295" s="895">
        <v>9287417.9199999999</v>
      </c>
      <c r="Q295" s="895">
        <v>10215995.220000001</v>
      </c>
      <c r="R295" s="895">
        <v>11144572.52</v>
      </c>
      <c r="S295" s="896">
        <f>((F295+R295)+((G295+H295+I295+J295+K295+L295+M295+N295+O295+P295+Q295)*2))/24</f>
        <v>6033112.455000001</v>
      </c>
      <c r="T295" s="879"/>
      <c r="U295" s="881"/>
      <c r="V295" s="881"/>
      <c r="W295" s="881">
        <f t="shared" ref="W295:W306" si="66">+S295</f>
        <v>6033112.455000001</v>
      </c>
      <c r="X295" s="897"/>
      <c r="Y295" s="881"/>
      <c r="Z295" s="881"/>
      <c r="AA295" s="881"/>
      <c r="AB295" s="881"/>
      <c r="AC295" s="879"/>
      <c r="AD295" s="879"/>
      <c r="AE295" s="879"/>
    </row>
    <row r="296" spans="1:31">
      <c r="A296" s="879">
        <f t="shared" si="61"/>
        <v>282</v>
      </c>
      <c r="B296" s="893" t="s">
        <v>1850</v>
      </c>
      <c r="C296" s="893" t="s">
        <v>583</v>
      </c>
      <c r="D296" s="893" t="s">
        <v>585</v>
      </c>
      <c r="E296" s="911" t="s">
        <v>586</v>
      </c>
      <c r="F296" s="895">
        <v>0</v>
      </c>
      <c r="G296" s="895">
        <v>0</v>
      </c>
      <c r="H296" s="895">
        <v>0</v>
      </c>
      <c r="I296" s="895">
        <v>0</v>
      </c>
      <c r="J296" s="895">
        <v>0</v>
      </c>
      <c r="K296" s="895">
        <v>0</v>
      </c>
      <c r="L296" s="895">
        <v>0</v>
      </c>
      <c r="M296" s="895">
        <v>0</v>
      </c>
      <c r="N296" s="895">
        <v>0</v>
      </c>
      <c r="O296" s="895">
        <v>0</v>
      </c>
      <c r="P296" s="895">
        <v>0</v>
      </c>
      <c r="Q296" s="895">
        <v>0</v>
      </c>
      <c r="R296" s="895">
        <v>0</v>
      </c>
      <c r="S296" s="896">
        <f>((F296+R296)+((G296+H296+I296+J296+K296+L296+M296+N296+O296+P296+Q296)*2))/24</f>
        <v>0</v>
      </c>
      <c r="T296" s="879"/>
      <c r="U296" s="881"/>
      <c r="V296" s="881"/>
      <c r="W296" s="881">
        <f t="shared" si="66"/>
        <v>0</v>
      </c>
      <c r="X296" s="897"/>
      <c r="Y296" s="881"/>
      <c r="Z296" s="881"/>
      <c r="AA296" s="881"/>
      <c r="AB296" s="881"/>
      <c r="AC296" s="879"/>
      <c r="AD296" s="879"/>
      <c r="AE296" s="879"/>
    </row>
    <row r="297" spans="1:31">
      <c r="A297" s="879">
        <f t="shared" si="61"/>
        <v>283</v>
      </c>
      <c r="B297" s="893" t="s">
        <v>1850</v>
      </c>
      <c r="C297" s="893" t="s">
        <v>587</v>
      </c>
      <c r="D297" s="893" t="s">
        <v>400</v>
      </c>
      <c r="E297" s="894" t="s">
        <v>325</v>
      </c>
      <c r="F297" s="895">
        <v>63368.05</v>
      </c>
      <c r="G297" s="895">
        <v>5381.94</v>
      </c>
      <c r="H297" s="895">
        <v>10416.66</v>
      </c>
      <c r="I297" s="895">
        <v>15798.61</v>
      </c>
      <c r="J297" s="895">
        <v>21006.94</v>
      </c>
      <c r="K297" s="895">
        <v>26388.880000000001</v>
      </c>
      <c r="L297" s="895">
        <v>31597.22</v>
      </c>
      <c r="M297" s="895">
        <v>36979.160000000003</v>
      </c>
      <c r="N297" s="895">
        <v>42361.1</v>
      </c>
      <c r="O297" s="895">
        <v>47569.440000000002</v>
      </c>
      <c r="P297" s="895">
        <v>52951.38</v>
      </c>
      <c r="Q297" s="895">
        <v>58159.71</v>
      </c>
      <c r="R297" s="895">
        <v>63541.66</v>
      </c>
      <c r="S297" s="896">
        <f>((F297+R297)+((G297+H297+I297+J297+K297+L297+M297+N297+O297+P297+Q297)*2))/24</f>
        <v>34338.824583333335</v>
      </c>
      <c r="T297" s="879"/>
      <c r="U297" s="881"/>
      <c r="V297" s="881"/>
      <c r="W297" s="881">
        <f t="shared" si="66"/>
        <v>34338.824583333335</v>
      </c>
      <c r="X297" s="897"/>
      <c r="Y297" s="881"/>
      <c r="Z297" s="881"/>
      <c r="AA297" s="881"/>
      <c r="AB297" s="881"/>
      <c r="AC297" s="879"/>
      <c r="AD297" s="879"/>
      <c r="AE297" s="879"/>
    </row>
    <row r="298" spans="1:31">
      <c r="A298" s="879">
        <f t="shared" si="61"/>
        <v>284</v>
      </c>
      <c r="B298" s="893" t="s">
        <v>1886</v>
      </c>
      <c r="C298" s="893" t="s">
        <v>587</v>
      </c>
      <c r="D298" s="893" t="s">
        <v>2200</v>
      </c>
      <c r="E298" s="894" t="s">
        <v>325</v>
      </c>
      <c r="F298" s="895">
        <v>370.86</v>
      </c>
      <c r="G298" s="895">
        <v>8.5299999999999994</v>
      </c>
      <c r="H298" s="895">
        <v>21.67</v>
      </c>
      <c r="I298" s="895">
        <v>58.07</v>
      </c>
      <c r="J298" s="895">
        <v>80.209999999999994</v>
      </c>
      <c r="K298" s="895">
        <v>106.5</v>
      </c>
      <c r="L298" s="895">
        <v>147.16</v>
      </c>
      <c r="M298" s="895">
        <v>184.46</v>
      </c>
      <c r="N298" s="895">
        <v>218.63</v>
      </c>
      <c r="O298" s="895">
        <v>264.74</v>
      </c>
      <c r="P298" s="895">
        <v>305.95999999999998</v>
      </c>
      <c r="Q298" s="895">
        <v>356.79</v>
      </c>
      <c r="R298" s="895">
        <v>743.87</v>
      </c>
      <c r="S298" s="896">
        <f t="shared" ref="S298:S303" si="67">((F298+R298)+((G298+H298+I298+J298+K298+L298+M298+N298+O298+P298+Q298)*2))/24</f>
        <v>192.50708333333333</v>
      </c>
      <c r="T298" s="879"/>
      <c r="U298" s="881"/>
      <c r="V298" s="881"/>
      <c r="W298" s="881">
        <f t="shared" si="66"/>
        <v>192.50708333333333</v>
      </c>
      <c r="X298" s="897"/>
      <c r="Y298" s="881"/>
      <c r="Z298" s="881"/>
      <c r="AA298" s="881"/>
      <c r="AB298" s="881"/>
      <c r="AC298" s="879"/>
      <c r="AD298" s="879"/>
      <c r="AE298" s="879"/>
    </row>
    <row r="299" spans="1:31">
      <c r="A299" s="879">
        <f t="shared" si="61"/>
        <v>285</v>
      </c>
      <c r="B299" s="893" t="s">
        <v>1886</v>
      </c>
      <c r="C299" s="893" t="s">
        <v>587</v>
      </c>
      <c r="D299" s="893" t="s">
        <v>2201</v>
      </c>
      <c r="E299" s="894" t="s">
        <v>325</v>
      </c>
      <c r="F299" s="895">
        <v>111998.63</v>
      </c>
      <c r="G299" s="895">
        <v>20044.36</v>
      </c>
      <c r="H299" s="895">
        <v>48044.58</v>
      </c>
      <c r="I299" s="895">
        <v>85247.93</v>
      </c>
      <c r="J299" s="895">
        <v>126966.89</v>
      </c>
      <c r="K299" s="895">
        <v>170839.24</v>
      </c>
      <c r="L299" s="895">
        <v>214725.33</v>
      </c>
      <c r="M299" s="895">
        <v>226278.06</v>
      </c>
      <c r="N299" s="895">
        <v>264134.94</v>
      </c>
      <c r="O299" s="895">
        <v>299476.40999999997</v>
      </c>
      <c r="P299" s="895">
        <v>336069.36</v>
      </c>
      <c r="Q299" s="895">
        <v>348396.84</v>
      </c>
      <c r="R299" s="895">
        <v>361237.08</v>
      </c>
      <c r="S299" s="896">
        <f t="shared" si="67"/>
        <v>198070.14958333329</v>
      </c>
      <c r="T299" s="879"/>
      <c r="U299" s="881"/>
      <c r="V299" s="881"/>
      <c r="W299" s="881">
        <f t="shared" si="66"/>
        <v>198070.14958333329</v>
      </c>
      <c r="X299" s="897"/>
      <c r="Y299" s="881"/>
      <c r="Z299" s="881"/>
      <c r="AA299" s="881"/>
      <c r="AB299" s="881"/>
      <c r="AC299" s="879"/>
      <c r="AD299" s="879"/>
      <c r="AE299" s="879"/>
    </row>
    <row r="300" spans="1:31">
      <c r="A300" s="879">
        <f t="shared" si="61"/>
        <v>286</v>
      </c>
      <c r="B300" s="893" t="s">
        <v>1886</v>
      </c>
      <c r="C300" s="893" t="s">
        <v>587</v>
      </c>
      <c r="D300" s="893" t="s">
        <v>2202</v>
      </c>
      <c r="E300" s="894" t="s">
        <v>325</v>
      </c>
      <c r="F300" s="895">
        <v>25309.56</v>
      </c>
      <c r="G300" s="895">
        <v>0</v>
      </c>
      <c r="H300" s="895">
        <v>0</v>
      </c>
      <c r="I300" s="895">
        <v>0</v>
      </c>
      <c r="J300" s="895">
        <v>0</v>
      </c>
      <c r="K300" s="895">
        <v>0</v>
      </c>
      <c r="L300" s="895">
        <v>0</v>
      </c>
      <c r="M300" s="895">
        <v>0</v>
      </c>
      <c r="N300" s="895">
        <v>0</v>
      </c>
      <c r="O300" s="895">
        <v>0</v>
      </c>
      <c r="P300" s="895">
        <v>0</v>
      </c>
      <c r="Q300" s="895">
        <v>0</v>
      </c>
      <c r="R300" s="895">
        <v>0</v>
      </c>
      <c r="S300" s="896">
        <f t="shared" si="67"/>
        <v>1054.5650000000001</v>
      </c>
      <c r="T300" s="879"/>
      <c r="U300" s="881"/>
      <c r="V300" s="881"/>
      <c r="W300" s="881">
        <f t="shared" si="66"/>
        <v>1054.5650000000001</v>
      </c>
      <c r="X300" s="897"/>
      <c r="Y300" s="881"/>
      <c r="Z300" s="881"/>
      <c r="AA300" s="881"/>
      <c r="AB300" s="881"/>
      <c r="AC300" s="879"/>
      <c r="AD300" s="879"/>
      <c r="AE300" s="879"/>
    </row>
    <row r="301" spans="1:31">
      <c r="A301" s="879">
        <f t="shared" si="61"/>
        <v>287</v>
      </c>
      <c r="B301" s="893" t="s">
        <v>1886</v>
      </c>
      <c r="C301" s="893" t="s">
        <v>587</v>
      </c>
      <c r="D301" s="893" t="s">
        <v>603</v>
      </c>
      <c r="E301" s="894" t="s">
        <v>325</v>
      </c>
      <c r="F301" s="895">
        <v>526.9</v>
      </c>
      <c r="G301" s="895">
        <v>0</v>
      </c>
      <c r="H301" s="895">
        <v>0</v>
      </c>
      <c r="I301" s="895">
        <v>0</v>
      </c>
      <c r="J301" s="895">
        <v>0</v>
      </c>
      <c r="K301" s="895">
        <v>0</v>
      </c>
      <c r="L301" s="895">
        <v>0</v>
      </c>
      <c r="M301" s="895">
        <v>0</v>
      </c>
      <c r="N301" s="895">
        <v>0</v>
      </c>
      <c r="O301" s="895">
        <v>0</v>
      </c>
      <c r="P301" s="895">
        <v>0</v>
      </c>
      <c r="Q301" s="895">
        <v>0</v>
      </c>
      <c r="R301" s="895">
        <v>0</v>
      </c>
      <c r="S301" s="896">
        <f t="shared" si="67"/>
        <v>21.954166666666666</v>
      </c>
      <c r="T301" s="879"/>
      <c r="U301" s="881"/>
      <c r="V301" s="881"/>
      <c r="W301" s="881">
        <f t="shared" si="66"/>
        <v>21.954166666666666</v>
      </c>
      <c r="X301" s="897"/>
      <c r="Y301" s="881"/>
      <c r="Z301" s="881"/>
      <c r="AA301" s="881"/>
      <c r="AB301" s="881"/>
      <c r="AC301" s="879"/>
      <c r="AD301" s="879"/>
      <c r="AE301" s="879"/>
    </row>
    <row r="302" spans="1:31">
      <c r="A302" s="879">
        <f t="shared" si="61"/>
        <v>288</v>
      </c>
      <c r="B302" s="893" t="s">
        <v>1853</v>
      </c>
      <c r="C302" s="893" t="s">
        <v>587</v>
      </c>
      <c r="D302" s="893" t="s">
        <v>2200</v>
      </c>
      <c r="E302" s="894" t="s">
        <v>325</v>
      </c>
      <c r="F302" s="895">
        <v>1764.95</v>
      </c>
      <c r="G302" s="895">
        <v>17.88</v>
      </c>
      <c r="H302" s="895">
        <v>82.65</v>
      </c>
      <c r="I302" s="895">
        <v>166.99</v>
      </c>
      <c r="J302" s="895">
        <v>281.70999999999998</v>
      </c>
      <c r="K302" s="895">
        <v>413.7</v>
      </c>
      <c r="L302" s="895">
        <v>614.05999999999995</v>
      </c>
      <c r="M302" s="895">
        <v>779.59</v>
      </c>
      <c r="N302" s="895">
        <v>1007.99</v>
      </c>
      <c r="O302" s="895">
        <v>1326.78</v>
      </c>
      <c r="P302" s="895">
        <v>1523.41</v>
      </c>
      <c r="Q302" s="895">
        <v>1708.71</v>
      </c>
      <c r="R302" s="895">
        <v>3359.23</v>
      </c>
      <c r="S302" s="896">
        <f t="shared" si="67"/>
        <v>873.79666666666662</v>
      </c>
      <c r="T302" s="879"/>
      <c r="U302" s="881"/>
      <c r="V302" s="881"/>
      <c r="W302" s="881">
        <f t="shared" si="66"/>
        <v>873.79666666666662</v>
      </c>
      <c r="X302" s="897"/>
      <c r="Y302" s="881"/>
      <c r="Z302" s="881"/>
      <c r="AA302" s="881"/>
      <c r="AB302" s="881"/>
      <c r="AC302" s="879"/>
      <c r="AD302" s="879"/>
      <c r="AE302" s="879"/>
    </row>
    <row r="303" spans="1:31">
      <c r="A303" s="879">
        <f t="shared" si="61"/>
        <v>289</v>
      </c>
      <c r="B303" s="893" t="s">
        <v>1853</v>
      </c>
      <c r="C303" s="893" t="s">
        <v>587</v>
      </c>
      <c r="D303" s="893" t="s">
        <v>2201</v>
      </c>
      <c r="E303" s="894" t="s">
        <v>325</v>
      </c>
      <c r="F303" s="895">
        <v>24630.46</v>
      </c>
      <c r="G303" s="895">
        <v>5224.41</v>
      </c>
      <c r="H303" s="895">
        <v>23022.29</v>
      </c>
      <c r="I303" s="895">
        <v>48361.1</v>
      </c>
      <c r="J303" s="895">
        <v>80289.899999999994</v>
      </c>
      <c r="K303" s="895">
        <v>114130.47</v>
      </c>
      <c r="L303" s="895">
        <v>144575.93</v>
      </c>
      <c r="M303" s="895">
        <v>171789.02</v>
      </c>
      <c r="N303" s="895">
        <v>193454.48</v>
      </c>
      <c r="O303" s="895">
        <v>207755.14</v>
      </c>
      <c r="P303" s="895">
        <v>216764.56</v>
      </c>
      <c r="Q303" s="895">
        <v>222614.05</v>
      </c>
      <c r="R303" s="895">
        <v>224984.21</v>
      </c>
      <c r="S303" s="896">
        <f t="shared" si="67"/>
        <v>129399.05708333333</v>
      </c>
      <c r="T303" s="879"/>
      <c r="U303" s="881"/>
      <c r="V303" s="881"/>
      <c r="W303" s="881">
        <f t="shared" si="66"/>
        <v>129399.05708333333</v>
      </c>
      <c r="X303" s="897"/>
      <c r="Y303" s="881"/>
      <c r="Z303" s="881"/>
      <c r="AA303" s="881"/>
      <c r="AB303" s="881"/>
      <c r="AC303" s="879"/>
      <c r="AD303" s="879"/>
      <c r="AE303" s="879"/>
    </row>
    <row r="304" spans="1:31">
      <c r="A304" s="879">
        <f t="shared" si="61"/>
        <v>290</v>
      </c>
      <c r="B304" s="893" t="s">
        <v>1850</v>
      </c>
      <c r="C304" s="893" t="s">
        <v>587</v>
      </c>
      <c r="D304" s="893" t="s">
        <v>588</v>
      </c>
      <c r="E304" s="894" t="s">
        <v>589</v>
      </c>
      <c r="F304" s="895">
        <v>27310</v>
      </c>
      <c r="G304" s="895">
        <v>0</v>
      </c>
      <c r="H304" s="895">
        <v>0</v>
      </c>
      <c r="I304" s="895">
        <v>0</v>
      </c>
      <c r="J304" s="895">
        <v>0</v>
      </c>
      <c r="K304" s="895">
        <v>0</v>
      </c>
      <c r="L304" s="895">
        <v>0</v>
      </c>
      <c r="M304" s="895">
        <v>0</v>
      </c>
      <c r="N304" s="895">
        <v>0</v>
      </c>
      <c r="O304" s="895">
        <v>0</v>
      </c>
      <c r="P304" s="895">
        <v>0</v>
      </c>
      <c r="Q304" s="895">
        <v>0</v>
      </c>
      <c r="R304" s="895">
        <v>0</v>
      </c>
      <c r="S304" s="896">
        <f>((F304+R304)+((G304+H304+I304+J304+K304+L304+M304+N304+O304+P304+Q304)*2))/24</f>
        <v>1137.9166666666667</v>
      </c>
      <c r="T304" s="879"/>
      <c r="U304" s="881"/>
      <c r="V304" s="881"/>
      <c r="W304" s="881">
        <f t="shared" si="66"/>
        <v>1137.9166666666667</v>
      </c>
      <c r="X304" s="897"/>
      <c r="Y304" s="881"/>
      <c r="Z304" s="881"/>
      <c r="AA304" s="881"/>
      <c r="AB304" s="881"/>
      <c r="AC304" s="879"/>
      <c r="AD304" s="879"/>
      <c r="AE304" s="879"/>
    </row>
    <row r="305" spans="1:31">
      <c r="A305" s="879">
        <f t="shared" si="61"/>
        <v>291</v>
      </c>
      <c r="B305" s="893" t="s">
        <v>1850</v>
      </c>
      <c r="C305" s="893" t="s">
        <v>590</v>
      </c>
      <c r="D305" s="879"/>
      <c r="E305" s="894" t="s">
        <v>591</v>
      </c>
      <c r="F305" s="895">
        <v>172248.52</v>
      </c>
      <c r="G305" s="895">
        <v>14351.32</v>
      </c>
      <c r="H305" s="895">
        <v>28702.639999999999</v>
      </c>
      <c r="I305" s="895">
        <v>42872.84</v>
      </c>
      <c r="J305" s="895">
        <v>57212.84</v>
      </c>
      <c r="K305" s="895">
        <v>71552.84</v>
      </c>
      <c r="L305" s="895">
        <v>85892.84</v>
      </c>
      <c r="M305" s="895">
        <v>100232.84</v>
      </c>
      <c r="N305" s="895">
        <v>114572.84</v>
      </c>
      <c r="O305" s="895">
        <v>128912.84</v>
      </c>
      <c r="P305" s="895">
        <v>143252.84</v>
      </c>
      <c r="Q305" s="895">
        <v>157592.84</v>
      </c>
      <c r="R305" s="895">
        <v>171932.84</v>
      </c>
      <c r="S305" s="896">
        <f>((F305+R305)+((G305+H305+I305+J305+K305+L305+M305+N305+O305+P305+Q305)*2))/24</f>
        <v>93103.349999999977</v>
      </c>
      <c r="T305" s="879"/>
      <c r="U305" s="881"/>
      <c r="V305" s="881"/>
      <c r="W305" s="881">
        <f t="shared" si="66"/>
        <v>93103.349999999977</v>
      </c>
      <c r="X305" s="897"/>
      <c r="Y305" s="881"/>
      <c r="Z305" s="881"/>
      <c r="AA305" s="881"/>
      <c r="AB305" s="881"/>
      <c r="AC305" s="879"/>
      <c r="AD305" s="879"/>
      <c r="AE305" s="879"/>
    </row>
    <row r="306" spans="1:31">
      <c r="A306" s="879">
        <f t="shared" si="61"/>
        <v>292</v>
      </c>
      <c r="B306" s="893" t="s">
        <v>1850</v>
      </c>
      <c r="C306" s="893" t="s">
        <v>592</v>
      </c>
      <c r="D306" s="879"/>
      <c r="E306" s="894" t="s">
        <v>593</v>
      </c>
      <c r="F306" s="912">
        <v>40970.639999999999</v>
      </c>
      <c r="G306" s="912">
        <v>3414.22</v>
      </c>
      <c r="H306" s="912">
        <v>6828.44</v>
      </c>
      <c r="I306" s="912">
        <v>10242.66</v>
      </c>
      <c r="J306" s="912">
        <v>13656.88</v>
      </c>
      <c r="K306" s="912">
        <v>17071.099999999999</v>
      </c>
      <c r="L306" s="912">
        <v>20485.32</v>
      </c>
      <c r="M306" s="912">
        <v>23899.54</v>
      </c>
      <c r="N306" s="912">
        <v>27313.759999999998</v>
      </c>
      <c r="O306" s="912">
        <v>30727.98</v>
      </c>
      <c r="P306" s="912">
        <v>34142.199999999997</v>
      </c>
      <c r="Q306" s="912">
        <v>37556.42</v>
      </c>
      <c r="R306" s="912">
        <v>40970.639999999999</v>
      </c>
      <c r="S306" s="896">
        <f>((F306+R306)+((G306+H306+I306+J306+K306+L306+M306+N306+O306+P306+Q306)*2))/24</f>
        <v>22192.429999999997</v>
      </c>
      <c r="T306" s="879"/>
      <c r="U306" s="881"/>
      <c r="V306" s="881"/>
      <c r="W306" s="881">
        <f t="shared" si="66"/>
        <v>22192.429999999997</v>
      </c>
      <c r="X306" s="897"/>
      <c r="Y306" s="881"/>
      <c r="Z306" s="881"/>
      <c r="AA306" s="881"/>
      <c r="AB306" s="881"/>
      <c r="AC306" s="879"/>
      <c r="AD306" s="879"/>
      <c r="AE306" s="879"/>
    </row>
    <row r="307" spans="1:31">
      <c r="A307" s="879">
        <f t="shared" si="61"/>
        <v>293</v>
      </c>
      <c r="B307" s="879"/>
      <c r="C307" s="879"/>
      <c r="D307" s="879"/>
      <c r="E307" s="894" t="s">
        <v>594</v>
      </c>
      <c r="F307" s="898">
        <f t="shared" ref="F307:S307" si="68">SUM(F294:F306)</f>
        <v>11516164.850000001</v>
      </c>
      <c r="G307" s="898">
        <f t="shared" si="68"/>
        <v>977536.2</v>
      </c>
      <c r="H307" s="898">
        <f t="shared" si="68"/>
        <v>1975087.2799999998</v>
      </c>
      <c r="I307" s="898">
        <f t="shared" si="68"/>
        <v>2989591.3200000003</v>
      </c>
      <c r="J307" s="898">
        <f t="shared" si="68"/>
        <v>4015213.28</v>
      </c>
      <c r="K307" s="898">
        <f t="shared" si="68"/>
        <v>5044876.6899999995</v>
      </c>
      <c r="L307" s="898">
        <f t="shared" si="68"/>
        <v>6071067.8699999992</v>
      </c>
      <c r="M307" s="898">
        <f t="shared" si="68"/>
        <v>7061828.7199999988</v>
      </c>
      <c r="N307" s="898">
        <f t="shared" si="68"/>
        <v>8073327.0800000001</v>
      </c>
      <c r="O307" s="898">
        <f t="shared" si="68"/>
        <v>9074873.9700000007</v>
      </c>
      <c r="P307" s="898">
        <f t="shared" si="68"/>
        <v>10072427.630000001</v>
      </c>
      <c r="Q307" s="898">
        <f t="shared" si="68"/>
        <v>11042380.580000002</v>
      </c>
      <c r="R307" s="898">
        <f t="shared" si="68"/>
        <v>12011342.050000001</v>
      </c>
      <c r="S307" s="899">
        <f t="shared" si="68"/>
        <v>6513497.0058333334</v>
      </c>
      <c r="T307" s="879"/>
      <c r="U307" s="881"/>
      <c r="V307" s="881"/>
      <c r="W307" s="881"/>
      <c r="X307" s="897"/>
      <c r="Y307" s="881"/>
      <c r="Z307" s="881"/>
      <c r="AA307" s="881"/>
      <c r="AB307" s="881"/>
      <c r="AC307" s="879"/>
      <c r="AD307" s="879"/>
      <c r="AE307" s="879"/>
    </row>
    <row r="308" spans="1:31">
      <c r="A308" s="879">
        <f t="shared" si="61"/>
        <v>294</v>
      </c>
      <c r="B308" s="879"/>
      <c r="C308" s="879"/>
      <c r="D308" s="879"/>
      <c r="E308" s="894"/>
      <c r="F308" s="895"/>
      <c r="G308" s="966"/>
      <c r="H308" s="942"/>
      <c r="I308" s="942"/>
      <c r="J308" s="943"/>
      <c r="K308" s="944"/>
      <c r="L308" s="945"/>
      <c r="M308" s="946"/>
      <c r="N308" s="947"/>
      <c r="O308" s="948"/>
      <c r="P308" s="949"/>
      <c r="Q308" s="967"/>
      <c r="R308" s="895"/>
      <c r="S308" s="896"/>
      <c r="T308" s="879"/>
      <c r="U308" s="881"/>
      <c r="V308" s="881"/>
      <c r="W308" s="881"/>
      <c r="X308" s="897"/>
      <c r="Y308" s="881"/>
      <c r="Z308" s="881"/>
      <c r="AA308" s="881"/>
      <c r="AB308" s="881"/>
      <c r="AC308" s="879"/>
      <c r="AD308" s="879"/>
      <c r="AE308" s="879"/>
    </row>
    <row r="309" spans="1:31">
      <c r="A309" s="879">
        <f t="shared" si="61"/>
        <v>295</v>
      </c>
      <c r="B309" s="893" t="s">
        <v>1886</v>
      </c>
      <c r="C309" s="893" t="s">
        <v>595</v>
      </c>
      <c r="D309" s="893" t="s">
        <v>2203</v>
      </c>
      <c r="E309" s="894" t="s">
        <v>596</v>
      </c>
      <c r="F309" s="895">
        <v>1277644.1399999999</v>
      </c>
      <c r="G309" s="895">
        <v>611383.96</v>
      </c>
      <c r="H309" s="895">
        <v>1175772.43</v>
      </c>
      <c r="I309" s="895">
        <v>1660644.93</v>
      </c>
      <c r="J309" s="895">
        <v>1863488.57</v>
      </c>
      <c r="K309" s="895">
        <v>1682840.6</v>
      </c>
      <c r="L309" s="895">
        <v>1383577.68</v>
      </c>
      <c r="M309" s="895">
        <v>1159117.6100000001</v>
      </c>
      <c r="N309" s="895">
        <v>898792.31</v>
      </c>
      <c r="O309" s="895">
        <v>146002.89000000001</v>
      </c>
      <c r="P309" s="895">
        <v>232533.26</v>
      </c>
      <c r="Q309" s="895">
        <v>183707.22</v>
      </c>
      <c r="R309" s="895">
        <v>1123528.1100000001</v>
      </c>
      <c r="S309" s="896">
        <f t="shared" ref="S309:S320" si="69">((F309+R309)+((G309+H309+I309+J309+K309+L309+M309+N309+O309+P309+Q309)*2))/24</f>
        <v>1016537.2987500001</v>
      </c>
      <c r="T309" s="879"/>
      <c r="U309" s="881"/>
      <c r="V309" s="881"/>
      <c r="W309" s="881">
        <f t="shared" ref="W309:W320" si="70">+S309</f>
        <v>1016537.2987500001</v>
      </c>
      <c r="X309" s="897"/>
      <c r="Y309" s="881"/>
      <c r="Z309" s="881"/>
      <c r="AA309" s="881"/>
      <c r="AB309" s="881"/>
      <c r="AC309" s="879"/>
      <c r="AD309" s="879"/>
      <c r="AE309" s="879"/>
    </row>
    <row r="310" spans="1:31">
      <c r="A310" s="879">
        <f t="shared" si="61"/>
        <v>296</v>
      </c>
      <c r="B310" s="893" t="s">
        <v>1886</v>
      </c>
      <c r="C310" s="893" t="s">
        <v>595</v>
      </c>
      <c r="D310" s="893" t="s">
        <v>2204</v>
      </c>
      <c r="E310" s="894" t="s">
        <v>596</v>
      </c>
      <c r="F310" s="895">
        <v>57822.13</v>
      </c>
      <c r="G310" s="895">
        <v>116611.82</v>
      </c>
      <c r="H310" s="895">
        <v>184847.06</v>
      </c>
      <c r="I310" s="895">
        <v>289305.37</v>
      </c>
      <c r="J310" s="895">
        <v>292163.13</v>
      </c>
      <c r="K310" s="895">
        <v>254433.99</v>
      </c>
      <c r="L310" s="895">
        <v>190594.03</v>
      </c>
      <c r="M310" s="895">
        <v>153298.44</v>
      </c>
      <c r="N310" s="895">
        <v>94932.15</v>
      </c>
      <c r="O310" s="895">
        <v>15774.81</v>
      </c>
      <c r="P310" s="895">
        <v>20381.93</v>
      </c>
      <c r="Q310" s="895">
        <v>101372.38</v>
      </c>
      <c r="R310" s="895">
        <v>293644.71000000002</v>
      </c>
      <c r="S310" s="896">
        <f t="shared" si="69"/>
        <v>157454.04416666666</v>
      </c>
      <c r="T310" s="879"/>
      <c r="U310" s="881"/>
      <c r="V310" s="881"/>
      <c r="W310" s="881">
        <f t="shared" si="70"/>
        <v>157454.04416666666</v>
      </c>
      <c r="X310" s="897"/>
      <c r="Y310" s="881"/>
      <c r="Z310" s="881"/>
      <c r="AA310" s="881"/>
      <c r="AB310" s="881"/>
      <c r="AC310" s="879"/>
      <c r="AD310" s="879"/>
      <c r="AE310" s="879"/>
    </row>
    <row r="311" spans="1:31">
      <c r="A311" s="879">
        <f t="shared" si="61"/>
        <v>297</v>
      </c>
      <c r="B311" s="893" t="s">
        <v>1853</v>
      </c>
      <c r="C311" s="893" t="s">
        <v>595</v>
      </c>
      <c r="D311" s="893" t="s">
        <v>2203</v>
      </c>
      <c r="E311" s="894" t="s">
        <v>596</v>
      </c>
      <c r="F311" s="895">
        <v>1776728.66</v>
      </c>
      <c r="G311" s="895">
        <v>1829270.57</v>
      </c>
      <c r="H311" s="895">
        <v>2716225.01</v>
      </c>
      <c r="I311" s="895">
        <v>3651718.89</v>
      </c>
      <c r="J311" s="895">
        <v>3567839.24</v>
      </c>
      <c r="K311" s="895">
        <v>3150130.68</v>
      </c>
      <c r="L311" s="895">
        <v>2361895.2000000002</v>
      </c>
      <c r="M311" s="895">
        <v>1987238.56</v>
      </c>
      <c r="N311" s="895">
        <v>1260727.8999999999</v>
      </c>
      <c r="O311" s="895">
        <v>180625.52</v>
      </c>
      <c r="P311" s="895">
        <v>442062.8</v>
      </c>
      <c r="Q311" s="895">
        <v>482864.67</v>
      </c>
      <c r="R311" s="895">
        <v>3159842.45</v>
      </c>
      <c r="S311" s="896">
        <f t="shared" si="69"/>
        <v>2008240.3829166666</v>
      </c>
      <c r="T311" s="879"/>
      <c r="U311" s="881"/>
      <c r="V311" s="881"/>
      <c r="W311" s="881">
        <f t="shared" si="70"/>
        <v>2008240.3829166666</v>
      </c>
      <c r="X311" s="897"/>
      <c r="Y311" s="881"/>
      <c r="Z311" s="881"/>
      <c r="AA311" s="881"/>
      <c r="AB311" s="881"/>
      <c r="AC311" s="879"/>
      <c r="AD311" s="879"/>
      <c r="AE311" s="879"/>
    </row>
    <row r="312" spans="1:31">
      <c r="A312" s="879">
        <f t="shared" si="61"/>
        <v>298</v>
      </c>
      <c r="B312" s="893" t="s">
        <v>1850</v>
      </c>
      <c r="C312" s="893" t="s">
        <v>597</v>
      </c>
      <c r="D312" s="893" t="s">
        <v>2203</v>
      </c>
      <c r="E312" s="894" t="s">
        <v>598</v>
      </c>
      <c r="F312" s="895">
        <v>2808147</v>
      </c>
      <c r="G312" s="895">
        <v>1709.65</v>
      </c>
      <c r="H312" s="895">
        <v>-3888.11</v>
      </c>
      <c r="I312" s="895">
        <v>5850.03</v>
      </c>
      <c r="J312" s="895">
        <v>11975.27</v>
      </c>
      <c r="K312" s="895">
        <v>28194.76</v>
      </c>
      <c r="L312" s="895">
        <v>43957.39</v>
      </c>
      <c r="M312" s="895">
        <v>55390.21</v>
      </c>
      <c r="N312" s="895">
        <v>119175.8</v>
      </c>
      <c r="O312" s="895">
        <v>-3777.3700000000099</v>
      </c>
      <c r="P312" s="895">
        <v>-154315.26999999999</v>
      </c>
      <c r="Q312" s="895">
        <v>-59438.36</v>
      </c>
      <c r="R312" s="895">
        <v>-189152.84</v>
      </c>
      <c r="S312" s="896">
        <f t="shared" si="69"/>
        <v>112860.92333333334</v>
      </c>
      <c r="T312" s="879"/>
      <c r="U312" s="881"/>
      <c r="V312" s="881"/>
      <c r="W312" s="881">
        <f t="shared" si="70"/>
        <v>112860.92333333334</v>
      </c>
      <c r="X312" s="897"/>
      <c r="Y312" s="881"/>
      <c r="Z312" s="881"/>
      <c r="AA312" s="881"/>
      <c r="AB312" s="881"/>
      <c r="AC312" s="879"/>
      <c r="AD312" s="879"/>
      <c r="AE312" s="879"/>
    </row>
    <row r="313" spans="1:31">
      <c r="A313" s="879">
        <f t="shared" si="61"/>
        <v>299</v>
      </c>
      <c r="B313" s="893" t="s">
        <v>1886</v>
      </c>
      <c r="C313" s="893" t="s">
        <v>597</v>
      </c>
      <c r="D313" s="893" t="s">
        <v>2204</v>
      </c>
      <c r="E313" s="894" t="s">
        <v>598</v>
      </c>
      <c r="F313" s="895">
        <v>53160.83</v>
      </c>
      <c r="G313" s="895">
        <v>81.69</v>
      </c>
      <c r="H313" s="895">
        <v>-184.66</v>
      </c>
      <c r="I313" s="895">
        <v>318.58999999999997</v>
      </c>
      <c r="J313" s="895">
        <v>644.17999999999995</v>
      </c>
      <c r="K313" s="895">
        <v>1484.33</v>
      </c>
      <c r="L313" s="895">
        <v>2236.84</v>
      </c>
      <c r="M313" s="895">
        <v>2698.75</v>
      </c>
      <c r="N313" s="895">
        <v>5238.95</v>
      </c>
      <c r="O313" s="895">
        <v>-182.43</v>
      </c>
      <c r="P313" s="895">
        <v>-4662.41</v>
      </c>
      <c r="Q313" s="895">
        <v>-9039.4</v>
      </c>
      <c r="R313" s="895">
        <v>-12967.3</v>
      </c>
      <c r="S313" s="896">
        <f t="shared" si="69"/>
        <v>1560.9329166666666</v>
      </c>
      <c r="T313" s="879"/>
      <c r="U313" s="881"/>
      <c r="V313" s="881"/>
      <c r="W313" s="881">
        <f t="shared" si="70"/>
        <v>1560.9329166666666</v>
      </c>
      <c r="X313" s="897"/>
      <c r="Y313" s="881"/>
      <c r="Z313" s="881"/>
      <c r="AA313" s="881"/>
      <c r="AB313" s="881"/>
      <c r="AC313" s="879"/>
      <c r="AD313" s="879"/>
      <c r="AE313" s="879"/>
    </row>
    <row r="314" spans="1:31">
      <c r="A314" s="879">
        <f t="shared" si="61"/>
        <v>300</v>
      </c>
      <c r="B314" s="893" t="s">
        <v>1886</v>
      </c>
      <c r="C314" s="893" t="s">
        <v>599</v>
      </c>
      <c r="D314" s="893" t="s">
        <v>2203</v>
      </c>
      <c r="E314" s="894" t="s">
        <v>600</v>
      </c>
      <c r="F314" s="895">
        <v>5951.79000000004</v>
      </c>
      <c r="G314" s="895">
        <v>-11023.86</v>
      </c>
      <c r="H314" s="895">
        <v>-26589.3</v>
      </c>
      <c r="I314" s="895">
        <v>-140198.41</v>
      </c>
      <c r="J314" s="895">
        <v>-205819.78</v>
      </c>
      <c r="K314" s="895">
        <v>-261593.65</v>
      </c>
      <c r="L314" s="895">
        <v>-192586.61</v>
      </c>
      <c r="M314" s="895">
        <v>-224415.38</v>
      </c>
      <c r="N314" s="895">
        <v>-290080.90000000002</v>
      </c>
      <c r="O314" s="895">
        <v>195810.55</v>
      </c>
      <c r="P314" s="895">
        <v>107579.88</v>
      </c>
      <c r="Q314" s="895">
        <v>562739.39</v>
      </c>
      <c r="R314" s="895">
        <v>366912.14</v>
      </c>
      <c r="S314" s="896">
        <f t="shared" si="69"/>
        <v>-24978.842083333326</v>
      </c>
      <c r="T314" s="879"/>
      <c r="U314" s="881"/>
      <c r="V314" s="881"/>
      <c r="W314" s="881">
        <f t="shared" si="70"/>
        <v>-24978.842083333326</v>
      </c>
      <c r="X314" s="897"/>
      <c r="Y314" s="881"/>
      <c r="Z314" s="881"/>
      <c r="AA314" s="881"/>
      <c r="AB314" s="881"/>
      <c r="AC314" s="879"/>
      <c r="AD314" s="879"/>
      <c r="AE314" s="879"/>
    </row>
    <row r="315" spans="1:31">
      <c r="A315" s="879">
        <f t="shared" si="61"/>
        <v>301</v>
      </c>
      <c r="B315" s="893" t="s">
        <v>1886</v>
      </c>
      <c r="C315" s="893" t="s">
        <v>599</v>
      </c>
      <c r="D315" s="893" t="s">
        <v>2204</v>
      </c>
      <c r="E315" s="894" t="s">
        <v>600</v>
      </c>
      <c r="F315" s="895">
        <v>27110.42</v>
      </c>
      <c r="G315" s="895">
        <v>360.26</v>
      </c>
      <c r="H315" s="895">
        <v>720.49</v>
      </c>
      <c r="I315" s="895">
        <v>-30958.92</v>
      </c>
      <c r="J315" s="895">
        <v>-35866.379999999997</v>
      </c>
      <c r="K315" s="895">
        <v>-40773.86</v>
      </c>
      <c r="L315" s="895">
        <v>-25693.88</v>
      </c>
      <c r="M315" s="895">
        <v>-27345.13</v>
      </c>
      <c r="N315" s="895">
        <v>-28996.39</v>
      </c>
      <c r="O315" s="895">
        <v>14621.15</v>
      </c>
      <c r="P315" s="895">
        <v>18001.55</v>
      </c>
      <c r="Q315" s="895">
        <v>172438.23</v>
      </c>
      <c r="R315" s="895">
        <v>170613.11</v>
      </c>
      <c r="S315" s="896">
        <f t="shared" si="69"/>
        <v>9614.0737499999977</v>
      </c>
      <c r="T315" s="879"/>
      <c r="U315" s="881"/>
      <c r="V315" s="881"/>
      <c r="W315" s="881">
        <f t="shared" si="70"/>
        <v>9614.0737499999977</v>
      </c>
      <c r="X315" s="897"/>
      <c r="Y315" s="881"/>
      <c r="Z315" s="881"/>
      <c r="AA315" s="881"/>
      <c r="AB315" s="881"/>
      <c r="AC315" s="879"/>
      <c r="AD315" s="879"/>
      <c r="AE315" s="879"/>
    </row>
    <row r="316" spans="1:31">
      <c r="A316" s="879">
        <f t="shared" si="61"/>
        <v>302</v>
      </c>
      <c r="B316" s="893" t="s">
        <v>1853</v>
      </c>
      <c r="C316" s="893" t="s">
        <v>599</v>
      </c>
      <c r="D316" s="893" t="s">
        <v>2203</v>
      </c>
      <c r="E316" s="894" t="s">
        <v>600</v>
      </c>
      <c r="F316" s="895">
        <v>8276.7699999997894</v>
      </c>
      <c r="G316" s="895">
        <v>-32983.56</v>
      </c>
      <c r="H316" s="895">
        <v>-61425.599999999999</v>
      </c>
      <c r="I316" s="895">
        <v>-308292.99</v>
      </c>
      <c r="J316" s="895">
        <v>-394062.99</v>
      </c>
      <c r="K316" s="895">
        <v>-489680.48</v>
      </c>
      <c r="L316" s="895">
        <v>-328763.15999999997</v>
      </c>
      <c r="M316" s="895">
        <v>-384746.89</v>
      </c>
      <c r="N316" s="895">
        <v>-406893.87</v>
      </c>
      <c r="O316" s="895">
        <v>242244.37</v>
      </c>
      <c r="P316" s="895">
        <v>204517.27</v>
      </c>
      <c r="Q316" s="895">
        <v>1479130.7</v>
      </c>
      <c r="R316" s="895">
        <v>1031914.19</v>
      </c>
      <c r="S316" s="896">
        <f t="shared" si="69"/>
        <v>3261.5233333333258</v>
      </c>
      <c r="T316" s="879"/>
      <c r="U316" s="881"/>
      <c r="V316" s="881"/>
      <c r="W316" s="881">
        <f t="shared" si="70"/>
        <v>3261.5233333333258</v>
      </c>
      <c r="X316" s="897"/>
      <c r="Y316" s="881"/>
      <c r="Z316" s="881"/>
      <c r="AA316" s="881"/>
      <c r="AB316" s="881"/>
      <c r="AC316" s="879"/>
      <c r="AD316" s="879"/>
      <c r="AE316" s="879"/>
    </row>
    <row r="317" spans="1:31">
      <c r="A317" s="879">
        <f t="shared" si="61"/>
        <v>303</v>
      </c>
      <c r="B317" s="893" t="s">
        <v>1850</v>
      </c>
      <c r="C317" s="893" t="s">
        <v>601</v>
      </c>
      <c r="D317" s="879"/>
      <c r="E317" s="894" t="s">
        <v>602</v>
      </c>
      <c r="F317" s="895">
        <v>0</v>
      </c>
      <c r="G317" s="895">
        <v>0</v>
      </c>
      <c r="H317" s="895">
        <v>0</v>
      </c>
      <c r="I317" s="895">
        <v>0</v>
      </c>
      <c r="J317" s="895">
        <v>0</v>
      </c>
      <c r="K317" s="895">
        <v>0</v>
      </c>
      <c r="L317" s="895">
        <v>0</v>
      </c>
      <c r="M317" s="895">
        <v>0</v>
      </c>
      <c r="N317" s="895">
        <v>0</v>
      </c>
      <c r="O317" s="895">
        <v>0</v>
      </c>
      <c r="P317" s="895">
        <v>0</v>
      </c>
      <c r="Q317" s="895">
        <v>0</v>
      </c>
      <c r="R317" s="895">
        <v>0</v>
      </c>
      <c r="S317" s="896">
        <f t="shared" si="69"/>
        <v>0</v>
      </c>
      <c r="T317" s="879"/>
      <c r="U317" s="881"/>
      <c r="V317" s="881"/>
      <c r="W317" s="881">
        <f t="shared" si="70"/>
        <v>0</v>
      </c>
      <c r="X317" s="897"/>
      <c r="Y317" s="881"/>
      <c r="Z317" s="881"/>
      <c r="AA317" s="881"/>
      <c r="AB317" s="881"/>
      <c r="AC317" s="879"/>
      <c r="AD317" s="879"/>
      <c r="AE317" s="879"/>
    </row>
    <row r="318" spans="1:31">
      <c r="A318" s="879">
        <f t="shared" si="61"/>
        <v>304</v>
      </c>
      <c r="B318" s="893" t="s">
        <v>1850</v>
      </c>
      <c r="C318" s="893" t="s">
        <v>603</v>
      </c>
      <c r="D318" s="879"/>
      <c r="E318" s="894" t="s">
        <v>604</v>
      </c>
      <c r="F318" s="895">
        <v>0</v>
      </c>
      <c r="G318" s="895">
        <v>0</v>
      </c>
      <c r="H318" s="895">
        <v>0</v>
      </c>
      <c r="I318" s="895">
        <v>0</v>
      </c>
      <c r="J318" s="895">
        <v>0</v>
      </c>
      <c r="K318" s="895">
        <v>0</v>
      </c>
      <c r="L318" s="895">
        <v>0</v>
      </c>
      <c r="M318" s="895">
        <v>0</v>
      </c>
      <c r="N318" s="895">
        <v>0</v>
      </c>
      <c r="O318" s="895">
        <v>0</v>
      </c>
      <c r="P318" s="895">
        <v>0</v>
      </c>
      <c r="Q318" s="895">
        <v>0</v>
      </c>
      <c r="R318" s="895">
        <v>0</v>
      </c>
      <c r="S318" s="896">
        <f t="shared" si="69"/>
        <v>0</v>
      </c>
      <c r="T318" s="879"/>
      <c r="U318" s="881"/>
      <c r="V318" s="881"/>
      <c r="W318" s="881">
        <f t="shared" si="70"/>
        <v>0</v>
      </c>
      <c r="X318" s="897"/>
      <c r="Y318" s="881"/>
      <c r="Z318" s="881"/>
      <c r="AA318" s="881"/>
      <c r="AB318" s="881"/>
      <c r="AC318" s="879"/>
      <c r="AD318" s="879"/>
      <c r="AE318" s="879"/>
    </row>
    <row r="319" spans="1:31">
      <c r="A319" s="879">
        <f t="shared" si="61"/>
        <v>305</v>
      </c>
      <c r="B319" s="893" t="s">
        <v>1850</v>
      </c>
      <c r="C319" s="893" t="s">
        <v>605</v>
      </c>
      <c r="D319" s="879"/>
      <c r="E319" s="894" t="s">
        <v>606</v>
      </c>
      <c r="F319" s="895">
        <v>0</v>
      </c>
      <c r="G319" s="895">
        <v>0</v>
      </c>
      <c r="H319" s="895">
        <v>0</v>
      </c>
      <c r="I319" s="895">
        <v>0</v>
      </c>
      <c r="J319" s="895">
        <v>0</v>
      </c>
      <c r="K319" s="895">
        <v>0</v>
      </c>
      <c r="L319" s="895">
        <v>0</v>
      </c>
      <c r="M319" s="895">
        <v>0</v>
      </c>
      <c r="N319" s="895">
        <v>0</v>
      </c>
      <c r="O319" s="895">
        <v>0</v>
      </c>
      <c r="P319" s="895">
        <v>0</v>
      </c>
      <c r="Q319" s="895">
        <v>0</v>
      </c>
      <c r="R319" s="895">
        <v>0</v>
      </c>
      <c r="S319" s="896">
        <f t="shared" si="69"/>
        <v>0</v>
      </c>
      <c r="T319" s="879"/>
      <c r="U319" s="881"/>
      <c r="V319" s="881"/>
      <c r="W319" s="881">
        <f t="shared" si="70"/>
        <v>0</v>
      </c>
      <c r="X319" s="897"/>
      <c r="Y319" s="881"/>
      <c r="Z319" s="881"/>
      <c r="AA319" s="881"/>
      <c r="AB319" s="881"/>
      <c r="AC319" s="879"/>
      <c r="AD319" s="879"/>
      <c r="AE319" s="879"/>
    </row>
    <row r="320" spans="1:31">
      <c r="A320" s="879">
        <f t="shared" si="61"/>
        <v>306</v>
      </c>
      <c r="B320" s="893" t="s">
        <v>1850</v>
      </c>
      <c r="C320" s="893" t="s">
        <v>2205</v>
      </c>
      <c r="D320" s="879"/>
      <c r="E320" s="894" t="s">
        <v>607</v>
      </c>
      <c r="F320" s="912">
        <v>-52577</v>
      </c>
      <c r="G320" s="912">
        <v>-4126.08</v>
      </c>
      <c r="H320" s="912">
        <v>-8252.17</v>
      </c>
      <c r="I320" s="912">
        <v>-12378.25</v>
      </c>
      <c r="J320" s="912">
        <v>-16504.330000000002</v>
      </c>
      <c r="K320" s="912">
        <v>-20630.419999999998</v>
      </c>
      <c r="L320" s="912">
        <v>-24404</v>
      </c>
      <c r="M320" s="912">
        <v>-28471.33</v>
      </c>
      <c r="N320" s="912">
        <v>-32538.67</v>
      </c>
      <c r="O320" s="912">
        <v>-36606</v>
      </c>
      <c r="P320" s="912">
        <v>-40673.33</v>
      </c>
      <c r="Q320" s="912">
        <v>-44766.67</v>
      </c>
      <c r="R320" s="912">
        <v>-48834</v>
      </c>
      <c r="S320" s="896">
        <f t="shared" si="69"/>
        <v>-26671.395833333332</v>
      </c>
      <c r="T320" s="879"/>
      <c r="U320" s="881"/>
      <c r="V320" s="881"/>
      <c r="W320" s="881">
        <f t="shared" si="70"/>
        <v>-26671.395833333332</v>
      </c>
      <c r="X320" s="897"/>
      <c r="Y320" s="881"/>
      <c r="Z320" s="881"/>
      <c r="AA320" s="881"/>
      <c r="AB320" s="881"/>
      <c r="AC320" s="879"/>
      <c r="AD320" s="879"/>
      <c r="AE320" s="879"/>
    </row>
    <row r="321" spans="1:31">
      <c r="A321" s="879">
        <f t="shared" si="61"/>
        <v>307</v>
      </c>
      <c r="B321" s="879"/>
      <c r="C321" s="879"/>
      <c r="D321" s="879"/>
      <c r="E321" s="894" t="s">
        <v>608</v>
      </c>
      <c r="F321" s="898">
        <f t="shared" ref="F321:S321" si="71">SUM(F309:F320)</f>
        <v>5962264.7399999993</v>
      </c>
      <c r="G321" s="898">
        <f t="shared" si="71"/>
        <v>2511284.4499999997</v>
      </c>
      <c r="H321" s="898">
        <f t="shared" si="71"/>
        <v>3977225.1500000004</v>
      </c>
      <c r="I321" s="898">
        <f t="shared" si="71"/>
        <v>5116009.2399999993</v>
      </c>
      <c r="J321" s="898">
        <f t="shared" si="71"/>
        <v>5083856.9099999992</v>
      </c>
      <c r="K321" s="898">
        <f t="shared" si="71"/>
        <v>4304405.9499999993</v>
      </c>
      <c r="L321" s="898">
        <f t="shared" si="71"/>
        <v>3410813.49</v>
      </c>
      <c r="M321" s="898">
        <f t="shared" si="71"/>
        <v>2692764.8400000003</v>
      </c>
      <c r="N321" s="898">
        <f t="shared" si="71"/>
        <v>1620357.2800000003</v>
      </c>
      <c r="O321" s="898">
        <f t="shared" si="71"/>
        <v>754513.49</v>
      </c>
      <c r="P321" s="898">
        <f t="shared" si="71"/>
        <v>825425.68</v>
      </c>
      <c r="Q321" s="898">
        <f t="shared" si="71"/>
        <v>2869008.16</v>
      </c>
      <c r="R321" s="898">
        <f t="shared" si="71"/>
        <v>5895500.5700000003</v>
      </c>
      <c r="S321" s="899">
        <f t="shared" si="71"/>
        <v>3257878.9412499997</v>
      </c>
      <c r="T321" s="879"/>
      <c r="U321" s="881"/>
      <c r="V321" s="881"/>
      <c r="W321" s="881"/>
      <c r="X321" s="897"/>
      <c r="Y321" s="881"/>
      <c r="Z321" s="881"/>
      <c r="AA321" s="881"/>
      <c r="AB321" s="881"/>
      <c r="AC321" s="879"/>
      <c r="AD321" s="879"/>
      <c r="AE321" s="879"/>
    </row>
    <row r="322" spans="1:31">
      <c r="A322" s="879">
        <f t="shared" si="61"/>
        <v>308</v>
      </c>
      <c r="B322" s="879"/>
      <c r="C322" s="879"/>
      <c r="D322" s="879"/>
      <c r="E322" s="894"/>
      <c r="F322" s="895"/>
      <c r="G322" s="966"/>
      <c r="H322" s="942"/>
      <c r="I322" s="942"/>
      <c r="J322" s="943"/>
      <c r="K322" s="944"/>
      <c r="L322" s="945"/>
      <c r="M322" s="946"/>
      <c r="N322" s="947"/>
      <c r="O322" s="948"/>
      <c r="P322" s="949"/>
      <c r="Q322" s="967"/>
      <c r="R322" s="895"/>
      <c r="S322" s="896"/>
      <c r="T322" s="879"/>
      <c r="U322" s="881"/>
      <c r="V322" s="881"/>
      <c r="W322" s="881"/>
      <c r="X322" s="897"/>
      <c r="Y322" s="881"/>
      <c r="Z322" s="881"/>
      <c r="AA322" s="881"/>
      <c r="AB322" s="881"/>
      <c r="AC322" s="879"/>
      <c r="AD322" s="879"/>
      <c r="AE322" s="879"/>
    </row>
    <row r="323" spans="1:31">
      <c r="A323" s="879">
        <f t="shared" si="61"/>
        <v>309</v>
      </c>
      <c r="B323" s="879"/>
      <c r="C323" s="879"/>
      <c r="D323" s="879"/>
      <c r="E323" s="894"/>
      <c r="F323" s="895"/>
      <c r="G323" s="966"/>
      <c r="H323" s="942"/>
      <c r="I323" s="942"/>
      <c r="J323" s="943"/>
      <c r="K323" s="944"/>
      <c r="L323" s="945"/>
      <c r="M323" s="946"/>
      <c r="N323" s="947"/>
      <c r="O323" s="948"/>
      <c r="P323" s="949"/>
      <c r="Q323" s="967"/>
      <c r="R323" s="895"/>
      <c r="S323" s="896"/>
      <c r="T323" s="879"/>
      <c r="U323" s="881"/>
      <c r="V323" s="881"/>
      <c r="W323" s="881"/>
      <c r="X323" s="897"/>
      <c r="Y323" s="881"/>
      <c r="Z323" s="881"/>
      <c r="AA323" s="881"/>
      <c r="AB323" s="881"/>
      <c r="AC323" s="879"/>
      <c r="AD323" s="879"/>
      <c r="AE323" s="879"/>
    </row>
    <row r="324" spans="1:31">
      <c r="A324" s="879">
        <f t="shared" si="61"/>
        <v>310</v>
      </c>
      <c r="B324" s="893" t="s">
        <v>1850</v>
      </c>
      <c r="C324" s="893" t="s">
        <v>609</v>
      </c>
      <c r="D324" s="879"/>
      <c r="E324" s="894" t="s">
        <v>610</v>
      </c>
      <c r="F324" s="895">
        <v>0</v>
      </c>
      <c r="G324" s="895">
        <v>0</v>
      </c>
      <c r="H324" s="895">
        <v>0</v>
      </c>
      <c r="I324" s="895">
        <v>0</v>
      </c>
      <c r="J324" s="895">
        <v>0</v>
      </c>
      <c r="K324" s="895">
        <v>0</v>
      </c>
      <c r="L324" s="895">
        <v>0</v>
      </c>
      <c r="M324" s="895">
        <v>0</v>
      </c>
      <c r="N324" s="895">
        <v>0</v>
      </c>
      <c r="O324" s="895">
        <v>0</v>
      </c>
      <c r="P324" s="895">
        <v>0</v>
      </c>
      <c r="Q324" s="895">
        <v>0</v>
      </c>
      <c r="R324" s="895">
        <v>0</v>
      </c>
      <c r="S324" s="896">
        <f t="shared" ref="S324:S332" si="72">((F324+R324)+((G324+H324+I324+J324+K324+L324+M324+N324+O324+P324+Q324)*2))/24</f>
        <v>0</v>
      </c>
      <c r="T324" s="879"/>
      <c r="U324" s="881"/>
      <c r="V324" s="881"/>
      <c r="W324" s="881">
        <f t="shared" ref="W324:W331" si="73">+S324</f>
        <v>0</v>
      </c>
      <c r="X324" s="897"/>
      <c r="Y324" s="881"/>
      <c r="Z324" s="881"/>
      <c r="AA324" s="881"/>
      <c r="AB324" s="881"/>
      <c r="AC324" s="879"/>
      <c r="AD324" s="879"/>
      <c r="AE324" s="879"/>
    </row>
    <row r="325" spans="1:31">
      <c r="A325" s="879">
        <f t="shared" si="61"/>
        <v>311</v>
      </c>
      <c r="B325" s="893" t="s">
        <v>1850</v>
      </c>
      <c r="C325" s="893" t="s">
        <v>611</v>
      </c>
      <c r="D325" s="879"/>
      <c r="E325" s="894" t="s">
        <v>360</v>
      </c>
      <c r="F325" s="895">
        <v>0</v>
      </c>
      <c r="G325" s="895">
        <v>0</v>
      </c>
      <c r="H325" s="895">
        <v>0</v>
      </c>
      <c r="I325" s="895">
        <v>0</v>
      </c>
      <c r="J325" s="895">
        <v>0</v>
      </c>
      <c r="K325" s="895">
        <v>0</v>
      </c>
      <c r="L325" s="895">
        <v>0</v>
      </c>
      <c r="M325" s="895">
        <v>0</v>
      </c>
      <c r="N325" s="895">
        <v>0</v>
      </c>
      <c r="O325" s="895">
        <v>0</v>
      </c>
      <c r="P325" s="895">
        <v>0</v>
      </c>
      <c r="Q325" s="895">
        <v>0</v>
      </c>
      <c r="R325" s="895">
        <v>0</v>
      </c>
      <c r="S325" s="896">
        <f t="shared" si="72"/>
        <v>0</v>
      </c>
      <c r="T325" s="879"/>
      <c r="U325" s="881"/>
      <c r="V325" s="881"/>
      <c r="W325" s="881">
        <f t="shared" si="73"/>
        <v>0</v>
      </c>
      <c r="X325" s="897"/>
      <c r="Y325" s="881"/>
      <c r="Z325" s="881"/>
      <c r="AA325" s="881"/>
      <c r="AB325" s="881"/>
      <c r="AC325" s="879"/>
      <c r="AD325" s="879"/>
      <c r="AE325" s="879"/>
    </row>
    <row r="326" spans="1:31">
      <c r="A326" s="879">
        <f t="shared" si="61"/>
        <v>312</v>
      </c>
      <c r="B326" s="983" t="s">
        <v>389</v>
      </c>
      <c r="C326" s="983" t="s">
        <v>389</v>
      </c>
      <c r="D326" s="893" t="s">
        <v>612</v>
      </c>
      <c r="E326" s="894" t="s">
        <v>362</v>
      </c>
      <c r="F326" s="895">
        <v>263833.14</v>
      </c>
      <c r="G326" s="895">
        <v>14753.75</v>
      </c>
      <c r="H326" s="895">
        <v>43293.75</v>
      </c>
      <c r="I326" s="895">
        <v>60860.21</v>
      </c>
      <c r="J326" s="895">
        <v>74110.210000000006</v>
      </c>
      <c r="K326" s="895">
        <v>78050.210000000006</v>
      </c>
      <c r="L326" s="895">
        <v>82558.600000000006</v>
      </c>
      <c r="M326" s="895">
        <v>107911.98</v>
      </c>
      <c r="N326" s="895">
        <v>136956.31</v>
      </c>
      <c r="O326" s="895">
        <v>195295.73</v>
      </c>
      <c r="P326" s="895">
        <v>214414.6</v>
      </c>
      <c r="Q326" s="895">
        <v>224245.8</v>
      </c>
      <c r="R326" s="895">
        <v>232468.15</v>
      </c>
      <c r="S326" s="896">
        <f t="shared" si="72"/>
        <v>123383.48291666666</v>
      </c>
      <c r="T326" s="879"/>
      <c r="U326" s="881"/>
      <c r="V326" s="881"/>
      <c r="W326" s="881">
        <f t="shared" si="73"/>
        <v>123383.48291666666</v>
      </c>
      <c r="X326" s="897"/>
      <c r="Y326" s="881"/>
      <c r="Z326" s="881"/>
      <c r="AA326" s="881"/>
      <c r="AB326" s="881"/>
      <c r="AC326" s="879"/>
      <c r="AD326" s="879"/>
      <c r="AE326" s="879"/>
    </row>
    <row r="327" spans="1:31">
      <c r="A327" s="879">
        <f t="shared" si="61"/>
        <v>313</v>
      </c>
      <c r="B327" s="983" t="s">
        <v>389</v>
      </c>
      <c r="C327" s="983" t="s">
        <v>389</v>
      </c>
      <c r="D327" s="893" t="s">
        <v>613</v>
      </c>
      <c r="E327" s="894" t="s">
        <v>366</v>
      </c>
      <c r="F327" s="895">
        <v>275000</v>
      </c>
      <c r="G327" s="895">
        <v>0</v>
      </c>
      <c r="H327" s="895">
        <v>0</v>
      </c>
      <c r="I327" s="895">
        <v>39.04</v>
      </c>
      <c r="J327" s="895">
        <v>1138.45</v>
      </c>
      <c r="K327" s="895">
        <v>1138.45</v>
      </c>
      <c r="L327" s="895">
        <v>1138.45</v>
      </c>
      <c r="M327" s="895">
        <v>1183.79</v>
      </c>
      <c r="N327" s="895">
        <v>1183.79</v>
      </c>
      <c r="O327" s="895">
        <v>251183.79</v>
      </c>
      <c r="P327" s="895">
        <v>1001183.79</v>
      </c>
      <c r="Q327" s="895">
        <v>1001183.79</v>
      </c>
      <c r="R327" s="895">
        <v>1001183.79</v>
      </c>
      <c r="S327" s="896">
        <f t="shared" si="72"/>
        <v>241455.43625</v>
      </c>
      <c r="T327" s="879"/>
      <c r="U327" s="881"/>
      <c r="V327" s="881"/>
      <c r="W327" s="881">
        <f t="shared" si="73"/>
        <v>241455.43625</v>
      </c>
      <c r="X327" s="897"/>
      <c r="Y327" s="881"/>
      <c r="Z327" s="881"/>
      <c r="AA327" s="881"/>
      <c r="AB327" s="881"/>
      <c r="AC327" s="879"/>
      <c r="AD327" s="879"/>
      <c r="AE327" s="879"/>
    </row>
    <row r="328" spans="1:31">
      <c r="A328" s="879">
        <f t="shared" si="61"/>
        <v>314</v>
      </c>
      <c r="B328" s="983" t="s">
        <v>389</v>
      </c>
      <c r="C328" s="983" t="s">
        <v>389</v>
      </c>
      <c r="D328" s="893" t="s">
        <v>614</v>
      </c>
      <c r="E328" s="894" t="s">
        <v>615</v>
      </c>
      <c r="F328" s="895">
        <v>140881.34</v>
      </c>
      <c r="G328" s="895">
        <v>10696.89</v>
      </c>
      <c r="H328" s="895">
        <v>22607.64</v>
      </c>
      <c r="I328" s="895">
        <v>36018.39</v>
      </c>
      <c r="J328" s="895">
        <v>45929.14</v>
      </c>
      <c r="K328" s="895">
        <v>50839.89</v>
      </c>
      <c r="L328" s="895">
        <v>62856.41</v>
      </c>
      <c r="M328" s="895">
        <v>74025.3</v>
      </c>
      <c r="N328" s="895">
        <v>83998.75</v>
      </c>
      <c r="O328" s="895">
        <v>94998.41</v>
      </c>
      <c r="P328" s="895">
        <v>101488.85</v>
      </c>
      <c r="Q328" s="895">
        <v>112743.55</v>
      </c>
      <c r="R328" s="895">
        <v>128203.67</v>
      </c>
      <c r="S328" s="896">
        <f t="shared" si="72"/>
        <v>69228.810416666674</v>
      </c>
      <c r="T328" s="879"/>
      <c r="U328" s="881"/>
      <c r="V328" s="881"/>
      <c r="W328" s="881">
        <f t="shared" si="73"/>
        <v>69228.810416666674</v>
      </c>
      <c r="X328" s="897"/>
      <c r="Y328" s="881"/>
      <c r="Z328" s="881"/>
      <c r="AA328" s="881"/>
      <c r="AB328" s="881"/>
      <c r="AC328" s="879"/>
      <c r="AD328" s="879"/>
      <c r="AE328" s="879"/>
    </row>
    <row r="329" spans="1:31">
      <c r="A329" s="879">
        <f t="shared" si="61"/>
        <v>315</v>
      </c>
      <c r="B329" s="984" t="s">
        <v>389</v>
      </c>
      <c r="C329" s="984" t="s">
        <v>389</v>
      </c>
      <c r="D329" s="893" t="s">
        <v>616</v>
      </c>
      <c r="E329" s="894" t="s">
        <v>370</v>
      </c>
      <c r="F329" s="895">
        <v>213923.08</v>
      </c>
      <c r="G329" s="895">
        <v>0</v>
      </c>
      <c r="H329" s="895">
        <v>0</v>
      </c>
      <c r="I329" s="895">
        <v>631.73</v>
      </c>
      <c r="J329" s="895">
        <v>631.73</v>
      </c>
      <c r="K329" s="895">
        <v>631.73</v>
      </c>
      <c r="L329" s="895">
        <v>631.73</v>
      </c>
      <c r="M329" s="895">
        <v>816.73</v>
      </c>
      <c r="N329" s="895">
        <v>1126.73</v>
      </c>
      <c r="O329" s="895">
        <v>1126.73</v>
      </c>
      <c r="P329" s="895">
        <v>1126.73</v>
      </c>
      <c r="Q329" s="895">
        <v>1436.73</v>
      </c>
      <c r="R329" s="895">
        <v>1436.73</v>
      </c>
      <c r="S329" s="896">
        <f t="shared" si="72"/>
        <v>9653.3729166666672</v>
      </c>
      <c r="T329" s="879"/>
      <c r="U329" s="881"/>
      <c r="V329" s="881"/>
      <c r="W329" s="881">
        <f t="shared" si="73"/>
        <v>9653.3729166666672</v>
      </c>
      <c r="X329" s="897"/>
      <c r="Y329" s="881"/>
      <c r="Z329" s="881"/>
      <c r="AA329" s="881"/>
      <c r="AB329" s="881"/>
      <c r="AC329" s="879"/>
      <c r="AD329" s="879"/>
      <c r="AE329" s="879"/>
    </row>
    <row r="330" spans="1:31">
      <c r="A330" s="879">
        <f t="shared" si="61"/>
        <v>316</v>
      </c>
      <c r="B330" s="985" t="s">
        <v>389</v>
      </c>
      <c r="C330" s="985" t="s">
        <v>389</v>
      </c>
      <c r="D330" s="893" t="s">
        <v>617</v>
      </c>
      <c r="E330" s="894" t="s">
        <v>618</v>
      </c>
      <c r="F330" s="895">
        <v>0</v>
      </c>
      <c r="G330" s="895">
        <v>0</v>
      </c>
      <c r="H330" s="895">
        <v>0</v>
      </c>
      <c r="I330" s="895">
        <v>0</v>
      </c>
      <c r="J330" s="895">
        <v>0</v>
      </c>
      <c r="K330" s="895">
        <v>0</v>
      </c>
      <c r="L330" s="895">
        <v>0</v>
      </c>
      <c r="M330" s="895">
        <v>0</v>
      </c>
      <c r="N330" s="895">
        <v>0</v>
      </c>
      <c r="O330" s="895">
        <v>0</v>
      </c>
      <c r="P330" s="895">
        <v>0</v>
      </c>
      <c r="Q330" s="895">
        <v>0</v>
      </c>
      <c r="R330" s="895">
        <v>0</v>
      </c>
      <c r="S330" s="896">
        <f t="shared" si="72"/>
        <v>0</v>
      </c>
      <c r="T330" s="879"/>
      <c r="U330" s="881"/>
      <c r="V330" s="881"/>
      <c r="W330" s="881">
        <f t="shared" si="73"/>
        <v>0</v>
      </c>
      <c r="X330" s="897"/>
      <c r="Y330" s="881"/>
      <c r="Z330" s="881"/>
      <c r="AA330" s="881"/>
      <c r="AB330" s="881"/>
      <c r="AC330" s="879"/>
      <c r="AD330" s="879"/>
      <c r="AE330" s="879"/>
    </row>
    <row r="331" spans="1:31">
      <c r="A331" s="879">
        <f t="shared" si="61"/>
        <v>317</v>
      </c>
      <c r="B331" s="893" t="s">
        <v>389</v>
      </c>
      <c r="C331" s="893" t="s">
        <v>619</v>
      </c>
      <c r="D331" s="893" t="s">
        <v>617</v>
      </c>
      <c r="E331" s="986" t="s">
        <v>620</v>
      </c>
      <c r="F331" s="895">
        <v>0</v>
      </c>
      <c r="G331" s="895">
        <v>0</v>
      </c>
      <c r="H331" s="895">
        <v>0</v>
      </c>
      <c r="I331" s="895">
        <v>0</v>
      </c>
      <c r="J331" s="895">
        <v>0</v>
      </c>
      <c r="K331" s="895">
        <v>0</v>
      </c>
      <c r="L331" s="895">
        <v>0</v>
      </c>
      <c r="M331" s="895">
        <v>0</v>
      </c>
      <c r="N331" s="895">
        <v>0</v>
      </c>
      <c r="O331" s="895">
        <v>0</v>
      </c>
      <c r="P331" s="895">
        <v>0</v>
      </c>
      <c r="Q331" s="895">
        <v>0</v>
      </c>
      <c r="R331" s="895">
        <v>0</v>
      </c>
      <c r="S331" s="896">
        <f t="shared" si="72"/>
        <v>0</v>
      </c>
      <c r="T331" s="879"/>
      <c r="U331" s="881"/>
      <c r="V331" s="881"/>
      <c r="W331" s="881">
        <f t="shared" si="73"/>
        <v>0</v>
      </c>
      <c r="X331" s="897"/>
      <c r="Y331" s="881"/>
      <c r="Z331" s="881"/>
      <c r="AA331" s="881"/>
      <c r="AB331" s="881"/>
      <c r="AC331" s="879"/>
      <c r="AD331" s="879"/>
      <c r="AE331" s="879"/>
    </row>
    <row r="332" spans="1:31">
      <c r="A332" s="879">
        <f t="shared" si="61"/>
        <v>318</v>
      </c>
      <c r="B332" s="893" t="s">
        <v>1853</v>
      </c>
      <c r="C332" s="893" t="s">
        <v>621</v>
      </c>
      <c r="D332" s="893" t="s">
        <v>2198</v>
      </c>
      <c r="E332" s="894" t="s">
        <v>622</v>
      </c>
      <c r="F332" s="912">
        <v>2940.1</v>
      </c>
      <c r="G332" s="912">
        <v>0</v>
      </c>
      <c r="H332" s="912">
        <v>0</v>
      </c>
      <c r="I332" s="912">
        <v>0</v>
      </c>
      <c r="J332" s="912">
        <v>1582.18</v>
      </c>
      <c r="K332" s="912">
        <v>1582.18</v>
      </c>
      <c r="L332" s="912">
        <v>1582.18</v>
      </c>
      <c r="M332" s="912">
        <v>1582.18</v>
      </c>
      <c r="N332" s="912">
        <v>3164.36</v>
      </c>
      <c r="O332" s="912">
        <v>3164.36</v>
      </c>
      <c r="P332" s="912">
        <v>3164.36</v>
      </c>
      <c r="Q332" s="912">
        <v>3164.36</v>
      </c>
      <c r="R332" s="912">
        <v>3164.36</v>
      </c>
      <c r="S332" s="896">
        <f t="shared" si="72"/>
        <v>1836.5325</v>
      </c>
      <c r="T332" s="879"/>
      <c r="U332" s="881"/>
      <c r="V332" s="881"/>
      <c r="W332" s="881">
        <f>+S332</f>
        <v>1836.5325</v>
      </c>
      <c r="X332" s="897"/>
      <c r="Y332" s="881"/>
      <c r="Z332" s="881"/>
      <c r="AA332" s="881"/>
      <c r="AB332" s="881"/>
      <c r="AC332" s="879"/>
      <c r="AD332" s="879"/>
      <c r="AE332" s="879"/>
    </row>
    <row r="333" spans="1:31">
      <c r="A333" s="879">
        <f t="shared" si="61"/>
        <v>319</v>
      </c>
      <c r="B333" s="879"/>
      <c r="C333" s="879"/>
      <c r="D333" s="879"/>
      <c r="E333" s="894" t="s">
        <v>623</v>
      </c>
      <c r="F333" s="898">
        <f>SUM(F324:F332)</f>
        <v>896577.65999999992</v>
      </c>
      <c r="G333" s="898">
        <f t="shared" ref="G333:S333" si="74">SUM(G324:G332)</f>
        <v>25450.639999999999</v>
      </c>
      <c r="H333" s="898">
        <f t="shared" si="74"/>
        <v>65901.39</v>
      </c>
      <c r="I333" s="898">
        <f t="shared" si="74"/>
        <v>97549.37</v>
      </c>
      <c r="J333" s="898">
        <f t="shared" si="74"/>
        <v>123391.70999999999</v>
      </c>
      <c r="K333" s="898">
        <f t="shared" si="74"/>
        <v>132242.46</v>
      </c>
      <c r="L333" s="898">
        <f t="shared" si="74"/>
        <v>148767.37000000002</v>
      </c>
      <c r="M333" s="898">
        <f t="shared" si="74"/>
        <v>185519.98</v>
      </c>
      <c r="N333" s="898">
        <f t="shared" si="74"/>
        <v>226429.94</v>
      </c>
      <c r="O333" s="898">
        <f t="shared" si="74"/>
        <v>545769.02</v>
      </c>
      <c r="P333" s="898">
        <f t="shared" si="74"/>
        <v>1321378.3300000003</v>
      </c>
      <c r="Q333" s="898">
        <f t="shared" si="74"/>
        <v>1342774.2300000002</v>
      </c>
      <c r="R333" s="898">
        <f t="shared" si="74"/>
        <v>1366456.7</v>
      </c>
      <c r="S333" s="899">
        <f t="shared" si="74"/>
        <v>445557.63500000001</v>
      </c>
      <c r="T333" s="879"/>
      <c r="U333" s="881"/>
      <c r="V333" s="881"/>
      <c r="W333" s="881"/>
      <c r="X333" s="897"/>
      <c r="Y333" s="881"/>
      <c r="Z333" s="881"/>
      <c r="AA333" s="881"/>
      <c r="AB333" s="881"/>
      <c r="AC333" s="879"/>
      <c r="AD333" s="879"/>
      <c r="AE333" s="879"/>
    </row>
    <row r="334" spans="1:31">
      <c r="A334" s="879">
        <f t="shared" si="61"/>
        <v>320</v>
      </c>
      <c r="B334" s="879"/>
      <c r="C334" s="879"/>
      <c r="D334" s="879"/>
      <c r="E334" s="894"/>
      <c r="F334" s="895"/>
      <c r="G334" s="966"/>
      <c r="H334" s="942"/>
      <c r="I334" s="942"/>
      <c r="J334" s="943"/>
      <c r="K334" s="944"/>
      <c r="L334" s="945"/>
      <c r="M334" s="946"/>
      <c r="N334" s="947"/>
      <c r="O334" s="948"/>
      <c r="P334" s="949"/>
      <c r="Q334" s="967"/>
      <c r="R334" s="895"/>
      <c r="S334" s="896"/>
      <c r="T334" s="879"/>
      <c r="U334" s="881"/>
      <c r="V334" s="881"/>
      <c r="W334" s="881"/>
      <c r="X334" s="897"/>
      <c r="Y334" s="881"/>
      <c r="Z334" s="881"/>
      <c r="AA334" s="881"/>
      <c r="AB334" s="881"/>
      <c r="AC334" s="879"/>
      <c r="AD334" s="879"/>
      <c r="AE334" s="879"/>
    </row>
    <row r="335" spans="1:31">
      <c r="A335" s="879">
        <f t="shared" si="61"/>
        <v>321</v>
      </c>
      <c r="B335" s="893" t="s">
        <v>1850</v>
      </c>
      <c r="C335" s="893" t="s">
        <v>624</v>
      </c>
      <c r="D335" s="893" t="s">
        <v>585</v>
      </c>
      <c r="E335" s="894" t="s">
        <v>625</v>
      </c>
      <c r="F335" s="912">
        <v>16640000</v>
      </c>
      <c r="G335" s="912">
        <v>0</v>
      </c>
      <c r="H335" s="912">
        <v>4160000</v>
      </c>
      <c r="I335" s="912">
        <v>4160000</v>
      </c>
      <c r="J335" s="912">
        <v>4160000</v>
      </c>
      <c r="K335" s="912">
        <v>8320000</v>
      </c>
      <c r="L335" s="912">
        <v>8320000</v>
      </c>
      <c r="M335" s="912">
        <v>8320000</v>
      </c>
      <c r="N335" s="912">
        <v>12480000</v>
      </c>
      <c r="O335" s="912">
        <v>12480000</v>
      </c>
      <c r="P335" s="912">
        <v>12480000</v>
      </c>
      <c r="Q335" s="912">
        <v>16640000</v>
      </c>
      <c r="R335" s="912">
        <v>16640000</v>
      </c>
      <c r="S335" s="896">
        <f>((F335+R335)+((G335+H335+I335+J335+K335+L335+M335+N335+O335+P335+Q335)*2))/24</f>
        <v>9013333.333333334</v>
      </c>
      <c r="T335" s="879"/>
      <c r="U335" s="881"/>
      <c r="V335" s="881"/>
      <c r="W335" s="881">
        <f>+S335</f>
        <v>9013333.333333334</v>
      </c>
      <c r="X335" s="897"/>
      <c r="Y335" s="881"/>
      <c r="Z335" s="881"/>
      <c r="AA335" s="881"/>
      <c r="AB335" s="881"/>
      <c r="AC335" s="879"/>
      <c r="AD335" s="879"/>
      <c r="AE335" s="879"/>
    </row>
    <row r="336" spans="1:31">
      <c r="A336" s="879">
        <f t="shared" si="61"/>
        <v>322</v>
      </c>
      <c r="B336" s="879"/>
      <c r="C336" s="879"/>
      <c r="D336" s="879"/>
      <c r="E336" s="894" t="s">
        <v>626</v>
      </c>
      <c r="F336" s="898">
        <f>+F335</f>
        <v>16640000</v>
      </c>
      <c r="G336" s="898">
        <f t="shared" ref="G336:S336" si="75">+G335</f>
        <v>0</v>
      </c>
      <c r="H336" s="898">
        <f t="shared" si="75"/>
        <v>4160000</v>
      </c>
      <c r="I336" s="898">
        <f t="shared" si="75"/>
        <v>4160000</v>
      </c>
      <c r="J336" s="898">
        <f t="shared" si="75"/>
        <v>4160000</v>
      </c>
      <c r="K336" s="898">
        <f t="shared" si="75"/>
        <v>8320000</v>
      </c>
      <c r="L336" s="898">
        <f t="shared" si="75"/>
        <v>8320000</v>
      </c>
      <c r="M336" s="898">
        <f t="shared" si="75"/>
        <v>8320000</v>
      </c>
      <c r="N336" s="898">
        <f t="shared" si="75"/>
        <v>12480000</v>
      </c>
      <c r="O336" s="898">
        <f t="shared" si="75"/>
        <v>12480000</v>
      </c>
      <c r="P336" s="898">
        <f t="shared" si="75"/>
        <v>12480000</v>
      </c>
      <c r="Q336" s="898">
        <f t="shared" si="75"/>
        <v>16640000</v>
      </c>
      <c r="R336" s="898">
        <f t="shared" si="75"/>
        <v>16640000</v>
      </c>
      <c r="S336" s="899">
        <f t="shared" si="75"/>
        <v>9013333.333333334</v>
      </c>
      <c r="T336" s="879"/>
      <c r="U336" s="881"/>
      <c r="V336" s="881"/>
      <c r="W336" s="881"/>
      <c r="X336" s="897"/>
      <c r="Y336" s="881"/>
      <c r="Z336" s="881"/>
      <c r="AA336" s="881"/>
      <c r="AB336" s="881"/>
      <c r="AC336" s="879"/>
      <c r="AD336" s="879"/>
      <c r="AE336" s="879"/>
    </row>
    <row r="337" spans="1:31">
      <c r="A337" s="879">
        <f t="shared" ref="A337:A400" si="76">+A336+1</f>
        <v>323</v>
      </c>
      <c r="B337" s="879"/>
      <c r="C337" s="879"/>
      <c r="D337" s="879"/>
      <c r="E337" s="894"/>
      <c r="F337" s="900"/>
      <c r="G337" s="987"/>
      <c r="H337" s="902"/>
      <c r="I337" s="902"/>
      <c r="J337" s="903"/>
      <c r="K337" s="904"/>
      <c r="L337" s="905"/>
      <c r="M337" s="906"/>
      <c r="N337" s="907"/>
      <c r="O337" s="908"/>
      <c r="P337" s="909"/>
      <c r="Q337" s="988"/>
      <c r="R337" s="900"/>
      <c r="S337" s="896"/>
      <c r="T337" s="879"/>
      <c r="U337" s="881"/>
      <c r="V337" s="881"/>
      <c r="W337" s="881"/>
      <c r="X337" s="897"/>
      <c r="Y337" s="881"/>
      <c r="Z337" s="881"/>
      <c r="AA337" s="881"/>
      <c r="AB337" s="881"/>
      <c r="AC337" s="879"/>
      <c r="AD337" s="879"/>
      <c r="AE337" s="879"/>
    </row>
    <row r="338" spans="1:31" ht="15.75" thickBot="1">
      <c r="A338" s="879">
        <f t="shared" si="76"/>
        <v>324</v>
      </c>
      <c r="B338" s="989"/>
      <c r="C338" s="989"/>
      <c r="D338" s="989"/>
      <c r="E338" s="990" t="s">
        <v>627</v>
      </c>
      <c r="F338" s="991">
        <f>+F336+F333+F321+F307+F292+F287+F270+F269+F267+F261+F199+F192+F177+F175+F174+F173+F172+F170+F158+F143+F115+F59+F42+F35+F32+F56</f>
        <v>957808188.95999992</v>
      </c>
      <c r="G338" s="991">
        <f t="shared" ref="G338:S338" si="77">+G336+G333+G321+G307+G292+G287+G270+G269+G267+G261+G199+G192+G177+G175+G174+G173+G172+G170+G158+G143+G115+G59+G42+G35+G32+G56</f>
        <v>702758578.59000003</v>
      </c>
      <c r="H338" s="991">
        <f t="shared" si="77"/>
        <v>735000254.91000021</v>
      </c>
      <c r="I338" s="991">
        <f t="shared" si="77"/>
        <v>765442960.05999994</v>
      </c>
      <c r="J338" s="991">
        <f t="shared" si="77"/>
        <v>772363559.81000006</v>
      </c>
      <c r="K338" s="991">
        <f t="shared" si="77"/>
        <v>787640044.00999987</v>
      </c>
      <c r="L338" s="991">
        <f t="shared" si="77"/>
        <v>797992253.00999999</v>
      </c>
      <c r="M338" s="991">
        <f t="shared" si="77"/>
        <v>804112169.55000007</v>
      </c>
      <c r="N338" s="991">
        <f t="shared" si="77"/>
        <v>813852966.13999987</v>
      </c>
      <c r="O338" s="991">
        <f t="shared" si="77"/>
        <v>825107690.84000003</v>
      </c>
      <c r="P338" s="991">
        <f t="shared" si="77"/>
        <v>852872870.34000003</v>
      </c>
      <c r="Q338" s="991">
        <f t="shared" si="77"/>
        <v>886611525.82000017</v>
      </c>
      <c r="R338" s="991">
        <f t="shared" si="77"/>
        <v>945811407.76999998</v>
      </c>
      <c r="S338" s="992">
        <f t="shared" si="77"/>
        <v>807963722.62041664</v>
      </c>
      <c r="T338" s="989"/>
      <c r="U338" s="993"/>
      <c r="V338" s="993"/>
      <c r="W338" s="993"/>
      <c r="X338" s="994"/>
      <c r="Y338" s="993"/>
      <c r="Z338" s="993"/>
      <c r="AA338" s="993"/>
      <c r="AB338" s="993"/>
      <c r="AC338" s="989"/>
      <c r="AD338" s="989"/>
      <c r="AE338" s="989"/>
    </row>
    <row r="339" spans="1:31" ht="15.75" thickTop="1">
      <c r="A339" s="879">
        <f t="shared" si="76"/>
        <v>325</v>
      </c>
      <c r="B339" s="879"/>
      <c r="C339" s="879"/>
      <c r="D339" s="879"/>
      <c r="E339" s="894"/>
      <c r="F339" s="895"/>
      <c r="G339" s="966"/>
      <c r="H339" s="942"/>
      <c r="I339" s="942"/>
      <c r="J339" s="943"/>
      <c r="K339" s="944"/>
      <c r="L339" s="945"/>
      <c r="M339" s="946"/>
      <c r="N339" s="947"/>
      <c r="O339" s="948"/>
      <c r="P339" s="949"/>
      <c r="Q339" s="967"/>
      <c r="R339" s="895"/>
      <c r="S339" s="896"/>
      <c r="T339" s="879"/>
      <c r="U339" s="881"/>
      <c r="V339" s="881"/>
      <c r="W339" s="881"/>
      <c r="X339" s="897"/>
      <c r="Y339" s="881"/>
      <c r="Z339" s="881"/>
      <c r="AA339" s="881"/>
      <c r="AB339" s="881"/>
      <c r="AC339" s="879"/>
      <c r="AD339" s="879"/>
      <c r="AE339" s="879"/>
    </row>
    <row r="340" spans="1:31">
      <c r="A340" s="879">
        <f t="shared" si="76"/>
        <v>326</v>
      </c>
      <c r="B340" s="879"/>
      <c r="C340" s="879"/>
      <c r="D340" s="879"/>
      <c r="E340" s="894"/>
      <c r="F340" s="895"/>
      <c r="G340" s="966"/>
      <c r="H340" s="942"/>
      <c r="I340" s="942"/>
      <c r="J340" s="943"/>
      <c r="K340" s="944"/>
      <c r="L340" s="945"/>
      <c r="M340" s="946"/>
      <c r="N340" s="947"/>
      <c r="O340" s="948"/>
      <c r="P340" s="949"/>
      <c r="Q340" s="967"/>
      <c r="R340" s="895"/>
      <c r="S340" s="896"/>
      <c r="T340" s="879"/>
      <c r="U340" s="881"/>
      <c r="V340" s="881"/>
      <c r="W340" s="881"/>
      <c r="X340" s="897"/>
      <c r="Y340" s="881"/>
      <c r="Z340" s="881"/>
      <c r="AA340" s="881"/>
      <c r="AB340" s="881"/>
      <c r="AC340" s="879"/>
      <c r="AD340" s="879"/>
      <c r="AE340" s="879"/>
    </row>
    <row r="341" spans="1:31">
      <c r="A341" s="879">
        <f t="shared" si="76"/>
        <v>327</v>
      </c>
      <c r="B341" s="893" t="s">
        <v>1850</v>
      </c>
      <c r="C341" s="893" t="s">
        <v>628</v>
      </c>
      <c r="D341" s="893" t="s">
        <v>2206</v>
      </c>
      <c r="E341" s="918" t="s">
        <v>629</v>
      </c>
      <c r="F341" s="895">
        <v>-1000</v>
      </c>
      <c r="G341" s="895">
        <v>-1000</v>
      </c>
      <c r="H341" s="895">
        <v>-1000</v>
      </c>
      <c r="I341" s="895">
        <v>-1000</v>
      </c>
      <c r="J341" s="895">
        <v>-1000</v>
      </c>
      <c r="K341" s="895">
        <v>-1000</v>
      </c>
      <c r="L341" s="895">
        <v>-1000</v>
      </c>
      <c r="M341" s="895">
        <v>-1000</v>
      </c>
      <c r="N341" s="895">
        <v>-1000</v>
      </c>
      <c r="O341" s="895">
        <v>-1000</v>
      </c>
      <c r="P341" s="895">
        <v>-1000</v>
      </c>
      <c r="Q341" s="895">
        <v>-1000</v>
      </c>
      <c r="R341" s="895">
        <v>-1000</v>
      </c>
      <c r="S341" s="896">
        <f>((F341+R341)+((G341+H341+I341+J341+K341+L341+M341+N341+O341+P341+Q341)*2))/24</f>
        <v>-1000</v>
      </c>
      <c r="T341" s="879"/>
      <c r="U341" s="881"/>
      <c r="V341" s="881"/>
      <c r="W341" s="881">
        <f>+S341</f>
        <v>-1000</v>
      </c>
      <c r="X341" s="897"/>
      <c r="Y341" s="881"/>
      <c r="Z341" s="881"/>
      <c r="AA341" s="881"/>
      <c r="AB341" s="881"/>
      <c r="AC341" s="951">
        <f>+S341</f>
        <v>-1000</v>
      </c>
      <c r="AD341" s="879"/>
      <c r="AE341" s="879"/>
    </row>
    <row r="342" spans="1:31">
      <c r="A342" s="879">
        <f t="shared" si="76"/>
        <v>328</v>
      </c>
      <c r="B342" s="893" t="s">
        <v>1850</v>
      </c>
      <c r="C342" s="893" t="s">
        <v>630</v>
      </c>
      <c r="D342" s="893" t="s">
        <v>585</v>
      </c>
      <c r="E342" s="918" t="s">
        <v>631</v>
      </c>
      <c r="F342" s="895">
        <v>-44676389.859999999</v>
      </c>
      <c r="G342" s="895">
        <v>-40209183.609999999</v>
      </c>
      <c r="H342" s="895">
        <v>-40209183.609999999</v>
      </c>
      <c r="I342" s="895">
        <v>-40209183.609999999</v>
      </c>
      <c r="J342" s="895">
        <v>-40205542.240000002</v>
      </c>
      <c r="K342" s="895">
        <v>-40205542.240000002</v>
      </c>
      <c r="L342" s="895">
        <v>-40205542.240000002</v>
      </c>
      <c r="M342" s="895">
        <v>-40205542.240000002</v>
      </c>
      <c r="N342" s="895">
        <v>-40205542.240000002</v>
      </c>
      <c r="O342" s="895">
        <v>-40205542.240000002</v>
      </c>
      <c r="P342" s="895">
        <v>-40205542.240000002</v>
      </c>
      <c r="Q342" s="895">
        <v>-40205542.240000002</v>
      </c>
      <c r="R342" s="895">
        <v>-40205542.240000002</v>
      </c>
      <c r="S342" s="896">
        <f>((F342+R342)+((G342+H342+I342+J342+K342+L342+M342+N342+O342+P342+Q342)*2))/24</f>
        <v>-40392737.900000006</v>
      </c>
      <c r="T342" s="879"/>
      <c r="U342" s="881"/>
      <c r="V342" s="881"/>
      <c r="W342" s="881">
        <f>+S342</f>
        <v>-40392737.900000006</v>
      </c>
      <c r="X342" s="897"/>
      <c r="Y342" s="881"/>
      <c r="Z342" s="881"/>
      <c r="AA342" s="881"/>
      <c r="AB342" s="881"/>
      <c r="AC342" s="951">
        <f>+W342</f>
        <v>-40392737.900000006</v>
      </c>
      <c r="AD342" s="879"/>
      <c r="AE342" s="879"/>
    </row>
    <row r="343" spans="1:31">
      <c r="A343" s="879">
        <f t="shared" si="76"/>
        <v>329</v>
      </c>
      <c r="B343" s="893" t="s">
        <v>1850</v>
      </c>
      <c r="C343" s="893" t="s">
        <v>630</v>
      </c>
      <c r="D343" s="893" t="s">
        <v>632</v>
      </c>
      <c r="E343" s="918" t="s">
        <v>633</v>
      </c>
      <c r="F343" s="895">
        <v>3641.37</v>
      </c>
      <c r="G343" s="895">
        <v>3641.37</v>
      </c>
      <c r="H343" s="895">
        <v>3641.37</v>
      </c>
      <c r="I343" s="895">
        <v>3641.37</v>
      </c>
      <c r="J343" s="895">
        <v>0</v>
      </c>
      <c r="K343" s="895">
        <v>0</v>
      </c>
      <c r="L343" s="895">
        <v>0</v>
      </c>
      <c r="M343" s="895">
        <v>0</v>
      </c>
      <c r="N343" s="895">
        <v>0</v>
      </c>
      <c r="O343" s="895">
        <v>0</v>
      </c>
      <c r="P343" s="895">
        <v>0</v>
      </c>
      <c r="Q343" s="895">
        <v>0</v>
      </c>
      <c r="R343" s="895">
        <v>0</v>
      </c>
      <c r="S343" s="896">
        <f t="shared" ref="S343:S409" si="78">((F343+R343)+((G343+H343+I343+J343+K343+L343+M343+N343+O343+P343+Q343)*2))/24</f>
        <v>1062.0662500000001</v>
      </c>
      <c r="T343" s="879"/>
      <c r="U343" s="881"/>
      <c r="V343" s="881"/>
      <c r="W343" s="881">
        <f>+S343</f>
        <v>1062.0662500000001</v>
      </c>
      <c r="X343" s="897"/>
      <c r="Y343" s="881"/>
      <c r="Z343" s="881"/>
      <c r="AA343" s="881"/>
      <c r="AB343" s="881"/>
      <c r="AC343" s="951">
        <f t="shared" ref="AC343:AC350" si="79">+S343</f>
        <v>1062.0662500000001</v>
      </c>
      <c r="AD343" s="879"/>
      <c r="AE343" s="879"/>
    </row>
    <row r="344" spans="1:31">
      <c r="A344" s="879">
        <f t="shared" si="76"/>
        <v>330</v>
      </c>
      <c r="B344" s="893" t="s">
        <v>1850</v>
      </c>
      <c r="C344" s="893" t="s">
        <v>630</v>
      </c>
      <c r="D344" s="893" t="s">
        <v>634</v>
      </c>
      <c r="E344" s="918" t="s">
        <v>635</v>
      </c>
      <c r="F344" s="895">
        <v>7513</v>
      </c>
      <c r="G344" s="895">
        <v>2245</v>
      </c>
      <c r="H344" s="895">
        <v>4490</v>
      </c>
      <c r="I344" s="895">
        <v>6170</v>
      </c>
      <c r="J344" s="895">
        <v>7850</v>
      </c>
      <c r="K344" s="895">
        <v>9530</v>
      </c>
      <c r="L344" s="895">
        <v>11210</v>
      </c>
      <c r="M344" s="895">
        <v>12828</v>
      </c>
      <c r="N344" s="895">
        <v>14446</v>
      </c>
      <c r="O344" s="895">
        <v>16064</v>
      </c>
      <c r="P344" s="895">
        <v>17682</v>
      </c>
      <c r="Q344" s="895">
        <v>19300</v>
      </c>
      <c r="R344" s="895">
        <v>15598</v>
      </c>
      <c r="S344" s="896">
        <f t="shared" si="78"/>
        <v>11114.208333333334</v>
      </c>
      <c r="T344" s="879"/>
      <c r="U344" s="881"/>
      <c r="V344" s="881"/>
      <c r="W344" s="881">
        <f t="shared" ref="W344:W350" si="80">+S344</f>
        <v>11114.208333333334</v>
      </c>
      <c r="X344" s="897"/>
      <c r="Y344" s="881"/>
      <c r="Z344" s="881"/>
      <c r="AA344" s="881"/>
      <c r="AB344" s="881"/>
      <c r="AC344" s="951">
        <f t="shared" si="79"/>
        <v>11114.208333333334</v>
      </c>
      <c r="AD344" s="879"/>
      <c r="AE344" s="879"/>
    </row>
    <row r="345" spans="1:31">
      <c r="A345" s="879">
        <f t="shared" si="76"/>
        <v>331</v>
      </c>
      <c r="B345" s="893" t="s">
        <v>1850</v>
      </c>
      <c r="C345" s="893" t="s">
        <v>636</v>
      </c>
      <c r="D345" s="893" t="s">
        <v>585</v>
      </c>
      <c r="E345" s="918" t="s">
        <v>637</v>
      </c>
      <c r="F345" s="895">
        <v>2000629.64</v>
      </c>
      <c r="G345" s="895">
        <v>2000629.64</v>
      </c>
      <c r="H345" s="895">
        <v>2000629.64</v>
      </c>
      <c r="I345" s="895">
        <v>2000629.64</v>
      </c>
      <c r="J345" s="895">
        <v>2000629.64</v>
      </c>
      <c r="K345" s="895">
        <v>2000629.64</v>
      </c>
      <c r="L345" s="895">
        <v>2000629.64</v>
      </c>
      <c r="M345" s="895">
        <v>2000629.64</v>
      </c>
      <c r="N345" s="895">
        <v>2000629.64</v>
      </c>
      <c r="O345" s="895">
        <v>2000629.64</v>
      </c>
      <c r="P345" s="895">
        <v>2000629.64</v>
      </c>
      <c r="Q345" s="895">
        <v>2000629.64</v>
      </c>
      <c r="R345" s="895">
        <v>2000629.64</v>
      </c>
      <c r="S345" s="896">
        <f t="shared" si="78"/>
        <v>2000629.6400000004</v>
      </c>
      <c r="T345" s="879"/>
      <c r="U345" s="881"/>
      <c r="V345" s="881"/>
      <c r="W345" s="881">
        <f t="shared" si="80"/>
        <v>2000629.6400000004</v>
      </c>
      <c r="X345" s="897"/>
      <c r="Y345" s="881"/>
      <c r="Z345" s="881"/>
      <c r="AA345" s="881"/>
      <c r="AB345" s="881"/>
      <c r="AC345" s="951">
        <f t="shared" si="79"/>
        <v>2000629.6400000004</v>
      </c>
      <c r="AD345" s="879"/>
      <c r="AE345" s="879"/>
    </row>
    <row r="346" spans="1:31">
      <c r="A346" s="879">
        <f t="shared" si="76"/>
        <v>332</v>
      </c>
      <c r="B346" s="893" t="s">
        <v>1850</v>
      </c>
      <c r="C346" s="893" t="s">
        <v>638</v>
      </c>
      <c r="D346" s="893" t="s">
        <v>585</v>
      </c>
      <c r="E346" s="918" t="s">
        <v>639</v>
      </c>
      <c r="F346" s="895">
        <v>-152703952.19</v>
      </c>
      <c r="G346" s="895">
        <v>-152703952.19</v>
      </c>
      <c r="H346" s="895">
        <v>-152703952.19</v>
      </c>
      <c r="I346" s="895">
        <v>-152698667.75</v>
      </c>
      <c r="J346" s="895">
        <v>-152698667.75</v>
      </c>
      <c r="K346" s="895">
        <v>-152698667.75</v>
      </c>
      <c r="L346" s="895">
        <v>-152698667.75</v>
      </c>
      <c r="M346" s="895">
        <v>-152698667.75</v>
      </c>
      <c r="N346" s="895">
        <v>-152698667.75</v>
      </c>
      <c r="O346" s="895">
        <v>-152698667.75</v>
      </c>
      <c r="P346" s="895">
        <v>-160698667.75</v>
      </c>
      <c r="Q346" s="895">
        <v>-160698667.75</v>
      </c>
      <c r="R346" s="895">
        <v>-160698667.75</v>
      </c>
      <c r="S346" s="896">
        <f>((F346+R346)+((G346+H346+I346+J346+K346+L346+M346+N346+O346+P346+Q346)*2))/24</f>
        <v>-154366435.34166667</v>
      </c>
      <c r="T346" s="879"/>
      <c r="U346" s="881"/>
      <c r="V346" s="881"/>
      <c r="W346" s="881">
        <f t="shared" si="80"/>
        <v>-154366435.34166667</v>
      </c>
      <c r="X346" s="897"/>
      <c r="Y346" s="881"/>
      <c r="Z346" s="881"/>
      <c r="AA346" s="881"/>
      <c r="AB346" s="881"/>
      <c r="AC346" s="951">
        <f t="shared" si="79"/>
        <v>-154366435.34166667</v>
      </c>
      <c r="AD346" s="879"/>
      <c r="AE346" s="879"/>
    </row>
    <row r="347" spans="1:31">
      <c r="A347" s="879">
        <f t="shared" si="76"/>
        <v>333</v>
      </c>
      <c r="B347" s="893" t="s">
        <v>1850</v>
      </c>
      <c r="C347" s="893" t="s">
        <v>640</v>
      </c>
      <c r="D347" s="893" t="s">
        <v>585</v>
      </c>
      <c r="E347" s="918" t="s">
        <v>641</v>
      </c>
      <c r="F347" s="895">
        <v>0</v>
      </c>
      <c r="G347" s="895">
        <v>0</v>
      </c>
      <c r="H347" s="895">
        <v>0</v>
      </c>
      <c r="I347" s="895">
        <v>0</v>
      </c>
      <c r="J347" s="895">
        <v>0</v>
      </c>
      <c r="K347" s="895">
        <v>0</v>
      </c>
      <c r="L347" s="895">
        <v>0</v>
      </c>
      <c r="M347" s="895">
        <v>0</v>
      </c>
      <c r="N347" s="895">
        <v>0</v>
      </c>
      <c r="O347" s="895">
        <v>0</v>
      </c>
      <c r="P347" s="895">
        <v>0</v>
      </c>
      <c r="Q347" s="895">
        <v>0</v>
      </c>
      <c r="R347" s="895">
        <v>0</v>
      </c>
      <c r="S347" s="896">
        <f t="shared" si="78"/>
        <v>0</v>
      </c>
      <c r="T347" s="879"/>
      <c r="U347" s="881"/>
      <c r="V347" s="881"/>
      <c r="W347" s="881">
        <f t="shared" si="80"/>
        <v>0</v>
      </c>
      <c r="X347" s="897"/>
      <c r="Y347" s="881"/>
      <c r="Z347" s="881"/>
      <c r="AA347" s="881"/>
      <c r="AB347" s="881"/>
      <c r="AC347" s="951">
        <f t="shared" si="79"/>
        <v>0</v>
      </c>
      <c r="AD347" s="879"/>
      <c r="AE347" s="879"/>
    </row>
    <row r="348" spans="1:31">
      <c r="A348" s="879">
        <f t="shared" si="76"/>
        <v>334</v>
      </c>
      <c r="B348" s="893" t="s">
        <v>1850</v>
      </c>
      <c r="C348" s="893" t="s">
        <v>642</v>
      </c>
      <c r="D348" s="893" t="s">
        <v>585</v>
      </c>
      <c r="E348" s="918" t="s">
        <v>643</v>
      </c>
      <c r="F348" s="895">
        <v>0</v>
      </c>
      <c r="G348" s="895">
        <v>0</v>
      </c>
      <c r="H348" s="895">
        <v>0</v>
      </c>
      <c r="I348" s="895">
        <v>0</v>
      </c>
      <c r="J348" s="895">
        <v>0</v>
      </c>
      <c r="K348" s="895">
        <v>0</v>
      </c>
      <c r="L348" s="895">
        <v>0</v>
      </c>
      <c r="M348" s="895">
        <v>0</v>
      </c>
      <c r="N348" s="895">
        <v>0</v>
      </c>
      <c r="O348" s="895">
        <v>0</v>
      </c>
      <c r="P348" s="895">
        <v>0</v>
      </c>
      <c r="Q348" s="895">
        <v>0</v>
      </c>
      <c r="R348" s="895">
        <v>0</v>
      </c>
      <c r="S348" s="896">
        <f t="shared" si="78"/>
        <v>0</v>
      </c>
      <c r="T348" s="879"/>
      <c r="U348" s="881"/>
      <c r="V348" s="881"/>
      <c r="W348" s="881">
        <f t="shared" si="80"/>
        <v>0</v>
      </c>
      <c r="X348" s="897"/>
      <c r="Y348" s="881"/>
      <c r="Z348" s="881"/>
      <c r="AA348" s="881"/>
      <c r="AB348" s="881"/>
      <c r="AC348" s="951">
        <f t="shared" si="79"/>
        <v>0</v>
      </c>
      <c r="AD348" s="879"/>
      <c r="AE348" s="879"/>
    </row>
    <row r="349" spans="1:31">
      <c r="A349" s="879">
        <f t="shared" si="76"/>
        <v>335</v>
      </c>
      <c r="B349" s="893" t="s">
        <v>1850</v>
      </c>
      <c r="C349" s="893" t="s">
        <v>644</v>
      </c>
      <c r="D349" s="879" t="s">
        <v>389</v>
      </c>
      <c r="E349" s="918" t="s">
        <v>645</v>
      </c>
      <c r="F349" s="895">
        <v>0</v>
      </c>
      <c r="G349" s="895">
        <v>0</v>
      </c>
      <c r="H349" s="895">
        <v>0</v>
      </c>
      <c r="I349" s="895">
        <v>0</v>
      </c>
      <c r="J349" s="895">
        <v>0</v>
      </c>
      <c r="K349" s="895">
        <v>0</v>
      </c>
      <c r="L349" s="895">
        <v>0</v>
      </c>
      <c r="M349" s="895">
        <v>0</v>
      </c>
      <c r="N349" s="895">
        <v>0</v>
      </c>
      <c r="O349" s="895">
        <v>0</v>
      </c>
      <c r="P349" s="895">
        <v>0</v>
      </c>
      <c r="Q349" s="895">
        <v>0</v>
      </c>
      <c r="R349" s="895">
        <v>0</v>
      </c>
      <c r="S349" s="896">
        <f t="shared" si="78"/>
        <v>0</v>
      </c>
      <c r="T349" s="879"/>
      <c r="U349" s="881"/>
      <c r="V349" s="881"/>
      <c r="W349" s="881">
        <f t="shared" si="80"/>
        <v>0</v>
      </c>
      <c r="X349" s="897"/>
      <c r="Y349" s="881"/>
      <c r="Z349" s="881"/>
      <c r="AA349" s="881"/>
      <c r="AB349" s="881"/>
      <c r="AC349" s="951">
        <f t="shared" si="79"/>
        <v>0</v>
      </c>
      <c r="AD349" s="879"/>
      <c r="AE349" s="879"/>
    </row>
    <row r="350" spans="1:31">
      <c r="A350" s="879">
        <f t="shared" si="76"/>
        <v>336</v>
      </c>
      <c r="B350" s="893" t="s">
        <v>1850</v>
      </c>
      <c r="C350" s="893" t="s">
        <v>646</v>
      </c>
      <c r="D350" s="893" t="s">
        <v>2206</v>
      </c>
      <c r="E350" s="918" t="s">
        <v>647</v>
      </c>
      <c r="F350" s="912">
        <v>0</v>
      </c>
      <c r="G350" s="912">
        <v>0</v>
      </c>
      <c r="H350" s="912">
        <v>0</v>
      </c>
      <c r="I350" s="912">
        <v>0</v>
      </c>
      <c r="J350" s="912">
        <v>0</v>
      </c>
      <c r="K350" s="912">
        <v>0</v>
      </c>
      <c r="L350" s="912">
        <v>0</v>
      </c>
      <c r="M350" s="912">
        <v>0</v>
      </c>
      <c r="N350" s="912">
        <v>0</v>
      </c>
      <c r="O350" s="912">
        <v>0</v>
      </c>
      <c r="P350" s="912">
        <v>0</v>
      </c>
      <c r="Q350" s="912">
        <v>0</v>
      </c>
      <c r="R350" s="912">
        <v>0</v>
      </c>
      <c r="S350" s="913">
        <f t="shared" si="78"/>
        <v>0</v>
      </c>
      <c r="T350" s="879"/>
      <c r="U350" s="881"/>
      <c r="V350" s="881"/>
      <c r="W350" s="881">
        <f t="shared" si="80"/>
        <v>0</v>
      </c>
      <c r="X350" s="897"/>
      <c r="Y350" s="881"/>
      <c r="Z350" s="881"/>
      <c r="AA350" s="881"/>
      <c r="AB350" s="881"/>
      <c r="AC350" s="951">
        <f t="shared" si="79"/>
        <v>0</v>
      </c>
      <c r="AD350" s="879"/>
      <c r="AE350" s="879"/>
    </row>
    <row r="351" spans="1:31">
      <c r="A351" s="879">
        <f t="shared" si="76"/>
        <v>337</v>
      </c>
      <c r="B351" s="879"/>
      <c r="C351" s="879"/>
      <c r="D351" s="879"/>
      <c r="E351" s="918" t="s">
        <v>648</v>
      </c>
      <c r="F351" s="898">
        <f t="shared" ref="F351:S351" si="81">SUM(F341:F350)</f>
        <v>-195369558.03999999</v>
      </c>
      <c r="G351" s="898">
        <f t="shared" si="81"/>
        <v>-190907619.78999999</v>
      </c>
      <c r="H351" s="898">
        <f t="shared" si="81"/>
        <v>-190905374.78999999</v>
      </c>
      <c r="I351" s="898">
        <f t="shared" si="81"/>
        <v>-190898410.34999999</v>
      </c>
      <c r="J351" s="898">
        <f t="shared" si="81"/>
        <v>-190896730.34999999</v>
      </c>
      <c r="K351" s="898">
        <f t="shared" si="81"/>
        <v>-190895050.34999999</v>
      </c>
      <c r="L351" s="898">
        <f t="shared" si="81"/>
        <v>-190893370.34999999</v>
      </c>
      <c r="M351" s="898">
        <f t="shared" si="81"/>
        <v>-190891752.34999999</v>
      </c>
      <c r="N351" s="898">
        <f t="shared" si="81"/>
        <v>-190890134.34999999</v>
      </c>
      <c r="O351" s="898">
        <f t="shared" si="81"/>
        <v>-190888516.34999999</v>
      </c>
      <c r="P351" s="898">
        <f t="shared" si="81"/>
        <v>-198886898.34999999</v>
      </c>
      <c r="Q351" s="898">
        <f t="shared" si="81"/>
        <v>-198885280.34999999</v>
      </c>
      <c r="R351" s="898">
        <f t="shared" si="81"/>
        <v>-198888982.34999999</v>
      </c>
      <c r="S351" s="899">
        <f t="shared" si="81"/>
        <v>-192747367.32708335</v>
      </c>
      <c r="T351" s="879"/>
      <c r="U351" s="881"/>
      <c r="V351" s="881"/>
      <c r="W351" s="881"/>
      <c r="X351" s="897"/>
      <c r="Y351" s="881"/>
      <c r="Z351" s="881"/>
      <c r="AA351" s="881"/>
      <c r="AB351" s="881"/>
      <c r="AC351" s="879"/>
      <c r="AD351" s="879"/>
      <c r="AE351" s="879"/>
    </row>
    <row r="352" spans="1:31">
      <c r="A352" s="879">
        <f t="shared" si="76"/>
        <v>338</v>
      </c>
      <c r="B352" s="879"/>
      <c r="C352" s="879"/>
      <c r="D352" s="879"/>
      <c r="E352" s="918"/>
      <c r="F352" s="963"/>
      <c r="G352" s="995"/>
      <c r="H352" s="996"/>
      <c r="I352" s="996"/>
      <c r="J352" s="997"/>
      <c r="K352" s="998"/>
      <c r="L352" s="999"/>
      <c r="M352" s="1000"/>
      <c r="N352" s="1001"/>
      <c r="O352" s="962"/>
      <c r="P352" s="1002"/>
      <c r="Q352" s="1003"/>
      <c r="R352" s="963"/>
      <c r="S352" s="896"/>
      <c r="T352" s="879"/>
      <c r="U352" s="881"/>
      <c r="V352" s="881"/>
      <c r="W352" s="881"/>
      <c r="X352" s="897"/>
      <c r="Y352" s="881"/>
      <c r="Z352" s="881"/>
      <c r="AA352" s="881"/>
      <c r="AB352" s="881"/>
      <c r="AC352" s="879"/>
      <c r="AD352" s="879"/>
      <c r="AE352" s="879"/>
    </row>
    <row r="353" spans="1:31">
      <c r="A353" s="879">
        <f t="shared" si="76"/>
        <v>339</v>
      </c>
      <c r="B353" s="893" t="s">
        <v>1850</v>
      </c>
      <c r="C353" s="893" t="s">
        <v>649</v>
      </c>
      <c r="D353" s="893" t="s">
        <v>509</v>
      </c>
      <c r="E353" s="1004" t="s">
        <v>650</v>
      </c>
      <c r="F353" s="895">
        <v>-20000000</v>
      </c>
      <c r="G353" s="895">
        <v>-20000000</v>
      </c>
      <c r="H353" s="895">
        <v>-20000000</v>
      </c>
      <c r="I353" s="895">
        <v>-20000000</v>
      </c>
      <c r="J353" s="895">
        <v>-20000000</v>
      </c>
      <c r="K353" s="895">
        <v>-20000000</v>
      </c>
      <c r="L353" s="895">
        <v>-20000000</v>
      </c>
      <c r="M353" s="895">
        <v>-20000000</v>
      </c>
      <c r="N353" s="895">
        <v>-20000000</v>
      </c>
      <c r="O353" s="895">
        <v>-20000000</v>
      </c>
      <c r="P353" s="895">
        <v>-20000000</v>
      </c>
      <c r="Q353" s="895">
        <v>-20000000</v>
      </c>
      <c r="R353" s="895">
        <v>-20000000</v>
      </c>
      <c r="S353" s="896">
        <f t="shared" si="78"/>
        <v>-20000000</v>
      </c>
      <c r="T353" s="879"/>
      <c r="U353" s="881"/>
      <c r="V353" s="881"/>
      <c r="W353" s="881">
        <f t="shared" ref="W353:W371" si="82">+S353</f>
        <v>-20000000</v>
      </c>
      <c r="X353" s="897"/>
      <c r="Y353" s="881"/>
      <c r="Z353" s="881"/>
      <c r="AA353" s="881"/>
      <c r="AB353" s="881"/>
      <c r="AC353" s="951">
        <f t="shared" ref="AC353:AC371" si="83">+S353</f>
        <v>-20000000</v>
      </c>
      <c r="AD353" s="879"/>
      <c r="AE353" s="879"/>
    </row>
    <row r="354" spans="1:31">
      <c r="A354" s="879">
        <f t="shared" si="76"/>
        <v>340</v>
      </c>
      <c r="B354" s="893" t="s">
        <v>1850</v>
      </c>
      <c r="C354" s="893" t="s">
        <v>649</v>
      </c>
      <c r="D354" s="893" t="s">
        <v>511</v>
      </c>
      <c r="E354" s="1004" t="s">
        <v>651</v>
      </c>
      <c r="F354" s="895">
        <v>-15000000</v>
      </c>
      <c r="G354" s="895">
        <v>-15000000</v>
      </c>
      <c r="H354" s="895">
        <v>-15000000</v>
      </c>
      <c r="I354" s="895">
        <v>-15000000</v>
      </c>
      <c r="J354" s="895">
        <v>-15000000</v>
      </c>
      <c r="K354" s="895">
        <v>-15000000</v>
      </c>
      <c r="L354" s="895">
        <v>-15000000</v>
      </c>
      <c r="M354" s="895">
        <v>-15000000</v>
      </c>
      <c r="N354" s="895">
        <v>-15000000</v>
      </c>
      <c r="O354" s="895">
        <v>-15000000</v>
      </c>
      <c r="P354" s="895">
        <v>-15000000</v>
      </c>
      <c r="Q354" s="895">
        <v>-15000000</v>
      </c>
      <c r="R354" s="895">
        <v>-15000000</v>
      </c>
      <c r="S354" s="896">
        <f t="shared" si="78"/>
        <v>-15000000</v>
      </c>
      <c r="T354" s="879"/>
      <c r="U354" s="881"/>
      <c r="V354" s="881"/>
      <c r="W354" s="881">
        <f t="shared" si="82"/>
        <v>-15000000</v>
      </c>
      <c r="X354" s="897"/>
      <c r="Y354" s="881"/>
      <c r="Z354" s="881"/>
      <c r="AA354" s="881"/>
      <c r="AB354" s="881"/>
      <c r="AC354" s="951">
        <f t="shared" si="83"/>
        <v>-15000000</v>
      </c>
      <c r="AD354" s="879"/>
      <c r="AE354" s="879"/>
    </row>
    <row r="355" spans="1:31">
      <c r="A355" s="879">
        <f t="shared" si="76"/>
        <v>341</v>
      </c>
      <c r="B355" s="893" t="s">
        <v>1850</v>
      </c>
      <c r="C355" s="893" t="s">
        <v>649</v>
      </c>
      <c r="D355" s="893" t="s">
        <v>513</v>
      </c>
      <c r="E355" s="1004" t="s">
        <v>652</v>
      </c>
      <c r="F355" s="895">
        <v>-24589000</v>
      </c>
      <c r="G355" s="895">
        <v>-24589000</v>
      </c>
      <c r="H355" s="895">
        <v>-24539000</v>
      </c>
      <c r="I355" s="895">
        <v>-24539000</v>
      </c>
      <c r="J355" s="895">
        <v>-24539000</v>
      </c>
      <c r="K355" s="895">
        <v>-24489000</v>
      </c>
      <c r="L355" s="895">
        <v>-24489000</v>
      </c>
      <c r="M355" s="895">
        <v>-24489000</v>
      </c>
      <c r="N355" s="895">
        <v>-24471000</v>
      </c>
      <c r="O355" s="895">
        <v>-24471000</v>
      </c>
      <c r="P355" s="895">
        <v>-24471000</v>
      </c>
      <c r="Q355" s="895">
        <v>-24471000</v>
      </c>
      <c r="R355" s="895">
        <v>-24471000</v>
      </c>
      <c r="S355" s="896">
        <f t="shared" si="78"/>
        <v>-24507250</v>
      </c>
      <c r="T355" s="879"/>
      <c r="U355" s="881"/>
      <c r="V355" s="881"/>
      <c r="W355" s="881">
        <f t="shared" si="82"/>
        <v>-24507250</v>
      </c>
      <c r="X355" s="897"/>
      <c r="Y355" s="881"/>
      <c r="Z355" s="881"/>
      <c r="AA355" s="881"/>
      <c r="AB355" s="881"/>
      <c r="AC355" s="951">
        <f t="shared" si="83"/>
        <v>-24507250</v>
      </c>
      <c r="AD355" s="879"/>
      <c r="AE355" s="879"/>
    </row>
    <row r="356" spans="1:31">
      <c r="A356" s="879">
        <f t="shared" si="76"/>
        <v>342</v>
      </c>
      <c r="B356" s="893" t="s">
        <v>1850</v>
      </c>
      <c r="C356" s="893" t="s">
        <v>649</v>
      </c>
      <c r="D356" s="893" t="s">
        <v>515</v>
      </c>
      <c r="E356" s="1004" t="s">
        <v>653</v>
      </c>
      <c r="F356" s="895">
        <v>-15000000</v>
      </c>
      <c r="G356" s="895">
        <v>-15000000</v>
      </c>
      <c r="H356" s="895">
        <v>-15000000</v>
      </c>
      <c r="I356" s="895">
        <v>-15000000</v>
      </c>
      <c r="J356" s="895">
        <v>-15000000</v>
      </c>
      <c r="K356" s="895">
        <v>-15000000</v>
      </c>
      <c r="L356" s="895">
        <v>-15000000</v>
      </c>
      <c r="M356" s="895">
        <v>-15000000</v>
      </c>
      <c r="N356" s="895">
        <v>-15000000</v>
      </c>
      <c r="O356" s="895">
        <v>-15000000</v>
      </c>
      <c r="P356" s="895">
        <v>-15000000</v>
      </c>
      <c r="Q356" s="895">
        <v>-15000000</v>
      </c>
      <c r="R356" s="895">
        <v>-15000000</v>
      </c>
      <c r="S356" s="896">
        <f t="shared" si="78"/>
        <v>-15000000</v>
      </c>
      <c r="T356" s="879"/>
      <c r="U356" s="881"/>
      <c r="V356" s="881"/>
      <c r="W356" s="881">
        <f t="shared" si="82"/>
        <v>-15000000</v>
      </c>
      <c r="X356" s="897"/>
      <c r="Y356" s="881"/>
      <c r="Z356" s="881"/>
      <c r="AA356" s="881"/>
      <c r="AB356" s="881"/>
      <c r="AC356" s="951">
        <f t="shared" si="83"/>
        <v>-15000000</v>
      </c>
      <c r="AD356" s="879"/>
      <c r="AE356" s="879"/>
    </row>
    <row r="357" spans="1:31">
      <c r="A357" s="879">
        <f t="shared" si="76"/>
        <v>343</v>
      </c>
      <c r="B357" s="893" t="s">
        <v>1850</v>
      </c>
      <c r="C357" s="893" t="s">
        <v>649</v>
      </c>
      <c r="D357" s="893" t="s">
        <v>517</v>
      </c>
      <c r="E357" s="1004" t="s">
        <v>654</v>
      </c>
      <c r="F357" s="895">
        <v>-40000000</v>
      </c>
      <c r="G357" s="895">
        <v>-40000000</v>
      </c>
      <c r="H357" s="895">
        <v>-40000000</v>
      </c>
      <c r="I357" s="895">
        <v>-40000000</v>
      </c>
      <c r="J357" s="895">
        <v>-40000000</v>
      </c>
      <c r="K357" s="895">
        <v>-40000000</v>
      </c>
      <c r="L357" s="895">
        <v>-40000000</v>
      </c>
      <c r="M357" s="895">
        <v>-40000000</v>
      </c>
      <c r="N357" s="895">
        <v>-40000000</v>
      </c>
      <c r="O357" s="895">
        <v>-40000000</v>
      </c>
      <c r="P357" s="895">
        <v>-40000000</v>
      </c>
      <c r="Q357" s="895">
        <v>-40000000</v>
      </c>
      <c r="R357" s="895">
        <v>-40000000</v>
      </c>
      <c r="S357" s="896">
        <f t="shared" si="78"/>
        <v>-40000000</v>
      </c>
      <c r="T357" s="879"/>
      <c r="U357" s="881"/>
      <c r="V357" s="881"/>
      <c r="W357" s="881">
        <f t="shared" si="82"/>
        <v>-40000000</v>
      </c>
      <c r="X357" s="897"/>
      <c r="Y357" s="881"/>
      <c r="Z357" s="881"/>
      <c r="AA357" s="881"/>
      <c r="AB357" s="881"/>
      <c r="AC357" s="951">
        <f t="shared" si="83"/>
        <v>-40000000</v>
      </c>
      <c r="AD357" s="879"/>
      <c r="AE357" s="879"/>
    </row>
    <row r="358" spans="1:31">
      <c r="A358" s="879">
        <f t="shared" si="76"/>
        <v>344</v>
      </c>
      <c r="B358" s="893" t="s">
        <v>1850</v>
      </c>
      <c r="C358" s="893" t="s">
        <v>649</v>
      </c>
      <c r="D358" s="893" t="s">
        <v>519</v>
      </c>
      <c r="E358" s="1005" t="s">
        <v>655</v>
      </c>
      <c r="F358" s="895">
        <v>-25000000</v>
      </c>
      <c r="G358" s="895">
        <v>-25000000</v>
      </c>
      <c r="H358" s="895">
        <v>-25000000</v>
      </c>
      <c r="I358" s="895">
        <v>-25000000</v>
      </c>
      <c r="J358" s="895">
        <v>-25000000</v>
      </c>
      <c r="K358" s="895">
        <v>-25000000</v>
      </c>
      <c r="L358" s="895">
        <v>-25000000</v>
      </c>
      <c r="M358" s="895">
        <v>-25000000</v>
      </c>
      <c r="N358" s="895">
        <v>-25000000</v>
      </c>
      <c r="O358" s="895">
        <v>-25000000</v>
      </c>
      <c r="P358" s="895">
        <v>-25000000</v>
      </c>
      <c r="Q358" s="895">
        <v>-25000000</v>
      </c>
      <c r="R358" s="895">
        <v>-25000000</v>
      </c>
      <c r="S358" s="896">
        <f t="shared" si="78"/>
        <v>-25000000</v>
      </c>
      <c r="T358" s="879"/>
      <c r="U358" s="881"/>
      <c r="V358" s="881"/>
      <c r="W358" s="881">
        <f t="shared" si="82"/>
        <v>-25000000</v>
      </c>
      <c r="X358" s="897"/>
      <c r="Y358" s="881"/>
      <c r="Z358" s="881"/>
      <c r="AA358" s="881"/>
      <c r="AB358" s="881"/>
      <c r="AC358" s="951">
        <f t="shared" si="83"/>
        <v>-25000000</v>
      </c>
      <c r="AD358" s="879"/>
      <c r="AE358" s="879"/>
    </row>
    <row r="359" spans="1:31">
      <c r="A359" s="879">
        <f t="shared" si="76"/>
        <v>345</v>
      </c>
      <c r="B359" s="893" t="s">
        <v>1850</v>
      </c>
      <c r="C359" s="893" t="s">
        <v>649</v>
      </c>
      <c r="D359" s="893" t="s">
        <v>521</v>
      </c>
      <c r="E359" s="1005" t="s">
        <v>656</v>
      </c>
      <c r="F359" s="895">
        <v>-25000000</v>
      </c>
      <c r="G359" s="895">
        <v>-25000000</v>
      </c>
      <c r="H359" s="895">
        <v>-25000000</v>
      </c>
      <c r="I359" s="895">
        <v>-25000000</v>
      </c>
      <c r="J359" s="895">
        <v>-25000000</v>
      </c>
      <c r="K359" s="895">
        <v>-25000000</v>
      </c>
      <c r="L359" s="895">
        <v>-25000000</v>
      </c>
      <c r="M359" s="895">
        <v>-25000000</v>
      </c>
      <c r="N359" s="895">
        <v>-25000000</v>
      </c>
      <c r="O359" s="895">
        <v>-25000000</v>
      </c>
      <c r="P359" s="895">
        <v>-25000000</v>
      </c>
      <c r="Q359" s="895">
        <v>-25000000</v>
      </c>
      <c r="R359" s="895">
        <v>-25000000</v>
      </c>
      <c r="S359" s="896">
        <f t="shared" si="78"/>
        <v>-25000000</v>
      </c>
      <c r="T359" s="879"/>
      <c r="U359" s="881"/>
      <c r="V359" s="881"/>
      <c r="W359" s="881">
        <f t="shared" si="82"/>
        <v>-25000000</v>
      </c>
      <c r="X359" s="897"/>
      <c r="Y359" s="881"/>
      <c r="Z359" s="881"/>
      <c r="AA359" s="881"/>
      <c r="AB359" s="881"/>
      <c r="AC359" s="951">
        <f t="shared" si="83"/>
        <v>-25000000</v>
      </c>
      <c r="AD359" s="879"/>
      <c r="AE359" s="879"/>
    </row>
    <row r="360" spans="1:31">
      <c r="A360" s="879">
        <f t="shared" si="76"/>
        <v>346</v>
      </c>
      <c r="B360" s="893" t="s">
        <v>1850</v>
      </c>
      <c r="C360" s="893" t="s">
        <v>649</v>
      </c>
      <c r="D360" s="893" t="s">
        <v>524</v>
      </c>
      <c r="E360" s="1005" t="s">
        <v>657</v>
      </c>
      <c r="F360" s="895">
        <v>-12500000</v>
      </c>
      <c r="G360" s="895">
        <v>-12500000</v>
      </c>
      <c r="H360" s="895">
        <v>-12500000</v>
      </c>
      <c r="I360" s="895">
        <v>-12500000</v>
      </c>
      <c r="J360" s="895">
        <v>-12500000</v>
      </c>
      <c r="K360" s="895">
        <v>-12500000</v>
      </c>
      <c r="L360" s="895">
        <v>-12500000</v>
      </c>
      <c r="M360" s="895">
        <v>-12500000</v>
      </c>
      <c r="N360" s="895">
        <v>-12500000</v>
      </c>
      <c r="O360" s="895">
        <v>-12500000</v>
      </c>
      <c r="P360" s="895">
        <v>-12500000</v>
      </c>
      <c r="Q360" s="895">
        <v>-12500000</v>
      </c>
      <c r="R360" s="895">
        <v>-12500000</v>
      </c>
      <c r="S360" s="896">
        <f t="shared" si="78"/>
        <v>-12500000</v>
      </c>
      <c r="T360" s="879"/>
      <c r="U360" s="881"/>
      <c r="V360" s="881"/>
      <c r="W360" s="881">
        <f t="shared" si="82"/>
        <v>-12500000</v>
      </c>
      <c r="X360" s="897"/>
      <c r="Y360" s="881"/>
      <c r="Z360" s="881"/>
      <c r="AA360" s="881"/>
      <c r="AB360" s="881"/>
      <c r="AC360" s="951">
        <f t="shared" si="83"/>
        <v>-12500000</v>
      </c>
      <c r="AD360" s="879"/>
      <c r="AE360" s="879"/>
    </row>
    <row r="361" spans="1:31">
      <c r="A361" s="879">
        <f t="shared" si="76"/>
        <v>347</v>
      </c>
      <c r="B361" s="893" t="s">
        <v>1850</v>
      </c>
      <c r="C361" s="893" t="s">
        <v>649</v>
      </c>
      <c r="D361" s="893" t="s">
        <v>526</v>
      </c>
      <c r="E361" s="1005" t="s">
        <v>658</v>
      </c>
      <c r="F361" s="895">
        <v>-12500000</v>
      </c>
      <c r="G361" s="895">
        <v>-12500000</v>
      </c>
      <c r="H361" s="895">
        <v>-12500000</v>
      </c>
      <c r="I361" s="895">
        <v>-12500000</v>
      </c>
      <c r="J361" s="895">
        <v>-12500000</v>
      </c>
      <c r="K361" s="895">
        <v>-12500000</v>
      </c>
      <c r="L361" s="895">
        <v>-12500000</v>
      </c>
      <c r="M361" s="895">
        <v>-12500000</v>
      </c>
      <c r="N361" s="895">
        <v>-12500000</v>
      </c>
      <c r="O361" s="895">
        <v>-12500000</v>
      </c>
      <c r="P361" s="895">
        <v>-12500000</v>
      </c>
      <c r="Q361" s="895">
        <v>-12500000</v>
      </c>
      <c r="R361" s="895">
        <v>-12500000</v>
      </c>
      <c r="S361" s="896">
        <f t="shared" si="78"/>
        <v>-12500000</v>
      </c>
      <c r="T361" s="879"/>
      <c r="U361" s="881"/>
      <c r="V361" s="881"/>
      <c r="W361" s="881">
        <f t="shared" si="82"/>
        <v>-12500000</v>
      </c>
      <c r="X361" s="897"/>
      <c r="Y361" s="881"/>
      <c r="Z361" s="881"/>
      <c r="AA361" s="881"/>
      <c r="AB361" s="881"/>
      <c r="AC361" s="951">
        <f t="shared" si="83"/>
        <v>-12500000</v>
      </c>
      <c r="AD361" s="879"/>
      <c r="AE361" s="879"/>
    </row>
    <row r="362" spans="1:31">
      <c r="A362" s="879">
        <f t="shared" si="76"/>
        <v>348</v>
      </c>
      <c r="B362" s="893" t="s">
        <v>1850</v>
      </c>
      <c r="C362" s="893" t="s">
        <v>649</v>
      </c>
      <c r="D362" s="893" t="s">
        <v>528</v>
      </c>
      <c r="E362" s="1005" t="s">
        <v>658</v>
      </c>
      <c r="F362" s="895">
        <v>-12500000</v>
      </c>
      <c r="G362" s="895">
        <v>-12500000</v>
      </c>
      <c r="H362" s="895">
        <v>-12500000</v>
      </c>
      <c r="I362" s="895">
        <v>-12500000</v>
      </c>
      <c r="J362" s="895">
        <v>-12500000</v>
      </c>
      <c r="K362" s="895">
        <v>-12500000</v>
      </c>
      <c r="L362" s="895">
        <v>-12500000</v>
      </c>
      <c r="M362" s="895">
        <v>-12500000</v>
      </c>
      <c r="N362" s="895">
        <v>-12500000</v>
      </c>
      <c r="O362" s="895">
        <v>-12500000</v>
      </c>
      <c r="P362" s="895">
        <v>-12500000</v>
      </c>
      <c r="Q362" s="895">
        <v>-12500000</v>
      </c>
      <c r="R362" s="895">
        <v>-12500000</v>
      </c>
      <c r="S362" s="896">
        <f t="shared" si="78"/>
        <v>-12500000</v>
      </c>
      <c r="T362" s="879"/>
      <c r="U362" s="881"/>
      <c r="V362" s="881"/>
      <c r="W362" s="881">
        <f t="shared" si="82"/>
        <v>-12500000</v>
      </c>
      <c r="X362" s="897"/>
      <c r="Y362" s="881"/>
      <c r="Z362" s="881"/>
      <c r="AA362" s="881"/>
      <c r="AB362" s="881"/>
      <c r="AC362" s="951">
        <f t="shared" si="83"/>
        <v>-12500000</v>
      </c>
      <c r="AD362" s="879"/>
      <c r="AE362" s="879"/>
    </row>
    <row r="363" spans="1:31">
      <c r="A363" s="879">
        <f t="shared" si="76"/>
        <v>349</v>
      </c>
      <c r="B363" s="893" t="s">
        <v>1850</v>
      </c>
      <c r="C363" s="893" t="s">
        <v>649</v>
      </c>
      <c r="D363" s="893" t="s">
        <v>529</v>
      </c>
      <c r="E363" s="1005" t="s">
        <v>658</v>
      </c>
      <c r="F363" s="895">
        <v>-12500000</v>
      </c>
      <c r="G363" s="895">
        <v>-12500000</v>
      </c>
      <c r="H363" s="895">
        <v>-12500000</v>
      </c>
      <c r="I363" s="895">
        <v>-12500000</v>
      </c>
      <c r="J363" s="895">
        <v>-12500000</v>
      </c>
      <c r="K363" s="895">
        <v>-12500000</v>
      </c>
      <c r="L363" s="895">
        <v>-12500000</v>
      </c>
      <c r="M363" s="895">
        <v>-12500000</v>
      </c>
      <c r="N363" s="895">
        <v>-12500000</v>
      </c>
      <c r="O363" s="895">
        <v>-12500000</v>
      </c>
      <c r="P363" s="895">
        <v>-12500000</v>
      </c>
      <c r="Q363" s="895">
        <v>-12500000</v>
      </c>
      <c r="R363" s="895">
        <v>-12500000</v>
      </c>
      <c r="S363" s="896">
        <f t="shared" si="78"/>
        <v>-12500000</v>
      </c>
      <c r="T363" s="879"/>
      <c r="U363" s="881"/>
      <c r="V363" s="881"/>
      <c r="W363" s="881">
        <f t="shared" si="82"/>
        <v>-12500000</v>
      </c>
      <c r="X363" s="897"/>
      <c r="Y363" s="881"/>
      <c r="Z363" s="881"/>
      <c r="AA363" s="881"/>
      <c r="AB363" s="881"/>
      <c r="AC363" s="951">
        <f t="shared" si="83"/>
        <v>-12500000</v>
      </c>
      <c r="AD363" s="879"/>
      <c r="AE363" s="879"/>
    </row>
    <row r="364" spans="1:31">
      <c r="A364" s="879">
        <f t="shared" si="76"/>
        <v>350</v>
      </c>
      <c r="B364" s="893" t="s">
        <v>1850</v>
      </c>
      <c r="C364" s="893" t="s">
        <v>649</v>
      </c>
      <c r="D364" s="893" t="s">
        <v>930</v>
      </c>
      <c r="E364" s="1005" t="s">
        <v>932</v>
      </c>
      <c r="F364" s="895">
        <v>0</v>
      </c>
      <c r="G364" s="895">
        <v>2104120.19</v>
      </c>
      <c r="H364" s="895">
        <v>2093227.2</v>
      </c>
      <c r="I364" s="895">
        <v>2077862.81</v>
      </c>
      <c r="J364" s="895">
        <v>2066981.14</v>
      </c>
      <c r="K364" s="895">
        <v>2056099.47</v>
      </c>
      <c r="L364" s="895">
        <v>2045217.8</v>
      </c>
      <c r="M364" s="895">
        <v>2034336.13</v>
      </c>
      <c r="N364" s="895">
        <v>2023454.46</v>
      </c>
      <c r="O364" s="895">
        <v>2012572.79</v>
      </c>
      <c r="P364" s="895">
        <v>2001691.12</v>
      </c>
      <c r="Q364" s="895">
        <v>1990809.45</v>
      </c>
      <c r="R364" s="895">
        <v>1979927.78</v>
      </c>
      <c r="S364" s="896">
        <f t="shared" si="78"/>
        <v>1958028.0374999999</v>
      </c>
      <c r="T364" s="879"/>
      <c r="U364" s="881"/>
      <c r="V364" s="881"/>
      <c r="W364" s="881">
        <f t="shared" si="82"/>
        <v>1958028.0374999999</v>
      </c>
      <c r="X364" s="897"/>
      <c r="Y364" s="881"/>
      <c r="Z364" s="881"/>
      <c r="AA364" s="881"/>
      <c r="AB364" s="881"/>
      <c r="AC364" s="951">
        <f t="shared" si="83"/>
        <v>1958028.0374999999</v>
      </c>
      <c r="AD364" s="879"/>
      <c r="AE364" s="879"/>
    </row>
    <row r="365" spans="1:31">
      <c r="A365" s="879">
        <f t="shared" si="76"/>
        <v>351</v>
      </c>
      <c r="B365" s="893" t="s">
        <v>1850</v>
      </c>
      <c r="C365" s="893" t="s">
        <v>659</v>
      </c>
      <c r="D365" s="893" t="s">
        <v>478</v>
      </c>
      <c r="E365" s="1006" t="s">
        <v>660</v>
      </c>
      <c r="F365" s="895">
        <v>0</v>
      </c>
      <c r="G365" s="895">
        <v>0</v>
      </c>
      <c r="H365" s="895">
        <v>0</v>
      </c>
      <c r="I365" s="895">
        <v>0</v>
      </c>
      <c r="J365" s="895">
        <v>0</v>
      </c>
      <c r="K365" s="895">
        <v>0</v>
      </c>
      <c r="L365" s="895">
        <v>0</v>
      </c>
      <c r="M365" s="895">
        <v>0</v>
      </c>
      <c r="N365" s="895">
        <v>0</v>
      </c>
      <c r="O365" s="895">
        <v>0</v>
      </c>
      <c r="P365" s="895">
        <v>0</v>
      </c>
      <c r="Q365" s="895">
        <v>0</v>
      </c>
      <c r="R365" s="895">
        <v>0</v>
      </c>
      <c r="S365" s="896">
        <f t="shared" si="78"/>
        <v>0</v>
      </c>
      <c r="T365" s="879"/>
      <c r="U365" s="881"/>
      <c r="V365" s="881"/>
      <c r="W365" s="881">
        <f t="shared" si="82"/>
        <v>0</v>
      </c>
      <c r="X365" s="897"/>
      <c r="Y365" s="881"/>
      <c r="Z365" s="881"/>
      <c r="AA365" s="881"/>
      <c r="AB365" s="881"/>
      <c r="AC365" s="951">
        <f t="shared" si="83"/>
        <v>0</v>
      </c>
      <c r="AD365" s="879"/>
      <c r="AE365" s="879"/>
    </row>
    <row r="366" spans="1:31">
      <c r="A366" s="879">
        <f t="shared" si="76"/>
        <v>352</v>
      </c>
      <c r="B366" s="893" t="s">
        <v>1850</v>
      </c>
      <c r="C366" s="893" t="s">
        <v>659</v>
      </c>
      <c r="D366" s="893" t="s">
        <v>534</v>
      </c>
      <c r="E366" s="1006" t="s">
        <v>661</v>
      </c>
      <c r="F366" s="895">
        <v>0</v>
      </c>
      <c r="G366" s="895">
        <v>0</v>
      </c>
      <c r="H366" s="895">
        <v>0</v>
      </c>
      <c r="I366" s="895">
        <v>0</v>
      </c>
      <c r="J366" s="895">
        <v>0</v>
      </c>
      <c r="K366" s="895">
        <v>0</v>
      </c>
      <c r="L366" s="895">
        <v>0</v>
      </c>
      <c r="M366" s="895">
        <v>0</v>
      </c>
      <c r="N366" s="895">
        <v>0</v>
      </c>
      <c r="O366" s="895">
        <v>0</v>
      </c>
      <c r="P366" s="895">
        <v>0</v>
      </c>
      <c r="Q366" s="895">
        <v>0</v>
      </c>
      <c r="R366" s="895">
        <v>0</v>
      </c>
      <c r="S366" s="896">
        <f t="shared" si="78"/>
        <v>0</v>
      </c>
      <c r="T366" s="879"/>
      <c r="U366" s="881"/>
      <c r="V366" s="881"/>
      <c r="W366" s="881">
        <f t="shared" si="82"/>
        <v>0</v>
      </c>
      <c r="X366" s="897"/>
      <c r="Y366" s="881"/>
      <c r="Z366" s="881"/>
      <c r="AA366" s="881"/>
      <c r="AB366" s="881"/>
      <c r="AC366" s="951">
        <f t="shared" si="83"/>
        <v>0</v>
      </c>
      <c r="AD366" s="879"/>
      <c r="AE366" s="879"/>
    </row>
    <row r="367" spans="1:31">
      <c r="A367" s="879">
        <f t="shared" si="76"/>
        <v>353</v>
      </c>
      <c r="B367" s="893" t="s">
        <v>1850</v>
      </c>
      <c r="C367" s="893" t="s">
        <v>659</v>
      </c>
      <c r="D367" s="893" t="s">
        <v>536</v>
      </c>
      <c r="E367" s="1006" t="s">
        <v>662</v>
      </c>
      <c r="F367" s="895">
        <v>0</v>
      </c>
      <c r="G367" s="895">
        <v>0</v>
      </c>
      <c r="H367" s="895">
        <v>0</v>
      </c>
      <c r="I367" s="895">
        <v>0</v>
      </c>
      <c r="J367" s="895">
        <v>0</v>
      </c>
      <c r="K367" s="895">
        <v>0</v>
      </c>
      <c r="L367" s="895">
        <v>0</v>
      </c>
      <c r="M367" s="895">
        <v>0</v>
      </c>
      <c r="N367" s="895">
        <v>0</v>
      </c>
      <c r="O367" s="895">
        <v>0</v>
      </c>
      <c r="P367" s="895">
        <v>0</v>
      </c>
      <c r="Q367" s="895">
        <v>0</v>
      </c>
      <c r="R367" s="895">
        <v>0</v>
      </c>
      <c r="S367" s="896">
        <f t="shared" si="78"/>
        <v>0</v>
      </c>
      <c r="T367" s="879"/>
      <c r="U367" s="881"/>
      <c r="V367" s="881"/>
      <c r="W367" s="881">
        <f t="shared" si="82"/>
        <v>0</v>
      </c>
      <c r="X367" s="897"/>
      <c r="Y367" s="881"/>
      <c r="Z367" s="881"/>
      <c r="AA367" s="881"/>
      <c r="AB367" s="881"/>
      <c r="AC367" s="951">
        <f t="shared" si="83"/>
        <v>0</v>
      </c>
      <c r="AD367" s="879"/>
      <c r="AE367" s="879"/>
    </row>
    <row r="368" spans="1:31">
      <c r="A368" s="879">
        <f t="shared" si="76"/>
        <v>354</v>
      </c>
      <c r="B368" s="893" t="s">
        <v>1850</v>
      </c>
      <c r="C368" s="893" t="s">
        <v>659</v>
      </c>
      <c r="D368" s="893" t="s">
        <v>663</v>
      </c>
      <c r="E368" s="1006" t="s">
        <v>664</v>
      </c>
      <c r="F368" s="895">
        <v>0</v>
      </c>
      <c r="G368" s="895">
        <v>0</v>
      </c>
      <c r="H368" s="895">
        <v>0</v>
      </c>
      <c r="I368" s="895">
        <v>0</v>
      </c>
      <c r="J368" s="895">
        <v>0</v>
      </c>
      <c r="K368" s="895">
        <v>0</v>
      </c>
      <c r="L368" s="895">
        <v>0</v>
      </c>
      <c r="M368" s="895">
        <v>0</v>
      </c>
      <c r="N368" s="895">
        <v>0</v>
      </c>
      <c r="O368" s="895">
        <v>0</v>
      </c>
      <c r="P368" s="895">
        <v>0</v>
      </c>
      <c r="Q368" s="895">
        <v>0</v>
      </c>
      <c r="R368" s="895">
        <v>0</v>
      </c>
      <c r="S368" s="896">
        <f t="shared" si="78"/>
        <v>0</v>
      </c>
      <c r="T368" s="879"/>
      <c r="U368" s="881"/>
      <c r="V368" s="881"/>
      <c r="W368" s="881">
        <f t="shared" si="82"/>
        <v>0</v>
      </c>
      <c r="X368" s="897"/>
      <c r="Y368" s="881"/>
      <c r="Z368" s="881"/>
      <c r="AA368" s="881"/>
      <c r="AB368" s="881"/>
      <c r="AC368" s="951">
        <f t="shared" si="83"/>
        <v>0</v>
      </c>
      <c r="AD368" s="879"/>
      <c r="AE368" s="879"/>
    </row>
    <row r="369" spans="1:31">
      <c r="A369" s="879">
        <f t="shared" si="76"/>
        <v>355</v>
      </c>
      <c r="B369" s="893" t="s">
        <v>1850</v>
      </c>
      <c r="C369" s="893" t="s">
        <v>659</v>
      </c>
      <c r="D369" s="893" t="s">
        <v>665</v>
      </c>
      <c r="E369" s="1006" t="s">
        <v>666</v>
      </c>
      <c r="F369" s="895">
        <v>0</v>
      </c>
      <c r="G369" s="895">
        <v>0</v>
      </c>
      <c r="H369" s="895">
        <v>0</v>
      </c>
      <c r="I369" s="895">
        <v>0</v>
      </c>
      <c r="J369" s="895">
        <v>0</v>
      </c>
      <c r="K369" s="895">
        <v>0</v>
      </c>
      <c r="L369" s="895">
        <v>0</v>
      </c>
      <c r="M369" s="895">
        <v>0</v>
      </c>
      <c r="N369" s="895">
        <v>0</v>
      </c>
      <c r="O369" s="895">
        <v>0</v>
      </c>
      <c r="P369" s="895">
        <v>0</v>
      </c>
      <c r="Q369" s="895">
        <v>0</v>
      </c>
      <c r="R369" s="895">
        <v>0</v>
      </c>
      <c r="S369" s="896">
        <f t="shared" si="78"/>
        <v>0</v>
      </c>
      <c r="T369" s="879"/>
      <c r="U369" s="881"/>
      <c r="V369" s="881"/>
      <c r="W369" s="881">
        <f t="shared" si="82"/>
        <v>0</v>
      </c>
      <c r="X369" s="897"/>
      <c r="Y369" s="881"/>
      <c r="Z369" s="881"/>
      <c r="AA369" s="881"/>
      <c r="AB369" s="881"/>
      <c r="AC369" s="951">
        <f t="shared" si="83"/>
        <v>0</v>
      </c>
      <c r="AD369" s="879"/>
      <c r="AE369" s="879"/>
    </row>
    <row r="370" spans="1:31">
      <c r="A370" s="879">
        <f t="shared" si="76"/>
        <v>356</v>
      </c>
      <c r="B370" s="893" t="s">
        <v>1850</v>
      </c>
      <c r="C370" s="893" t="s">
        <v>659</v>
      </c>
      <c r="D370" s="893" t="s">
        <v>667</v>
      </c>
      <c r="E370" s="1006" t="s">
        <v>668</v>
      </c>
      <c r="F370" s="895">
        <v>0</v>
      </c>
      <c r="G370" s="895">
        <v>0</v>
      </c>
      <c r="H370" s="895">
        <v>0</v>
      </c>
      <c r="I370" s="895">
        <v>0</v>
      </c>
      <c r="J370" s="895">
        <v>0</v>
      </c>
      <c r="K370" s="895">
        <v>0</v>
      </c>
      <c r="L370" s="895">
        <v>0</v>
      </c>
      <c r="M370" s="895">
        <v>0</v>
      </c>
      <c r="N370" s="895">
        <v>0</v>
      </c>
      <c r="O370" s="895">
        <v>0</v>
      </c>
      <c r="P370" s="895">
        <v>0</v>
      </c>
      <c r="Q370" s="895">
        <v>0</v>
      </c>
      <c r="R370" s="895">
        <v>0</v>
      </c>
      <c r="S370" s="896">
        <f t="shared" si="78"/>
        <v>0</v>
      </c>
      <c r="T370" s="879"/>
      <c r="U370" s="881"/>
      <c r="V370" s="881"/>
      <c r="W370" s="881">
        <f t="shared" si="82"/>
        <v>0</v>
      </c>
      <c r="X370" s="897"/>
      <c r="Y370" s="881"/>
      <c r="Z370" s="881"/>
      <c r="AA370" s="881"/>
      <c r="AB370" s="881"/>
      <c r="AC370" s="951">
        <f t="shared" si="83"/>
        <v>0</v>
      </c>
      <c r="AD370" s="879"/>
      <c r="AE370" s="879"/>
    </row>
    <row r="371" spans="1:31">
      <c r="A371" s="879">
        <f t="shared" si="76"/>
        <v>357</v>
      </c>
      <c r="B371" s="893" t="s">
        <v>1850</v>
      </c>
      <c r="C371" s="893" t="s">
        <v>669</v>
      </c>
      <c r="D371" s="893" t="s">
        <v>495</v>
      </c>
      <c r="E371" s="1007" t="s">
        <v>670</v>
      </c>
      <c r="F371" s="912">
        <v>0</v>
      </c>
      <c r="G371" s="912">
        <v>0</v>
      </c>
      <c r="H371" s="912">
        <v>0</v>
      </c>
      <c r="I371" s="912">
        <v>0</v>
      </c>
      <c r="J371" s="912">
        <v>0</v>
      </c>
      <c r="K371" s="912">
        <v>0</v>
      </c>
      <c r="L371" s="912">
        <v>0</v>
      </c>
      <c r="M371" s="912">
        <v>0</v>
      </c>
      <c r="N371" s="912">
        <v>0</v>
      </c>
      <c r="O371" s="912">
        <v>0</v>
      </c>
      <c r="P371" s="912">
        <v>0</v>
      </c>
      <c r="Q371" s="912">
        <v>0</v>
      </c>
      <c r="R371" s="912">
        <v>0</v>
      </c>
      <c r="S371" s="913">
        <f>((F371+R371)+((G371+H371+I371+J371+K371+L371+M371+N371+O371+P371+Q371)*2))/24</f>
        <v>0</v>
      </c>
      <c r="T371" s="879"/>
      <c r="U371" s="881"/>
      <c r="V371" s="881"/>
      <c r="W371" s="881">
        <f t="shared" si="82"/>
        <v>0</v>
      </c>
      <c r="X371" s="897"/>
      <c r="Y371" s="881"/>
      <c r="Z371" s="881"/>
      <c r="AA371" s="881"/>
      <c r="AB371" s="881"/>
      <c r="AC371" s="951">
        <f t="shared" si="83"/>
        <v>0</v>
      </c>
      <c r="AD371" s="879"/>
      <c r="AE371" s="879"/>
    </row>
    <row r="372" spans="1:31">
      <c r="A372" s="879">
        <f t="shared" si="76"/>
        <v>358</v>
      </c>
      <c r="B372" s="879"/>
      <c r="C372" s="879"/>
      <c r="D372" s="879"/>
      <c r="E372" s="918" t="s">
        <v>671</v>
      </c>
      <c r="F372" s="898">
        <f>SUM(F353:F371)</f>
        <v>-214589000</v>
      </c>
      <c r="G372" s="898">
        <f t="shared" ref="G372:S372" si="84">SUM(G353:G371)</f>
        <v>-212484879.81</v>
      </c>
      <c r="H372" s="898">
        <f t="shared" si="84"/>
        <v>-212445772.80000001</v>
      </c>
      <c r="I372" s="898">
        <f t="shared" si="84"/>
        <v>-212461137.19</v>
      </c>
      <c r="J372" s="898">
        <f t="shared" si="84"/>
        <v>-212472018.86000001</v>
      </c>
      <c r="K372" s="898">
        <f t="shared" si="84"/>
        <v>-212432900.53</v>
      </c>
      <c r="L372" s="898">
        <f t="shared" si="84"/>
        <v>-212443782.19999999</v>
      </c>
      <c r="M372" s="898">
        <f t="shared" si="84"/>
        <v>-212454663.87</v>
      </c>
      <c r="N372" s="898">
        <f t="shared" si="84"/>
        <v>-212447545.53999999</v>
      </c>
      <c r="O372" s="898">
        <f t="shared" si="84"/>
        <v>-212458427.21000001</v>
      </c>
      <c r="P372" s="898">
        <f t="shared" si="84"/>
        <v>-212469308.88</v>
      </c>
      <c r="Q372" s="898">
        <f t="shared" si="84"/>
        <v>-212480190.55000001</v>
      </c>
      <c r="R372" s="898">
        <f t="shared" si="84"/>
        <v>-212491072.22</v>
      </c>
      <c r="S372" s="899">
        <f t="shared" si="84"/>
        <v>-212549221.96250001</v>
      </c>
      <c r="T372" s="879"/>
      <c r="U372" s="881"/>
      <c r="V372" s="881"/>
      <c r="W372" s="881"/>
      <c r="X372" s="897"/>
      <c r="Y372" s="881"/>
      <c r="Z372" s="881"/>
      <c r="AA372" s="881"/>
      <c r="AB372" s="881"/>
      <c r="AC372" s="879"/>
      <c r="AD372" s="879"/>
      <c r="AE372" s="879"/>
    </row>
    <row r="373" spans="1:31">
      <c r="A373" s="879">
        <f t="shared" si="76"/>
        <v>359</v>
      </c>
      <c r="B373" s="879"/>
      <c r="C373" s="879"/>
      <c r="D373" s="879"/>
      <c r="E373" s="918"/>
      <c r="F373" s="895"/>
      <c r="G373" s="966"/>
      <c r="H373" s="942"/>
      <c r="I373" s="942"/>
      <c r="J373" s="943"/>
      <c r="K373" s="944"/>
      <c r="L373" s="945"/>
      <c r="M373" s="946"/>
      <c r="N373" s="947"/>
      <c r="O373" s="948"/>
      <c r="P373" s="949"/>
      <c r="Q373" s="967"/>
      <c r="R373" s="895"/>
      <c r="S373" s="896"/>
      <c r="T373" s="879"/>
      <c r="U373" s="881"/>
      <c r="V373" s="881"/>
      <c r="W373" s="881"/>
      <c r="X373" s="897"/>
      <c r="Y373" s="881"/>
      <c r="Z373" s="881"/>
      <c r="AA373" s="881"/>
      <c r="AB373" s="881"/>
      <c r="AC373" s="879"/>
      <c r="AD373" s="879"/>
      <c r="AE373" s="879"/>
    </row>
    <row r="374" spans="1:31">
      <c r="A374" s="879">
        <f t="shared" si="76"/>
        <v>360</v>
      </c>
      <c r="B374" s="893" t="s">
        <v>1850</v>
      </c>
      <c r="C374" s="893" t="s">
        <v>672</v>
      </c>
      <c r="D374" s="879" t="s">
        <v>389</v>
      </c>
      <c r="E374" s="918" t="s">
        <v>673</v>
      </c>
      <c r="F374" s="895">
        <v>0</v>
      </c>
      <c r="G374" s="895">
        <v>0</v>
      </c>
      <c r="H374" s="895">
        <v>0</v>
      </c>
      <c r="I374" s="895">
        <v>0</v>
      </c>
      <c r="J374" s="895">
        <v>0</v>
      </c>
      <c r="K374" s="895">
        <v>0</v>
      </c>
      <c r="L374" s="895">
        <v>0</v>
      </c>
      <c r="M374" s="895">
        <v>0</v>
      </c>
      <c r="N374" s="895">
        <v>0</v>
      </c>
      <c r="O374" s="895">
        <v>0</v>
      </c>
      <c r="P374" s="895">
        <v>0</v>
      </c>
      <c r="Q374" s="895">
        <v>0</v>
      </c>
      <c r="R374" s="895">
        <v>0</v>
      </c>
      <c r="S374" s="896">
        <f t="shared" si="78"/>
        <v>0</v>
      </c>
      <c r="T374" s="879"/>
      <c r="U374" s="881"/>
      <c r="V374" s="881"/>
      <c r="W374" s="881">
        <f t="shared" ref="W374:W375" si="85">+S374</f>
        <v>0</v>
      </c>
      <c r="X374" s="897"/>
      <c r="Y374" s="881"/>
      <c r="Z374" s="881"/>
      <c r="AA374" s="881"/>
      <c r="AB374" s="881"/>
      <c r="AC374" s="951">
        <f>+S374</f>
        <v>0</v>
      </c>
      <c r="AD374" s="879"/>
      <c r="AE374" s="879"/>
    </row>
    <row r="375" spans="1:31">
      <c r="A375" s="879">
        <f t="shared" si="76"/>
        <v>361</v>
      </c>
      <c r="B375" s="893" t="s">
        <v>1850</v>
      </c>
      <c r="C375" s="893" t="s">
        <v>674</v>
      </c>
      <c r="D375" s="893" t="s">
        <v>675</v>
      </c>
      <c r="E375" s="1007" t="s">
        <v>676</v>
      </c>
      <c r="F375" s="895">
        <v>0</v>
      </c>
      <c r="G375" s="895">
        <v>0</v>
      </c>
      <c r="H375" s="895">
        <v>0</v>
      </c>
      <c r="I375" s="895">
        <v>0</v>
      </c>
      <c r="J375" s="895">
        <v>0</v>
      </c>
      <c r="K375" s="895">
        <v>0</v>
      </c>
      <c r="L375" s="895">
        <v>0</v>
      </c>
      <c r="M375" s="895">
        <v>0</v>
      </c>
      <c r="N375" s="895">
        <v>0</v>
      </c>
      <c r="O375" s="895">
        <v>0</v>
      </c>
      <c r="P375" s="895">
        <v>0</v>
      </c>
      <c r="Q375" s="895">
        <v>0</v>
      </c>
      <c r="R375" s="895">
        <v>0</v>
      </c>
      <c r="S375" s="896">
        <f t="shared" si="78"/>
        <v>0</v>
      </c>
      <c r="T375" s="879"/>
      <c r="U375" s="881"/>
      <c r="V375" s="881"/>
      <c r="W375" s="881">
        <f t="shared" si="85"/>
        <v>0</v>
      </c>
      <c r="X375" s="897"/>
      <c r="Y375" s="881"/>
      <c r="Z375" s="881"/>
      <c r="AA375" s="881"/>
      <c r="AB375" s="881"/>
      <c r="AC375" s="951">
        <f>+S375</f>
        <v>0</v>
      </c>
      <c r="AD375" s="879"/>
      <c r="AE375" s="879"/>
    </row>
    <row r="376" spans="1:31">
      <c r="A376" s="879">
        <f t="shared" si="76"/>
        <v>362</v>
      </c>
      <c r="B376" s="879"/>
      <c r="C376" s="879"/>
      <c r="D376" s="879"/>
      <c r="E376" s="918"/>
      <c r="F376" s="895"/>
      <c r="G376" s="966"/>
      <c r="H376" s="942"/>
      <c r="I376" s="942"/>
      <c r="J376" s="943"/>
      <c r="K376" s="944"/>
      <c r="L376" s="945"/>
      <c r="M376" s="946"/>
      <c r="N376" s="947"/>
      <c r="O376" s="948"/>
      <c r="P376" s="949"/>
      <c r="Q376" s="967"/>
      <c r="R376" s="895"/>
      <c r="S376" s="896"/>
      <c r="T376" s="879"/>
      <c r="U376" s="881"/>
      <c r="V376" s="881"/>
      <c r="W376" s="881"/>
      <c r="X376" s="897"/>
      <c r="Y376" s="881"/>
      <c r="Z376" s="881"/>
      <c r="AA376" s="881"/>
      <c r="AB376" s="881"/>
      <c r="AC376" s="879"/>
      <c r="AD376" s="879"/>
      <c r="AE376" s="879"/>
    </row>
    <row r="377" spans="1:31">
      <c r="A377" s="879">
        <f t="shared" si="76"/>
        <v>363</v>
      </c>
      <c r="B377" s="893" t="s">
        <v>1850</v>
      </c>
      <c r="C377" s="893" t="s">
        <v>677</v>
      </c>
      <c r="D377" s="893" t="s">
        <v>585</v>
      </c>
      <c r="E377" s="918" t="s">
        <v>678</v>
      </c>
      <c r="F377" s="895">
        <v>-2632243.14</v>
      </c>
      <c r="G377" s="895">
        <v>-932061.88</v>
      </c>
      <c r="H377" s="895">
        <v>-1268442.46</v>
      </c>
      <c r="I377" s="895">
        <v>-1261061.97</v>
      </c>
      <c r="J377" s="895">
        <v>-2118018.4300000002</v>
      </c>
      <c r="K377" s="895">
        <v>-2776132.13</v>
      </c>
      <c r="L377" s="895">
        <v>-1910577.14</v>
      </c>
      <c r="M377" s="895">
        <v>-1163398.6100000001</v>
      </c>
      <c r="N377" s="895">
        <v>-2492662.4</v>
      </c>
      <c r="O377" s="895">
        <v>-2252485.5099999998</v>
      </c>
      <c r="P377" s="895">
        <v>-1248713.28</v>
      </c>
      <c r="Q377" s="895">
        <v>-1464995.91</v>
      </c>
      <c r="R377" s="895">
        <v>-3872593.05</v>
      </c>
      <c r="S377" s="896">
        <f t="shared" si="78"/>
        <v>-1845080.6512499999</v>
      </c>
      <c r="T377" s="879"/>
      <c r="U377" s="881"/>
      <c r="V377" s="881">
        <f t="shared" ref="V377:V390" si="86">+S377</f>
        <v>-1845080.6512499999</v>
      </c>
      <c r="W377" s="881"/>
      <c r="X377" s="897"/>
      <c r="Y377" s="881"/>
      <c r="Z377" s="881"/>
      <c r="AA377" s="881"/>
      <c r="AB377" s="881"/>
      <c r="AC377" s="879"/>
      <c r="AD377" s="951">
        <f t="shared" ref="AD377:AD391" si="87">+V377</f>
        <v>-1845080.6512499999</v>
      </c>
      <c r="AE377" s="879"/>
    </row>
    <row r="378" spans="1:31">
      <c r="A378" s="879">
        <f t="shared" si="76"/>
        <v>364</v>
      </c>
      <c r="B378" s="893" t="s">
        <v>1850</v>
      </c>
      <c r="C378" s="893" t="s">
        <v>679</v>
      </c>
      <c r="D378" s="893" t="s">
        <v>933</v>
      </c>
      <c r="E378" s="904" t="s">
        <v>934</v>
      </c>
      <c r="F378" s="895">
        <v>0</v>
      </c>
      <c r="G378" s="895">
        <v>0</v>
      </c>
      <c r="H378" s="895">
        <v>0</v>
      </c>
      <c r="I378" s="895">
        <v>0</v>
      </c>
      <c r="J378" s="895">
        <v>0</v>
      </c>
      <c r="K378" s="895">
        <v>-7174.24</v>
      </c>
      <c r="L378" s="895">
        <v>-47647.49</v>
      </c>
      <c r="M378" s="895">
        <v>-13364.19</v>
      </c>
      <c r="N378" s="895">
        <v>-123251.5</v>
      </c>
      <c r="O378" s="895">
        <v>-116359</v>
      </c>
      <c r="P378" s="895">
        <v>-110921.31</v>
      </c>
      <c r="Q378" s="895">
        <v>-20605.52</v>
      </c>
      <c r="R378" s="895">
        <v>-196293.75</v>
      </c>
      <c r="S378" s="896">
        <f t="shared" si="78"/>
        <v>-44789.177083333336</v>
      </c>
      <c r="T378" s="879"/>
      <c r="U378" s="881"/>
      <c r="V378" s="881">
        <f t="shared" si="86"/>
        <v>-44789.177083333336</v>
      </c>
      <c r="W378" s="881"/>
      <c r="X378" s="897"/>
      <c r="Y378" s="881"/>
      <c r="Z378" s="881"/>
      <c r="AA378" s="881"/>
      <c r="AB378" s="881"/>
      <c r="AC378" s="879"/>
      <c r="AD378" s="951">
        <f t="shared" si="87"/>
        <v>-44789.177083333336</v>
      </c>
      <c r="AE378" s="879"/>
    </row>
    <row r="379" spans="1:31">
      <c r="A379" s="879">
        <f t="shared" si="76"/>
        <v>365</v>
      </c>
      <c r="B379" s="893" t="s">
        <v>1850</v>
      </c>
      <c r="C379" s="893" t="s">
        <v>679</v>
      </c>
      <c r="D379" s="893" t="s">
        <v>2207</v>
      </c>
      <c r="E379" s="918" t="s">
        <v>680</v>
      </c>
      <c r="F379" s="895">
        <v>-18234135.59</v>
      </c>
      <c r="G379" s="895">
        <v>-19391764.940000001</v>
      </c>
      <c r="H379" s="895">
        <v>-13030468.84</v>
      </c>
      <c r="I379" s="895">
        <v>-11601271.02</v>
      </c>
      <c r="J379" s="895">
        <v>-8766764.0800000001</v>
      </c>
      <c r="K379" s="895">
        <v>-7374700.1100000003</v>
      </c>
      <c r="L379" s="895">
        <v>-6311789.5599999996</v>
      </c>
      <c r="M379" s="895">
        <v>-7758729.8399999999</v>
      </c>
      <c r="N379" s="895">
        <v>-8119312.1200000001</v>
      </c>
      <c r="O379" s="895">
        <v>-8761209.8200000003</v>
      </c>
      <c r="P379" s="895">
        <v>-9979998.6999999993</v>
      </c>
      <c r="Q379" s="895">
        <v>-14927334.35</v>
      </c>
      <c r="R379" s="895">
        <v>-22858356.27</v>
      </c>
      <c r="S379" s="896">
        <f t="shared" si="78"/>
        <v>-11380799.109166667</v>
      </c>
      <c r="T379" s="879"/>
      <c r="U379" s="881"/>
      <c r="V379" s="881">
        <f t="shared" si="86"/>
        <v>-11380799.109166667</v>
      </c>
      <c r="W379" s="881"/>
      <c r="X379" s="897"/>
      <c r="Y379" s="881"/>
      <c r="Z379" s="881"/>
      <c r="AA379" s="881"/>
      <c r="AB379" s="881"/>
      <c r="AC379" s="879"/>
      <c r="AD379" s="951">
        <f t="shared" si="87"/>
        <v>-11380799.109166667</v>
      </c>
      <c r="AE379" s="879"/>
    </row>
    <row r="380" spans="1:31">
      <c r="A380" s="879">
        <f t="shared" si="76"/>
        <v>366</v>
      </c>
      <c r="B380" s="893" t="s">
        <v>1850</v>
      </c>
      <c r="C380" s="893" t="s">
        <v>679</v>
      </c>
      <c r="D380" s="893" t="s">
        <v>439</v>
      </c>
      <c r="E380" s="1008" t="s">
        <v>681</v>
      </c>
      <c r="F380" s="895">
        <v>0</v>
      </c>
      <c r="G380" s="895">
        <v>0</v>
      </c>
      <c r="H380" s="895">
        <v>0</v>
      </c>
      <c r="I380" s="895">
        <v>0</v>
      </c>
      <c r="J380" s="895">
        <v>0</v>
      </c>
      <c r="K380" s="895">
        <v>0</v>
      </c>
      <c r="L380" s="895">
        <v>0</v>
      </c>
      <c r="M380" s="895">
        <v>0</v>
      </c>
      <c r="N380" s="895">
        <v>0</v>
      </c>
      <c r="O380" s="895">
        <v>0</v>
      </c>
      <c r="P380" s="895">
        <v>0</v>
      </c>
      <c r="Q380" s="895">
        <v>0</v>
      </c>
      <c r="R380" s="895">
        <v>0</v>
      </c>
      <c r="S380" s="896">
        <f t="shared" si="78"/>
        <v>0</v>
      </c>
      <c r="T380" s="879"/>
      <c r="U380" s="881"/>
      <c r="V380" s="881">
        <f t="shared" si="86"/>
        <v>0</v>
      </c>
      <c r="W380" s="881"/>
      <c r="X380" s="897"/>
      <c r="Y380" s="881"/>
      <c r="Z380" s="881"/>
      <c r="AA380" s="881"/>
      <c r="AB380" s="881"/>
      <c r="AC380" s="879"/>
      <c r="AD380" s="951">
        <f t="shared" si="87"/>
        <v>0</v>
      </c>
      <c r="AE380" s="879"/>
    </row>
    <row r="381" spans="1:31">
      <c r="A381" s="879">
        <f t="shared" si="76"/>
        <v>367</v>
      </c>
      <c r="B381" s="893" t="s">
        <v>1850</v>
      </c>
      <c r="C381" s="893" t="s">
        <v>679</v>
      </c>
      <c r="D381" s="893" t="s">
        <v>2208</v>
      </c>
      <c r="E381" s="1008" t="s">
        <v>682</v>
      </c>
      <c r="F381" s="895">
        <v>0</v>
      </c>
      <c r="G381" s="895">
        <v>0</v>
      </c>
      <c r="H381" s="895">
        <v>0</v>
      </c>
      <c r="I381" s="895">
        <v>0</v>
      </c>
      <c r="J381" s="895">
        <v>0</v>
      </c>
      <c r="K381" s="895">
        <v>0</v>
      </c>
      <c r="L381" s="895">
        <v>0</v>
      </c>
      <c r="M381" s="895">
        <v>0</v>
      </c>
      <c r="N381" s="895">
        <v>0</v>
      </c>
      <c r="O381" s="895">
        <v>0</v>
      </c>
      <c r="P381" s="895">
        <v>0</v>
      </c>
      <c r="Q381" s="895">
        <v>0</v>
      </c>
      <c r="R381" s="895">
        <v>-1209848.1399999999</v>
      </c>
      <c r="S381" s="896">
        <f t="shared" si="78"/>
        <v>-50410.339166666665</v>
      </c>
      <c r="T381" s="879"/>
      <c r="U381" s="881"/>
      <c r="V381" s="881">
        <f t="shared" si="86"/>
        <v>-50410.339166666665</v>
      </c>
      <c r="W381" s="881"/>
      <c r="X381" s="897"/>
      <c r="Y381" s="881"/>
      <c r="Z381" s="881"/>
      <c r="AA381" s="881"/>
      <c r="AB381" s="881"/>
      <c r="AC381" s="879"/>
      <c r="AD381" s="951">
        <f t="shared" si="87"/>
        <v>-50410.339166666665</v>
      </c>
      <c r="AE381" s="879"/>
    </row>
    <row r="382" spans="1:31">
      <c r="A382" s="879">
        <f t="shared" si="76"/>
        <v>368</v>
      </c>
      <c r="B382" s="893" t="s">
        <v>1850</v>
      </c>
      <c r="C382" s="893" t="s">
        <v>679</v>
      </c>
      <c r="D382" s="893" t="s">
        <v>2209</v>
      </c>
      <c r="E382" s="918" t="s">
        <v>683</v>
      </c>
      <c r="F382" s="895">
        <v>0</v>
      </c>
      <c r="G382" s="895">
        <v>0</v>
      </c>
      <c r="H382" s="895">
        <v>0</v>
      </c>
      <c r="I382" s="895">
        <v>0</v>
      </c>
      <c r="J382" s="895">
        <v>0</v>
      </c>
      <c r="K382" s="895">
        <v>0</v>
      </c>
      <c r="L382" s="895">
        <v>0</v>
      </c>
      <c r="M382" s="895">
        <v>0</v>
      </c>
      <c r="N382" s="895">
        <v>0</v>
      </c>
      <c r="O382" s="895">
        <v>0</v>
      </c>
      <c r="P382" s="895">
        <v>0</v>
      </c>
      <c r="Q382" s="895">
        <v>0</v>
      </c>
      <c r="R382" s="895">
        <v>-359559.65</v>
      </c>
      <c r="S382" s="896">
        <f t="shared" si="78"/>
        <v>-14981.652083333334</v>
      </c>
      <c r="T382" s="879"/>
      <c r="U382" s="881"/>
      <c r="V382" s="881">
        <f t="shared" si="86"/>
        <v>-14981.652083333334</v>
      </c>
      <c r="W382" s="881"/>
      <c r="X382" s="897"/>
      <c r="Y382" s="881"/>
      <c r="Z382" s="881"/>
      <c r="AA382" s="881"/>
      <c r="AB382" s="881"/>
      <c r="AC382" s="879"/>
      <c r="AD382" s="951">
        <f t="shared" si="87"/>
        <v>-14981.652083333334</v>
      </c>
      <c r="AE382" s="879"/>
    </row>
    <row r="383" spans="1:31">
      <c r="A383" s="879">
        <f t="shared" si="76"/>
        <v>369</v>
      </c>
      <c r="B383" s="893" t="s">
        <v>1850</v>
      </c>
      <c r="C383" s="893" t="s">
        <v>679</v>
      </c>
      <c r="D383" s="893" t="s">
        <v>2210</v>
      </c>
      <c r="E383" s="918" t="s">
        <v>683</v>
      </c>
      <c r="F383" s="895">
        <v>-1438.53</v>
      </c>
      <c r="G383" s="895">
        <v>0</v>
      </c>
      <c r="H383" s="895">
        <v>-3313.53</v>
      </c>
      <c r="I383" s="895">
        <v>-2109.54</v>
      </c>
      <c r="J383" s="895">
        <v>0</v>
      </c>
      <c r="K383" s="895">
        <v>-3496.21</v>
      </c>
      <c r="L383" s="895">
        <v>-2220.6</v>
      </c>
      <c r="M383" s="895">
        <v>-4.5474735088646402E-13</v>
      </c>
      <c r="N383" s="895">
        <v>-8836.08</v>
      </c>
      <c r="O383" s="895">
        <v>-5388.41</v>
      </c>
      <c r="P383" s="895">
        <v>-4445.25</v>
      </c>
      <c r="Q383" s="895">
        <v>-22386.65</v>
      </c>
      <c r="R383" s="895">
        <v>0</v>
      </c>
      <c r="S383" s="896">
        <f t="shared" si="78"/>
        <v>-4409.6279166666673</v>
      </c>
      <c r="T383" s="879"/>
      <c r="U383" s="881"/>
      <c r="V383" s="881">
        <f t="shared" si="86"/>
        <v>-4409.6279166666673</v>
      </c>
      <c r="W383" s="881"/>
      <c r="X383" s="897"/>
      <c r="Y383" s="881"/>
      <c r="Z383" s="881"/>
      <c r="AA383" s="881"/>
      <c r="AB383" s="881"/>
      <c r="AC383" s="879"/>
      <c r="AD383" s="951">
        <f t="shared" si="87"/>
        <v>-4409.6279166666673</v>
      </c>
      <c r="AE383" s="879"/>
    </row>
    <row r="384" spans="1:31">
      <c r="A384" s="879">
        <f t="shared" si="76"/>
        <v>370</v>
      </c>
      <c r="B384" s="893" t="s">
        <v>1850</v>
      </c>
      <c r="C384" s="893" t="s">
        <v>679</v>
      </c>
      <c r="D384" s="893" t="s">
        <v>2211</v>
      </c>
      <c r="E384" s="918" t="s">
        <v>684</v>
      </c>
      <c r="F384" s="895">
        <v>-104.26</v>
      </c>
      <c r="G384" s="895">
        <v>-104.26</v>
      </c>
      <c r="H384" s="895">
        <v>5180.18</v>
      </c>
      <c r="I384" s="895">
        <v>-104.26</v>
      </c>
      <c r="J384" s="895">
        <v>-104.26</v>
      </c>
      <c r="K384" s="895">
        <v>-104.26</v>
      </c>
      <c r="L384" s="895">
        <v>-104.26</v>
      </c>
      <c r="M384" s="895">
        <v>-104.26</v>
      </c>
      <c r="N384" s="895">
        <v>-104.26</v>
      </c>
      <c r="O384" s="895">
        <v>-104.26</v>
      </c>
      <c r="P384" s="895">
        <v>-753.17</v>
      </c>
      <c r="Q384" s="895">
        <v>-2.2737367544323201E-13</v>
      </c>
      <c r="R384" s="895">
        <v>-2.2737367544323201E-13</v>
      </c>
      <c r="S384" s="896">
        <f t="shared" si="78"/>
        <v>295.06666666666655</v>
      </c>
      <c r="T384" s="879"/>
      <c r="U384" s="881"/>
      <c r="V384" s="881">
        <f t="shared" si="86"/>
        <v>295.06666666666655</v>
      </c>
      <c r="W384" s="881"/>
      <c r="X384" s="897"/>
      <c r="Y384" s="881"/>
      <c r="Z384" s="881"/>
      <c r="AA384" s="881"/>
      <c r="AB384" s="881"/>
      <c r="AC384" s="879"/>
      <c r="AD384" s="951">
        <f t="shared" si="87"/>
        <v>295.06666666666655</v>
      </c>
      <c r="AE384" s="879"/>
    </row>
    <row r="385" spans="1:31">
      <c r="A385" s="879">
        <f t="shared" si="76"/>
        <v>371</v>
      </c>
      <c r="B385" s="893" t="s">
        <v>1850</v>
      </c>
      <c r="C385" s="893" t="s">
        <v>679</v>
      </c>
      <c r="D385" s="893" t="s">
        <v>2212</v>
      </c>
      <c r="E385" s="918" t="s">
        <v>684</v>
      </c>
      <c r="F385" s="895">
        <v>0</v>
      </c>
      <c r="G385" s="895">
        <v>0</v>
      </c>
      <c r="H385" s="895">
        <v>0</v>
      </c>
      <c r="I385" s="895">
        <v>-98099.37</v>
      </c>
      <c r="J385" s="895">
        <v>-99583.64</v>
      </c>
      <c r="K385" s="895">
        <v>-1108.1600000000001</v>
      </c>
      <c r="L385" s="895">
        <v>-3.4106051316484801E-12</v>
      </c>
      <c r="M385" s="895">
        <v>91.109999999996603</v>
      </c>
      <c r="N385" s="895">
        <v>-101305.1</v>
      </c>
      <c r="O385" s="895">
        <v>-100156</v>
      </c>
      <c r="P385" s="895">
        <v>-173.27000000000399</v>
      </c>
      <c r="Q385" s="895">
        <v>89.779999999995894</v>
      </c>
      <c r="R385" s="895">
        <v>-1553.04</v>
      </c>
      <c r="S385" s="896">
        <f t="shared" si="78"/>
        <v>-33418.430833333339</v>
      </c>
      <c r="T385" s="879"/>
      <c r="U385" s="881"/>
      <c r="V385" s="881">
        <f t="shared" si="86"/>
        <v>-33418.430833333339</v>
      </c>
      <c r="W385" s="881"/>
      <c r="X385" s="897"/>
      <c r="Y385" s="881"/>
      <c r="Z385" s="881"/>
      <c r="AA385" s="881"/>
      <c r="AB385" s="881"/>
      <c r="AC385" s="879"/>
      <c r="AD385" s="951">
        <f t="shared" si="87"/>
        <v>-33418.430833333339</v>
      </c>
      <c r="AE385" s="879"/>
    </row>
    <row r="386" spans="1:31">
      <c r="A386" s="879">
        <f t="shared" si="76"/>
        <v>372</v>
      </c>
      <c r="B386" s="893" t="s">
        <v>1850</v>
      </c>
      <c r="C386" s="893" t="s">
        <v>679</v>
      </c>
      <c r="D386" s="893" t="s">
        <v>2213</v>
      </c>
      <c r="E386" s="918" t="s">
        <v>684</v>
      </c>
      <c r="F386" s="895">
        <v>-5789.32</v>
      </c>
      <c r="G386" s="895">
        <v>-6852.53</v>
      </c>
      <c r="H386" s="895">
        <v>-1104.49</v>
      </c>
      <c r="I386" s="895">
        <v>5570.13</v>
      </c>
      <c r="J386" s="895">
        <v>10686.28</v>
      </c>
      <c r="K386" s="895">
        <v>13851.96</v>
      </c>
      <c r="L386" s="895">
        <v>14799.02</v>
      </c>
      <c r="M386" s="895">
        <v>11563.53</v>
      </c>
      <c r="N386" s="895">
        <v>4938.68</v>
      </c>
      <c r="O386" s="895">
        <v>2997.03</v>
      </c>
      <c r="P386" s="895">
        <v>-2219.7800000000002</v>
      </c>
      <c r="Q386" s="895">
        <v>-7747.42</v>
      </c>
      <c r="R386" s="895">
        <v>-11458.22</v>
      </c>
      <c r="S386" s="896">
        <f t="shared" si="78"/>
        <v>3154.8866666666668</v>
      </c>
      <c r="T386" s="879"/>
      <c r="U386" s="881"/>
      <c r="V386" s="881">
        <f t="shared" si="86"/>
        <v>3154.8866666666668</v>
      </c>
      <c r="W386" s="881"/>
      <c r="X386" s="897"/>
      <c r="Y386" s="881"/>
      <c r="Z386" s="881"/>
      <c r="AA386" s="881"/>
      <c r="AB386" s="881"/>
      <c r="AC386" s="879"/>
      <c r="AD386" s="951">
        <f t="shared" si="87"/>
        <v>3154.8866666666668</v>
      </c>
      <c r="AE386" s="879"/>
    </row>
    <row r="387" spans="1:31">
      <c r="A387" s="879">
        <f t="shared" si="76"/>
        <v>373</v>
      </c>
      <c r="B387" s="893" t="s">
        <v>1850</v>
      </c>
      <c r="C387" s="893" t="s">
        <v>679</v>
      </c>
      <c r="D387" s="893" t="s">
        <v>2214</v>
      </c>
      <c r="E387" s="918" t="s">
        <v>684</v>
      </c>
      <c r="F387" s="895">
        <v>0</v>
      </c>
      <c r="G387" s="895">
        <v>0</v>
      </c>
      <c r="H387" s="895">
        <v>-200</v>
      </c>
      <c r="I387" s="895">
        <v>-500</v>
      </c>
      <c r="J387" s="895">
        <v>0</v>
      </c>
      <c r="K387" s="895">
        <v>-200</v>
      </c>
      <c r="L387" s="895">
        <v>-400</v>
      </c>
      <c r="M387" s="895">
        <v>0</v>
      </c>
      <c r="N387" s="895">
        <v>-300</v>
      </c>
      <c r="O387" s="895">
        <v>-500</v>
      </c>
      <c r="P387" s="895">
        <v>0</v>
      </c>
      <c r="Q387" s="895">
        <v>-200</v>
      </c>
      <c r="R387" s="895">
        <v>0</v>
      </c>
      <c r="S387" s="896">
        <f t="shared" si="78"/>
        <v>-191.66666666666666</v>
      </c>
      <c r="T387" s="879"/>
      <c r="U387" s="881"/>
      <c r="V387" s="881">
        <f t="shared" si="86"/>
        <v>-191.66666666666666</v>
      </c>
      <c r="W387" s="881"/>
      <c r="X387" s="897"/>
      <c r="Y387" s="881"/>
      <c r="Z387" s="881"/>
      <c r="AA387" s="881"/>
      <c r="AB387" s="881"/>
      <c r="AC387" s="879"/>
      <c r="AD387" s="951">
        <f t="shared" si="87"/>
        <v>-191.66666666666666</v>
      </c>
      <c r="AE387" s="879"/>
    </row>
    <row r="388" spans="1:31">
      <c r="A388" s="879">
        <f t="shared" si="76"/>
        <v>374</v>
      </c>
      <c r="B388" s="893" t="s">
        <v>1850</v>
      </c>
      <c r="C388" s="893" t="s">
        <v>679</v>
      </c>
      <c r="D388" s="893" t="s">
        <v>2215</v>
      </c>
      <c r="E388" s="918" t="s">
        <v>684</v>
      </c>
      <c r="F388" s="895">
        <v>9.0949470177292804E-13</v>
      </c>
      <c r="G388" s="895">
        <v>-75</v>
      </c>
      <c r="H388" s="895">
        <v>6601.04</v>
      </c>
      <c r="I388" s="895">
        <v>-75</v>
      </c>
      <c r="J388" s="895">
        <v>-75</v>
      </c>
      <c r="K388" s="895">
        <v>0</v>
      </c>
      <c r="L388" s="895">
        <v>0</v>
      </c>
      <c r="M388" s="895">
        <v>0</v>
      </c>
      <c r="N388" s="895">
        <v>0</v>
      </c>
      <c r="O388" s="895">
        <v>0</v>
      </c>
      <c r="P388" s="895">
        <v>0</v>
      </c>
      <c r="Q388" s="895">
        <v>0</v>
      </c>
      <c r="R388" s="895">
        <v>0</v>
      </c>
      <c r="S388" s="896">
        <f t="shared" si="78"/>
        <v>531.3366666666667</v>
      </c>
      <c r="T388" s="879"/>
      <c r="U388" s="881"/>
      <c r="V388" s="881">
        <f t="shared" si="86"/>
        <v>531.3366666666667</v>
      </c>
      <c r="W388" s="881"/>
      <c r="X388" s="897"/>
      <c r="Y388" s="881"/>
      <c r="Z388" s="881"/>
      <c r="AA388" s="881"/>
      <c r="AB388" s="881"/>
      <c r="AC388" s="879"/>
      <c r="AD388" s="951">
        <f t="shared" si="87"/>
        <v>531.3366666666667</v>
      </c>
      <c r="AE388" s="879"/>
    </row>
    <row r="389" spans="1:31">
      <c r="A389" s="879">
        <f t="shared" si="76"/>
        <v>375</v>
      </c>
      <c r="B389" s="893" t="s">
        <v>1850</v>
      </c>
      <c r="C389" s="893" t="s">
        <v>679</v>
      </c>
      <c r="D389" s="893" t="s">
        <v>2216</v>
      </c>
      <c r="E389" s="918" t="s">
        <v>684</v>
      </c>
      <c r="F389" s="895">
        <v>0</v>
      </c>
      <c r="G389" s="895">
        <v>0</v>
      </c>
      <c r="H389" s="895">
        <v>0</v>
      </c>
      <c r="I389" s="895">
        <v>-19363.25</v>
      </c>
      <c r="J389" s="895">
        <v>-19619.259999999998</v>
      </c>
      <c r="K389" s="895">
        <v>-106.07999999999799</v>
      </c>
      <c r="L389" s="895">
        <v>1.8900436771218701E-12</v>
      </c>
      <c r="M389" s="895">
        <v>1.8900436771218701E-12</v>
      </c>
      <c r="N389" s="895">
        <v>-20012.84</v>
      </c>
      <c r="O389" s="895">
        <v>-20827.53</v>
      </c>
      <c r="P389" s="895">
        <v>3.6379788070917101E-12</v>
      </c>
      <c r="Q389" s="895">
        <v>3.6379788070917101E-12</v>
      </c>
      <c r="R389" s="895">
        <v>3.6379788070917101E-12</v>
      </c>
      <c r="S389" s="896">
        <f t="shared" si="78"/>
        <v>-6660.746666666666</v>
      </c>
      <c r="T389" s="879"/>
      <c r="U389" s="881"/>
      <c r="V389" s="881">
        <f t="shared" si="86"/>
        <v>-6660.746666666666</v>
      </c>
      <c r="W389" s="881"/>
      <c r="X389" s="897"/>
      <c r="Y389" s="881"/>
      <c r="Z389" s="881"/>
      <c r="AA389" s="881"/>
      <c r="AB389" s="881"/>
      <c r="AC389" s="879"/>
      <c r="AD389" s="951">
        <f t="shared" si="87"/>
        <v>-6660.746666666666</v>
      </c>
      <c r="AE389" s="879"/>
    </row>
    <row r="390" spans="1:31">
      <c r="A390" s="879">
        <f t="shared" si="76"/>
        <v>376</v>
      </c>
      <c r="B390" s="893" t="s">
        <v>1850</v>
      </c>
      <c r="C390" s="893" t="s">
        <v>685</v>
      </c>
      <c r="D390" s="893" t="s">
        <v>585</v>
      </c>
      <c r="E390" s="918" t="s">
        <v>686</v>
      </c>
      <c r="F390" s="895">
        <v>-145487</v>
      </c>
      <c r="G390" s="895">
        <v>-76962.429999999993</v>
      </c>
      <c r="H390" s="895">
        <v>-199193.18</v>
      </c>
      <c r="I390" s="895">
        <v>-540960.78</v>
      </c>
      <c r="J390" s="895">
        <v>-479413.69</v>
      </c>
      <c r="K390" s="895">
        <v>-230955.63</v>
      </c>
      <c r="L390" s="895">
        <v>-394986.89</v>
      </c>
      <c r="M390" s="895">
        <v>-261650.2</v>
      </c>
      <c r="N390" s="895">
        <v>-142219.95000000001</v>
      </c>
      <c r="O390" s="895">
        <v>-620952.82999999996</v>
      </c>
      <c r="P390" s="895">
        <v>-390564.37</v>
      </c>
      <c r="Q390" s="895">
        <v>-307623.27</v>
      </c>
      <c r="R390" s="895">
        <v>-253348.6</v>
      </c>
      <c r="S390" s="896">
        <f t="shared" si="78"/>
        <v>-320408.41833333339</v>
      </c>
      <c r="T390" s="879"/>
      <c r="U390" s="881"/>
      <c r="V390" s="881">
        <f t="shared" si="86"/>
        <v>-320408.41833333339</v>
      </c>
      <c r="W390" s="881"/>
      <c r="X390" s="897"/>
      <c r="Y390" s="881"/>
      <c r="Z390" s="881"/>
      <c r="AA390" s="881"/>
      <c r="AB390" s="881"/>
      <c r="AC390" s="879"/>
      <c r="AD390" s="951">
        <f t="shared" si="87"/>
        <v>-320408.41833333339</v>
      </c>
      <c r="AE390" s="879"/>
    </row>
    <row r="391" spans="1:31">
      <c r="A391" s="879">
        <f t="shared" si="76"/>
        <v>377</v>
      </c>
      <c r="B391" s="879"/>
      <c r="C391" s="879"/>
      <c r="D391" s="879"/>
      <c r="E391" s="918"/>
      <c r="F391" s="895"/>
      <c r="G391" s="966"/>
      <c r="H391" s="942"/>
      <c r="I391" s="942"/>
      <c r="J391" s="943"/>
      <c r="K391" s="944"/>
      <c r="L391" s="945"/>
      <c r="M391" s="946"/>
      <c r="N391" s="947"/>
      <c r="O391" s="948"/>
      <c r="P391" s="949"/>
      <c r="Q391" s="967"/>
      <c r="R391" s="895"/>
      <c r="S391" s="896"/>
      <c r="T391" s="879"/>
      <c r="U391" s="881"/>
      <c r="V391" s="881"/>
      <c r="W391" s="881"/>
      <c r="X391" s="897"/>
      <c r="Y391" s="881"/>
      <c r="Z391" s="881"/>
      <c r="AA391" s="881"/>
      <c r="AB391" s="881"/>
      <c r="AC391" s="879"/>
      <c r="AD391" s="951">
        <f t="shared" si="87"/>
        <v>0</v>
      </c>
      <c r="AE391" s="879"/>
    </row>
    <row r="392" spans="1:31">
      <c r="A392" s="879">
        <f t="shared" si="76"/>
        <v>378</v>
      </c>
      <c r="B392" s="893" t="s">
        <v>1850</v>
      </c>
      <c r="C392" s="893" t="s">
        <v>687</v>
      </c>
      <c r="D392" s="893" t="s">
        <v>443</v>
      </c>
      <c r="E392" s="1009" t="s">
        <v>688</v>
      </c>
      <c r="F392" s="895">
        <v>-1402673.36</v>
      </c>
      <c r="G392" s="895">
        <v>-1464534.48</v>
      </c>
      <c r="H392" s="895">
        <v>-1369348.79</v>
      </c>
      <c r="I392" s="895">
        <v>-1023239.36</v>
      </c>
      <c r="J392" s="895">
        <v>-717549.77</v>
      </c>
      <c r="K392" s="895">
        <v>-1269623.98</v>
      </c>
      <c r="L392" s="895">
        <v>-1166708.32</v>
      </c>
      <c r="M392" s="895">
        <v>-995927.74</v>
      </c>
      <c r="N392" s="895">
        <v>-1394534.21</v>
      </c>
      <c r="O392" s="895">
        <v>-1382782.44</v>
      </c>
      <c r="P392" s="895">
        <v>-1355123.03</v>
      </c>
      <c r="Q392" s="895">
        <v>-1250012.98</v>
      </c>
      <c r="R392" s="895">
        <v>-1360877.86</v>
      </c>
      <c r="S392" s="896">
        <f t="shared" si="78"/>
        <v>-1230930.0591666668</v>
      </c>
      <c r="T392" s="879"/>
      <c r="U392" s="881"/>
      <c r="V392" s="881"/>
      <c r="W392" s="881"/>
      <c r="X392" s="897">
        <f>+S392</f>
        <v>-1230930.0591666668</v>
      </c>
      <c r="Y392" s="881"/>
      <c r="Z392" s="881"/>
      <c r="AA392" s="881"/>
      <c r="AB392" s="881">
        <f t="shared" ref="AB392:AB402" si="88">+S392</f>
        <v>-1230930.0591666668</v>
      </c>
      <c r="AC392" s="879"/>
      <c r="AD392" s="951"/>
      <c r="AE392" s="879"/>
    </row>
    <row r="393" spans="1:31">
      <c r="A393" s="879">
        <f t="shared" si="76"/>
        <v>379</v>
      </c>
      <c r="B393" s="893" t="s">
        <v>1850</v>
      </c>
      <c r="C393" s="893" t="s">
        <v>687</v>
      </c>
      <c r="D393" s="893" t="s">
        <v>2217</v>
      </c>
      <c r="E393" s="918" t="s">
        <v>689</v>
      </c>
      <c r="F393" s="895">
        <v>-53</v>
      </c>
      <c r="G393" s="895">
        <v>-69984.800000000003</v>
      </c>
      <c r="H393" s="895">
        <v>-1668.96000000001</v>
      </c>
      <c r="I393" s="895">
        <v>-20311.650000000001</v>
      </c>
      <c r="J393" s="895">
        <v>-16.1500000000051</v>
      </c>
      <c r="K393" s="895">
        <v>-166.51000000000499</v>
      </c>
      <c r="L393" s="895">
        <v>-36005.4</v>
      </c>
      <c r="M393" s="895">
        <v>-200</v>
      </c>
      <c r="N393" s="895">
        <v>-1627.61</v>
      </c>
      <c r="O393" s="895">
        <v>-37814.57</v>
      </c>
      <c r="P393" s="895">
        <v>-10.75</v>
      </c>
      <c r="Q393" s="895">
        <v>-169061.22</v>
      </c>
      <c r="R393" s="895">
        <v>-13112.75</v>
      </c>
      <c r="S393" s="896">
        <f t="shared" si="78"/>
        <v>-28620.874583333334</v>
      </c>
      <c r="T393" s="879"/>
      <c r="U393" s="881"/>
      <c r="V393" s="881"/>
      <c r="W393" s="881"/>
      <c r="X393" s="897">
        <f t="shared" ref="X393:X402" si="89">+S393</f>
        <v>-28620.874583333334</v>
      </c>
      <c r="Y393" s="881"/>
      <c r="Z393" s="881"/>
      <c r="AA393" s="881"/>
      <c r="AB393" s="881">
        <f t="shared" si="88"/>
        <v>-28620.874583333334</v>
      </c>
      <c r="AC393" s="879"/>
      <c r="AD393" s="951"/>
      <c r="AE393" s="879"/>
    </row>
    <row r="394" spans="1:31">
      <c r="A394" s="879">
        <f t="shared" si="76"/>
        <v>380</v>
      </c>
      <c r="B394" s="893" t="s">
        <v>1850</v>
      </c>
      <c r="C394" s="893" t="s">
        <v>687</v>
      </c>
      <c r="D394" s="893" t="s">
        <v>2218</v>
      </c>
      <c r="E394" s="918" t="s">
        <v>690</v>
      </c>
      <c r="F394" s="895">
        <v>-4.5474735088646402E-13</v>
      </c>
      <c r="G394" s="895">
        <v>0</v>
      </c>
      <c r="H394" s="895">
        <v>0</v>
      </c>
      <c r="I394" s="895">
        <v>0</v>
      </c>
      <c r="J394" s="895">
        <v>0</v>
      </c>
      <c r="K394" s="895">
        <v>-1848.77</v>
      </c>
      <c r="L394" s="895">
        <v>-660</v>
      </c>
      <c r="M394" s="895">
        <v>0</v>
      </c>
      <c r="N394" s="895">
        <v>-68.540000000000006</v>
      </c>
      <c r="O394" s="895">
        <v>-11829.4</v>
      </c>
      <c r="P394" s="895">
        <v>-8160</v>
      </c>
      <c r="Q394" s="895">
        <v>-1.8189894035458601E-12</v>
      </c>
      <c r="R394" s="895">
        <v>-1.8189894035458601E-12</v>
      </c>
      <c r="S394" s="896">
        <f t="shared" si="78"/>
        <v>-1880.5591666666667</v>
      </c>
      <c r="T394" s="879"/>
      <c r="U394" s="881"/>
      <c r="V394" s="881"/>
      <c r="W394" s="881"/>
      <c r="X394" s="897">
        <f t="shared" si="89"/>
        <v>-1880.5591666666667</v>
      </c>
      <c r="Y394" s="881"/>
      <c r="Z394" s="881"/>
      <c r="AA394" s="881"/>
      <c r="AB394" s="881">
        <f t="shared" si="88"/>
        <v>-1880.5591666666667</v>
      </c>
      <c r="AC394" s="879"/>
      <c r="AD394" s="951"/>
      <c r="AE394" s="879"/>
    </row>
    <row r="395" spans="1:31">
      <c r="A395" s="879">
        <f t="shared" si="76"/>
        <v>381</v>
      </c>
      <c r="B395" s="893" t="s">
        <v>1850</v>
      </c>
      <c r="C395" s="893" t="s">
        <v>687</v>
      </c>
      <c r="D395" s="893" t="s">
        <v>691</v>
      </c>
      <c r="E395" s="1009" t="s">
        <v>692</v>
      </c>
      <c r="F395" s="895">
        <v>-7399.48</v>
      </c>
      <c r="G395" s="895">
        <v>-306.61</v>
      </c>
      <c r="H395" s="895">
        <v>-386.41</v>
      </c>
      <c r="I395" s="895">
        <v>-1679.64</v>
      </c>
      <c r="J395" s="895">
        <v>4.5474735088646402E-13</v>
      </c>
      <c r="K395" s="895">
        <v>-1189.6500000000001</v>
      </c>
      <c r="L395" s="895">
        <v>4.5474735088646402E-13</v>
      </c>
      <c r="M395" s="895">
        <v>-562.83000000000004</v>
      </c>
      <c r="N395" s="895">
        <v>4.5474735088646402E-13</v>
      </c>
      <c r="O395" s="895">
        <v>-1156.43</v>
      </c>
      <c r="P395" s="895">
        <v>4.5474735088646402E-13</v>
      </c>
      <c r="Q395" s="895">
        <v>-1869.12</v>
      </c>
      <c r="R395" s="895">
        <v>4.5474735088646402E-13</v>
      </c>
      <c r="S395" s="896">
        <f t="shared" si="78"/>
        <v>-904.20249999999999</v>
      </c>
      <c r="T395" s="879"/>
      <c r="U395" s="881"/>
      <c r="V395" s="881"/>
      <c r="W395" s="881"/>
      <c r="X395" s="897">
        <f t="shared" si="89"/>
        <v>-904.20249999999999</v>
      </c>
      <c r="Y395" s="881"/>
      <c r="Z395" s="881"/>
      <c r="AA395" s="881"/>
      <c r="AB395" s="881">
        <f t="shared" si="88"/>
        <v>-904.20249999999999</v>
      </c>
      <c r="AC395" s="879"/>
      <c r="AD395" s="951"/>
      <c r="AE395" s="879"/>
    </row>
    <row r="396" spans="1:31">
      <c r="A396" s="879">
        <f t="shared" si="76"/>
        <v>382</v>
      </c>
      <c r="B396" s="893" t="s">
        <v>1850</v>
      </c>
      <c r="C396" s="893" t="s">
        <v>687</v>
      </c>
      <c r="D396" s="893" t="s">
        <v>446</v>
      </c>
      <c r="E396" s="1009" t="s">
        <v>693</v>
      </c>
      <c r="F396" s="895">
        <v>0</v>
      </c>
      <c r="G396" s="895">
        <v>-6479.78</v>
      </c>
      <c r="H396" s="895">
        <v>-6479.78</v>
      </c>
      <c r="I396" s="895">
        <v>-6479.78</v>
      </c>
      <c r="J396" s="895">
        <v>-6479.78</v>
      </c>
      <c r="K396" s="895">
        <v>-6479.78</v>
      </c>
      <c r="L396" s="895">
        <v>0</v>
      </c>
      <c r="M396" s="895">
        <v>0</v>
      </c>
      <c r="N396" s="895">
        <v>0</v>
      </c>
      <c r="O396" s="961">
        <v>0</v>
      </c>
      <c r="P396" s="961">
        <v>0</v>
      </c>
      <c r="Q396" s="961">
        <v>0</v>
      </c>
      <c r="R396" s="895">
        <v>0</v>
      </c>
      <c r="S396" s="896">
        <f t="shared" si="78"/>
        <v>-2699.9083333333333</v>
      </c>
      <c r="T396" s="879"/>
      <c r="U396" s="881"/>
      <c r="V396" s="881"/>
      <c r="W396" s="881"/>
      <c r="X396" s="897">
        <f t="shared" si="89"/>
        <v>-2699.9083333333333</v>
      </c>
      <c r="Y396" s="881"/>
      <c r="Z396" s="881"/>
      <c r="AA396" s="881"/>
      <c r="AB396" s="881">
        <f t="shared" si="88"/>
        <v>-2699.9083333333333</v>
      </c>
      <c r="AC396" s="879"/>
      <c r="AD396" s="951"/>
      <c r="AE396" s="879"/>
    </row>
    <row r="397" spans="1:31">
      <c r="A397" s="879">
        <f t="shared" si="76"/>
        <v>383</v>
      </c>
      <c r="B397" s="893" t="s">
        <v>1850</v>
      </c>
      <c r="C397" s="893" t="s">
        <v>687</v>
      </c>
      <c r="D397" s="893" t="s">
        <v>2219</v>
      </c>
      <c r="E397" s="1009" t="s">
        <v>694</v>
      </c>
      <c r="F397" s="895">
        <v>0</v>
      </c>
      <c r="G397" s="895">
        <v>0</v>
      </c>
      <c r="H397" s="895">
        <v>0</v>
      </c>
      <c r="I397" s="895">
        <v>0</v>
      </c>
      <c r="J397" s="895">
        <v>0</v>
      </c>
      <c r="K397" s="895">
        <v>0</v>
      </c>
      <c r="L397" s="895">
        <v>0</v>
      </c>
      <c r="M397" s="895">
        <v>0</v>
      </c>
      <c r="N397" s="895">
        <v>0</v>
      </c>
      <c r="O397" s="895">
        <v>0</v>
      </c>
      <c r="P397" s="895">
        <v>0</v>
      </c>
      <c r="Q397" s="895">
        <v>0</v>
      </c>
      <c r="R397" s="895">
        <v>0</v>
      </c>
      <c r="S397" s="896">
        <f t="shared" si="78"/>
        <v>0</v>
      </c>
      <c r="T397" s="879"/>
      <c r="U397" s="881"/>
      <c r="V397" s="881"/>
      <c r="W397" s="881"/>
      <c r="X397" s="897">
        <f t="shared" si="89"/>
        <v>0</v>
      </c>
      <c r="Y397" s="881"/>
      <c r="Z397" s="881"/>
      <c r="AA397" s="881"/>
      <c r="AB397" s="881">
        <f t="shared" si="88"/>
        <v>0</v>
      </c>
      <c r="AC397" s="879"/>
      <c r="AD397" s="951"/>
      <c r="AE397" s="879"/>
    </row>
    <row r="398" spans="1:31">
      <c r="A398" s="879">
        <f t="shared" si="76"/>
        <v>384</v>
      </c>
      <c r="B398" s="893" t="s">
        <v>1850</v>
      </c>
      <c r="C398" s="893" t="s">
        <v>687</v>
      </c>
      <c r="D398" s="893" t="s">
        <v>448</v>
      </c>
      <c r="E398" s="918" t="s">
        <v>695</v>
      </c>
      <c r="F398" s="895">
        <v>0</v>
      </c>
      <c r="G398" s="895">
        <v>0</v>
      </c>
      <c r="H398" s="895">
        <v>0</v>
      </c>
      <c r="I398" s="895">
        <v>0</v>
      </c>
      <c r="J398" s="895">
        <v>0</v>
      </c>
      <c r="K398" s="895">
        <v>0</v>
      </c>
      <c r="L398" s="895">
        <v>0</v>
      </c>
      <c r="M398" s="895">
        <v>0</v>
      </c>
      <c r="N398" s="895">
        <v>0</v>
      </c>
      <c r="O398" s="895">
        <v>0</v>
      </c>
      <c r="P398" s="895">
        <v>0</v>
      </c>
      <c r="Q398" s="895">
        <v>0</v>
      </c>
      <c r="R398" s="895">
        <v>0</v>
      </c>
      <c r="S398" s="896">
        <f t="shared" si="78"/>
        <v>0</v>
      </c>
      <c r="T398" s="879"/>
      <c r="U398" s="881"/>
      <c r="V398" s="881"/>
      <c r="W398" s="881"/>
      <c r="X398" s="897">
        <f t="shared" si="89"/>
        <v>0</v>
      </c>
      <c r="Y398" s="881"/>
      <c r="Z398" s="881"/>
      <c r="AA398" s="881"/>
      <c r="AB398" s="881">
        <f t="shared" si="88"/>
        <v>0</v>
      </c>
      <c r="AC398" s="879"/>
      <c r="AD398" s="951"/>
      <c r="AE398" s="879"/>
    </row>
    <row r="399" spans="1:31">
      <c r="A399" s="879">
        <f t="shared" si="76"/>
        <v>385</v>
      </c>
      <c r="B399" s="893" t="s">
        <v>1850</v>
      </c>
      <c r="C399" s="893" t="s">
        <v>687</v>
      </c>
      <c r="D399" s="893" t="s">
        <v>2220</v>
      </c>
      <c r="E399" s="1007" t="s">
        <v>696</v>
      </c>
      <c r="F399" s="895">
        <v>0</v>
      </c>
      <c r="G399" s="895">
        <v>0</v>
      </c>
      <c r="H399" s="895">
        <v>0</v>
      </c>
      <c r="I399" s="895">
        <v>0</v>
      </c>
      <c r="J399" s="895">
        <v>0</v>
      </c>
      <c r="K399" s="895">
        <v>0</v>
      </c>
      <c r="L399" s="895">
        <v>0</v>
      </c>
      <c r="M399" s="895">
        <v>0</v>
      </c>
      <c r="N399" s="895">
        <v>0</v>
      </c>
      <c r="O399" s="895">
        <v>0</v>
      </c>
      <c r="P399" s="895">
        <v>0</v>
      </c>
      <c r="Q399" s="895">
        <v>0</v>
      </c>
      <c r="R399" s="895">
        <v>0</v>
      </c>
      <c r="S399" s="896">
        <f t="shared" si="78"/>
        <v>0</v>
      </c>
      <c r="T399" s="879"/>
      <c r="U399" s="881"/>
      <c r="V399" s="881"/>
      <c r="W399" s="881"/>
      <c r="X399" s="897">
        <f t="shared" si="89"/>
        <v>0</v>
      </c>
      <c r="Y399" s="881"/>
      <c r="Z399" s="881"/>
      <c r="AA399" s="881"/>
      <c r="AB399" s="881">
        <f t="shared" si="88"/>
        <v>0</v>
      </c>
      <c r="AC399" s="879"/>
      <c r="AD399" s="951"/>
      <c r="AE399" s="879"/>
    </row>
    <row r="400" spans="1:31">
      <c r="A400" s="879">
        <f t="shared" si="76"/>
        <v>386</v>
      </c>
      <c r="B400" s="893" t="s">
        <v>1850</v>
      </c>
      <c r="C400" s="893" t="s">
        <v>687</v>
      </c>
      <c r="D400" s="893" t="s">
        <v>450</v>
      </c>
      <c r="E400" s="918" t="s">
        <v>697</v>
      </c>
      <c r="F400" s="895">
        <v>0</v>
      </c>
      <c r="G400" s="895">
        <v>0</v>
      </c>
      <c r="H400" s="895">
        <v>0</v>
      </c>
      <c r="I400" s="895">
        <v>0</v>
      </c>
      <c r="J400" s="895">
        <v>0</v>
      </c>
      <c r="K400" s="895">
        <v>0</v>
      </c>
      <c r="L400" s="895">
        <v>0</v>
      </c>
      <c r="M400" s="895">
        <v>0</v>
      </c>
      <c r="N400" s="895">
        <v>0</v>
      </c>
      <c r="O400" s="895">
        <v>0</v>
      </c>
      <c r="P400" s="895">
        <v>0</v>
      </c>
      <c r="Q400" s="895">
        <v>0</v>
      </c>
      <c r="R400" s="895">
        <v>0</v>
      </c>
      <c r="S400" s="896">
        <f t="shared" si="78"/>
        <v>0</v>
      </c>
      <c r="T400" s="879"/>
      <c r="U400" s="881"/>
      <c r="V400" s="881"/>
      <c r="W400" s="881"/>
      <c r="X400" s="897">
        <f t="shared" si="89"/>
        <v>0</v>
      </c>
      <c r="Y400" s="881"/>
      <c r="Z400" s="881"/>
      <c r="AA400" s="881"/>
      <c r="AB400" s="881">
        <f t="shared" si="88"/>
        <v>0</v>
      </c>
      <c r="AC400" s="879"/>
      <c r="AD400" s="951"/>
      <c r="AE400" s="879"/>
    </row>
    <row r="401" spans="1:31">
      <c r="A401" s="879">
        <f t="shared" ref="A401:A464" si="90">+A400+1</f>
        <v>387</v>
      </c>
      <c r="B401" s="893" t="s">
        <v>1850</v>
      </c>
      <c r="C401" s="893" t="s">
        <v>687</v>
      </c>
      <c r="D401" s="893" t="s">
        <v>698</v>
      </c>
      <c r="E401" s="918" t="s">
        <v>699</v>
      </c>
      <c r="F401" s="895">
        <v>0</v>
      </c>
      <c r="G401" s="895">
        <v>0</v>
      </c>
      <c r="H401" s="895">
        <v>0</v>
      </c>
      <c r="I401" s="895">
        <v>0</v>
      </c>
      <c r="J401" s="895">
        <v>0</v>
      </c>
      <c r="K401" s="895">
        <v>0</v>
      </c>
      <c r="L401" s="895">
        <v>0</v>
      </c>
      <c r="M401" s="895">
        <v>0</v>
      </c>
      <c r="N401" s="895">
        <v>0</v>
      </c>
      <c r="O401" s="895">
        <v>0</v>
      </c>
      <c r="P401" s="895">
        <v>0</v>
      </c>
      <c r="Q401" s="895">
        <v>0</v>
      </c>
      <c r="R401" s="895">
        <v>0</v>
      </c>
      <c r="S401" s="896">
        <f t="shared" si="78"/>
        <v>0</v>
      </c>
      <c r="T401" s="879"/>
      <c r="U401" s="881"/>
      <c r="V401" s="881"/>
      <c r="W401" s="881"/>
      <c r="X401" s="897">
        <f t="shared" si="89"/>
        <v>0</v>
      </c>
      <c r="Y401" s="881"/>
      <c r="Z401" s="881"/>
      <c r="AA401" s="881"/>
      <c r="AB401" s="881">
        <f t="shared" si="88"/>
        <v>0</v>
      </c>
      <c r="AC401" s="879"/>
      <c r="AD401" s="951"/>
      <c r="AE401" s="879"/>
    </row>
    <row r="402" spans="1:31">
      <c r="A402" s="879">
        <f t="shared" si="90"/>
        <v>388</v>
      </c>
      <c r="B402" s="893" t="s">
        <v>1850</v>
      </c>
      <c r="C402" s="893" t="s">
        <v>687</v>
      </c>
      <c r="D402" s="893" t="s">
        <v>454</v>
      </c>
      <c r="E402" s="918" t="s">
        <v>700</v>
      </c>
      <c r="F402" s="912">
        <v>-204518.47</v>
      </c>
      <c r="G402" s="912">
        <v>-202024.22</v>
      </c>
      <c r="H402" s="912">
        <v>-217632.66</v>
      </c>
      <c r="I402" s="912">
        <v>-170887.72</v>
      </c>
      <c r="J402" s="912">
        <v>-373661.5</v>
      </c>
      <c r="K402" s="912">
        <v>-197038.37</v>
      </c>
      <c r="L402" s="912">
        <v>-245944.09</v>
      </c>
      <c r="M402" s="912">
        <v>-440497.85</v>
      </c>
      <c r="N402" s="912">
        <v>-217565.91</v>
      </c>
      <c r="O402" s="912">
        <v>-203928.55</v>
      </c>
      <c r="P402" s="912">
        <v>-170616.66</v>
      </c>
      <c r="Q402" s="912">
        <v>-205381.4</v>
      </c>
      <c r="R402" s="912">
        <v>-232776.9</v>
      </c>
      <c r="S402" s="896">
        <f t="shared" si="78"/>
        <v>-238652.21791666668</v>
      </c>
      <c r="T402" s="879"/>
      <c r="U402" s="881"/>
      <c r="V402" s="881"/>
      <c r="W402" s="881"/>
      <c r="X402" s="897">
        <f t="shared" si="89"/>
        <v>-238652.21791666668</v>
      </c>
      <c r="Y402" s="881"/>
      <c r="Z402" s="881"/>
      <c r="AA402" s="881"/>
      <c r="AB402" s="881">
        <f t="shared" si="88"/>
        <v>-238652.21791666668</v>
      </c>
      <c r="AC402" s="879"/>
      <c r="AD402" s="951"/>
      <c r="AE402" s="879"/>
    </row>
    <row r="403" spans="1:31">
      <c r="A403" s="879">
        <f t="shared" si="90"/>
        <v>389</v>
      </c>
      <c r="B403" s="879"/>
      <c r="C403" s="879"/>
      <c r="D403" s="879"/>
      <c r="E403" s="918" t="s">
        <v>701</v>
      </c>
      <c r="F403" s="898">
        <f>SUM(F392:F402)</f>
        <v>-1614644.31</v>
      </c>
      <c r="G403" s="898">
        <f t="shared" ref="G403:S403" si="91">SUM(G392:G402)</f>
        <v>-1743329.8900000001</v>
      </c>
      <c r="H403" s="898">
        <f t="shared" si="91"/>
        <v>-1595516.5999999999</v>
      </c>
      <c r="I403" s="898">
        <f t="shared" si="91"/>
        <v>-1222598.1499999999</v>
      </c>
      <c r="J403" s="898">
        <f t="shared" si="91"/>
        <v>-1097707.2000000002</v>
      </c>
      <c r="K403" s="898">
        <f t="shared" si="91"/>
        <v>-1476347.06</v>
      </c>
      <c r="L403" s="898">
        <f t="shared" si="91"/>
        <v>-1449317.81</v>
      </c>
      <c r="M403" s="898">
        <f t="shared" si="91"/>
        <v>-1437188.42</v>
      </c>
      <c r="N403" s="898">
        <f t="shared" si="91"/>
        <v>-1613796.27</v>
      </c>
      <c r="O403" s="898">
        <f t="shared" si="91"/>
        <v>-1637511.39</v>
      </c>
      <c r="P403" s="898">
        <f t="shared" si="91"/>
        <v>-1533910.44</v>
      </c>
      <c r="Q403" s="898">
        <f t="shared" si="91"/>
        <v>-1626324.72</v>
      </c>
      <c r="R403" s="898">
        <f t="shared" si="91"/>
        <v>-1606767.51</v>
      </c>
      <c r="S403" s="899">
        <f t="shared" si="91"/>
        <v>-1503687.8216666668</v>
      </c>
      <c r="T403" s="879"/>
      <c r="U403" s="881"/>
      <c r="V403" s="881"/>
      <c r="W403" s="881"/>
      <c r="X403" s="897"/>
      <c r="Y403" s="881"/>
      <c r="Z403" s="881"/>
      <c r="AA403" s="881"/>
      <c r="AB403" s="881"/>
      <c r="AC403" s="879"/>
      <c r="AD403" s="879"/>
      <c r="AE403" s="879"/>
    </row>
    <row r="404" spans="1:31">
      <c r="A404" s="879">
        <f t="shared" si="90"/>
        <v>390</v>
      </c>
      <c r="B404" s="879"/>
      <c r="C404" s="879"/>
      <c r="D404" s="879"/>
      <c r="E404" s="918"/>
      <c r="F404" s="895"/>
      <c r="G404" s="966"/>
      <c r="H404" s="942"/>
      <c r="I404" s="942"/>
      <c r="J404" s="943"/>
      <c r="K404" s="944"/>
      <c r="L404" s="945"/>
      <c r="M404" s="946"/>
      <c r="N404" s="947"/>
      <c r="O404" s="948"/>
      <c r="P404" s="949"/>
      <c r="Q404" s="967"/>
      <c r="R404" s="895"/>
      <c r="S404" s="896"/>
      <c r="T404" s="879"/>
      <c r="U404" s="881"/>
      <c r="V404" s="881"/>
      <c r="W404" s="881"/>
      <c r="X404" s="897"/>
      <c r="Y404" s="881"/>
      <c r="Z404" s="881"/>
      <c r="AA404" s="881"/>
      <c r="AB404" s="881"/>
      <c r="AC404" s="879"/>
      <c r="AD404" s="879"/>
      <c r="AE404" s="879"/>
    </row>
    <row r="405" spans="1:31">
      <c r="A405" s="879">
        <f t="shared" si="90"/>
        <v>391</v>
      </c>
      <c r="B405" s="893" t="s">
        <v>1850</v>
      </c>
      <c r="C405" s="893" t="s">
        <v>702</v>
      </c>
      <c r="D405" s="879" t="s">
        <v>85</v>
      </c>
      <c r="E405" s="918" t="s">
        <v>703</v>
      </c>
      <c r="F405" s="895">
        <v>0</v>
      </c>
      <c r="G405" s="895">
        <v>0</v>
      </c>
      <c r="H405" s="895">
        <v>0</v>
      </c>
      <c r="I405" s="895">
        <v>0</v>
      </c>
      <c r="J405" s="895">
        <v>0</v>
      </c>
      <c r="K405" s="895">
        <v>-699.14</v>
      </c>
      <c r="L405" s="895">
        <v>0</v>
      </c>
      <c r="M405" s="895">
        <v>0</v>
      </c>
      <c r="N405" s="895">
        <v>0</v>
      </c>
      <c r="O405" s="895">
        <v>-77.599999999999994</v>
      </c>
      <c r="P405" s="895">
        <v>0</v>
      </c>
      <c r="Q405" s="895">
        <v>-53.98</v>
      </c>
      <c r="R405" s="895">
        <v>-754.83</v>
      </c>
      <c r="S405" s="896">
        <f t="shared" si="78"/>
        <v>-100.67791666666666</v>
      </c>
      <c r="T405" s="879"/>
      <c r="U405" s="881"/>
      <c r="V405" s="881">
        <f>+S405</f>
        <v>-100.67791666666666</v>
      </c>
      <c r="W405" s="881"/>
      <c r="X405" s="897"/>
      <c r="Y405" s="881"/>
      <c r="Z405" s="881"/>
      <c r="AA405" s="881"/>
      <c r="AB405" s="881"/>
      <c r="AC405" s="879"/>
      <c r="AD405" s="951">
        <f>+V405</f>
        <v>-100.67791666666666</v>
      </c>
      <c r="AE405" s="879"/>
    </row>
    <row r="406" spans="1:31">
      <c r="A406" s="879">
        <f t="shared" si="90"/>
        <v>392</v>
      </c>
      <c r="B406" s="893" t="s">
        <v>1850</v>
      </c>
      <c r="C406" s="893" t="s">
        <v>704</v>
      </c>
      <c r="D406" s="893" t="s">
        <v>585</v>
      </c>
      <c r="E406" s="918" t="s">
        <v>705</v>
      </c>
      <c r="F406" s="895">
        <v>0</v>
      </c>
      <c r="G406" s="895">
        <v>0</v>
      </c>
      <c r="H406" s="895">
        <v>-532.5</v>
      </c>
      <c r="I406" s="895">
        <v>0</v>
      </c>
      <c r="J406" s="895">
        <v>0</v>
      </c>
      <c r="K406" s="895">
        <v>-1842.82</v>
      </c>
      <c r="L406" s="895">
        <v>0</v>
      </c>
      <c r="M406" s="895">
        <v>263.31</v>
      </c>
      <c r="N406" s="895">
        <v>0</v>
      </c>
      <c r="O406" s="895">
        <v>-133.57</v>
      </c>
      <c r="P406" s="895">
        <v>-42.4</v>
      </c>
      <c r="Q406" s="895">
        <v>-300.85000000000002</v>
      </c>
      <c r="R406" s="895">
        <v>-1993.52</v>
      </c>
      <c r="S406" s="896">
        <f t="shared" si="78"/>
        <v>-298.79916666666668</v>
      </c>
      <c r="T406" s="879"/>
      <c r="U406" s="881"/>
      <c r="V406" s="881">
        <f>+S406</f>
        <v>-298.79916666666668</v>
      </c>
      <c r="W406" s="881"/>
      <c r="X406" s="897"/>
      <c r="Y406" s="881"/>
      <c r="Z406" s="881"/>
      <c r="AA406" s="881"/>
      <c r="AB406" s="881"/>
      <c r="AC406" s="879"/>
      <c r="AD406" s="951">
        <f>+V406</f>
        <v>-298.79916666666668</v>
      </c>
      <c r="AE406" s="879"/>
    </row>
    <row r="407" spans="1:31">
      <c r="A407" s="879">
        <f t="shared" si="90"/>
        <v>393</v>
      </c>
      <c r="B407" s="893" t="s">
        <v>1850</v>
      </c>
      <c r="C407" s="893" t="s">
        <v>704</v>
      </c>
      <c r="D407" s="893" t="s">
        <v>632</v>
      </c>
      <c r="E407" s="918" t="s">
        <v>705</v>
      </c>
      <c r="F407" s="895">
        <v>-2.95585778076202E-12</v>
      </c>
      <c r="G407" s="895">
        <v>0</v>
      </c>
      <c r="H407" s="895">
        <v>-162.94</v>
      </c>
      <c r="I407" s="895">
        <v>0</v>
      </c>
      <c r="J407" s="895">
        <v>0</v>
      </c>
      <c r="K407" s="895">
        <v>-758.18</v>
      </c>
      <c r="L407" s="895">
        <v>0</v>
      </c>
      <c r="M407" s="895">
        <v>116.18</v>
      </c>
      <c r="N407" s="895">
        <v>0</v>
      </c>
      <c r="O407" s="895">
        <v>-83.84</v>
      </c>
      <c r="P407" s="895">
        <v>-94.68</v>
      </c>
      <c r="Q407" s="895">
        <v>-51.05</v>
      </c>
      <c r="R407" s="895">
        <v>-793.59</v>
      </c>
      <c r="S407" s="896">
        <f t="shared" si="78"/>
        <v>-119.27541666666677</v>
      </c>
      <c r="T407" s="879"/>
      <c r="U407" s="881"/>
      <c r="V407" s="881">
        <f>+S407</f>
        <v>-119.27541666666677</v>
      </c>
      <c r="W407" s="881"/>
      <c r="X407" s="897"/>
      <c r="Y407" s="881"/>
      <c r="Z407" s="881"/>
      <c r="AA407" s="881"/>
      <c r="AB407" s="881"/>
      <c r="AC407" s="879"/>
      <c r="AD407" s="951">
        <f>+V407</f>
        <v>-119.27541666666677</v>
      </c>
      <c r="AE407" s="879"/>
    </row>
    <row r="408" spans="1:31">
      <c r="A408" s="879">
        <f t="shared" si="90"/>
        <v>394</v>
      </c>
      <c r="B408" s="893" t="s">
        <v>1850</v>
      </c>
      <c r="C408" s="893" t="s">
        <v>2221</v>
      </c>
      <c r="D408" s="879" t="s">
        <v>389</v>
      </c>
      <c r="E408" s="918" t="s">
        <v>706</v>
      </c>
      <c r="F408" s="963">
        <v>0</v>
      </c>
      <c r="G408" s="963">
        <v>0</v>
      </c>
      <c r="H408" s="963">
        <v>0</v>
      </c>
      <c r="I408" s="963">
        <v>0</v>
      </c>
      <c r="J408" s="963">
        <v>0</v>
      </c>
      <c r="K408" s="963">
        <v>0</v>
      </c>
      <c r="L408" s="963">
        <v>0</v>
      </c>
      <c r="M408" s="963">
        <v>0</v>
      </c>
      <c r="N408" s="963">
        <v>0</v>
      </c>
      <c r="O408" s="963">
        <v>0</v>
      </c>
      <c r="P408" s="963">
        <v>0</v>
      </c>
      <c r="Q408" s="963">
        <v>0</v>
      </c>
      <c r="R408" s="963">
        <v>0</v>
      </c>
      <c r="S408" s="964">
        <f t="shared" si="78"/>
        <v>0</v>
      </c>
      <c r="T408" s="879"/>
      <c r="U408" s="881"/>
      <c r="V408" s="881">
        <f>+S408</f>
        <v>0</v>
      </c>
      <c r="W408" s="881"/>
      <c r="X408" s="897"/>
      <c r="Y408" s="881"/>
      <c r="Z408" s="881"/>
      <c r="AA408" s="881"/>
      <c r="AB408" s="881"/>
      <c r="AC408" s="879"/>
      <c r="AD408" s="951">
        <f>+V408</f>
        <v>0</v>
      </c>
      <c r="AE408" s="879"/>
    </row>
    <row r="409" spans="1:31">
      <c r="A409" s="879">
        <f t="shared" si="90"/>
        <v>395</v>
      </c>
      <c r="B409" s="893" t="s">
        <v>1850</v>
      </c>
      <c r="C409" s="893" t="s">
        <v>2222</v>
      </c>
      <c r="D409" s="879" t="s">
        <v>389</v>
      </c>
      <c r="E409" s="918" t="s">
        <v>706</v>
      </c>
      <c r="F409" s="912">
        <v>0</v>
      </c>
      <c r="G409" s="912">
        <v>0</v>
      </c>
      <c r="H409" s="912">
        <v>0</v>
      </c>
      <c r="I409" s="912">
        <v>0</v>
      </c>
      <c r="J409" s="912">
        <v>0</v>
      </c>
      <c r="K409" s="912">
        <v>0</v>
      </c>
      <c r="L409" s="912">
        <v>0</v>
      </c>
      <c r="M409" s="912">
        <v>0</v>
      </c>
      <c r="N409" s="912">
        <v>0</v>
      </c>
      <c r="O409" s="912">
        <v>0</v>
      </c>
      <c r="P409" s="912">
        <v>0</v>
      </c>
      <c r="Q409" s="912">
        <v>0</v>
      </c>
      <c r="R409" s="912">
        <v>0</v>
      </c>
      <c r="S409" s="896">
        <f t="shared" si="78"/>
        <v>0</v>
      </c>
      <c r="T409" s="879"/>
      <c r="U409" s="881"/>
      <c r="V409" s="881">
        <f>+S409</f>
        <v>0</v>
      </c>
      <c r="W409" s="881"/>
      <c r="X409" s="897"/>
      <c r="Y409" s="881"/>
      <c r="Z409" s="881"/>
      <c r="AA409" s="881"/>
      <c r="AB409" s="881"/>
      <c r="AC409" s="879"/>
      <c r="AD409" s="951">
        <f>+V409</f>
        <v>0</v>
      </c>
      <c r="AE409" s="879"/>
    </row>
    <row r="410" spans="1:31">
      <c r="A410" s="879">
        <f t="shared" si="90"/>
        <v>396</v>
      </c>
      <c r="B410" s="879"/>
      <c r="C410" s="879"/>
      <c r="D410" s="879"/>
      <c r="E410" s="918" t="s">
        <v>707</v>
      </c>
      <c r="F410" s="898">
        <f>SUM(F405:F409)</f>
        <v>-2.95585778076202E-12</v>
      </c>
      <c r="G410" s="898">
        <f t="shared" ref="G410:S410" si="92">SUM(G405:G409)</f>
        <v>0</v>
      </c>
      <c r="H410" s="898">
        <f t="shared" si="92"/>
        <v>-695.44</v>
      </c>
      <c r="I410" s="898">
        <f t="shared" si="92"/>
        <v>0</v>
      </c>
      <c r="J410" s="898">
        <f t="shared" si="92"/>
        <v>0</v>
      </c>
      <c r="K410" s="898">
        <f t="shared" si="92"/>
        <v>-3300.14</v>
      </c>
      <c r="L410" s="898">
        <f t="shared" si="92"/>
        <v>0</v>
      </c>
      <c r="M410" s="898">
        <f t="shared" si="92"/>
        <v>379.49</v>
      </c>
      <c r="N410" s="898">
        <f t="shared" si="92"/>
        <v>0</v>
      </c>
      <c r="O410" s="898">
        <f t="shared" si="92"/>
        <v>-295.01</v>
      </c>
      <c r="P410" s="898">
        <f t="shared" si="92"/>
        <v>-137.08000000000001</v>
      </c>
      <c r="Q410" s="898">
        <f t="shared" si="92"/>
        <v>-405.88000000000005</v>
      </c>
      <c r="R410" s="898">
        <f t="shared" si="92"/>
        <v>-3541.94</v>
      </c>
      <c r="S410" s="899">
        <f t="shared" si="92"/>
        <v>-518.75250000000005</v>
      </c>
      <c r="T410" s="879"/>
      <c r="U410" s="881"/>
      <c r="V410" s="881"/>
      <c r="W410" s="881"/>
      <c r="X410" s="897"/>
      <c r="Y410" s="881"/>
      <c r="Z410" s="881"/>
      <c r="AA410" s="881"/>
      <c r="AB410" s="881"/>
      <c r="AC410" s="879"/>
      <c r="AD410" s="879"/>
      <c r="AE410" s="879"/>
    </row>
    <row r="411" spans="1:31">
      <c r="A411" s="879">
        <f t="shared" si="90"/>
        <v>397</v>
      </c>
      <c r="B411" s="879"/>
      <c r="C411" s="879"/>
      <c r="D411" s="879"/>
      <c r="E411" s="918"/>
      <c r="F411" s="895"/>
      <c r="G411" s="966"/>
      <c r="H411" s="942"/>
      <c r="I411" s="942"/>
      <c r="J411" s="943"/>
      <c r="K411" s="944"/>
      <c r="L411" s="945"/>
      <c r="M411" s="946"/>
      <c r="N411" s="947"/>
      <c r="O411" s="948"/>
      <c r="P411" s="949"/>
      <c r="Q411" s="967"/>
      <c r="R411" s="895"/>
      <c r="S411" s="896"/>
      <c r="T411" s="879"/>
      <c r="U411" s="881"/>
      <c r="V411" s="881"/>
      <c r="W411" s="881"/>
      <c r="X411" s="897"/>
      <c r="Y411" s="881"/>
      <c r="Z411" s="881"/>
      <c r="AA411" s="881"/>
      <c r="AB411" s="881"/>
      <c r="AC411" s="879"/>
      <c r="AD411" s="879"/>
      <c r="AE411" s="879"/>
    </row>
    <row r="412" spans="1:31">
      <c r="A412" s="879">
        <f t="shared" si="90"/>
        <v>398</v>
      </c>
      <c r="B412" s="879"/>
      <c r="C412" s="879"/>
      <c r="D412" s="879"/>
      <c r="E412" s="918" t="s">
        <v>708</v>
      </c>
      <c r="F412" s="898">
        <f>SUM(F374:F390)+F403+F410</f>
        <v>-22633842.150000002</v>
      </c>
      <c r="G412" s="898">
        <f t="shared" ref="G412:S412" si="93">SUM(G374:G390)+G403+G410</f>
        <v>-22151150.930000003</v>
      </c>
      <c r="H412" s="898">
        <f t="shared" si="93"/>
        <v>-16087153.32</v>
      </c>
      <c r="I412" s="898">
        <f t="shared" si="93"/>
        <v>-14740573.209999997</v>
      </c>
      <c r="J412" s="898">
        <f t="shared" si="93"/>
        <v>-12570599.280000001</v>
      </c>
      <c r="K412" s="898">
        <f t="shared" si="93"/>
        <v>-11859772.060000002</v>
      </c>
      <c r="L412" s="898">
        <f t="shared" si="93"/>
        <v>-10102244.73</v>
      </c>
      <c r="M412" s="898">
        <f t="shared" si="93"/>
        <v>-10622401.390000001</v>
      </c>
      <c r="N412" s="898">
        <f t="shared" si="93"/>
        <v>-12616861.839999998</v>
      </c>
      <c r="O412" s="898">
        <f t="shared" si="93"/>
        <v>-13512792.73</v>
      </c>
      <c r="P412" s="898">
        <f t="shared" si="93"/>
        <v>-13271836.649999997</v>
      </c>
      <c r="Q412" s="898">
        <f t="shared" si="93"/>
        <v>-18377533.939999998</v>
      </c>
      <c r="R412" s="898">
        <f t="shared" si="93"/>
        <v>-30373320.170000002</v>
      </c>
      <c r="S412" s="899">
        <f t="shared" si="93"/>
        <v>-15201375.103333334</v>
      </c>
      <c r="T412" s="879"/>
      <c r="U412" s="881"/>
      <c r="V412" s="881"/>
      <c r="W412" s="881"/>
      <c r="X412" s="897"/>
      <c r="Y412" s="881"/>
      <c r="Z412" s="881"/>
      <c r="AA412" s="881"/>
      <c r="AB412" s="881"/>
      <c r="AC412" s="879"/>
      <c r="AD412" s="879"/>
      <c r="AE412" s="879"/>
    </row>
    <row r="413" spans="1:31">
      <c r="A413" s="879">
        <f t="shared" si="90"/>
        <v>399</v>
      </c>
      <c r="B413" s="879"/>
      <c r="C413" s="879"/>
      <c r="D413" s="879"/>
      <c r="E413" s="918"/>
      <c r="F413" s="895"/>
      <c r="G413" s="966"/>
      <c r="H413" s="942"/>
      <c r="I413" s="942"/>
      <c r="J413" s="943"/>
      <c r="K413" s="944"/>
      <c r="L413" s="945"/>
      <c r="M413" s="946"/>
      <c r="N413" s="947"/>
      <c r="O413" s="948"/>
      <c r="P413" s="949"/>
      <c r="Q413" s="967"/>
      <c r="R413" s="895"/>
      <c r="S413" s="896"/>
      <c r="T413" s="879"/>
      <c r="U413" s="881"/>
      <c r="V413" s="881"/>
      <c r="W413" s="881"/>
      <c r="X413" s="897"/>
      <c r="Y413" s="881"/>
      <c r="Z413" s="881"/>
      <c r="AA413" s="881"/>
      <c r="AB413" s="881"/>
      <c r="AC413" s="879"/>
      <c r="AD413" s="879"/>
      <c r="AE413" s="879"/>
    </row>
    <row r="414" spans="1:31">
      <c r="A414" s="879">
        <f t="shared" si="90"/>
        <v>400</v>
      </c>
      <c r="B414" s="893" t="s">
        <v>1850</v>
      </c>
      <c r="C414" s="893" t="s">
        <v>709</v>
      </c>
      <c r="D414" s="893" t="s">
        <v>2206</v>
      </c>
      <c r="E414" s="918" t="s">
        <v>710</v>
      </c>
      <c r="F414" s="895">
        <v>0</v>
      </c>
      <c r="G414" s="895">
        <v>0</v>
      </c>
      <c r="H414" s="895">
        <v>0</v>
      </c>
      <c r="I414" s="895">
        <v>0</v>
      </c>
      <c r="J414" s="895">
        <v>0</v>
      </c>
      <c r="K414" s="895">
        <v>0</v>
      </c>
      <c r="L414" s="895">
        <v>0</v>
      </c>
      <c r="M414" s="895">
        <v>0</v>
      </c>
      <c r="N414" s="895">
        <v>0</v>
      </c>
      <c r="O414" s="895">
        <v>0</v>
      </c>
      <c r="P414" s="895">
        <v>0</v>
      </c>
      <c r="Q414" s="895">
        <v>0</v>
      </c>
      <c r="R414" s="895">
        <v>0</v>
      </c>
      <c r="S414" s="896">
        <f t="shared" ref="S414:S591" si="94">((F414+R414)+((G414+H414+I414+J414+K414+L414+M414+N414+O414+P414+Q414)*2))/24</f>
        <v>0</v>
      </c>
      <c r="T414" s="879"/>
      <c r="U414" s="881"/>
      <c r="V414" s="881">
        <f t="shared" ref="V414:V434" si="95">+S414</f>
        <v>0</v>
      </c>
      <c r="W414" s="881"/>
      <c r="X414" s="897"/>
      <c r="Y414" s="881"/>
      <c r="Z414" s="881"/>
      <c r="AA414" s="881"/>
      <c r="AB414" s="881"/>
      <c r="AC414" s="879"/>
      <c r="AD414" s="951">
        <f t="shared" ref="AD414:AD434" si="96">+V414</f>
        <v>0</v>
      </c>
      <c r="AE414" s="879"/>
    </row>
    <row r="415" spans="1:31">
      <c r="A415" s="879">
        <f t="shared" si="90"/>
        <v>401</v>
      </c>
      <c r="B415" s="893" t="s">
        <v>1850</v>
      </c>
      <c r="C415" s="893" t="s">
        <v>711</v>
      </c>
      <c r="D415" s="893" t="s">
        <v>1843</v>
      </c>
      <c r="E415" s="918" t="s">
        <v>710</v>
      </c>
      <c r="F415" s="895">
        <v>-2960587.64</v>
      </c>
      <c r="G415" s="895">
        <v>-5402951.8200000003</v>
      </c>
      <c r="H415" s="895">
        <v>-6848696.9699999997</v>
      </c>
      <c r="I415" s="895">
        <v>-8278801.4900000002</v>
      </c>
      <c r="J415" s="895">
        <v>-7061890.7199999997</v>
      </c>
      <c r="K415" s="895">
        <v>-6479753.6799999997</v>
      </c>
      <c r="L415" s="895">
        <v>-3845017.91</v>
      </c>
      <c r="M415" s="895">
        <v>-3257334.02</v>
      </c>
      <c r="N415" s="895">
        <v>-2334283.65</v>
      </c>
      <c r="O415" s="895">
        <v>-4.65661287307739E-10</v>
      </c>
      <c r="P415" s="895">
        <v>-4.65661287307739E-10</v>
      </c>
      <c r="Q415" s="895">
        <v>-4.65661287307739E-10</v>
      </c>
      <c r="R415" s="895">
        <v>-1168507.3600000001</v>
      </c>
      <c r="S415" s="896">
        <f t="shared" si="94"/>
        <v>-3797773.146666667</v>
      </c>
      <c r="T415" s="879"/>
      <c r="U415" s="881"/>
      <c r="V415" s="881">
        <f t="shared" si="95"/>
        <v>-3797773.146666667</v>
      </c>
      <c r="W415" s="881"/>
      <c r="X415" s="897"/>
      <c r="Y415" s="881"/>
      <c r="Z415" s="881"/>
      <c r="AA415" s="881"/>
      <c r="AB415" s="881"/>
      <c r="AC415" s="879"/>
      <c r="AD415" s="951">
        <f t="shared" si="96"/>
        <v>-3797773.146666667</v>
      </c>
      <c r="AE415" s="879"/>
    </row>
    <row r="416" spans="1:31">
      <c r="A416" s="879">
        <f t="shared" si="90"/>
        <v>402</v>
      </c>
      <c r="B416" s="893" t="s">
        <v>1886</v>
      </c>
      <c r="C416" s="893" t="s">
        <v>711</v>
      </c>
      <c r="D416" s="893" t="s">
        <v>521</v>
      </c>
      <c r="E416" s="918" t="s">
        <v>710</v>
      </c>
      <c r="F416" s="895">
        <v>-185483.01</v>
      </c>
      <c r="G416" s="895">
        <v>-302176.52</v>
      </c>
      <c r="H416" s="895">
        <v>-370145.41</v>
      </c>
      <c r="I416" s="895">
        <v>-475106.97</v>
      </c>
      <c r="J416" s="895">
        <v>-274290.32</v>
      </c>
      <c r="K416" s="895">
        <v>-237401.33</v>
      </c>
      <c r="L416" s="895">
        <v>-171313.88</v>
      </c>
      <c r="M416" s="895">
        <v>-105802.2</v>
      </c>
      <c r="N416" s="895">
        <v>-49976.110000000102</v>
      </c>
      <c r="O416" s="895">
        <v>-7.2759576141834298E-11</v>
      </c>
      <c r="P416" s="895">
        <v>-7.2759576141834298E-11</v>
      </c>
      <c r="Q416" s="895">
        <v>-7.2759576141834298E-11</v>
      </c>
      <c r="R416" s="895">
        <v>-120230.42</v>
      </c>
      <c r="S416" s="896">
        <f t="shared" si="94"/>
        <v>-178255.78791666668</v>
      </c>
      <c r="T416" s="879"/>
      <c r="U416" s="881"/>
      <c r="V416" s="881">
        <f t="shared" si="95"/>
        <v>-178255.78791666668</v>
      </c>
      <c r="W416" s="881"/>
      <c r="X416" s="897"/>
      <c r="Y416" s="881"/>
      <c r="Z416" s="881"/>
      <c r="AA416" s="881"/>
      <c r="AB416" s="881"/>
      <c r="AC416" s="879"/>
      <c r="AD416" s="951">
        <f t="shared" si="96"/>
        <v>-178255.78791666668</v>
      </c>
      <c r="AE416" s="879"/>
    </row>
    <row r="417" spans="1:31">
      <c r="A417" s="879">
        <f t="shared" si="90"/>
        <v>403</v>
      </c>
      <c r="B417" s="893" t="s">
        <v>1850</v>
      </c>
      <c r="C417" s="893" t="s">
        <v>711</v>
      </c>
      <c r="D417" s="893" t="s">
        <v>2223</v>
      </c>
      <c r="E417" s="1007" t="s">
        <v>712</v>
      </c>
      <c r="F417" s="895">
        <v>0</v>
      </c>
      <c r="G417" s="895">
        <v>0</v>
      </c>
      <c r="H417" s="895">
        <v>0</v>
      </c>
      <c r="I417" s="895">
        <v>0</v>
      </c>
      <c r="J417" s="895">
        <v>0</v>
      </c>
      <c r="K417" s="895">
        <v>0</v>
      </c>
      <c r="L417" s="895">
        <v>0</v>
      </c>
      <c r="M417" s="895">
        <v>0</v>
      </c>
      <c r="N417" s="895">
        <v>0</v>
      </c>
      <c r="O417" s="895">
        <v>0</v>
      </c>
      <c r="P417" s="895">
        <v>0</v>
      </c>
      <c r="Q417" s="895">
        <v>0</v>
      </c>
      <c r="R417" s="895">
        <v>0</v>
      </c>
      <c r="S417" s="896">
        <f t="shared" si="94"/>
        <v>0</v>
      </c>
      <c r="T417" s="879"/>
      <c r="U417" s="881"/>
      <c r="V417" s="881">
        <f t="shared" si="95"/>
        <v>0</v>
      </c>
      <c r="W417" s="881"/>
      <c r="X417" s="897"/>
      <c r="Y417" s="881"/>
      <c r="Z417" s="881"/>
      <c r="AA417" s="881"/>
      <c r="AB417" s="881"/>
      <c r="AC417" s="879"/>
      <c r="AD417" s="951">
        <f t="shared" si="96"/>
        <v>0</v>
      </c>
      <c r="AE417" s="879"/>
    </row>
    <row r="418" spans="1:31">
      <c r="A418" s="879">
        <f t="shared" si="90"/>
        <v>404</v>
      </c>
      <c r="B418" s="893" t="s">
        <v>1850</v>
      </c>
      <c r="C418" s="893" t="s">
        <v>713</v>
      </c>
      <c r="D418" s="893" t="s">
        <v>1842</v>
      </c>
      <c r="E418" s="918" t="s">
        <v>714</v>
      </c>
      <c r="F418" s="895">
        <v>-80625.5</v>
      </c>
      <c r="G418" s="895">
        <v>-89035.8</v>
      </c>
      <c r="H418" s="895">
        <v>-97439.55</v>
      </c>
      <c r="I418" s="895">
        <v>-46319.22</v>
      </c>
      <c r="J418" s="895">
        <v>-55143.81</v>
      </c>
      <c r="K418" s="895">
        <v>-70371.97</v>
      </c>
      <c r="L418" s="895">
        <v>-86112.17</v>
      </c>
      <c r="M418" s="895">
        <v>-81964.259999999995</v>
      </c>
      <c r="N418" s="895">
        <v>-40426.639999999999</v>
      </c>
      <c r="O418" s="895">
        <v>-55316.7</v>
      </c>
      <c r="P418" s="895">
        <v>-63279.23</v>
      </c>
      <c r="Q418" s="895">
        <v>-80154.17</v>
      </c>
      <c r="R418" s="895">
        <v>-96747.58</v>
      </c>
      <c r="S418" s="896">
        <f t="shared" si="94"/>
        <v>-71187.50499999999</v>
      </c>
      <c r="T418" s="879"/>
      <c r="U418" s="881"/>
      <c r="V418" s="881">
        <f t="shared" si="95"/>
        <v>-71187.50499999999</v>
      </c>
      <c r="W418" s="881"/>
      <c r="X418" s="897"/>
      <c r="Y418" s="881"/>
      <c r="Z418" s="881"/>
      <c r="AA418" s="881"/>
      <c r="AB418" s="881"/>
      <c r="AC418" s="879"/>
      <c r="AD418" s="951">
        <f t="shared" si="96"/>
        <v>-71187.50499999999</v>
      </c>
      <c r="AE418" s="879"/>
    </row>
    <row r="419" spans="1:31">
      <c r="A419" s="879">
        <f t="shared" si="90"/>
        <v>405</v>
      </c>
      <c r="B419" s="893" t="s">
        <v>1850</v>
      </c>
      <c r="C419" s="893" t="s">
        <v>713</v>
      </c>
      <c r="D419" s="893" t="s">
        <v>1843</v>
      </c>
      <c r="E419" s="918" t="s">
        <v>714</v>
      </c>
      <c r="F419" s="895">
        <v>-6481.38</v>
      </c>
      <c r="G419" s="895">
        <v>-13282.16</v>
      </c>
      <c r="H419" s="895">
        <v>-13607.46</v>
      </c>
      <c r="I419" s="895">
        <v>-13992.41</v>
      </c>
      <c r="J419" s="895">
        <v>-351.4</v>
      </c>
      <c r="K419" s="895">
        <v>-355.68</v>
      </c>
      <c r="L419" s="895">
        <v>-560.22</v>
      </c>
      <c r="M419" s="895">
        <v>-579.66999999999996</v>
      </c>
      <c r="N419" s="895">
        <v>-1025.1400000000001</v>
      </c>
      <c r="O419" s="895">
        <v>-1037.95</v>
      </c>
      <c r="P419" s="895">
        <v>-71.799999999999599</v>
      </c>
      <c r="Q419" s="895">
        <v>-149.80000000000001</v>
      </c>
      <c r="R419" s="895">
        <v>-7686.79</v>
      </c>
      <c r="S419" s="896">
        <f t="shared" si="94"/>
        <v>-4341.4812499999998</v>
      </c>
      <c r="T419" s="879"/>
      <c r="U419" s="881"/>
      <c r="V419" s="881">
        <f t="shared" si="95"/>
        <v>-4341.4812499999998</v>
      </c>
      <c r="W419" s="881"/>
      <c r="X419" s="897"/>
      <c r="Y419" s="881"/>
      <c r="Z419" s="881"/>
      <c r="AA419" s="881"/>
      <c r="AB419" s="881"/>
      <c r="AC419" s="879"/>
      <c r="AD419" s="951">
        <f t="shared" si="96"/>
        <v>-4341.4812499999998</v>
      </c>
      <c r="AE419" s="879"/>
    </row>
    <row r="420" spans="1:31">
      <c r="A420" s="879">
        <f t="shared" si="90"/>
        <v>406</v>
      </c>
      <c r="B420" s="893" t="s">
        <v>1850</v>
      </c>
      <c r="C420" s="893" t="s">
        <v>713</v>
      </c>
      <c r="D420" s="893" t="s">
        <v>85</v>
      </c>
      <c r="E420" s="918" t="s">
        <v>714</v>
      </c>
      <c r="F420" s="895">
        <v>-5579.57</v>
      </c>
      <c r="G420" s="895">
        <v>-11236.9</v>
      </c>
      <c r="H420" s="895">
        <v>-18288.7</v>
      </c>
      <c r="I420" s="895">
        <v>-26128.51</v>
      </c>
      <c r="J420" s="895">
        <v>-9642.27</v>
      </c>
      <c r="K420" s="895">
        <v>-14653.27</v>
      </c>
      <c r="L420" s="895">
        <v>-16932.900000000001</v>
      </c>
      <c r="M420" s="895">
        <v>-3532.45</v>
      </c>
      <c r="N420" s="895">
        <v>-4699.5600000000004</v>
      </c>
      <c r="O420" s="895">
        <v>-5609.25</v>
      </c>
      <c r="P420" s="895">
        <v>-1943.8</v>
      </c>
      <c r="Q420" s="895">
        <v>-1226.99</v>
      </c>
      <c r="R420" s="895">
        <v>-5047.47</v>
      </c>
      <c r="S420" s="896">
        <f t="shared" si="94"/>
        <v>-9934.010000000002</v>
      </c>
      <c r="T420" s="879"/>
      <c r="U420" s="881"/>
      <c r="V420" s="881">
        <f t="shared" si="95"/>
        <v>-9934.010000000002</v>
      </c>
      <c r="W420" s="881"/>
      <c r="X420" s="897"/>
      <c r="Y420" s="881"/>
      <c r="Z420" s="881"/>
      <c r="AA420" s="881"/>
      <c r="AB420" s="881"/>
      <c r="AC420" s="879"/>
      <c r="AD420" s="951">
        <f t="shared" si="96"/>
        <v>-9934.010000000002</v>
      </c>
      <c r="AE420" s="879"/>
    </row>
    <row r="421" spans="1:31">
      <c r="A421" s="879">
        <f t="shared" si="90"/>
        <v>407</v>
      </c>
      <c r="B421" s="893" t="s">
        <v>1850</v>
      </c>
      <c r="C421" s="893" t="s">
        <v>713</v>
      </c>
      <c r="D421" s="893" t="s">
        <v>111</v>
      </c>
      <c r="E421" s="918" t="s">
        <v>714</v>
      </c>
      <c r="F421" s="895">
        <v>-29620.09</v>
      </c>
      <c r="G421" s="895">
        <v>-67333.350000000006</v>
      </c>
      <c r="H421" s="895">
        <v>-111357.61</v>
      </c>
      <c r="I421" s="895">
        <v>-160384.53</v>
      </c>
      <c r="J421" s="895">
        <v>-170026.2</v>
      </c>
      <c r="K421" s="895">
        <v>-168117.76000000001</v>
      </c>
      <c r="L421" s="895">
        <v>-173774.67</v>
      </c>
      <c r="M421" s="895">
        <v>-5958.8700000000499</v>
      </c>
      <c r="N421" s="895">
        <v>-8574.0000000000491</v>
      </c>
      <c r="O421" s="895">
        <v>-10110.8400000001</v>
      </c>
      <c r="P421" s="895">
        <v>-11186.890000000099</v>
      </c>
      <c r="Q421" s="895">
        <v>-2578.2000000000498</v>
      </c>
      <c r="R421" s="895">
        <v>-9212.2100000000501</v>
      </c>
      <c r="S421" s="896">
        <f t="shared" si="94"/>
        <v>-75734.92250000003</v>
      </c>
      <c r="T421" s="879"/>
      <c r="U421" s="881"/>
      <c r="V421" s="881">
        <f t="shared" si="95"/>
        <v>-75734.92250000003</v>
      </c>
      <c r="W421" s="881"/>
      <c r="X421" s="897"/>
      <c r="Y421" s="881"/>
      <c r="Z421" s="881"/>
      <c r="AA421" s="881"/>
      <c r="AB421" s="881"/>
      <c r="AC421" s="879"/>
      <c r="AD421" s="951">
        <f t="shared" si="96"/>
        <v>-75734.92250000003</v>
      </c>
      <c r="AE421" s="879"/>
    </row>
    <row r="422" spans="1:31">
      <c r="A422" s="879">
        <f t="shared" si="90"/>
        <v>408</v>
      </c>
      <c r="B422" s="893" t="s">
        <v>1850</v>
      </c>
      <c r="C422" s="893" t="s">
        <v>715</v>
      </c>
      <c r="D422" s="879"/>
      <c r="E422" s="918" t="s">
        <v>716</v>
      </c>
      <c r="F422" s="895">
        <v>-21809</v>
      </c>
      <c r="G422" s="895">
        <v>-24688.42</v>
      </c>
      <c r="H422" s="895">
        <v>-23845.78</v>
      </c>
      <c r="I422" s="895">
        <v>-35348.769999999997</v>
      </c>
      <c r="J422" s="895">
        <v>-24371.83</v>
      </c>
      <c r="K422" s="895">
        <v>-11050.77</v>
      </c>
      <c r="L422" s="895">
        <v>-26879.39</v>
      </c>
      <c r="M422" s="895">
        <v>-14517.29</v>
      </c>
      <c r="N422" s="895">
        <v>-64832.26</v>
      </c>
      <c r="O422" s="895">
        <v>-21560.85</v>
      </c>
      <c r="P422" s="895">
        <v>-15369.44</v>
      </c>
      <c r="Q422" s="895">
        <v>-17583.82</v>
      </c>
      <c r="R422" s="895">
        <v>-18774.169999999998</v>
      </c>
      <c r="S422" s="896">
        <f t="shared" si="94"/>
        <v>-25028.350416666672</v>
      </c>
      <c r="T422" s="879"/>
      <c r="U422" s="881"/>
      <c r="V422" s="881">
        <f t="shared" si="95"/>
        <v>-25028.350416666672</v>
      </c>
      <c r="W422" s="881"/>
      <c r="X422" s="897"/>
      <c r="Y422" s="881"/>
      <c r="Z422" s="881"/>
      <c r="AA422" s="881"/>
      <c r="AB422" s="881"/>
      <c r="AC422" s="879"/>
      <c r="AD422" s="951">
        <f t="shared" si="96"/>
        <v>-25028.350416666672</v>
      </c>
      <c r="AE422" s="879"/>
    </row>
    <row r="423" spans="1:31">
      <c r="A423" s="879">
        <f t="shared" si="90"/>
        <v>409</v>
      </c>
      <c r="B423" s="893" t="s">
        <v>1850</v>
      </c>
      <c r="C423" s="893" t="s">
        <v>715</v>
      </c>
      <c r="D423" s="893" t="s">
        <v>585</v>
      </c>
      <c r="E423" s="918" t="s">
        <v>716</v>
      </c>
      <c r="F423" s="895">
        <v>4019.63</v>
      </c>
      <c r="G423" s="895">
        <v>0</v>
      </c>
      <c r="H423" s="895">
        <v>-120.56</v>
      </c>
      <c r="I423" s="895">
        <v>-612.88</v>
      </c>
      <c r="J423" s="895">
        <v>-355.59</v>
      </c>
      <c r="K423" s="895">
        <v>-190</v>
      </c>
      <c r="L423" s="895">
        <v>130.59</v>
      </c>
      <c r="M423" s="895">
        <v>130.59</v>
      </c>
      <c r="N423" s="895">
        <v>-698.92</v>
      </c>
      <c r="O423" s="895">
        <v>-1456.3</v>
      </c>
      <c r="P423" s="895">
        <v>-337.44</v>
      </c>
      <c r="Q423" s="895">
        <v>-674.99</v>
      </c>
      <c r="R423" s="895">
        <v>0</v>
      </c>
      <c r="S423" s="896">
        <f t="shared" si="94"/>
        <v>-181.30708333333334</v>
      </c>
      <c r="T423" s="879"/>
      <c r="U423" s="881"/>
      <c r="V423" s="881">
        <f t="shared" si="95"/>
        <v>-181.30708333333334</v>
      </c>
      <c r="W423" s="881"/>
      <c r="X423" s="897"/>
      <c r="Y423" s="881"/>
      <c r="Z423" s="881"/>
      <c r="AA423" s="881"/>
      <c r="AB423" s="881"/>
      <c r="AC423" s="879"/>
      <c r="AD423" s="951">
        <f t="shared" si="96"/>
        <v>-181.30708333333334</v>
      </c>
      <c r="AE423" s="879"/>
    </row>
    <row r="424" spans="1:31">
      <c r="A424" s="879">
        <f t="shared" si="90"/>
        <v>410</v>
      </c>
      <c r="B424" s="893" t="s">
        <v>1853</v>
      </c>
      <c r="C424" s="893" t="s">
        <v>715</v>
      </c>
      <c r="D424" s="893" t="s">
        <v>585</v>
      </c>
      <c r="E424" s="918" t="s">
        <v>716</v>
      </c>
      <c r="F424" s="895">
        <v>-858.85</v>
      </c>
      <c r="G424" s="895">
        <v>-1218.26</v>
      </c>
      <c r="H424" s="895">
        <v>-963.58</v>
      </c>
      <c r="I424" s="895">
        <v>-548.79</v>
      </c>
      <c r="J424" s="895">
        <v>-798.14</v>
      </c>
      <c r="K424" s="895">
        <v>-434.76</v>
      </c>
      <c r="L424" s="895">
        <v>-650.72</v>
      </c>
      <c r="M424" s="895">
        <v>-469.75</v>
      </c>
      <c r="N424" s="895">
        <v>-505.32</v>
      </c>
      <c r="O424" s="895">
        <v>-612.91999999999996</v>
      </c>
      <c r="P424" s="895">
        <v>-925.11</v>
      </c>
      <c r="Q424" s="895">
        <v>-722.04</v>
      </c>
      <c r="R424" s="895">
        <v>-2043.85</v>
      </c>
      <c r="S424" s="896">
        <f t="shared" si="94"/>
        <v>-775.06166666666661</v>
      </c>
      <c r="T424" s="879"/>
      <c r="U424" s="881"/>
      <c r="V424" s="881">
        <f t="shared" si="95"/>
        <v>-775.06166666666661</v>
      </c>
      <c r="W424" s="881"/>
      <c r="X424" s="897"/>
      <c r="Y424" s="881"/>
      <c r="Z424" s="881"/>
      <c r="AA424" s="881"/>
      <c r="AB424" s="881"/>
      <c r="AC424" s="879"/>
      <c r="AD424" s="951">
        <f t="shared" si="96"/>
        <v>-775.06166666666661</v>
      </c>
      <c r="AE424" s="879"/>
    </row>
    <row r="425" spans="1:31">
      <c r="A425" s="879">
        <f t="shared" si="90"/>
        <v>411</v>
      </c>
      <c r="B425" s="893" t="s">
        <v>1886</v>
      </c>
      <c r="C425" s="893" t="s">
        <v>717</v>
      </c>
      <c r="D425" s="893" t="s">
        <v>1842</v>
      </c>
      <c r="E425" s="918" t="s">
        <v>718</v>
      </c>
      <c r="F425" s="895">
        <v>0</v>
      </c>
      <c r="G425" s="895">
        <v>0</v>
      </c>
      <c r="H425" s="895">
        <v>0</v>
      </c>
      <c r="I425" s="895">
        <v>0</v>
      </c>
      <c r="J425" s="895">
        <v>0</v>
      </c>
      <c r="K425" s="895">
        <v>0</v>
      </c>
      <c r="L425" s="895">
        <v>0</v>
      </c>
      <c r="M425" s="895">
        <v>-115053.36</v>
      </c>
      <c r="N425" s="895">
        <v>-230106.72</v>
      </c>
      <c r="O425" s="895">
        <v>-345160.08</v>
      </c>
      <c r="P425" s="895">
        <v>-460213.44</v>
      </c>
      <c r="Q425" s="895">
        <v>0</v>
      </c>
      <c r="R425" s="895">
        <v>0</v>
      </c>
      <c r="S425" s="896">
        <f t="shared" si="94"/>
        <v>-95877.8</v>
      </c>
      <c r="T425" s="879"/>
      <c r="U425" s="881"/>
      <c r="V425" s="881">
        <f t="shared" si="95"/>
        <v>-95877.8</v>
      </c>
      <c r="W425" s="881"/>
      <c r="X425" s="897"/>
      <c r="Y425" s="881"/>
      <c r="Z425" s="881"/>
      <c r="AA425" s="881"/>
      <c r="AB425" s="881"/>
      <c r="AC425" s="879"/>
      <c r="AD425" s="951">
        <f t="shared" si="96"/>
        <v>-95877.8</v>
      </c>
      <c r="AE425" s="879"/>
    </row>
    <row r="426" spans="1:31">
      <c r="A426" s="879">
        <f t="shared" si="90"/>
        <v>412</v>
      </c>
      <c r="B426" s="893" t="s">
        <v>1886</v>
      </c>
      <c r="C426" s="893" t="s">
        <v>717</v>
      </c>
      <c r="D426" s="893" t="s">
        <v>519</v>
      </c>
      <c r="E426" s="918" t="s">
        <v>718</v>
      </c>
      <c r="F426" s="895">
        <v>-780287.38</v>
      </c>
      <c r="G426" s="895">
        <v>-636517.27</v>
      </c>
      <c r="H426" s="895">
        <v>-808791.44</v>
      </c>
      <c r="I426" s="895">
        <v>-967773.77</v>
      </c>
      <c r="J426" s="895">
        <v>-319865.33</v>
      </c>
      <c r="K426" s="895">
        <v>-344687.08</v>
      </c>
      <c r="L426" s="895">
        <v>-403141.66</v>
      </c>
      <c r="M426" s="895">
        <v>-131807.62</v>
      </c>
      <c r="N426" s="895">
        <v>-178199.26</v>
      </c>
      <c r="O426" s="895">
        <v>-241258.39</v>
      </c>
      <c r="P426" s="895">
        <v>-212959.29</v>
      </c>
      <c r="Q426" s="895">
        <v>-379535.46</v>
      </c>
      <c r="R426" s="895">
        <v>-734776.31</v>
      </c>
      <c r="S426" s="896">
        <f t="shared" si="94"/>
        <v>-448505.70124999998</v>
      </c>
      <c r="T426" s="879"/>
      <c r="U426" s="881"/>
      <c r="V426" s="881">
        <f t="shared" si="95"/>
        <v>-448505.70124999998</v>
      </c>
      <c r="W426" s="881"/>
      <c r="X426" s="897"/>
      <c r="Y426" s="881"/>
      <c r="Z426" s="881"/>
      <c r="AA426" s="881"/>
      <c r="AB426" s="881"/>
      <c r="AC426" s="879"/>
      <c r="AD426" s="951">
        <f t="shared" si="96"/>
        <v>-448505.70124999998</v>
      </c>
      <c r="AE426" s="879"/>
    </row>
    <row r="427" spans="1:31">
      <c r="A427" s="879">
        <f t="shared" si="90"/>
        <v>413</v>
      </c>
      <c r="B427" s="893" t="s">
        <v>1886</v>
      </c>
      <c r="C427" s="893" t="s">
        <v>717</v>
      </c>
      <c r="D427" s="893" t="s">
        <v>2224</v>
      </c>
      <c r="E427" s="918" t="s">
        <v>718</v>
      </c>
      <c r="F427" s="895">
        <v>0</v>
      </c>
      <c r="G427" s="895">
        <v>-14772.52</v>
      </c>
      <c r="H427" s="895">
        <v>-29545.040000000001</v>
      </c>
      <c r="I427" s="895">
        <v>0</v>
      </c>
      <c r="J427" s="895">
        <v>0</v>
      </c>
      <c r="K427" s="895">
        <v>0</v>
      </c>
      <c r="L427" s="895">
        <v>0</v>
      </c>
      <c r="M427" s="895">
        <v>0</v>
      </c>
      <c r="N427" s="895">
        <v>0</v>
      </c>
      <c r="O427" s="895">
        <v>0</v>
      </c>
      <c r="P427" s="895">
        <v>0</v>
      </c>
      <c r="Q427" s="895">
        <v>0</v>
      </c>
      <c r="R427" s="895">
        <v>0</v>
      </c>
      <c r="S427" s="896">
        <f t="shared" si="94"/>
        <v>-3693.1299999999997</v>
      </c>
      <c r="T427" s="879"/>
      <c r="U427" s="881"/>
      <c r="V427" s="881">
        <f t="shared" si="95"/>
        <v>-3693.1299999999997</v>
      </c>
      <c r="W427" s="881"/>
      <c r="X427" s="897"/>
      <c r="Y427" s="881"/>
      <c r="Z427" s="881"/>
      <c r="AA427" s="881"/>
      <c r="AB427" s="881"/>
      <c r="AC427" s="879"/>
      <c r="AD427" s="951">
        <f t="shared" si="96"/>
        <v>-3693.1299999999997</v>
      </c>
      <c r="AE427" s="879"/>
    </row>
    <row r="428" spans="1:31">
      <c r="A428" s="879">
        <f t="shared" si="90"/>
        <v>414</v>
      </c>
      <c r="B428" s="893" t="s">
        <v>1853</v>
      </c>
      <c r="C428" s="893" t="s">
        <v>717</v>
      </c>
      <c r="D428" s="893" t="s">
        <v>1842</v>
      </c>
      <c r="E428" s="918" t="s">
        <v>718</v>
      </c>
      <c r="F428" s="895">
        <v>-2617351.9300000002</v>
      </c>
      <c r="G428" s="895">
        <v>-2846369.97</v>
      </c>
      <c r="H428" s="895">
        <v>-3075388.01</v>
      </c>
      <c r="I428" s="895">
        <v>-3304406.05</v>
      </c>
      <c r="J428" s="895">
        <v>-2217913.21</v>
      </c>
      <c r="K428" s="895">
        <v>-2453588.17</v>
      </c>
      <c r="L428" s="895">
        <v>-2681571.14</v>
      </c>
      <c r="M428" s="895">
        <v>-2906072.85</v>
      </c>
      <c r="N428" s="895">
        <v>-1696508.19</v>
      </c>
      <c r="O428" s="895">
        <v>-1908512.16</v>
      </c>
      <c r="P428" s="895">
        <v>-2120516.13</v>
      </c>
      <c r="Q428" s="895">
        <v>-2332520.1</v>
      </c>
      <c r="R428" s="895">
        <v>-2544524.0699999998</v>
      </c>
      <c r="S428" s="896">
        <f t="shared" si="94"/>
        <v>-2510358.6650000005</v>
      </c>
      <c r="T428" s="879"/>
      <c r="U428" s="881"/>
      <c r="V428" s="881">
        <f t="shared" si="95"/>
        <v>-2510358.6650000005</v>
      </c>
      <c r="W428" s="881"/>
      <c r="X428" s="897"/>
      <c r="Y428" s="881"/>
      <c r="Z428" s="881"/>
      <c r="AA428" s="881"/>
      <c r="AB428" s="881"/>
      <c r="AC428" s="879"/>
      <c r="AD428" s="951">
        <f t="shared" si="96"/>
        <v>-2510358.6650000005</v>
      </c>
      <c r="AE428" s="879"/>
    </row>
    <row r="429" spans="1:31">
      <c r="A429" s="879">
        <f t="shared" si="90"/>
        <v>415</v>
      </c>
      <c r="B429" s="893" t="s">
        <v>1853</v>
      </c>
      <c r="C429" s="893" t="s">
        <v>717</v>
      </c>
      <c r="D429" s="893" t="s">
        <v>519</v>
      </c>
      <c r="E429" s="918" t="s">
        <v>718</v>
      </c>
      <c r="F429" s="895">
        <v>-7631.52</v>
      </c>
      <c r="G429" s="895">
        <v>-10423.93</v>
      </c>
      <c r="H429" s="895">
        <v>-8285.59</v>
      </c>
      <c r="I429" s="895">
        <v>-7915.38</v>
      </c>
      <c r="J429" s="895">
        <v>-6482.57</v>
      </c>
      <c r="K429" s="895">
        <v>-3745.07</v>
      </c>
      <c r="L429" s="895">
        <v>-3141.55</v>
      </c>
      <c r="M429" s="895">
        <v>-2592.8000000000002</v>
      </c>
      <c r="N429" s="895">
        <v>-2338.16</v>
      </c>
      <c r="O429" s="895">
        <v>-2160.71</v>
      </c>
      <c r="P429" s="895">
        <v>-2519.21</v>
      </c>
      <c r="Q429" s="895">
        <v>-4003.5</v>
      </c>
      <c r="R429" s="895">
        <v>-6618.97</v>
      </c>
      <c r="S429" s="896">
        <f t="shared" si="94"/>
        <v>-5061.1429166666667</v>
      </c>
      <c r="T429" s="879"/>
      <c r="U429" s="881"/>
      <c r="V429" s="881">
        <f t="shared" si="95"/>
        <v>-5061.1429166666667</v>
      </c>
      <c r="W429" s="881"/>
      <c r="X429" s="897"/>
      <c r="Y429" s="881"/>
      <c r="Z429" s="881"/>
      <c r="AA429" s="881"/>
      <c r="AB429" s="881"/>
      <c r="AC429" s="879"/>
      <c r="AD429" s="951">
        <f t="shared" si="96"/>
        <v>-5061.1429166666667</v>
      </c>
      <c r="AE429" s="879"/>
    </row>
    <row r="430" spans="1:31">
      <c r="A430" s="879">
        <f t="shared" si="90"/>
        <v>416</v>
      </c>
      <c r="B430" s="893" t="s">
        <v>1853</v>
      </c>
      <c r="C430" s="893" t="s">
        <v>717</v>
      </c>
      <c r="D430" s="893" t="s">
        <v>521</v>
      </c>
      <c r="E430" s="918" t="s">
        <v>718</v>
      </c>
      <c r="F430" s="895">
        <v>-1411444.27</v>
      </c>
      <c r="G430" s="895">
        <v>-1648234.83</v>
      </c>
      <c r="H430" s="895">
        <v>-1495761.26</v>
      </c>
      <c r="I430" s="895">
        <v>-1538672.15</v>
      </c>
      <c r="J430" s="895">
        <v>-772591.65</v>
      </c>
      <c r="K430" s="895">
        <v>-601672.22</v>
      </c>
      <c r="L430" s="895">
        <v>-634963.06999999995</v>
      </c>
      <c r="M430" s="895">
        <v>-368707.15</v>
      </c>
      <c r="N430" s="895">
        <v>-425080.99</v>
      </c>
      <c r="O430" s="895">
        <v>-489687.4</v>
      </c>
      <c r="P430" s="895">
        <v>-446710.94</v>
      </c>
      <c r="Q430" s="895">
        <v>-681612.07</v>
      </c>
      <c r="R430" s="895">
        <v>-1314076.9099999999</v>
      </c>
      <c r="S430" s="896">
        <f t="shared" si="94"/>
        <v>-872204.52666666685</v>
      </c>
      <c r="T430" s="879"/>
      <c r="U430" s="881"/>
      <c r="V430" s="881">
        <f t="shared" si="95"/>
        <v>-872204.52666666685</v>
      </c>
      <c r="W430" s="881"/>
      <c r="X430" s="897"/>
      <c r="Y430" s="881"/>
      <c r="Z430" s="881"/>
      <c r="AA430" s="881"/>
      <c r="AB430" s="881"/>
      <c r="AC430" s="879"/>
      <c r="AD430" s="951">
        <f t="shared" si="96"/>
        <v>-872204.52666666685</v>
      </c>
      <c r="AE430" s="879"/>
    </row>
    <row r="431" spans="1:31">
      <c r="A431" s="879">
        <f t="shared" si="90"/>
        <v>417</v>
      </c>
      <c r="B431" s="893" t="s">
        <v>1853</v>
      </c>
      <c r="C431" s="893" t="s">
        <v>717</v>
      </c>
      <c r="D431" s="893" t="s">
        <v>487</v>
      </c>
      <c r="E431" s="918" t="s">
        <v>718</v>
      </c>
      <c r="F431" s="895">
        <v>-10036.09</v>
      </c>
      <c r="G431" s="895">
        <v>-12274.42</v>
      </c>
      <c r="H431" s="895">
        <v>-9449.7999999999993</v>
      </c>
      <c r="I431" s="895">
        <v>-8042.13</v>
      </c>
      <c r="J431" s="895">
        <v>-4137.43</v>
      </c>
      <c r="K431" s="895">
        <v>-2614.4299999999998</v>
      </c>
      <c r="L431" s="895">
        <v>-2497.58</v>
      </c>
      <c r="M431" s="895">
        <v>-2352.7600000000002</v>
      </c>
      <c r="N431" s="895">
        <v>-3358.24</v>
      </c>
      <c r="O431" s="895">
        <v>-2938.37</v>
      </c>
      <c r="P431" s="895">
        <v>-4059.21</v>
      </c>
      <c r="Q431" s="895">
        <v>-5398.49</v>
      </c>
      <c r="R431" s="895">
        <v>-9266.67</v>
      </c>
      <c r="S431" s="896">
        <f t="shared" si="94"/>
        <v>-5564.52</v>
      </c>
      <c r="T431" s="879"/>
      <c r="U431" s="881"/>
      <c r="V431" s="881">
        <f t="shared" si="95"/>
        <v>-5564.52</v>
      </c>
      <c r="W431" s="881"/>
      <c r="X431" s="897"/>
      <c r="Y431" s="881"/>
      <c r="Z431" s="881"/>
      <c r="AA431" s="881"/>
      <c r="AB431" s="881"/>
      <c r="AC431" s="879"/>
      <c r="AD431" s="951">
        <f t="shared" si="96"/>
        <v>-5564.52</v>
      </c>
      <c r="AE431" s="879"/>
    </row>
    <row r="432" spans="1:31">
      <c r="A432" s="879">
        <f t="shared" si="90"/>
        <v>418</v>
      </c>
      <c r="B432" s="893" t="s">
        <v>1853</v>
      </c>
      <c r="C432" s="893" t="s">
        <v>717</v>
      </c>
      <c r="D432" s="893" t="s">
        <v>524</v>
      </c>
      <c r="E432" s="918" t="s">
        <v>718</v>
      </c>
      <c r="F432" s="895">
        <v>-996.95</v>
      </c>
      <c r="G432" s="895">
        <v>-584.16999999999996</v>
      </c>
      <c r="H432" s="895">
        <v>-947.61</v>
      </c>
      <c r="I432" s="895">
        <v>-1350.08</v>
      </c>
      <c r="J432" s="895">
        <v>-1619.07</v>
      </c>
      <c r="K432" s="895">
        <v>-494.99</v>
      </c>
      <c r="L432" s="895">
        <v>-704.52</v>
      </c>
      <c r="M432" s="895">
        <v>-180.05</v>
      </c>
      <c r="N432" s="895">
        <v>-355.11</v>
      </c>
      <c r="O432" s="895">
        <v>-542.37</v>
      </c>
      <c r="P432" s="895">
        <v>-182.04</v>
      </c>
      <c r="Q432" s="895">
        <v>-398.21</v>
      </c>
      <c r="R432" s="895">
        <v>-828.43</v>
      </c>
      <c r="S432" s="896">
        <f t="shared" si="94"/>
        <v>-689.24249999999984</v>
      </c>
      <c r="T432" s="879"/>
      <c r="U432" s="881"/>
      <c r="V432" s="881">
        <f t="shared" si="95"/>
        <v>-689.24249999999984</v>
      </c>
      <c r="W432" s="881"/>
      <c r="X432" s="897"/>
      <c r="Y432" s="881"/>
      <c r="Z432" s="881"/>
      <c r="AA432" s="881"/>
      <c r="AB432" s="881"/>
      <c r="AC432" s="879"/>
      <c r="AD432" s="951">
        <f t="shared" si="96"/>
        <v>-689.24249999999984</v>
      </c>
      <c r="AE432" s="879"/>
    </row>
    <row r="433" spans="1:31">
      <c r="A433" s="879">
        <f t="shared" si="90"/>
        <v>419</v>
      </c>
      <c r="B433" s="893" t="s">
        <v>1853</v>
      </c>
      <c r="C433" s="893" t="s">
        <v>717</v>
      </c>
      <c r="D433" s="893" t="s">
        <v>2224</v>
      </c>
      <c r="E433" s="918" t="s">
        <v>718</v>
      </c>
      <c r="F433" s="895">
        <v>-439855.65</v>
      </c>
      <c r="G433" s="895">
        <v>-513002.1</v>
      </c>
      <c r="H433" s="895">
        <v>-568645.09</v>
      </c>
      <c r="I433" s="895">
        <v>-187538.06</v>
      </c>
      <c r="J433" s="895">
        <v>-214654.13</v>
      </c>
      <c r="K433" s="895">
        <v>-236900.79</v>
      </c>
      <c r="L433" s="895">
        <v>-257087.63</v>
      </c>
      <c r="M433" s="895">
        <v>-274245.12</v>
      </c>
      <c r="N433" s="895">
        <v>-290637.59000000003</v>
      </c>
      <c r="O433" s="895">
        <v>-307826.26</v>
      </c>
      <c r="P433" s="895">
        <v>-328758.24</v>
      </c>
      <c r="Q433" s="895">
        <v>-356805.12</v>
      </c>
      <c r="R433" s="895">
        <v>-407993.25</v>
      </c>
      <c r="S433" s="896">
        <f t="shared" si="94"/>
        <v>-330002.04833333334</v>
      </c>
      <c r="T433" s="879"/>
      <c r="U433" s="881"/>
      <c r="V433" s="881">
        <f t="shared" si="95"/>
        <v>-330002.04833333334</v>
      </c>
      <c r="W433" s="881"/>
      <c r="X433" s="897"/>
      <c r="Y433" s="881"/>
      <c r="Z433" s="881"/>
      <c r="AA433" s="881"/>
      <c r="AB433" s="881"/>
      <c r="AC433" s="879"/>
      <c r="AD433" s="951">
        <f t="shared" si="96"/>
        <v>-330002.04833333334</v>
      </c>
      <c r="AE433" s="879"/>
    </row>
    <row r="434" spans="1:31">
      <c r="A434" s="879">
        <f t="shared" si="90"/>
        <v>420</v>
      </c>
      <c r="B434" s="893" t="s">
        <v>1853</v>
      </c>
      <c r="C434" s="893" t="s">
        <v>717</v>
      </c>
      <c r="D434" s="893" t="s">
        <v>2225</v>
      </c>
      <c r="E434" s="918" t="s">
        <v>718</v>
      </c>
      <c r="F434" s="895">
        <v>-1936080.31</v>
      </c>
      <c r="G434" s="895">
        <v>-2179451.7799999998</v>
      </c>
      <c r="H434" s="895">
        <v>-1671342.21</v>
      </c>
      <c r="I434" s="895">
        <v>-1445022.06</v>
      </c>
      <c r="J434" s="895">
        <v>-965285.78</v>
      </c>
      <c r="K434" s="895">
        <v>-655299.96</v>
      </c>
      <c r="L434" s="895">
        <v>-562569.99</v>
      </c>
      <c r="M434" s="895">
        <v>-495385.39</v>
      </c>
      <c r="N434" s="895">
        <v>-472604.8</v>
      </c>
      <c r="O434" s="895">
        <v>-519371.59</v>
      </c>
      <c r="P434" s="895">
        <v>-749791.26</v>
      </c>
      <c r="Q434" s="895">
        <v>-1094074.6399999999</v>
      </c>
      <c r="R434" s="895">
        <v>-1972557.91</v>
      </c>
      <c r="S434" s="896">
        <f t="shared" si="94"/>
        <v>-1063709.8808333334</v>
      </c>
      <c r="T434" s="879"/>
      <c r="U434" s="881"/>
      <c r="V434" s="881">
        <f t="shared" si="95"/>
        <v>-1063709.8808333334</v>
      </c>
      <c r="W434" s="881"/>
      <c r="X434" s="897"/>
      <c r="Y434" s="881"/>
      <c r="Z434" s="881"/>
      <c r="AA434" s="881"/>
      <c r="AB434" s="881"/>
      <c r="AC434" s="879"/>
      <c r="AD434" s="951">
        <f t="shared" si="96"/>
        <v>-1063709.8808333334</v>
      </c>
      <c r="AE434" s="879"/>
    </row>
    <row r="435" spans="1:31">
      <c r="A435" s="879">
        <f t="shared" si="90"/>
        <v>421</v>
      </c>
      <c r="B435" s="893" t="s">
        <v>1850</v>
      </c>
      <c r="C435" s="893" t="s">
        <v>719</v>
      </c>
      <c r="D435" s="893" t="s">
        <v>2118</v>
      </c>
      <c r="E435" s="918" t="s">
        <v>720</v>
      </c>
      <c r="F435" s="895">
        <v>-4160000</v>
      </c>
      <c r="G435" s="895">
        <v>0</v>
      </c>
      <c r="H435" s="895">
        <v>-4160000</v>
      </c>
      <c r="I435" s="895">
        <v>-4160000</v>
      </c>
      <c r="J435" s="895">
        <v>0</v>
      </c>
      <c r="K435" s="895">
        <v>-4160000</v>
      </c>
      <c r="L435" s="895">
        <v>-4160000</v>
      </c>
      <c r="M435" s="895">
        <v>0</v>
      </c>
      <c r="N435" s="895">
        <v>-4160000</v>
      </c>
      <c r="O435" s="895">
        <v>-4160000</v>
      </c>
      <c r="P435" s="895">
        <v>0</v>
      </c>
      <c r="Q435" s="895">
        <v>-4160000</v>
      </c>
      <c r="R435" s="895">
        <v>-4160000</v>
      </c>
      <c r="S435" s="896">
        <f t="shared" si="94"/>
        <v>-2773333.3333333335</v>
      </c>
      <c r="T435" s="879" t="s">
        <v>2110</v>
      </c>
      <c r="U435" s="881"/>
      <c r="V435" s="973"/>
      <c r="W435" s="973">
        <f>+S435</f>
        <v>-2773333.3333333335</v>
      </c>
      <c r="X435" s="897"/>
      <c r="Y435" s="881"/>
      <c r="Z435" s="881"/>
      <c r="AA435" s="881"/>
      <c r="AB435" s="881"/>
      <c r="AC435" s="975">
        <f>+S435</f>
        <v>-2773333.3333333335</v>
      </c>
      <c r="AD435" s="951"/>
      <c r="AE435" s="879"/>
    </row>
    <row r="436" spans="1:31">
      <c r="A436" s="952">
        <f t="shared" si="90"/>
        <v>422</v>
      </c>
      <c r="B436" s="953" t="s">
        <v>1886</v>
      </c>
      <c r="C436" s="953" t="s">
        <v>721</v>
      </c>
      <c r="D436" s="953" t="s">
        <v>2206</v>
      </c>
      <c r="E436" s="1010" t="s">
        <v>722</v>
      </c>
      <c r="F436" s="955">
        <v>-288154.69</v>
      </c>
      <c r="G436" s="955">
        <v>-280033.43</v>
      </c>
      <c r="H436" s="955">
        <v>-276665.78999999998</v>
      </c>
      <c r="I436" s="955">
        <v>-251191.71</v>
      </c>
      <c r="J436" s="955">
        <v>-245219.03</v>
      </c>
      <c r="K436" s="955">
        <v>-239659.88</v>
      </c>
      <c r="L436" s="955">
        <v>-232155.18</v>
      </c>
      <c r="M436" s="955">
        <v>-231988.47</v>
      </c>
      <c r="N436" s="955">
        <v>-234562.51</v>
      </c>
      <c r="O436" s="955">
        <v>-235896.04</v>
      </c>
      <c r="P436" s="955">
        <v>-242073.22</v>
      </c>
      <c r="Q436" s="955">
        <v>-246481.53</v>
      </c>
      <c r="R436" s="955">
        <v>-246645.51</v>
      </c>
      <c r="S436" s="956">
        <f t="shared" si="94"/>
        <v>-248610.57416666663</v>
      </c>
      <c r="T436" s="952" t="s">
        <v>2110</v>
      </c>
      <c r="U436" s="957"/>
      <c r="V436" s="957"/>
      <c r="W436" s="957"/>
      <c r="X436" s="958">
        <f>+S436</f>
        <v>-248610.57416666663</v>
      </c>
      <c r="Y436" s="957"/>
      <c r="Z436" s="957"/>
      <c r="AA436" s="957"/>
      <c r="AB436" s="957">
        <f>+X436</f>
        <v>-248610.57416666663</v>
      </c>
      <c r="AC436" s="952"/>
      <c r="AD436" s="959"/>
      <c r="AE436" s="952"/>
    </row>
    <row r="437" spans="1:31">
      <c r="A437" s="952">
        <f t="shared" si="90"/>
        <v>423</v>
      </c>
      <c r="B437" s="953" t="s">
        <v>1853</v>
      </c>
      <c r="C437" s="953" t="s">
        <v>721</v>
      </c>
      <c r="D437" s="953" t="s">
        <v>2206</v>
      </c>
      <c r="E437" s="1010" t="s">
        <v>722</v>
      </c>
      <c r="F437" s="955">
        <v>-772913.72</v>
      </c>
      <c r="G437" s="955">
        <v>-756190</v>
      </c>
      <c r="H437" s="955">
        <v>-756955.6</v>
      </c>
      <c r="I437" s="955">
        <v>-747003.04</v>
      </c>
      <c r="J437" s="955">
        <v>-729938.14</v>
      </c>
      <c r="K437" s="955">
        <v>-707782.69</v>
      </c>
      <c r="L437" s="955">
        <v>-666961.55000000005</v>
      </c>
      <c r="M437" s="955">
        <v>-652354.82999999996</v>
      </c>
      <c r="N437" s="955">
        <v>-637316.9</v>
      </c>
      <c r="O437" s="955">
        <v>-598420.91</v>
      </c>
      <c r="P437" s="955">
        <v>-604634.87</v>
      </c>
      <c r="Q437" s="955">
        <v>-616569.36</v>
      </c>
      <c r="R437" s="955">
        <v>-628293.62</v>
      </c>
      <c r="S437" s="956">
        <f t="shared" si="94"/>
        <v>-681227.63000000012</v>
      </c>
      <c r="T437" s="952" t="s">
        <v>2110</v>
      </c>
      <c r="U437" s="957"/>
      <c r="V437" s="957"/>
      <c r="W437" s="957"/>
      <c r="X437" s="958">
        <f>+S437</f>
        <v>-681227.63000000012</v>
      </c>
      <c r="Y437" s="957"/>
      <c r="Z437" s="957"/>
      <c r="AA437" s="957"/>
      <c r="AB437" s="957">
        <f>+X437</f>
        <v>-681227.63000000012</v>
      </c>
      <c r="AC437" s="952"/>
      <c r="AD437" s="959"/>
      <c r="AE437" s="952"/>
    </row>
    <row r="438" spans="1:31">
      <c r="A438" s="879">
        <f t="shared" si="90"/>
        <v>424</v>
      </c>
      <c r="B438" s="893" t="s">
        <v>1850</v>
      </c>
      <c r="C438" s="893" t="s">
        <v>723</v>
      </c>
      <c r="D438" s="893" t="s">
        <v>495</v>
      </c>
      <c r="E438" s="918" t="s">
        <v>724</v>
      </c>
      <c r="F438" s="895">
        <v>0</v>
      </c>
      <c r="G438" s="895">
        <v>0</v>
      </c>
      <c r="H438" s="895">
        <v>0</v>
      </c>
      <c r="I438" s="895">
        <v>0</v>
      </c>
      <c r="J438" s="895">
        <v>0</v>
      </c>
      <c r="K438" s="895">
        <v>0</v>
      </c>
      <c r="L438" s="895">
        <v>0</v>
      </c>
      <c r="M438" s="895">
        <v>0</v>
      </c>
      <c r="N438" s="895">
        <v>0</v>
      </c>
      <c r="O438" s="895">
        <v>0</v>
      </c>
      <c r="P438" s="895">
        <v>0</v>
      </c>
      <c r="Q438" s="895">
        <v>0</v>
      </c>
      <c r="R438" s="895">
        <v>0</v>
      </c>
      <c r="S438" s="896">
        <f t="shared" si="94"/>
        <v>0</v>
      </c>
      <c r="T438" s="879"/>
      <c r="U438" s="881"/>
      <c r="V438" s="881">
        <f t="shared" ref="V438:V475" si="97">+S438</f>
        <v>0</v>
      </c>
      <c r="W438" s="881"/>
      <c r="X438" s="897"/>
      <c r="Y438" s="881"/>
      <c r="Z438" s="881"/>
      <c r="AA438" s="881"/>
      <c r="AB438" s="881"/>
      <c r="AC438" s="879"/>
      <c r="AD438" s="951">
        <f t="shared" ref="AD438:AD489" si="98">+V438</f>
        <v>0</v>
      </c>
      <c r="AE438" s="879"/>
    </row>
    <row r="439" spans="1:31">
      <c r="A439" s="879">
        <f t="shared" si="90"/>
        <v>425</v>
      </c>
      <c r="B439" s="893" t="s">
        <v>1886</v>
      </c>
      <c r="C439" s="893" t="s">
        <v>725</v>
      </c>
      <c r="D439" s="879"/>
      <c r="E439" s="918" t="s">
        <v>726</v>
      </c>
      <c r="F439" s="895">
        <v>0</v>
      </c>
      <c r="G439" s="895">
        <v>0</v>
      </c>
      <c r="H439" s="895">
        <v>0</v>
      </c>
      <c r="I439" s="895">
        <v>0</v>
      </c>
      <c r="J439" s="895">
        <v>0</v>
      </c>
      <c r="K439" s="895">
        <v>0</v>
      </c>
      <c r="L439" s="895">
        <v>0</v>
      </c>
      <c r="M439" s="895">
        <v>0</v>
      </c>
      <c r="N439" s="895">
        <v>0</v>
      </c>
      <c r="O439" s="895">
        <v>0</v>
      </c>
      <c r="P439" s="895">
        <v>0</v>
      </c>
      <c r="Q439" s="895">
        <v>0</v>
      </c>
      <c r="R439" s="895">
        <v>0</v>
      </c>
      <c r="S439" s="896">
        <f t="shared" si="94"/>
        <v>0</v>
      </c>
      <c r="T439" s="879"/>
      <c r="U439" s="881"/>
      <c r="V439" s="881">
        <f t="shared" si="97"/>
        <v>0</v>
      </c>
      <c r="W439" s="881"/>
      <c r="X439" s="897"/>
      <c r="Y439" s="881"/>
      <c r="Z439" s="881"/>
      <c r="AA439" s="881"/>
      <c r="AB439" s="881"/>
      <c r="AC439" s="879"/>
      <c r="AD439" s="951">
        <f t="shared" si="98"/>
        <v>0</v>
      </c>
      <c r="AE439" s="879"/>
    </row>
    <row r="440" spans="1:31">
      <c r="A440" s="879">
        <f t="shared" si="90"/>
        <v>426</v>
      </c>
      <c r="B440" s="893" t="s">
        <v>1853</v>
      </c>
      <c r="C440" s="893" t="s">
        <v>725</v>
      </c>
      <c r="D440" s="879"/>
      <c r="E440" s="918" t="s">
        <v>726</v>
      </c>
      <c r="F440" s="895">
        <v>0</v>
      </c>
      <c r="G440" s="895">
        <v>0</v>
      </c>
      <c r="H440" s="895">
        <v>0</v>
      </c>
      <c r="I440" s="895">
        <v>0</v>
      </c>
      <c r="J440" s="895">
        <v>0</v>
      </c>
      <c r="K440" s="895">
        <v>0</v>
      </c>
      <c r="L440" s="895">
        <v>0</v>
      </c>
      <c r="M440" s="895">
        <v>0</v>
      </c>
      <c r="N440" s="895">
        <v>0</v>
      </c>
      <c r="O440" s="895">
        <v>0</v>
      </c>
      <c r="P440" s="895">
        <v>0</v>
      </c>
      <c r="Q440" s="895">
        <v>0</v>
      </c>
      <c r="R440" s="895">
        <v>0</v>
      </c>
      <c r="S440" s="896">
        <f t="shared" si="94"/>
        <v>0</v>
      </c>
      <c r="T440" s="879"/>
      <c r="U440" s="881"/>
      <c r="V440" s="881">
        <f t="shared" si="97"/>
        <v>0</v>
      </c>
      <c r="W440" s="881"/>
      <c r="X440" s="897"/>
      <c r="Y440" s="881"/>
      <c r="Z440" s="881"/>
      <c r="AA440" s="881"/>
      <c r="AB440" s="881"/>
      <c r="AC440" s="879"/>
      <c r="AD440" s="951">
        <f t="shared" si="98"/>
        <v>0</v>
      </c>
      <c r="AE440" s="879"/>
    </row>
    <row r="441" spans="1:31">
      <c r="A441" s="879">
        <f t="shared" si="90"/>
        <v>427</v>
      </c>
      <c r="B441" s="893" t="s">
        <v>1850</v>
      </c>
      <c r="C441" s="893" t="s">
        <v>727</v>
      </c>
      <c r="D441" s="893" t="s">
        <v>509</v>
      </c>
      <c r="E441" s="918" t="s">
        <v>728</v>
      </c>
      <c r="F441" s="895">
        <v>-374000</v>
      </c>
      <c r="G441" s="895">
        <v>-498666.67</v>
      </c>
      <c r="H441" s="895">
        <v>-623333.34</v>
      </c>
      <c r="I441" s="895">
        <v>-748000</v>
      </c>
      <c r="J441" s="895">
        <v>-124666.67</v>
      </c>
      <c r="K441" s="895">
        <v>-249333.34</v>
      </c>
      <c r="L441" s="895">
        <v>-374000</v>
      </c>
      <c r="M441" s="895">
        <v>-498666.67</v>
      </c>
      <c r="N441" s="895">
        <v>-623333.34</v>
      </c>
      <c r="O441" s="895">
        <v>-748000</v>
      </c>
      <c r="P441" s="895">
        <v>-124666.67</v>
      </c>
      <c r="Q441" s="895">
        <v>-249333.34</v>
      </c>
      <c r="R441" s="895">
        <v>-374000</v>
      </c>
      <c r="S441" s="896">
        <f t="shared" si="94"/>
        <v>-436333.33666666661</v>
      </c>
      <c r="T441" s="879"/>
      <c r="U441" s="881"/>
      <c r="V441" s="881">
        <f t="shared" si="97"/>
        <v>-436333.33666666661</v>
      </c>
      <c r="W441" s="881"/>
      <c r="X441" s="897"/>
      <c r="Y441" s="881"/>
      <c r="Z441" s="881"/>
      <c r="AA441" s="881"/>
      <c r="AB441" s="881"/>
      <c r="AC441" s="879"/>
      <c r="AD441" s="951">
        <f t="shared" si="98"/>
        <v>-436333.33666666661</v>
      </c>
      <c r="AE441" s="879"/>
    </row>
    <row r="442" spans="1:31">
      <c r="A442" s="879">
        <f t="shared" si="90"/>
        <v>428</v>
      </c>
      <c r="B442" s="893" t="s">
        <v>1850</v>
      </c>
      <c r="C442" s="893" t="s">
        <v>727</v>
      </c>
      <c r="D442" s="893" t="s">
        <v>511</v>
      </c>
      <c r="E442" s="918" t="s">
        <v>728</v>
      </c>
      <c r="F442" s="895">
        <v>-266175</v>
      </c>
      <c r="G442" s="895">
        <v>-354900</v>
      </c>
      <c r="H442" s="895">
        <v>-443625</v>
      </c>
      <c r="I442" s="895">
        <v>-532350</v>
      </c>
      <c r="J442" s="895">
        <v>-88725</v>
      </c>
      <c r="K442" s="895">
        <v>-177450</v>
      </c>
      <c r="L442" s="895">
        <v>-266175</v>
      </c>
      <c r="M442" s="895">
        <v>-354900</v>
      </c>
      <c r="N442" s="895">
        <v>-443625</v>
      </c>
      <c r="O442" s="895">
        <v>-532350</v>
      </c>
      <c r="P442" s="895">
        <v>-88725</v>
      </c>
      <c r="Q442" s="895">
        <v>-177450</v>
      </c>
      <c r="R442" s="895">
        <v>-266175</v>
      </c>
      <c r="S442" s="896">
        <f t="shared" si="94"/>
        <v>-310537.5</v>
      </c>
      <c r="T442" s="879"/>
      <c r="U442" s="881"/>
      <c r="V442" s="881">
        <f t="shared" si="97"/>
        <v>-310537.5</v>
      </c>
      <c r="W442" s="881"/>
      <c r="X442" s="897"/>
      <c r="Y442" s="881"/>
      <c r="Z442" s="881"/>
      <c r="AA442" s="881"/>
      <c r="AB442" s="881"/>
      <c r="AC442" s="879"/>
      <c r="AD442" s="951">
        <f t="shared" si="98"/>
        <v>-310537.5</v>
      </c>
      <c r="AE442" s="879"/>
    </row>
    <row r="443" spans="1:31">
      <c r="A443" s="879">
        <f t="shared" si="90"/>
        <v>429</v>
      </c>
      <c r="B443" s="893" t="s">
        <v>1850</v>
      </c>
      <c r="C443" s="893" t="s">
        <v>727</v>
      </c>
      <c r="D443" s="893" t="s">
        <v>513</v>
      </c>
      <c r="E443" s="918" t="s">
        <v>728</v>
      </c>
      <c r="F443" s="895">
        <v>-215153.76</v>
      </c>
      <c r="G443" s="895">
        <v>-322730.64</v>
      </c>
      <c r="H443" s="895">
        <v>-107358.13</v>
      </c>
      <c r="I443" s="895">
        <v>-214716.25</v>
      </c>
      <c r="J443" s="895">
        <v>-322074.38</v>
      </c>
      <c r="K443" s="895">
        <v>-107139.38</v>
      </c>
      <c r="L443" s="895">
        <v>-214278.76</v>
      </c>
      <c r="M443" s="895">
        <v>-321418.14</v>
      </c>
      <c r="N443" s="895">
        <v>-107060.63</v>
      </c>
      <c r="O443" s="895">
        <v>-214121.26</v>
      </c>
      <c r="P443" s="895">
        <v>-321181.88</v>
      </c>
      <c r="Q443" s="895">
        <v>-107060.63</v>
      </c>
      <c r="R443" s="895">
        <v>-214121.26</v>
      </c>
      <c r="S443" s="896">
        <f t="shared" si="94"/>
        <v>-214481.46583333332</v>
      </c>
      <c r="T443" s="879"/>
      <c r="U443" s="881"/>
      <c r="V443" s="881">
        <f t="shared" si="97"/>
        <v>-214481.46583333332</v>
      </c>
      <c r="W443" s="881"/>
      <c r="X443" s="897"/>
      <c r="Y443" s="881"/>
      <c r="Z443" s="881"/>
      <c r="AA443" s="881"/>
      <c r="AB443" s="881"/>
      <c r="AC443" s="879"/>
      <c r="AD443" s="951">
        <f t="shared" si="98"/>
        <v>-214481.46583333332</v>
      </c>
      <c r="AE443" s="879"/>
    </row>
    <row r="444" spans="1:31">
      <c r="A444" s="879">
        <f t="shared" si="90"/>
        <v>430</v>
      </c>
      <c r="B444" s="893" t="s">
        <v>1850</v>
      </c>
      <c r="C444" s="893" t="s">
        <v>727</v>
      </c>
      <c r="D444" s="893" t="s">
        <v>515</v>
      </c>
      <c r="E444" s="918" t="s">
        <v>728</v>
      </c>
      <c r="F444" s="895">
        <v>-260500</v>
      </c>
      <c r="G444" s="895">
        <v>-325625</v>
      </c>
      <c r="H444" s="895">
        <v>-390750</v>
      </c>
      <c r="I444" s="895">
        <v>-65125</v>
      </c>
      <c r="J444" s="895">
        <v>-130250</v>
      </c>
      <c r="K444" s="895">
        <v>-195375</v>
      </c>
      <c r="L444" s="895">
        <v>-260500</v>
      </c>
      <c r="M444" s="895">
        <v>-325625</v>
      </c>
      <c r="N444" s="895">
        <v>-390750</v>
      </c>
      <c r="O444" s="895">
        <v>-65125</v>
      </c>
      <c r="P444" s="895">
        <v>-130250</v>
      </c>
      <c r="Q444" s="895">
        <v>-195375</v>
      </c>
      <c r="R444" s="895">
        <v>-260500</v>
      </c>
      <c r="S444" s="896">
        <f t="shared" si="94"/>
        <v>-227937.5</v>
      </c>
      <c r="T444" s="879"/>
      <c r="U444" s="881"/>
      <c r="V444" s="881">
        <f t="shared" si="97"/>
        <v>-227937.5</v>
      </c>
      <c r="W444" s="881"/>
      <c r="X444" s="897"/>
      <c r="Y444" s="881"/>
      <c r="Z444" s="881"/>
      <c r="AA444" s="881"/>
      <c r="AB444" s="881"/>
      <c r="AC444" s="879"/>
      <c r="AD444" s="951">
        <f t="shared" si="98"/>
        <v>-227937.5</v>
      </c>
      <c r="AE444" s="879"/>
    </row>
    <row r="445" spans="1:31">
      <c r="A445" s="879">
        <f t="shared" si="90"/>
        <v>431</v>
      </c>
      <c r="B445" s="893" t="s">
        <v>1850</v>
      </c>
      <c r="C445" s="893" t="s">
        <v>727</v>
      </c>
      <c r="D445" s="893" t="s">
        <v>517</v>
      </c>
      <c r="E445" s="918" t="s">
        <v>728</v>
      </c>
      <c r="F445" s="895">
        <v>-772000</v>
      </c>
      <c r="G445" s="895">
        <v>-965000</v>
      </c>
      <c r="H445" s="895">
        <v>-1158000</v>
      </c>
      <c r="I445" s="895">
        <v>-193000</v>
      </c>
      <c r="J445" s="895">
        <v>-386000</v>
      </c>
      <c r="K445" s="895">
        <v>-579000</v>
      </c>
      <c r="L445" s="895">
        <v>-772000</v>
      </c>
      <c r="M445" s="895">
        <v>-965000</v>
      </c>
      <c r="N445" s="895">
        <v>-1158000</v>
      </c>
      <c r="O445" s="895">
        <v>-193000</v>
      </c>
      <c r="P445" s="895">
        <v>-386000</v>
      </c>
      <c r="Q445" s="895">
        <v>-579000</v>
      </c>
      <c r="R445" s="895">
        <v>-772000</v>
      </c>
      <c r="S445" s="896">
        <f t="shared" si="94"/>
        <v>-675500</v>
      </c>
      <c r="T445" s="879"/>
      <c r="U445" s="881"/>
      <c r="V445" s="881">
        <f t="shared" si="97"/>
        <v>-675500</v>
      </c>
      <c r="W445" s="881"/>
      <c r="X445" s="897"/>
      <c r="Y445" s="881"/>
      <c r="Z445" s="881"/>
      <c r="AA445" s="881"/>
      <c r="AB445" s="881"/>
      <c r="AC445" s="879"/>
      <c r="AD445" s="951">
        <f t="shared" si="98"/>
        <v>-675500</v>
      </c>
      <c r="AE445" s="879"/>
    </row>
    <row r="446" spans="1:31">
      <c r="A446" s="879">
        <f t="shared" si="90"/>
        <v>432</v>
      </c>
      <c r="B446" s="893" t="s">
        <v>1850</v>
      </c>
      <c r="C446" s="893" t="s">
        <v>727</v>
      </c>
      <c r="D446" s="893" t="s">
        <v>519</v>
      </c>
      <c r="E446" s="918" t="s">
        <v>728</v>
      </c>
      <c r="F446" s="895">
        <v>-342500</v>
      </c>
      <c r="G446" s="895">
        <v>-428125</v>
      </c>
      <c r="H446" s="895">
        <v>0</v>
      </c>
      <c r="I446" s="895">
        <v>-85625</v>
      </c>
      <c r="J446" s="895">
        <v>-171250</v>
      </c>
      <c r="K446" s="895">
        <v>-256875</v>
      </c>
      <c r="L446" s="895">
        <v>-342500</v>
      </c>
      <c r="M446" s="895">
        <v>-428125</v>
      </c>
      <c r="N446" s="895">
        <v>0</v>
      </c>
      <c r="O446" s="895">
        <v>-85625</v>
      </c>
      <c r="P446" s="895">
        <v>-171250</v>
      </c>
      <c r="Q446" s="895">
        <v>-256875</v>
      </c>
      <c r="R446" s="895">
        <v>-342500</v>
      </c>
      <c r="S446" s="896">
        <f t="shared" si="94"/>
        <v>-214062.5</v>
      </c>
      <c r="T446" s="879"/>
      <c r="U446" s="881"/>
      <c r="V446" s="881">
        <f t="shared" si="97"/>
        <v>-214062.5</v>
      </c>
      <c r="W446" s="881"/>
      <c r="X446" s="897"/>
      <c r="Y446" s="881"/>
      <c r="Z446" s="881"/>
      <c r="AA446" s="881"/>
      <c r="AB446" s="881"/>
      <c r="AC446" s="879"/>
      <c r="AD446" s="951">
        <f t="shared" si="98"/>
        <v>-214062.5</v>
      </c>
      <c r="AE446" s="879"/>
    </row>
    <row r="447" spans="1:31">
      <c r="A447" s="879">
        <f t="shared" si="90"/>
        <v>433</v>
      </c>
      <c r="B447" s="893" t="s">
        <v>1850</v>
      </c>
      <c r="C447" s="893" t="s">
        <v>727</v>
      </c>
      <c r="D447" s="893" t="s">
        <v>521</v>
      </c>
      <c r="E447" s="918" t="s">
        <v>728</v>
      </c>
      <c r="F447" s="895">
        <v>-363333.33</v>
      </c>
      <c r="G447" s="895">
        <v>-454166.66</v>
      </c>
      <c r="H447" s="895">
        <v>-5.8207660913467401E-11</v>
      </c>
      <c r="I447" s="895">
        <v>-90833.330000000104</v>
      </c>
      <c r="J447" s="895">
        <v>-181666.66</v>
      </c>
      <c r="K447" s="895">
        <v>-272500</v>
      </c>
      <c r="L447" s="895">
        <v>-363333.33</v>
      </c>
      <c r="M447" s="895">
        <v>-454166.66</v>
      </c>
      <c r="N447" s="895">
        <v>-1.16415321826935E-10</v>
      </c>
      <c r="O447" s="895">
        <v>-90833.330000000104</v>
      </c>
      <c r="P447" s="895">
        <v>-181666.66</v>
      </c>
      <c r="Q447" s="895">
        <v>-272500</v>
      </c>
      <c r="R447" s="895">
        <v>-363333.33</v>
      </c>
      <c r="S447" s="896">
        <f t="shared" si="94"/>
        <v>-227083.33</v>
      </c>
      <c r="T447" s="879"/>
      <c r="U447" s="881"/>
      <c r="V447" s="881">
        <f t="shared" si="97"/>
        <v>-227083.33</v>
      </c>
      <c r="W447" s="881"/>
      <c r="X447" s="897"/>
      <c r="Y447" s="881"/>
      <c r="Z447" s="881"/>
      <c r="AA447" s="881"/>
      <c r="AB447" s="881"/>
      <c r="AC447" s="879"/>
      <c r="AD447" s="951">
        <f t="shared" si="98"/>
        <v>-227083.33</v>
      </c>
      <c r="AE447" s="879"/>
    </row>
    <row r="448" spans="1:31">
      <c r="A448" s="879">
        <f t="shared" si="90"/>
        <v>434</v>
      </c>
      <c r="B448" s="893" t="s">
        <v>1850</v>
      </c>
      <c r="C448" s="893" t="s">
        <v>727</v>
      </c>
      <c r="D448" s="893" t="s">
        <v>524</v>
      </c>
      <c r="E448" s="918" t="s">
        <v>728</v>
      </c>
      <c r="F448" s="895">
        <v>-42604.17</v>
      </c>
      <c r="G448" s="895">
        <v>-85208.34</v>
      </c>
      <c r="H448" s="895">
        <v>-127812.51</v>
      </c>
      <c r="I448" s="895">
        <v>-170416.67</v>
      </c>
      <c r="J448" s="895">
        <v>-213020.84</v>
      </c>
      <c r="K448" s="895">
        <v>2.91038304567337E-11</v>
      </c>
      <c r="L448" s="895">
        <v>-42604.17</v>
      </c>
      <c r="M448" s="895">
        <v>-85208.34</v>
      </c>
      <c r="N448" s="895">
        <v>-127812.5</v>
      </c>
      <c r="O448" s="895">
        <v>-170416.67</v>
      </c>
      <c r="P448" s="895">
        <v>-213020.84</v>
      </c>
      <c r="Q448" s="895">
        <v>2.91038304567337E-11</v>
      </c>
      <c r="R448" s="895">
        <v>-42604.17</v>
      </c>
      <c r="S448" s="896">
        <f t="shared" si="94"/>
        <v>-106510.42083333334</v>
      </c>
      <c r="T448" s="879"/>
      <c r="U448" s="881"/>
      <c r="V448" s="881">
        <f t="shared" si="97"/>
        <v>-106510.42083333334</v>
      </c>
      <c r="W448" s="881"/>
      <c r="X448" s="897"/>
      <c r="Y448" s="881"/>
      <c r="Z448" s="881"/>
      <c r="AA448" s="881"/>
      <c r="AB448" s="881"/>
      <c r="AC448" s="879"/>
      <c r="AD448" s="951">
        <f t="shared" si="98"/>
        <v>-106510.42083333334</v>
      </c>
      <c r="AE448" s="879"/>
    </row>
    <row r="449" spans="1:31">
      <c r="A449" s="879">
        <f t="shared" si="90"/>
        <v>435</v>
      </c>
      <c r="B449" s="893" t="s">
        <v>1850</v>
      </c>
      <c r="C449" s="893" t="s">
        <v>727</v>
      </c>
      <c r="D449" s="893" t="s">
        <v>526</v>
      </c>
      <c r="E449" s="918" t="s">
        <v>728</v>
      </c>
      <c r="F449" s="895">
        <v>-44166.67</v>
      </c>
      <c r="G449" s="895">
        <v>-88333.34</v>
      </c>
      <c r="H449" s="895">
        <v>-132500.01</v>
      </c>
      <c r="I449" s="895">
        <v>-176666.67</v>
      </c>
      <c r="J449" s="895">
        <v>-220833.34</v>
      </c>
      <c r="K449" s="895">
        <v>-2.91038304567337E-11</v>
      </c>
      <c r="L449" s="895">
        <v>-44166.67</v>
      </c>
      <c r="M449" s="895">
        <v>-88333.34</v>
      </c>
      <c r="N449" s="895">
        <v>-132500</v>
      </c>
      <c r="O449" s="895">
        <v>-176666.67</v>
      </c>
      <c r="P449" s="895">
        <v>-220833.34</v>
      </c>
      <c r="Q449" s="895">
        <v>-2.91038304567337E-11</v>
      </c>
      <c r="R449" s="895">
        <v>-44166.67</v>
      </c>
      <c r="S449" s="896">
        <f t="shared" si="94"/>
        <v>-110416.67083333334</v>
      </c>
      <c r="T449" s="879"/>
      <c r="U449" s="881"/>
      <c r="V449" s="881">
        <f t="shared" si="97"/>
        <v>-110416.67083333334</v>
      </c>
      <c r="W449" s="881"/>
      <c r="X449" s="897"/>
      <c r="Y449" s="881"/>
      <c r="Z449" s="881"/>
      <c r="AA449" s="881"/>
      <c r="AB449" s="881"/>
      <c r="AC449" s="879"/>
      <c r="AD449" s="951">
        <f t="shared" si="98"/>
        <v>-110416.67083333334</v>
      </c>
      <c r="AE449" s="879"/>
    </row>
    <row r="450" spans="1:31">
      <c r="A450" s="879">
        <f t="shared" si="90"/>
        <v>436</v>
      </c>
      <c r="B450" s="893" t="s">
        <v>1850</v>
      </c>
      <c r="C450" s="893" t="s">
        <v>727</v>
      </c>
      <c r="D450" s="893" t="s">
        <v>528</v>
      </c>
      <c r="E450" s="918" t="s">
        <v>728</v>
      </c>
      <c r="F450" s="895">
        <v>-213020.84</v>
      </c>
      <c r="G450" s="895">
        <v>0</v>
      </c>
      <c r="H450" s="895">
        <v>-42604.17</v>
      </c>
      <c r="I450" s="895">
        <v>-85208.34</v>
      </c>
      <c r="J450" s="895">
        <v>-127812.5</v>
      </c>
      <c r="K450" s="895">
        <v>-170416.67</v>
      </c>
      <c r="L450" s="895">
        <v>-213020.84</v>
      </c>
      <c r="M450" s="895">
        <v>2.91038304567337E-11</v>
      </c>
      <c r="N450" s="895">
        <v>-42604.17</v>
      </c>
      <c r="O450" s="895">
        <v>-85208.34</v>
      </c>
      <c r="P450" s="895">
        <v>-127812.5</v>
      </c>
      <c r="Q450" s="895">
        <v>-170416.67</v>
      </c>
      <c r="R450" s="895">
        <v>-213020.84</v>
      </c>
      <c r="S450" s="896">
        <f t="shared" si="94"/>
        <v>-106510.42</v>
      </c>
      <c r="T450" s="879"/>
      <c r="U450" s="881"/>
      <c r="V450" s="881">
        <f t="shared" si="97"/>
        <v>-106510.42</v>
      </c>
      <c r="W450" s="881"/>
      <c r="X450" s="897"/>
      <c r="Y450" s="881"/>
      <c r="Z450" s="881"/>
      <c r="AA450" s="881"/>
      <c r="AB450" s="881"/>
      <c r="AC450" s="879"/>
      <c r="AD450" s="951">
        <f t="shared" si="98"/>
        <v>-106510.42</v>
      </c>
      <c r="AE450" s="879"/>
    </row>
    <row r="451" spans="1:31">
      <c r="A451" s="879">
        <f t="shared" si="90"/>
        <v>437</v>
      </c>
      <c r="B451" s="893" t="s">
        <v>1850</v>
      </c>
      <c r="C451" s="893" t="s">
        <v>727</v>
      </c>
      <c r="D451" s="893" t="s">
        <v>529</v>
      </c>
      <c r="E451" s="918" t="s">
        <v>728</v>
      </c>
      <c r="F451" s="895">
        <v>-220833.34</v>
      </c>
      <c r="G451" s="895">
        <v>0</v>
      </c>
      <c r="H451" s="895">
        <v>-44166.67</v>
      </c>
      <c r="I451" s="895">
        <v>-88333.34</v>
      </c>
      <c r="J451" s="895">
        <v>-132500</v>
      </c>
      <c r="K451" s="895">
        <v>-176666.67</v>
      </c>
      <c r="L451" s="895">
        <v>-220833.34</v>
      </c>
      <c r="M451" s="895">
        <v>2.91038304567337E-11</v>
      </c>
      <c r="N451" s="895">
        <v>-44166.67</v>
      </c>
      <c r="O451" s="895">
        <v>-88333.34</v>
      </c>
      <c r="P451" s="895">
        <v>-132500</v>
      </c>
      <c r="Q451" s="895">
        <v>-176666.67</v>
      </c>
      <c r="R451" s="895">
        <v>-220833.34</v>
      </c>
      <c r="S451" s="896">
        <f t="shared" si="94"/>
        <v>-110416.67</v>
      </c>
      <c r="T451" s="879"/>
      <c r="U451" s="881"/>
      <c r="V451" s="881">
        <f t="shared" si="97"/>
        <v>-110416.67</v>
      </c>
      <c r="W451" s="881"/>
      <c r="X451" s="897"/>
      <c r="Y451" s="881"/>
      <c r="Z451" s="881"/>
      <c r="AA451" s="881"/>
      <c r="AB451" s="881"/>
      <c r="AC451" s="879"/>
      <c r="AD451" s="951">
        <f t="shared" si="98"/>
        <v>-110416.67</v>
      </c>
      <c r="AE451" s="879"/>
    </row>
    <row r="452" spans="1:31">
      <c r="A452" s="879">
        <f t="shared" si="90"/>
        <v>438</v>
      </c>
      <c r="B452" s="893" t="s">
        <v>1850</v>
      </c>
      <c r="C452" s="893" t="s">
        <v>729</v>
      </c>
      <c r="D452" s="893" t="s">
        <v>585</v>
      </c>
      <c r="E452" s="918" t="s">
        <v>730</v>
      </c>
      <c r="F452" s="895">
        <v>-1093655.54</v>
      </c>
      <c r="G452" s="895">
        <v>-1207243.23</v>
      </c>
      <c r="H452" s="895">
        <v>-1319045.71</v>
      </c>
      <c r="I452" s="895">
        <v>-628225.73</v>
      </c>
      <c r="J452" s="895">
        <v>-747285.39</v>
      </c>
      <c r="K452" s="895">
        <v>-939464.64</v>
      </c>
      <c r="L452" s="895">
        <v>-1173167.26</v>
      </c>
      <c r="M452" s="895">
        <v>-1119328.3799999999</v>
      </c>
      <c r="N452" s="895">
        <v>-550567.57999999996</v>
      </c>
      <c r="O452" s="895">
        <v>-759453.47</v>
      </c>
      <c r="P452" s="895">
        <v>-878422.61</v>
      </c>
      <c r="Q452" s="895">
        <v>-1138616.07</v>
      </c>
      <c r="R452" s="895">
        <v>-1306114.3500000001</v>
      </c>
      <c r="S452" s="896">
        <f t="shared" si="94"/>
        <v>-971725.41791666672</v>
      </c>
      <c r="T452" s="879"/>
      <c r="U452" s="881"/>
      <c r="V452" s="881">
        <f t="shared" si="97"/>
        <v>-971725.41791666672</v>
      </c>
      <c r="W452" s="881"/>
      <c r="X452" s="897"/>
      <c r="Y452" s="881"/>
      <c r="Z452" s="881"/>
      <c r="AA452" s="881"/>
      <c r="AB452" s="881"/>
      <c r="AC452" s="879"/>
      <c r="AD452" s="951">
        <f t="shared" si="98"/>
        <v>-971725.41791666672</v>
      </c>
      <c r="AE452" s="879"/>
    </row>
    <row r="453" spans="1:31">
      <c r="A453" s="879">
        <f t="shared" si="90"/>
        <v>439</v>
      </c>
      <c r="B453" s="893" t="s">
        <v>1850</v>
      </c>
      <c r="C453" s="893" t="s">
        <v>729</v>
      </c>
      <c r="D453" s="893" t="s">
        <v>634</v>
      </c>
      <c r="E453" s="918" t="s">
        <v>730</v>
      </c>
      <c r="F453" s="895">
        <v>-1.16415321826935E-10</v>
      </c>
      <c r="G453" s="895">
        <v>-92461.75</v>
      </c>
      <c r="H453" s="895">
        <v>-178955.72</v>
      </c>
      <c r="I453" s="895">
        <v>-272825.81</v>
      </c>
      <c r="J453" s="895">
        <v>-360719.44</v>
      </c>
      <c r="K453" s="895">
        <v>-451709.72</v>
      </c>
      <c r="L453" s="895">
        <v>-578796.11</v>
      </c>
      <c r="M453" s="895">
        <v>-659912.47</v>
      </c>
      <c r="N453" s="895">
        <v>-762411.11</v>
      </c>
      <c r="O453" s="895">
        <v>-811452.11</v>
      </c>
      <c r="P453" s="895">
        <v>-926657.22</v>
      </c>
      <c r="Q453" s="895">
        <v>-1019296.94</v>
      </c>
      <c r="R453" s="895">
        <v>-1212600.8999999999</v>
      </c>
      <c r="S453" s="896">
        <f t="shared" si="94"/>
        <v>-560124.90416666656</v>
      </c>
      <c r="T453" s="879"/>
      <c r="U453" s="881"/>
      <c r="V453" s="881">
        <f t="shared" si="97"/>
        <v>-560124.90416666656</v>
      </c>
      <c r="W453" s="881"/>
      <c r="X453" s="897"/>
      <c r="Y453" s="881"/>
      <c r="Z453" s="881"/>
      <c r="AA453" s="881"/>
      <c r="AB453" s="881"/>
      <c r="AC453" s="879"/>
      <c r="AD453" s="951">
        <f t="shared" si="98"/>
        <v>-560124.90416666656</v>
      </c>
      <c r="AE453" s="879"/>
    </row>
    <row r="454" spans="1:31">
      <c r="A454" s="879">
        <f t="shared" si="90"/>
        <v>440</v>
      </c>
      <c r="B454" s="893" t="s">
        <v>1850</v>
      </c>
      <c r="C454" s="893" t="s">
        <v>731</v>
      </c>
      <c r="D454" s="893" t="s">
        <v>2168</v>
      </c>
      <c r="E454" s="918" t="s">
        <v>732</v>
      </c>
      <c r="F454" s="895">
        <v>-9396153.1500000004</v>
      </c>
      <c r="G454" s="895">
        <v>-6322291.4400000004</v>
      </c>
      <c r="H454" s="895">
        <v>-5587158.4000000004</v>
      </c>
      <c r="I454" s="895">
        <v>-5068445.1900000004</v>
      </c>
      <c r="J454" s="895">
        <v>-5042049.07</v>
      </c>
      <c r="K454" s="895">
        <v>-5873241.6600000001</v>
      </c>
      <c r="L454" s="895">
        <v>-8222019.7400000002</v>
      </c>
      <c r="M454" s="895">
        <v>-9519649.6500000004</v>
      </c>
      <c r="N454" s="895">
        <v>-9061646.6199999992</v>
      </c>
      <c r="O454" s="895">
        <v>-10360559.130000001</v>
      </c>
      <c r="P454" s="895">
        <v>-13888361.550000001</v>
      </c>
      <c r="Q454" s="895">
        <v>-10747848.970000001</v>
      </c>
      <c r="R454" s="895">
        <v>-8014456.6299999999</v>
      </c>
      <c r="S454" s="896">
        <f t="shared" si="94"/>
        <v>-8199881.3591666669</v>
      </c>
      <c r="T454" s="879"/>
      <c r="U454" s="881"/>
      <c r="V454" s="881">
        <f t="shared" si="97"/>
        <v>-8199881.3591666669</v>
      </c>
      <c r="W454" s="881"/>
      <c r="X454" s="897"/>
      <c r="Y454" s="881"/>
      <c r="Z454" s="881"/>
      <c r="AA454" s="881"/>
      <c r="AB454" s="881"/>
      <c r="AC454" s="879"/>
      <c r="AD454" s="951">
        <f t="shared" si="98"/>
        <v>-8199881.3591666669</v>
      </c>
      <c r="AE454" s="879"/>
    </row>
    <row r="455" spans="1:31">
      <c r="A455" s="879">
        <f t="shared" si="90"/>
        <v>441</v>
      </c>
      <c r="B455" s="893" t="s">
        <v>1850</v>
      </c>
      <c r="C455" s="893" t="s">
        <v>731</v>
      </c>
      <c r="D455" s="893" t="s">
        <v>2226</v>
      </c>
      <c r="E455" s="918" t="s">
        <v>732</v>
      </c>
      <c r="F455" s="895">
        <v>-69235.039999999994</v>
      </c>
      <c r="G455" s="895">
        <v>-26363.79</v>
      </c>
      <c r="H455" s="895">
        <v>-52768.79</v>
      </c>
      <c r="I455" s="895">
        <v>-79173.789999999994</v>
      </c>
      <c r="J455" s="895">
        <v>-105578.79</v>
      </c>
      <c r="K455" s="895">
        <v>-59960.59</v>
      </c>
      <c r="L455" s="895">
        <v>-86365.59</v>
      </c>
      <c r="M455" s="895">
        <v>-40747.39</v>
      </c>
      <c r="N455" s="895">
        <v>-67152.39</v>
      </c>
      <c r="O455" s="895">
        <v>-85688.39</v>
      </c>
      <c r="P455" s="895">
        <v>-32201.19</v>
      </c>
      <c r="Q455" s="895">
        <v>-50736.19</v>
      </c>
      <c r="R455" s="895">
        <v>-69271.289999999994</v>
      </c>
      <c r="S455" s="896">
        <f t="shared" si="94"/>
        <v>-62999.171249999992</v>
      </c>
      <c r="T455" s="879"/>
      <c r="U455" s="881"/>
      <c r="V455" s="881">
        <f t="shared" si="97"/>
        <v>-62999.171249999992</v>
      </c>
      <c r="W455" s="881"/>
      <c r="X455" s="897"/>
      <c r="Y455" s="881"/>
      <c r="Z455" s="881"/>
      <c r="AA455" s="881"/>
      <c r="AB455" s="881"/>
      <c r="AC455" s="879"/>
      <c r="AD455" s="951">
        <f t="shared" si="98"/>
        <v>-62999.171249999992</v>
      </c>
      <c r="AE455" s="879"/>
    </row>
    <row r="456" spans="1:31">
      <c r="A456" s="879">
        <f t="shared" si="90"/>
        <v>442</v>
      </c>
      <c r="B456" s="893" t="s">
        <v>1850</v>
      </c>
      <c r="C456" s="893" t="s">
        <v>731</v>
      </c>
      <c r="D456" s="893" t="s">
        <v>2227</v>
      </c>
      <c r="E456" s="918" t="s">
        <v>732</v>
      </c>
      <c r="F456" s="895">
        <v>-140549.31</v>
      </c>
      <c r="G456" s="895">
        <v>0</v>
      </c>
      <c r="H456" s="895">
        <v>-17501.830000000002</v>
      </c>
      <c r="I456" s="895">
        <v>-32652.19</v>
      </c>
      <c r="J456" s="895">
        <v>-46164.23</v>
      </c>
      <c r="K456" s="895">
        <v>-58858.82</v>
      </c>
      <c r="L456" s="895">
        <v>-71551.960000000006</v>
      </c>
      <c r="M456" s="895">
        <v>-88275.57</v>
      </c>
      <c r="N456" s="895">
        <v>-103655.28</v>
      </c>
      <c r="O456" s="895">
        <v>-122211.39</v>
      </c>
      <c r="P456" s="895">
        <v>-139528.65</v>
      </c>
      <c r="Q456" s="895">
        <v>-157206.87</v>
      </c>
      <c r="R456" s="895">
        <v>-179284.56</v>
      </c>
      <c r="S456" s="896">
        <f t="shared" si="94"/>
        <v>-83126.977083333346</v>
      </c>
      <c r="T456" s="879"/>
      <c r="U456" s="881"/>
      <c r="V456" s="881">
        <f t="shared" si="97"/>
        <v>-83126.977083333346</v>
      </c>
      <c r="W456" s="881"/>
      <c r="X456" s="897"/>
      <c r="Y456" s="881"/>
      <c r="Z456" s="881"/>
      <c r="AA456" s="881"/>
      <c r="AB456" s="881"/>
      <c r="AC456" s="879"/>
      <c r="AD456" s="951">
        <f t="shared" si="98"/>
        <v>-83126.977083333346</v>
      </c>
      <c r="AE456" s="879"/>
    </row>
    <row r="457" spans="1:31">
      <c r="A457" s="879">
        <f t="shared" si="90"/>
        <v>443</v>
      </c>
      <c r="B457" s="893" t="s">
        <v>1850</v>
      </c>
      <c r="C457" s="893" t="s">
        <v>731</v>
      </c>
      <c r="D457" s="893" t="s">
        <v>2228</v>
      </c>
      <c r="E457" s="918" t="s">
        <v>732</v>
      </c>
      <c r="F457" s="895">
        <v>0</v>
      </c>
      <c r="G457" s="895">
        <v>-5381.94</v>
      </c>
      <c r="H457" s="895">
        <v>-10416.66</v>
      </c>
      <c r="I457" s="895">
        <v>0</v>
      </c>
      <c r="J457" s="895">
        <v>-5208.33</v>
      </c>
      <c r="K457" s="895">
        <v>-10590.27</v>
      </c>
      <c r="L457" s="895">
        <v>0</v>
      </c>
      <c r="M457" s="895">
        <v>-5381.94</v>
      </c>
      <c r="N457" s="895">
        <v>-10763.88</v>
      </c>
      <c r="O457" s="895">
        <v>0</v>
      </c>
      <c r="P457" s="895">
        <v>-5381.94</v>
      </c>
      <c r="Q457" s="895">
        <v>-10590.27</v>
      </c>
      <c r="R457" s="895">
        <v>-173.61000000000101</v>
      </c>
      <c r="S457" s="896">
        <f t="shared" si="94"/>
        <v>-5316.8362499999994</v>
      </c>
      <c r="T457" s="879"/>
      <c r="U457" s="881"/>
      <c r="V457" s="881">
        <f t="shared" si="97"/>
        <v>-5316.8362499999994</v>
      </c>
      <c r="W457" s="881"/>
      <c r="X457" s="897"/>
      <c r="Y457" s="881"/>
      <c r="Z457" s="881"/>
      <c r="AA457" s="881"/>
      <c r="AB457" s="881"/>
      <c r="AC457" s="879"/>
      <c r="AD457" s="951">
        <f t="shared" si="98"/>
        <v>-5316.8362499999994</v>
      </c>
      <c r="AE457" s="879"/>
    </row>
    <row r="458" spans="1:31">
      <c r="A458" s="879">
        <f t="shared" si="90"/>
        <v>444</v>
      </c>
      <c r="B458" s="893" t="s">
        <v>1850</v>
      </c>
      <c r="C458" s="893" t="s">
        <v>731</v>
      </c>
      <c r="D458" s="893" t="s">
        <v>2229</v>
      </c>
      <c r="E458" s="918" t="s">
        <v>732</v>
      </c>
      <c r="F458" s="895">
        <v>-583032</v>
      </c>
      <c r="G458" s="895">
        <v>-583032</v>
      </c>
      <c r="H458" s="895">
        <v>-583032</v>
      </c>
      <c r="I458" s="895">
        <v>-583032</v>
      </c>
      <c r="J458" s="895">
        <v>-583032</v>
      </c>
      <c r="K458" s="895">
        <v>-583032</v>
      </c>
      <c r="L458" s="895">
        <v>-583032</v>
      </c>
      <c r="M458" s="895">
        <v>-583032</v>
      </c>
      <c r="N458" s="895">
        <v>-583032</v>
      </c>
      <c r="O458" s="895">
        <v>-583032</v>
      </c>
      <c r="P458" s="895">
        <v>-583032</v>
      </c>
      <c r="Q458" s="895">
        <v>-583032</v>
      </c>
      <c r="R458" s="895">
        <v>-582558</v>
      </c>
      <c r="S458" s="896">
        <f t="shared" si="94"/>
        <v>-583012.25</v>
      </c>
      <c r="T458" s="879"/>
      <c r="U458" s="881"/>
      <c r="V458" s="881">
        <f t="shared" si="97"/>
        <v>-583012.25</v>
      </c>
      <c r="W458" s="881"/>
      <c r="X458" s="897"/>
      <c r="Y458" s="881"/>
      <c r="Z458" s="881"/>
      <c r="AA458" s="881"/>
      <c r="AB458" s="881"/>
      <c r="AC458" s="879"/>
      <c r="AD458" s="951">
        <f t="shared" si="98"/>
        <v>-583012.25</v>
      </c>
      <c r="AE458" s="879"/>
    </row>
    <row r="459" spans="1:31">
      <c r="A459" s="879">
        <f t="shared" si="90"/>
        <v>445</v>
      </c>
      <c r="B459" s="893" t="s">
        <v>1850</v>
      </c>
      <c r="C459" s="893" t="s">
        <v>731</v>
      </c>
      <c r="D459" s="893" t="s">
        <v>2230</v>
      </c>
      <c r="E459" s="918" t="s">
        <v>479</v>
      </c>
      <c r="F459" s="895">
        <v>-601131.21</v>
      </c>
      <c r="G459" s="895">
        <v>-108778.56</v>
      </c>
      <c r="H459" s="895">
        <v>-132781.67000000001</v>
      </c>
      <c r="I459" s="895">
        <v>8.7311491370201098E-11</v>
      </c>
      <c r="J459" s="895">
        <v>-118681.95</v>
      </c>
      <c r="K459" s="895">
        <v>-38588.779999999897</v>
      </c>
      <c r="L459" s="895">
        <v>-730937.53</v>
      </c>
      <c r="M459" s="895">
        <v>-475031.73</v>
      </c>
      <c r="N459" s="895">
        <v>-505192.28</v>
      </c>
      <c r="O459" s="895">
        <v>-89030.549999999901</v>
      </c>
      <c r="P459" s="895">
        <v>-520709.52</v>
      </c>
      <c r="Q459" s="895">
        <v>-95607.389999999898</v>
      </c>
      <c r="R459" s="895">
        <v>-1551284.94</v>
      </c>
      <c r="S459" s="896">
        <f t="shared" si="94"/>
        <v>-324295.66958333337</v>
      </c>
      <c r="T459" s="879"/>
      <c r="U459" s="881"/>
      <c r="V459" s="881">
        <f t="shared" si="97"/>
        <v>-324295.66958333337</v>
      </c>
      <c r="W459" s="881"/>
      <c r="X459" s="897"/>
      <c r="Y459" s="881"/>
      <c r="Z459" s="881"/>
      <c r="AA459" s="881"/>
      <c r="AB459" s="881"/>
      <c r="AC459" s="879"/>
      <c r="AD459" s="951">
        <f t="shared" si="98"/>
        <v>-324295.66958333337</v>
      </c>
      <c r="AE459" s="879"/>
    </row>
    <row r="460" spans="1:31">
      <c r="A460" s="879">
        <f t="shared" si="90"/>
        <v>446</v>
      </c>
      <c r="B460" s="893" t="s">
        <v>1850</v>
      </c>
      <c r="C460" s="893" t="s">
        <v>733</v>
      </c>
      <c r="D460" s="893" t="s">
        <v>585</v>
      </c>
      <c r="E460" s="918" t="s">
        <v>734</v>
      </c>
      <c r="F460" s="895">
        <v>-1830287.74</v>
      </c>
      <c r="G460" s="895">
        <v>-1830287.74</v>
      </c>
      <c r="H460" s="895">
        <v>-1830287.74</v>
      </c>
      <c r="I460" s="895">
        <v>-1832155.73</v>
      </c>
      <c r="J460" s="895">
        <v>-1832155.73</v>
      </c>
      <c r="K460" s="895">
        <v>-1832155.73</v>
      </c>
      <c r="L460" s="895">
        <v>-1835522.18</v>
      </c>
      <c r="M460" s="895">
        <v>-1835522.18</v>
      </c>
      <c r="N460" s="895">
        <v>-1835522.18</v>
      </c>
      <c r="O460" s="895">
        <v>-1921571.95</v>
      </c>
      <c r="P460" s="895">
        <v>-1921571.95</v>
      </c>
      <c r="Q460" s="895">
        <v>-1921571.95</v>
      </c>
      <c r="R460" s="895">
        <v>-1970912.73</v>
      </c>
      <c r="S460" s="896">
        <f t="shared" si="94"/>
        <v>-1860743.7745833332</v>
      </c>
      <c r="T460" s="879"/>
      <c r="U460" s="881"/>
      <c r="V460" s="881">
        <f t="shared" si="97"/>
        <v>-1860743.7745833332</v>
      </c>
      <c r="W460" s="881"/>
      <c r="X460" s="897"/>
      <c r="Y460" s="881"/>
      <c r="Z460" s="881"/>
      <c r="AA460" s="881"/>
      <c r="AB460" s="881"/>
      <c r="AC460" s="879"/>
      <c r="AD460" s="951">
        <f t="shared" si="98"/>
        <v>-1860743.7745833332</v>
      </c>
      <c r="AE460" s="879"/>
    </row>
    <row r="461" spans="1:31">
      <c r="A461" s="879">
        <f t="shared" si="90"/>
        <v>447</v>
      </c>
      <c r="B461" s="893" t="s">
        <v>1850</v>
      </c>
      <c r="C461" s="893" t="s">
        <v>735</v>
      </c>
      <c r="D461" s="893" t="s">
        <v>2231</v>
      </c>
      <c r="E461" s="918" t="s">
        <v>736</v>
      </c>
      <c r="F461" s="895">
        <v>-77679.28</v>
      </c>
      <c r="G461" s="895">
        <v>-82079.199999999997</v>
      </c>
      <c r="H461" s="895">
        <v>-89958.04</v>
      </c>
      <c r="I461" s="895">
        <v>-72533.33</v>
      </c>
      <c r="J461" s="895">
        <v>-66294.16</v>
      </c>
      <c r="K461" s="895">
        <v>-61163.97</v>
      </c>
      <c r="L461" s="895">
        <v>-55657.36</v>
      </c>
      <c r="M461" s="895">
        <v>-56684.6</v>
      </c>
      <c r="N461" s="895">
        <v>-58438.32</v>
      </c>
      <c r="O461" s="895">
        <v>-59232.62</v>
      </c>
      <c r="P461" s="895">
        <v>-68053.259999999995</v>
      </c>
      <c r="Q461" s="895">
        <v>-77967.95</v>
      </c>
      <c r="R461" s="895">
        <v>-91357.36</v>
      </c>
      <c r="S461" s="896">
        <f t="shared" si="94"/>
        <v>-69381.760833333319</v>
      </c>
      <c r="T461" s="879"/>
      <c r="U461" s="881"/>
      <c r="V461" s="881">
        <f t="shared" si="97"/>
        <v>-69381.760833333319</v>
      </c>
      <c r="W461" s="881"/>
      <c r="X461" s="897"/>
      <c r="Y461" s="881"/>
      <c r="Z461" s="881"/>
      <c r="AA461" s="881"/>
      <c r="AB461" s="881"/>
      <c r="AC461" s="879"/>
      <c r="AD461" s="951">
        <f t="shared" si="98"/>
        <v>-69381.760833333319</v>
      </c>
      <c r="AE461" s="879"/>
    </row>
    <row r="462" spans="1:31">
      <c r="A462" s="879">
        <f t="shared" si="90"/>
        <v>448</v>
      </c>
      <c r="B462" s="893" t="s">
        <v>1886</v>
      </c>
      <c r="C462" s="893" t="s">
        <v>735</v>
      </c>
      <c r="D462" s="893" t="s">
        <v>2118</v>
      </c>
      <c r="E462" s="918" t="s">
        <v>736</v>
      </c>
      <c r="F462" s="895">
        <v>-312621.74</v>
      </c>
      <c r="G462" s="895">
        <v>-143020.22</v>
      </c>
      <c r="H462" s="895">
        <v>-205445.26</v>
      </c>
      <c r="I462" s="895">
        <v>-179571.53</v>
      </c>
      <c r="J462" s="895">
        <v>-121999.72</v>
      </c>
      <c r="K462" s="895">
        <v>-78594.539999999994</v>
      </c>
      <c r="L462" s="895">
        <v>-74081.279999999999</v>
      </c>
      <c r="M462" s="895">
        <v>-60245.88</v>
      </c>
      <c r="N462" s="895">
        <v>-57172.08</v>
      </c>
      <c r="O462" s="895">
        <v>-74731.490000000005</v>
      </c>
      <c r="P462" s="895">
        <v>-147183.54</v>
      </c>
      <c r="Q462" s="895">
        <v>-233313.55</v>
      </c>
      <c r="R462" s="895">
        <v>-426857.71</v>
      </c>
      <c r="S462" s="896">
        <f t="shared" si="94"/>
        <v>-145424.90125</v>
      </c>
      <c r="T462" s="879"/>
      <c r="U462" s="881"/>
      <c r="V462" s="881">
        <f t="shared" si="97"/>
        <v>-145424.90125</v>
      </c>
      <c r="W462" s="881"/>
      <c r="X462" s="897"/>
      <c r="Y462" s="881"/>
      <c r="Z462" s="881"/>
      <c r="AA462" s="881"/>
      <c r="AB462" s="881"/>
      <c r="AC462" s="879"/>
      <c r="AD462" s="951">
        <f t="shared" si="98"/>
        <v>-145424.90125</v>
      </c>
      <c r="AE462" s="879"/>
    </row>
    <row r="463" spans="1:31">
      <c r="A463" s="879">
        <f t="shared" si="90"/>
        <v>449</v>
      </c>
      <c r="B463" s="893" t="s">
        <v>1886</v>
      </c>
      <c r="C463" s="893" t="s">
        <v>735</v>
      </c>
      <c r="D463" s="893" t="s">
        <v>495</v>
      </c>
      <c r="E463" s="918" t="s">
        <v>736</v>
      </c>
      <c r="F463" s="895">
        <v>-161439.10999999999</v>
      </c>
      <c r="G463" s="895">
        <v>-170455.42</v>
      </c>
      <c r="H463" s="895">
        <v>-163146.38</v>
      </c>
      <c r="I463" s="895">
        <v>-165382.78</v>
      </c>
      <c r="J463" s="895">
        <v>-152902.93</v>
      </c>
      <c r="K463" s="895">
        <v>-141321.21</v>
      </c>
      <c r="L463" s="895">
        <v>-126667.45</v>
      </c>
      <c r="M463" s="895">
        <v>-126414.14</v>
      </c>
      <c r="N463" s="895">
        <v>-128879.54</v>
      </c>
      <c r="O463" s="895">
        <v>-119426.93</v>
      </c>
      <c r="P463" s="895">
        <v>-126900.79</v>
      </c>
      <c r="Q463" s="895">
        <v>-128753.38</v>
      </c>
      <c r="R463" s="895">
        <v>-179530.23999999999</v>
      </c>
      <c r="S463" s="896">
        <f t="shared" si="94"/>
        <v>-143394.63541666666</v>
      </c>
      <c r="T463" s="879"/>
      <c r="U463" s="881"/>
      <c r="V463" s="881">
        <f t="shared" si="97"/>
        <v>-143394.63541666666</v>
      </c>
      <c r="W463" s="881"/>
      <c r="X463" s="897"/>
      <c r="Y463" s="881"/>
      <c r="Z463" s="881"/>
      <c r="AA463" s="881"/>
      <c r="AB463" s="881"/>
      <c r="AC463" s="879"/>
      <c r="AD463" s="951">
        <f t="shared" si="98"/>
        <v>-143394.63541666666</v>
      </c>
      <c r="AE463" s="879"/>
    </row>
    <row r="464" spans="1:31">
      <c r="A464" s="879">
        <f t="shared" si="90"/>
        <v>450</v>
      </c>
      <c r="B464" s="893" t="s">
        <v>1886</v>
      </c>
      <c r="C464" s="893" t="s">
        <v>735</v>
      </c>
      <c r="D464" s="893" t="s">
        <v>478</v>
      </c>
      <c r="E464" s="918" t="s">
        <v>736</v>
      </c>
      <c r="F464" s="895">
        <v>-53148.75</v>
      </c>
      <c r="G464" s="895">
        <v>-53031.82</v>
      </c>
      <c r="H464" s="895">
        <v>-52233.61</v>
      </c>
      <c r="I464" s="895">
        <v>-44655.65</v>
      </c>
      <c r="J464" s="895">
        <v>-41214.269999999997</v>
      </c>
      <c r="K464" s="895">
        <v>-40661.370000000003</v>
      </c>
      <c r="L464" s="895">
        <v>-36593.57</v>
      </c>
      <c r="M464" s="895">
        <v>-46486.89</v>
      </c>
      <c r="N464" s="895">
        <v>-45996.959999999999</v>
      </c>
      <c r="O464" s="895">
        <v>-44583.98</v>
      </c>
      <c r="P464" s="895">
        <v>-46497.38</v>
      </c>
      <c r="Q464" s="895">
        <v>-49605.64</v>
      </c>
      <c r="R464" s="895">
        <v>-53991.22</v>
      </c>
      <c r="S464" s="896">
        <f t="shared" si="94"/>
        <v>-46260.927083333336</v>
      </c>
      <c r="T464" s="879"/>
      <c r="U464" s="881"/>
      <c r="V464" s="881">
        <f t="shared" si="97"/>
        <v>-46260.927083333336</v>
      </c>
      <c r="W464" s="881"/>
      <c r="X464" s="897"/>
      <c r="Y464" s="881"/>
      <c r="Z464" s="881"/>
      <c r="AA464" s="881"/>
      <c r="AB464" s="881"/>
      <c r="AC464" s="879"/>
      <c r="AD464" s="951">
        <f t="shared" si="98"/>
        <v>-46260.927083333336</v>
      </c>
      <c r="AE464" s="879"/>
    </row>
    <row r="465" spans="1:31">
      <c r="A465" s="879">
        <f t="shared" ref="A465:A528" si="99">+A464+1</f>
        <v>451</v>
      </c>
      <c r="B465" s="893" t="s">
        <v>1886</v>
      </c>
      <c r="C465" s="893" t="s">
        <v>735</v>
      </c>
      <c r="D465" s="893" t="s">
        <v>534</v>
      </c>
      <c r="E465" s="918" t="s">
        <v>736</v>
      </c>
      <c r="F465" s="895">
        <v>-128090.44</v>
      </c>
      <c r="G465" s="895">
        <v>-99505.19</v>
      </c>
      <c r="H465" s="895">
        <v>-30765.91</v>
      </c>
      <c r="I465" s="895">
        <v>-7369.7400000000098</v>
      </c>
      <c r="J465" s="895">
        <v>54289.22</v>
      </c>
      <c r="K465" s="895">
        <v>102269.06</v>
      </c>
      <c r="L465" s="895">
        <v>157484.87</v>
      </c>
      <c r="M465" s="895">
        <v>165817.65</v>
      </c>
      <c r="N465" s="895">
        <v>165817.65</v>
      </c>
      <c r="O465" s="895">
        <v>179878.72</v>
      </c>
      <c r="P465" s="895">
        <v>179878.72</v>
      </c>
      <c r="Q465" s="895">
        <v>209845.1</v>
      </c>
      <c r="R465" s="895">
        <v>209845.1</v>
      </c>
      <c r="S465" s="896">
        <f t="shared" si="94"/>
        <v>93209.79</v>
      </c>
      <c r="T465" s="879"/>
      <c r="U465" s="881"/>
      <c r="V465" s="881">
        <f t="shared" si="97"/>
        <v>93209.79</v>
      </c>
      <c r="W465" s="881"/>
      <c r="X465" s="897"/>
      <c r="Y465" s="881"/>
      <c r="Z465" s="881"/>
      <c r="AA465" s="881"/>
      <c r="AB465" s="881"/>
      <c r="AC465" s="879"/>
      <c r="AD465" s="951">
        <f t="shared" si="98"/>
        <v>93209.79</v>
      </c>
      <c r="AE465" s="879"/>
    </row>
    <row r="466" spans="1:31">
      <c r="A466" s="879">
        <f t="shared" si="99"/>
        <v>452</v>
      </c>
      <c r="B466" s="893" t="s">
        <v>1853</v>
      </c>
      <c r="C466" s="893" t="s">
        <v>735</v>
      </c>
      <c r="D466" s="893" t="s">
        <v>478</v>
      </c>
      <c r="E466" s="918" t="s">
        <v>736</v>
      </c>
      <c r="F466" s="895">
        <v>-447780.24</v>
      </c>
      <c r="G466" s="895">
        <v>-438794.62</v>
      </c>
      <c r="H466" s="895">
        <v>-437104.27</v>
      </c>
      <c r="I466" s="895">
        <v>-408920.09</v>
      </c>
      <c r="J466" s="895">
        <v>-394129.13</v>
      </c>
      <c r="K466" s="895">
        <v>-399812.54</v>
      </c>
      <c r="L466" s="895">
        <v>-371146.23</v>
      </c>
      <c r="M466" s="895">
        <v>-385064.25</v>
      </c>
      <c r="N466" s="895">
        <v>-439588.96</v>
      </c>
      <c r="O466" s="895">
        <v>-444840.23</v>
      </c>
      <c r="P466" s="895">
        <v>-470185.19</v>
      </c>
      <c r="Q466" s="895">
        <v>-507488.89</v>
      </c>
      <c r="R466" s="895">
        <v>-618515.05000000005</v>
      </c>
      <c r="S466" s="896">
        <f t="shared" si="94"/>
        <v>-435851.83708333335</v>
      </c>
      <c r="T466" s="879"/>
      <c r="U466" s="881"/>
      <c r="V466" s="881">
        <f t="shared" si="97"/>
        <v>-435851.83708333335</v>
      </c>
      <c r="W466" s="881"/>
      <c r="X466" s="897"/>
      <c r="Y466" s="881"/>
      <c r="Z466" s="881"/>
      <c r="AA466" s="881"/>
      <c r="AB466" s="881"/>
      <c r="AC466" s="879"/>
      <c r="AD466" s="951">
        <f t="shared" si="98"/>
        <v>-435851.83708333335</v>
      </c>
      <c r="AE466" s="879"/>
    </row>
    <row r="467" spans="1:31">
      <c r="A467" s="879">
        <f t="shared" si="99"/>
        <v>453</v>
      </c>
      <c r="B467" s="893" t="s">
        <v>1850</v>
      </c>
      <c r="C467" s="893" t="s">
        <v>735</v>
      </c>
      <c r="D467" s="893" t="s">
        <v>2232</v>
      </c>
      <c r="E467" s="918" t="s">
        <v>737</v>
      </c>
      <c r="F467" s="895">
        <v>-33696.06</v>
      </c>
      <c r="G467" s="895">
        <v>-27188.2</v>
      </c>
      <c r="H467" s="895">
        <v>-29580.49</v>
      </c>
      <c r="I467" s="895">
        <v>-37013.620000000003</v>
      </c>
      <c r="J467" s="895">
        <v>-44607</v>
      </c>
      <c r="K467" s="895">
        <v>-21388.93</v>
      </c>
      <c r="L467" s="895">
        <v>-25801.64</v>
      </c>
      <c r="M467" s="895">
        <v>-24619.14</v>
      </c>
      <c r="N467" s="895">
        <v>-35933.31</v>
      </c>
      <c r="O467" s="895">
        <v>-40215.129999999997</v>
      </c>
      <c r="P467" s="895">
        <v>-18810.990000000002</v>
      </c>
      <c r="Q467" s="895">
        <v>-24408.81</v>
      </c>
      <c r="R467" s="895">
        <v>-40959.589999999997</v>
      </c>
      <c r="S467" s="896">
        <f t="shared" si="94"/>
        <v>-30574.59041666667</v>
      </c>
      <c r="T467" s="879"/>
      <c r="U467" s="881"/>
      <c r="V467" s="881">
        <f t="shared" si="97"/>
        <v>-30574.59041666667</v>
      </c>
      <c r="W467" s="881"/>
      <c r="X467" s="897"/>
      <c r="Y467" s="881"/>
      <c r="Z467" s="881"/>
      <c r="AA467" s="881"/>
      <c r="AB467" s="881"/>
      <c r="AC467" s="879"/>
      <c r="AD467" s="951">
        <f t="shared" si="98"/>
        <v>-30574.59041666667</v>
      </c>
      <c r="AE467" s="879"/>
    </row>
    <row r="468" spans="1:31">
      <c r="A468" s="879">
        <f t="shared" si="99"/>
        <v>454</v>
      </c>
      <c r="B468" s="893" t="s">
        <v>1850</v>
      </c>
      <c r="C468" s="893" t="s">
        <v>735</v>
      </c>
      <c r="D468" s="893" t="s">
        <v>2233</v>
      </c>
      <c r="E468" s="918" t="s">
        <v>737</v>
      </c>
      <c r="F468" s="895">
        <v>-1070587.6599999999</v>
      </c>
      <c r="G468" s="895">
        <v>-1219457.77</v>
      </c>
      <c r="H468" s="895">
        <v>-324469.96000000002</v>
      </c>
      <c r="I468" s="895">
        <v>-488569.96</v>
      </c>
      <c r="J468" s="895">
        <v>-641845.22</v>
      </c>
      <c r="K468" s="895">
        <v>-803858.15</v>
      </c>
      <c r="L468" s="895">
        <v>-962807.04</v>
      </c>
      <c r="M468" s="895">
        <v>-1105348.3400000001</v>
      </c>
      <c r="N468" s="895">
        <v>-449189.84</v>
      </c>
      <c r="O468" s="895">
        <v>-612518.21</v>
      </c>
      <c r="P468" s="895">
        <v>-771815.1</v>
      </c>
      <c r="Q468" s="895">
        <v>-987929.2</v>
      </c>
      <c r="R468" s="895">
        <v>-1154612.1000000001</v>
      </c>
      <c r="S468" s="896">
        <f t="shared" si="94"/>
        <v>-790034.05583333317</v>
      </c>
      <c r="T468" s="879"/>
      <c r="U468" s="881"/>
      <c r="V468" s="881">
        <f t="shared" si="97"/>
        <v>-790034.05583333317</v>
      </c>
      <c r="W468" s="881"/>
      <c r="X468" s="897"/>
      <c r="Y468" s="881"/>
      <c r="Z468" s="881"/>
      <c r="AA468" s="881"/>
      <c r="AB468" s="881"/>
      <c r="AC468" s="879"/>
      <c r="AD468" s="951">
        <f t="shared" si="98"/>
        <v>-790034.05583333317</v>
      </c>
      <c r="AE468" s="879"/>
    </row>
    <row r="469" spans="1:31">
      <c r="A469" s="879">
        <f t="shared" si="99"/>
        <v>455</v>
      </c>
      <c r="B469" s="893" t="s">
        <v>1850</v>
      </c>
      <c r="C469" s="893" t="s">
        <v>735</v>
      </c>
      <c r="D469" s="879" t="s">
        <v>111</v>
      </c>
      <c r="E469" s="918" t="s">
        <v>738</v>
      </c>
      <c r="F469" s="895">
        <v>0</v>
      </c>
      <c r="G469" s="895">
        <v>0</v>
      </c>
      <c r="H469" s="895">
        <v>0</v>
      </c>
      <c r="I469" s="895">
        <v>0</v>
      </c>
      <c r="J469" s="895">
        <v>0</v>
      </c>
      <c r="K469" s="895">
        <v>0</v>
      </c>
      <c r="L469" s="895">
        <v>0</v>
      </c>
      <c r="M469" s="895">
        <v>0</v>
      </c>
      <c r="N469" s="895">
        <v>0</v>
      </c>
      <c r="O469" s="895">
        <v>0</v>
      </c>
      <c r="P469" s="895">
        <v>0</v>
      </c>
      <c r="Q469" s="895">
        <v>0</v>
      </c>
      <c r="R469" s="895">
        <v>0</v>
      </c>
      <c r="S469" s="896">
        <f t="shared" si="94"/>
        <v>0</v>
      </c>
      <c r="T469" s="879"/>
      <c r="U469" s="881"/>
      <c r="V469" s="881">
        <f t="shared" si="97"/>
        <v>0</v>
      </c>
      <c r="W469" s="881"/>
      <c r="X469" s="897"/>
      <c r="Y469" s="881"/>
      <c r="Z469" s="881"/>
      <c r="AA469" s="881"/>
      <c r="AB469" s="881"/>
      <c r="AC469" s="879"/>
      <c r="AD469" s="951">
        <f t="shared" si="98"/>
        <v>0</v>
      </c>
      <c r="AE469" s="879"/>
    </row>
    <row r="470" spans="1:31">
      <c r="A470" s="879">
        <f t="shared" si="99"/>
        <v>456</v>
      </c>
      <c r="B470" s="893" t="s">
        <v>1850</v>
      </c>
      <c r="C470" s="893" t="s">
        <v>735</v>
      </c>
      <c r="D470" s="879" t="s">
        <v>85</v>
      </c>
      <c r="E470" s="918" t="s">
        <v>739</v>
      </c>
      <c r="F470" s="895">
        <v>0</v>
      </c>
      <c r="G470" s="895">
        <v>0</v>
      </c>
      <c r="H470" s="895">
        <v>0</v>
      </c>
      <c r="I470" s="895">
        <v>0</v>
      </c>
      <c r="J470" s="895">
        <v>0</v>
      </c>
      <c r="K470" s="895">
        <v>0</v>
      </c>
      <c r="L470" s="895">
        <v>0</v>
      </c>
      <c r="M470" s="895">
        <v>0</v>
      </c>
      <c r="N470" s="895">
        <v>0</v>
      </c>
      <c r="O470" s="895">
        <v>0</v>
      </c>
      <c r="P470" s="895">
        <v>0</v>
      </c>
      <c r="Q470" s="895">
        <v>0</v>
      </c>
      <c r="R470" s="895">
        <v>0</v>
      </c>
      <c r="S470" s="896">
        <f t="shared" si="94"/>
        <v>0</v>
      </c>
      <c r="T470" s="879"/>
      <c r="U470" s="881"/>
      <c r="V470" s="881">
        <f t="shared" si="97"/>
        <v>0</v>
      </c>
      <c r="W470" s="881"/>
      <c r="X470" s="897"/>
      <c r="Y470" s="881"/>
      <c r="Z470" s="881"/>
      <c r="AA470" s="881"/>
      <c r="AB470" s="881"/>
      <c r="AC470" s="879"/>
      <c r="AD470" s="951">
        <f t="shared" si="98"/>
        <v>0</v>
      </c>
      <c r="AE470" s="879"/>
    </row>
    <row r="471" spans="1:31">
      <c r="A471" s="879">
        <f t="shared" si="99"/>
        <v>457</v>
      </c>
      <c r="B471" s="893" t="s">
        <v>1850</v>
      </c>
      <c r="C471" s="893" t="s">
        <v>740</v>
      </c>
      <c r="D471" s="893" t="s">
        <v>495</v>
      </c>
      <c r="E471" s="918" t="s">
        <v>741</v>
      </c>
      <c r="F471" s="895">
        <v>0</v>
      </c>
      <c r="G471" s="895">
        <v>0</v>
      </c>
      <c r="H471" s="895">
        <v>0</v>
      </c>
      <c r="I471" s="895">
        <v>0</v>
      </c>
      <c r="J471" s="895">
        <v>0</v>
      </c>
      <c r="K471" s="895">
        <v>0</v>
      </c>
      <c r="L471" s="895">
        <v>0</v>
      </c>
      <c r="M471" s="895">
        <v>0</v>
      </c>
      <c r="N471" s="895">
        <v>0</v>
      </c>
      <c r="O471" s="895">
        <v>0</v>
      </c>
      <c r="P471" s="895">
        <v>0</v>
      </c>
      <c r="Q471" s="895">
        <v>0</v>
      </c>
      <c r="R471" s="895">
        <v>-400000</v>
      </c>
      <c r="S471" s="896">
        <f t="shared" si="94"/>
        <v>-16666.666666666668</v>
      </c>
      <c r="T471" s="879"/>
      <c r="U471" s="881"/>
      <c r="V471" s="881">
        <f t="shared" si="97"/>
        <v>-16666.666666666668</v>
      </c>
      <c r="W471" s="881"/>
      <c r="X471" s="897"/>
      <c r="Y471" s="881"/>
      <c r="Z471" s="881"/>
      <c r="AA471" s="881"/>
      <c r="AB471" s="881"/>
      <c r="AC471" s="879"/>
      <c r="AD471" s="951">
        <f t="shared" si="98"/>
        <v>-16666.666666666668</v>
      </c>
      <c r="AE471" s="879"/>
    </row>
    <row r="472" spans="1:31">
      <c r="A472" s="879">
        <f t="shared" si="99"/>
        <v>458</v>
      </c>
      <c r="B472" s="893" t="s">
        <v>1853</v>
      </c>
      <c r="C472" s="893" t="s">
        <v>740</v>
      </c>
      <c r="D472" s="893" t="s">
        <v>495</v>
      </c>
      <c r="E472" s="918" t="s">
        <v>741</v>
      </c>
      <c r="F472" s="895">
        <v>0</v>
      </c>
      <c r="G472" s="895">
        <v>0</v>
      </c>
      <c r="H472" s="895">
        <v>0</v>
      </c>
      <c r="I472" s="895">
        <v>0</v>
      </c>
      <c r="J472" s="895">
        <v>0</v>
      </c>
      <c r="K472" s="895">
        <v>0</v>
      </c>
      <c r="L472" s="895">
        <v>0</v>
      </c>
      <c r="M472" s="895">
        <v>0</v>
      </c>
      <c r="N472" s="895">
        <v>0</v>
      </c>
      <c r="O472" s="895">
        <v>-250000</v>
      </c>
      <c r="P472" s="895">
        <v>-1000000</v>
      </c>
      <c r="Q472" s="895">
        <v>-1000000</v>
      </c>
      <c r="R472" s="895">
        <v>-1000000</v>
      </c>
      <c r="S472" s="896">
        <f t="shared" si="94"/>
        <v>-229166.66666666666</v>
      </c>
      <c r="T472" s="879"/>
      <c r="U472" s="881"/>
      <c r="V472" s="881">
        <f t="shared" si="97"/>
        <v>-229166.66666666666</v>
      </c>
      <c r="W472" s="881"/>
      <c r="X472" s="897"/>
      <c r="Y472" s="881"/>
      <c r="Z472" s="881"/>
      <c r="AA472" s="881"/>
      <c r="AB472" s="881"/>
      <c r="AC472" s="879"/>
      <c r="AD472" s="951">
        <f t="shared" si="98"/>
        <v>-229166.66666666666</v>
      </c>
      <c r="AE472" s="879"/>
    </row>
    <row r="473" spans="1:31">
      <c r="A473" s="879">
        <f t="shared" si="99"/>
        <v>459</v>
      </c>
      <c r="B473" s="893" t="s">
        <v>1886</v>
      </c>
      <c r="C473" s="893" t="s">
        <v>742</v>
      </c>
      <c r="D473" s="893" t="s">
        <v>478</v>
      </c>
      <c r="E473" s="918" t="s">
        <v>743</v>
      </c>
      <c r="F473" s="895">
        <v>0</v>
      </c>
      <c r="G473" s="895">
        <v>0</v>
      </c>
      <c r="H473" s="895">
        <v>0</v>
      </c>
      <c r="I473" s="895">
        <v>0</v>
      </c>
      <c r="J473" s="895">
        <v>0</v>
      </c>
      <c r="K473" s="895">
        <v>0</v>
      </c>
      <c r="L473" s="895">
        <v>0</v>
      </c>
      <c r="M473" s="895">
        <v>0</v>
      </c>
      <c r="N473" s="895">
        <v>0</v>
      </c>
      <c r="O473" s="895">
        <v>0</v>
      </c>
      <c r="P473" s="895">
        <v>0</v>
      </c>
      <c r="Q473" s="895">
        <v>0</v>
      </c>
      <c r="R473" s="895">
        <v>0</v>
      </c>
      <c r="S473" s="896">
        <f t="shared" si="94"/>
        <v>0</v>
      </c>
      <c r="T473" s="879"/>
      <c r="U473" s="881"/>
      <c r="V473" s="881">
        <f t="shared" si="97"/>
        <v>0</v>
      </c>
      <c r="W473" s="881"/>
      <c r="X473" s="897"/>
      <c r="Y473" s="881"/>
      <c r="Z473" s="881"/>
      <c r="AA473" s="881"/>
      <c r="AB473" s="881"/>
      <c r="AC473" s="879"/>
      <c r="AD473" s="951">
        <f t="shared" si="98"/>
        <v>0</v>
      </c>
      <c r="AE473" s="879"/>
    </row>
    <row r="474" spans="1:31">
      <c r="A474" s="879">
        <f t="shared" si="99"/>
        <v>460</v>
      </c>
      <c r="B474" s="893" t="s">
        <v>1850</v>
      </c>
      <c r="C474" s="893" t="s">
        <v>742</v>
      </c>
      <c r="D474" s="893" t="s">
        <v>534</v>
      </c>
      <c r="E474" s="918" t="s">
        <v>745</v>
      </c>
      <c r="F474" s="895">
        <v>-24135</v>
      </c>
      <c r="G474" s="895">
        <v>-24135</v>
      </c>
      <c r="H474" s="895">
        <v>-24135</v>
      </c>
      <c r="I474" s="895">
        <v>-24135</v>
      </c>
      <c r="J474" s="895">
        <v>-24135</v>
      </c>
      <c r="K474" s="895">
        <v>-24135</v>
      </c>
      <c r="L474" s="895">
        <v>-24135</v>
      </c>
      <c r="M474" s="895">
        <v>-24135</v>
      </c>
      <c r="N474" s="895">
        <v>-24135</v>
      </c>
      <c r="O474" s="895">
        <v>-48270</v>
      </c>
      <c r="P474" s="895">
        <v>-24135</v>
      </c>
      <c r="Q474" s="895">
        <v>-24135</v>
      </c>
      <c r="R474" s="895">
        <v>-24135</v>
      </c>
      <c r="S474" s="896">
        <f t="shared" si="94"/>
        <v>-26146.25</v>
      </c>
      <c r="T474" s="879"/>
      <c r="U474" s="881"/>
      <c r="V474" s="881">
        <f t="shared" si="97"/>
        <v>-26146.25</v>
      </c>
      <c r="W474" s="881"/>
      <c r="X474" s="897"/>
      <c r="Y474" s="881"/>
      <c r="Z474" s="881"/>
      <c r="AA474" s="881"/>
      <c r="AB474" s="881"/>
      <c r="AC474" s="879"/>
      <c r="AD474" s="951">
        <f t="shared" si="98"/>
        <v>-26146.25</v>
      </c>
      <c r="AE474" s="879"/>
    </row>
    <row r="475" spans="1:31">
      <c r="A475" s="879">
        <f t="shared" si="99"/>
        <v>461</v>
      </c>
      <c r="B475" s="893" t="s">
        <v>1850</v>
      </c>
      <c r="C475" s="893" t="s">
        <v>746</v>
      </c>
      <c r="D475" s="879" t="s">
        <v>389</v>
      </c>
      <c r="E475" s="918" t="s">
        <v>747</v>
      </c>
      <c r="F475" s="895">
        <v>0</v>
      </c>
      <c r="G475" s="895">
        <v>0</v>
      </c>
      <c r="H475" s="895">
        <v>0</v>
      </c>
      <c r="I475" s="895">
        <v>0</v>
      </c>
      <c r="J475" s="895">
        <v>0</v>
      </c>
      <c r="K475" s="895">
        <v>0</v>
      </c>
      <c r="L475" s="895">
        <v>0</v>
      </c>
      <c r="M475" s="895">
        <v>0</v>
      </c>
      <c r="N475" s="895">
        <v>0</v>
      </c>
      <c r="O475" s="895">
        <v>0</v>
      </c>
      <c r="P475" s="895">
        <v>0</v>
      </c>
      <c r="Q475" s="895">
        <v>0</v>
      </c>
      <c r="R475" s="895">
        <v>0</v>
      </c>
      <c r="S475" s="896">
        <f t="shared" si="94"/>
        <v>0</v>
      </c>
      <c r="T475" s="879"/>
      <c r="U475" s="881"/>
      <c r="V475" s="881">
        <f t="shared" si="97"/>
        <v>0</v>
      </c>
      <c r="W475" s="881"/>
      <c r="X475" s="897"/>
      <c r="Y475" s="881"/>
      <c r="Z475" s="881"/>
      <c r="AA475" s="881"/>
      <c r="AB475" s="881"/>
      <c r="AC475" s="879"/>
      <c r="AD475" s="951">
        <f t="shared" si="98"/>
        <v>0</v>
      </c>
      <c r="AE475" s="879"/>
    </row>
    <row r="476" spans="1:31">
      <c r="A476" s="971">
        <f t="shared" si="99"/>
        <v>462</v>
      </c>
      <c r="B476" s="972" t="s">
        <v>1886</v>
      </c>
      <c r="C476" s="972" t="s">
        <v>748</v>
      </c>
      <c r="D476" s="972" t="s">
        <v>2234</v>
      </c>
      <c r="E476" s="918" t="s">
        <v>749</v>
      </c>
      <c r="F476" s="895">
        <v>-1560028.29</v>
      </c>
      <c r="G476" s="895">
        <v>-2065940.69</v>
      </c>
      <c r="H476" s="895">
        <v>-2523350.86</v>
      </c>
      <c r="I476" s="895">
        <v>-3134931.6</v>
      </c>
      <c r="J476" s="895">
        <v>-3560186.88</v>
      </c>
      <c r="K476" s="895">
        <v>-3943661.54</v>
      </c>
      <c r="L476" s="895">
        <v>-4142907.26</v>
      </c>
      <c r="M476" s="895">
        <v>-4303450.17</v>
      </c>
      <c r="N476" s="895">
        <v>-4444556.3600000003</v>
      </c>
      <c r="O476" s="895">
        <v>-4651818.62</v>
      </c>
      <c r="P476" s="895">
        <v>-4956438.1500000004</v>
      </c>
      <c r="Q476" s="895">
        <v>-631532.43000000098</v>
      </c>
      <c r="R476" s="895">
        <v>-85544.490000000704</v>
      </c>
      <c r="S476" s="896">
        <f t="shared" si="94"/>
        <v>-3265130.0791666671</v>
      </c>
      <c r="T476" s="971" t="s">
        <v>2110</v>
      </c>
      <c r="U476" s="973"/>
      <c r="V476" s="973"/>
      <c r="W476" s="973"/>
      <c r="X476" s="974">
        <f>+S476</f>
        <v>-3265130.0791666671</v>
      </c>
      <c r="Y476" s="973"/>
      <c r="Z476" s="973"/>
      <c r="AA476" s="973"/>
      <c r="AB476" s="973">
        <f t="shared" ref="AB476:AB480" si="100">+X476</f>
        <v>-3265130.0791666671</v>
      </c>
      <c r="AC476" s="971"/>
      <c r="AD476" s="975">
        <f t="shared" si="98"/>
        <v>0</v>
      </c>
      <c r="AE476" s="971"/>
    </row>
    <row r="477" spans="1:31">
      <c r="A477" s="971">
        <f t="shared" si="99"/>
        <v>463</v>
      </c>
      <c r="B477" s="972" t="s">
        <v>1886</v>
      </c>
      <c r="C477" s="972" t="s">
        <v>748</v>
      </c>
      <c r="D477" s="972" t="s">
        <v>2235</v>
      </c>
      <c r="E477" s="918" t="s">
        <v>749</v>
      </c>
      <c r="F477" s="895">
        <v>-842817.6</v>
      </c>
      <c r="G477" s="895">
        <v>-1741571.87</v>
      </c>
      <c r="H477" s="895">
        <v>-2320968.41</v>
      </c>
      <c r="I477" s="895">
        <v>-2554988.62</v>
      </c>
      <c r="J477" s="895">
        <v>-2265939.9</v>
      </c>
      <c r="K477" s="895">
        <v>-2100634.3199999998</v>
      </c>
      <c r="L477" s="895">
        <v>-1923525.15</v>
      </c>
      <c r="M477" s="895">
        <v>-1597746.31</v>
      </c>
      <c r="N477" s="895">
        <v>-1257067.1499999999</v>
      </c>
      <c r="O477" s="895">
        <v>-1077169.5</v>
      </c>
      <c r="P477" s="895">
        <v>-1397593.01</v>
      </c>
      <c r="Q477" s="895">
        <v>392609.61999999901</v>
      </c>
      <c r="R477" s="895">
        <v>-1173644.99</v>
      </c>
      <c r="S477" s="896">
        <f t="shared" si="94"/>
        <v>-1571068.8262500006</v>
      </c>
      <c r="T477" s="971" t="s">
        <v>2110</v>
      </c>
      <c r="U477" s="973"/>
      <c r="V477" s="973"/>
      <c r="W477" s="973"/>
      <c r="X477" s="974">
        <f t="shared" ref="X477:X489" si="101">+S477</f>
        <v>-1571068.8262500006</v>
      </c>
      <c r="Y477" s="973"/>
      <c r="Z477" s="973"/>
      <c r="AA477" s="973"/>
      <c r="AB477" s="973">
        <f t="shared" si="100"/>
        <v>-1571068.8262500006</v>
      </c>
      <c r="AC477" s="971"/>
      <c r="AD477" s="975">
        <f t="shared" si="98"/>
        <v>0</v>
      </c>
      <c r="AE477" s="971"/>
    </row>
    <row r="478" spans="1:31">
      <c r="A478" s="971">
        <f t="shared" si="99"/>
        <v>464</v>
      </c>
      <c r="B478" s="972" t="s">
        <v>1886</v>
      </c>
      <c r="C478" s="972" t="s">
        <v>748</v>
      </c>
      <c r="D478" s="972" t="s">
        <v>2236</v>
      </c>
      <c r="E478" s="918" t="s">
        <v>749</v>
      </c>
      <c r="F478" s="895">
        <v>-1385608.62</v>
      </c>
      <c r="G478" s="895">
        <v>-1078777.71</v>
      </c>
      <c r="H478" s="895">
        <v>-836670.5</v>
      </c>
      <c r="I478" s="895">
        <v>-624115.87</v>
      </c>
      <c r="J478" s="895">
        <v>-474829.74</v>
      </c>
      <c r="K478" s="895">
        <v>-391179.17</v>
      </c>
      <c r="L478" s="895">
        <v>-316359.86</v>
      </c>
      <c r="M478" s="895">
        <v>-260772.58</v>
      </c>
      <c r="N478" s="895">
        <v>-210130.42</v>
      </c>
      <c r="O478" s="895">
        <v>-156044.5</v>
      </c>
      <c r="P478" s="895">
        <v>-77337.790000000197</v>
      </c>
      <c r="Q478" s="895">
        <v>-2.3283064365386999E-10</v>
      </c>
      <c r="R478" s="895">
        <v>-2.3283064365386999E-10</v>
      </c>
      <c r="S478" s="896">
        <f t="shared" si="94"/>
        <v>-426585.20416666666</v>
      </c>
      <c r="T478" s="971" t="s">
        <v>2110</v>
      </c>
      <c r="U478" s="973"/>
      <c r="V478" s="973"/>
      <c r="W478" s="973"/>
      <c r="X478" s="974">
        <f t="shared" si="101"/>
        <v>-426585.20416666666</v>
      </c>
      <c r="Y478" s="973"/>
      <c r="Z478" s="973"/>
      <c r="AA478" s="973"/>
      <c r="AB478" s="973">
        <f t="shared" si="100"/>
        <v>-426585.20416666666</v>
      </c>
      <c r="AC478" s="971"/>
      <c r="AD478" s="975">
        <f t="shared" si="98"/>
        <v>0</v>
      </c>
      <c r="AE478" s="971"/>
    </row>
    <row r="479" spans="1:31">
      <c r="A479" s="971">
        <f t="shared" si="99"/>
        <v>465</v>
      </c>
      <c r="B479" s="972" t="s">
        <v>1886</v>
      </c>
      <c r="C479" s="972" t="s">
        <v>748</v>
      </c>
      <c r="D479" s="972" t="s">
        <v>2237</v>
      </c>
      <c r="E479" s="918" t="s">
        <v>749</v>
      </c>
      <c r="F479" s="895">
        <v>0</v>
      </c>
      <c r="G479" s="895">
        <v>0</v>
      </c>
      <c r="H479" s="895">
        <v>0</v>
      </c>
      <c r="I479" s="895">
        <v>0</v>
      </c>
      <c r="J479" s="895">
        <v>0</v>
      </c>
      <c r="K479" s="895">
        <v>0</v>
      </c>
      <c r="L479" s="895">
        <v>0</v>
      </c>
      <c r="M479" s="895">
        <v>0</v>
      </c>
      <c r="N479" s="895">
        <v>0</v>
      </c>
      <c r="O479" s="895">
        <v>0</v>
      </c>
      <c r="P479" s="895">
        <v>0</v>
      </c>
      <c r="Q479" s="895">
        <v>-6060941.6200000001</v>
      </c>
      <c r="R479" s="895">
        <v>-5164247.76</v>
      </c>
      <c r="S479" s="896">
        <f t="shared" si="94"/>
        <v>-720255.45833333337</v>
      </c>
      <c r="T479" s="971" t="s">
        <v>2110</v>
      </c>
      <c r="U479" s="973"/>
      <c r="V479" s="973"/>
      <c r="W479" s="973"/>
      <c r="X479" s="974">
        <f t="shared" si="101"/>
        <v>-720255.45833333337</v>
      </c>
      <c r="Y479" s="973"/>
      <c r="Z479" s="973"/>
      <c r="AA479" s="973"/>
      <c r="AB479" s="973">
        <f t="shared" si="100"/>
        <v>-720255.45833333337</v>
      </c>
      <c r="AC479" s="971"/>
      <c r="AD479" s="975">
        <f t="shared" si="98"/>
        <v>0</v>
      </c>
      <c r="AE479" s="971"/>
    </row>
    <row r="480" spans="1:31">
      <c r="A480" s="971">
        <f t="shared" si="99"/>
        <v>466</v>
      </c>
      <c r="B480" s="972" t="s">
        <v>1886</v>
      </c>
      <c r="C480" s="972" t="s">
        <v>748</v>
      </c>
      <c r="D480" s="972" t="s">
        <v>2238</v>
      </c>
      <c r="E480" s="918" t="s">
        <v>749</v>
      </c>
      <c r="F480" s="895">
        <v>119064.39</v>
      </c>
      <c r="G480" s="895">
        <v>93955.88</v>
      </c>
      <c r="H480" s="895">
        <v>77401.22</v>
      </c>
      <c r="I480" s="895">
        <v>57258.66</v>
      </c>
      <c r="J480" s="895">
        <v>33660.5</v>
      </c>
      <c r="K480" s="895">
        <v>24251.1</v>
      </c>
      <c r="L480" s="895">
        <v>17332.71</v>
      </c>
      <c r="M480" s="895">
        <v>14278.28</v>
      </c>
      <c r="N480" s="895">
        <v>12497.38</v>
      </c>
      <c r="O480" s="895">
        <v>17346.21</v>
      </c>
      <c r="P480" s="895">
        <v>43903.83</v>
      </c>
      <c r="Q480" s="895">
        <v>412820.06</v>
      </c>
      <c r="R480" s="895">
        <v>796210.33</v>
      </c>
      <c r="S480" s="896">
        <f t="shared" si="94"/>
        <v>105195.26583333332</v>
      </c>
      <c r="T480" s="971" t="s">
        <v>2110</v>
      </c>
      <c r="U480" s="973"/>
      <c r="V480" s="973"/>
      <c r="W480" s="973"/>
      <c r="X480" s="974">
        <f t="shared" si="101"/>
        <v>105195.26583333332</v>
      </c>
      <c r="Y480" s="973"/>
      <c r="Z480" s="973"/>
      <c r="AA480" s="973"/>
      <c r="AB480" s="973">
        <f t="shared" si="100"/>
        <v>105195.26583333332</v>
      </c>
      <c r="AC480" s="971"/>
      <c r="AD480" s="975">
        <f t="shared" si="98"/>
        <v>0</v>
      </c>
      <c r="AE480" s="971"/>
    </row>
    <row r="481" spans="1:31">
      <c r="A481" s="971">
        <f t="shared" si="99"/>
        <v>467</v>
      </c>
      <c r="B481" s="972" t="s">
        <v>1853</v>
      </c>
      <c r="C481" s="972" t="s">
        <v>748</v>
      </c>
      <c r="D481" s="972" t="s">
        <v>495</v>
      </c>
      <c r="E481" s="918" t="s">
        <v>749</v>
      </c>
      <c r="F481" s="895">
        <v>9.3132257461547893E-10</v>
      </c>
      <c r="G481" s="895">
        <v>0</v>
      </c>
      <c r="H481" s="895">
        <v>0</v>
      </c>
      <c r="I481" s="895">
        <v>0</v>
      </c>
      <c r="J481" s="895">
        <v>0</v>
      </c>
      <c r="K481" s="895">
        <v>0</v>
      </c>
      <c r="L481" s="895">
        <v>0</v>
      </c>
      <c r="M481" s="895">
        <v>0</v>
      </c>
      <c r="N481" s="895">
        <v>0</v>
      </c>
      <c r="O481" s="895">
        <v>0</v>
      </c>
      <c r="P481" s="895">
        <v>0</v>
      </c>
      <c r="Q481" s="895">
        <v>0</v>
      </c>
      <c r="R481" s="895">
        <v>-318120.33</v>
      </c>
      <c r="S481" s="896">
        <f t="shared" si="94"/>
        <v>-13255.013749999962</v>
      </c>
      <c r="T481" s="971" t="s">
        <v>2110</v>
      </c>
      <c r="U481" s="973"/>
      <c r="V481" s="973"/>
      <c r="W481" s="973"/>
      <c r="X481" s="974">
        <f t="shared" si="101"/>
        <v>-13255.013749999962</v>
      </c>
      <c r="Y481" s="973"/>
      <c r="Z481" s="973"/>
      <c r="AA481" s="973"/>
      <c r="AB481" s="973">
        <f>+X481</f>
        <v>-13255.013749999962</v>
      </c>
      <c r="AC481" s="971"/>
      <c r="AD481" s="975">
        <f t="shared" si="98"/>
        <v>0</v>
      </c>
      <c r="AE481" s="971"/>
    </row>
    <row r="482" spans="1:31">
      <c r="A482" s="971">
        <f t="shared" si="99"/>
        <v>468</v>
      </c>
      <c r="B482" s="972" t="s">
        <v>1853</v>
      </c>
      <c r="C482" s="972" t="s">
        <v>748</v>
      </c>
      <c r="D482" s="972" t="s">
        <v>2239</v>
      </c>
      <c r="E482" s="918" t="s">
        <v>2240</v>
      </c>
      <c r="F482" s="895">
        <v>-5258987.8</v>
      </c>
      <c r="G482" s="895">
        <v>-7428498.3300000001</v>
      </c>
      <c r="H482" s="895">
        <v>-8924711.3100000005</v>
      </c>
      <c r="I482" s="895">
        <v>-10645800.529999999</v>
      </c>
      <c r="J482" s="895">
        <v>-12581756.24</v>
      </c>
      <c r="K482" s="895">
        <v>-13766257.449999999</v>
      </c>
      <c r="L482" s="895">
        <v>-14399868.699999999</v>
      </c>
      <c r="M482" s="895">
        <v>-14900523.130000001</v>
      </c>
      <c r="N482" s="895">
        <v>-15093041.32</v>
      </c>
      <c r="O482" s="895">
        <v>-809757.39000000199</v>
      </c>
      <c r="P482" s="895">
        <v>-1147560.06</v>
      </c>
      <c r="Q482" s="895">
        <v>-446595.37000000197</v>
      </c>
      <c r="R482" s="895">
        <v>2579853.75</v>
      </c>
      <c r="S482" s="896">
        <f t="shared" si="94"/>
        <v>-8456994.737916667</v>
      </c>
      <c r="T482" s="971" t="s">
        <v>2110</v>
      </c>
      <c r="U482" s="973"/>
      <c r="V482" s="973"/>
      <c r="W482" s="973"/>
      <c r="X482" s="974">
        <f t="shared" si="101"/>
        <v>-8456994.737916667</v>
      </c>
      <c r="Y482" s="973"/>
      <c r="Z482" s="973"/>
      <c r="AA482" s="973"/>
      <c r="AB482" s="973">
        <f t="shared" ref="AB482:AB486" si="102">+X482</f>
        <v>-8456994.737916667</v>
      </c>
      <c r="AC482" s="971"/>
      <c r="AD482" s="975">
        <f t="shared" si="98"/>
        <v>0</v>
      </c>
      <c r="AE482" s="971"/>
    </row>
    <row r="483" spans="1:31">
      <c r="A483" s="971">
        <f t="shared" si="99"/>
        <v>469</v>
      </c>
      <c r="B483" s="972" t="s">
        <v>1853</v>
      </c>
      <c r="C483" s="972" t="s">
        <v>748</v>
      </c>
      <c r="D483" s="972" t="s">
        <v>2241</v>
      </c>
      <c r="E483" s="918" t="s">
        <v>2242</v>
      </c>
      <c r="F483" s="895">
        <v>4732377.17</v>
      </c>
      <c r="G483" s="895">
        <v>1665913.67</v>
      </c>
      <c r="H483" s="895">
        <v>700761.69</v>
      </c>
      <c r="I483" s="895">
        <v>215828.39</v>
      </c>
      <c r="J483" s="895">
        <v>1759463.15</v>
      </c>
      <c r="K483" s="895">
        <v>3695121.38</v>
      </c>
      <c r="L483" s="895">
        <v>5828361.2199999997</v>
      </c>
      <c r="M483" s="895">
        <v>8154253.6699999999</v>
      </c>
      <c r="N483" s="895">
        <v>10618780.93</v>
      </c>
      <c r="O483" s="895">
        <v>6790068.1299999999</v>
      </c>
      <c r="P483" s="895">
        <v>7798222.5199999996</v>
      </c>
      <c r="Q483" s="895">
        <v>7843796.71</v>
      </c>
      <c r="R483" s="895">
        <v>4246007.7699999996</v>
      </c>
      <c r="S483" s="896">
        <f t="shared" si="94"/>
        <v>4963313.6608333336</v>
      </c>
      <c r="T483" s="971" t="s">
        <v>2110</v>
      </c>
      <c r="U483" s="973"/>
      <c r="V483" s="973"/>
      <c r="W483" s="973"/>
      <c r="X483" s="974">
        <f t="shared" si="101"/>
        <v>4963313.6608333336</v>
      </c>
      <c r="Y483" s="973"/>
      <c r="Z483" s="973"/>
      <c r="AA483" s="973"/>
      <c r="AB483" s="973">
        <f t="shared" si="102"/>
        <v>4963313.6608333336</v>
      </c>
      <c r="AC483" s="971"/>
      <c r="AD483" s="975">
        <f t="shared" si="98"/>
        <v>0</v>
      </c>
      <c r="AE483" s="971"/>
    </row>
    <row r="484" spans="1:31">
      <c r="A484" s="971">
        <f t="shared" si="99"/>
        <v>470</v>
      </c>
      <c r="B484" s="972" t="s">
        <v>1853</v>
      </c>
      <c r="C484" s="972" t="s">
        <v>748</v>
      </c>
      <c r="D484" s="972" t="s">
        <v>2243</v>
      </c>
      <c r="E484" s="918" t="s">
        <v>2244</v>
      </c>
      <c r="F484" s="895">
        <v>-1366105.05</v>
      </c>
      <c r="G484" s="895">
        <v>-1129961.27</v>
      </c>
      <c r="H484" s="895">
        <v>-955866.3</v>
      </c>
      <c r="I484" s="895">
        <v>-797398.65</v>
      </c>
      <c r="J484" s="895">
        <v>-693470</v>
      </c>
      <c r="K484" s="895">
        <v>-634638.22</v>
      </c>
      <c r="L484" s="895">
        <v>-583126.15</v>
      </c>
      <c r="M484" s="895">
        <v>-542110.18999999994</v>
      </c>
      <c r="N484" s="895">
        <v>-504451.07</v>
      </c>
      <c r="O484" s="895">
        <v>-5.8207660913467401E-11</v>
      </c>
      <c r="P484" s="895">
        <v>-5.8207660913467401E-11</v>
      </c>
      <c r="Q484" s="895">
        <v>-5.8207660913467401E-11</v>
      </c>
      <c r="R484" s="895">
        <v>-5.8207660913467401E-11</v>
      </c>
      <c r="S484" s="896">
        <f t="shared" si="94"/>
        <v>-543672.86458333349</v>
      </c>
      <c r="T484" s="971" t="s">
        <v>2110</v>
      </c>
      <c r="U484" s="973"/>
      <c r="V484" s="973"/>
      <c r="W484" s="973"/>
      <c r="X484" s="974">
        <f t="shared" si="101"/>
        <v>-543672.86458333349</v>
      </c>
      <c r="Y484" s="973"/>
      <c r="Z484" s="973"/>
      <c r="AA484" s="973"/>
      <c r="AB484" s="973">
        <f t="shared" si="102"/>
        <v>-543672.86458333349</v>
      </c>
      <c r="AC484" s="971"/>
      <c r="AD484" s="975">
        <f t="shared" si="98"/>
        <v>0</v>
      </c>
      <c r="AE484" s="971"/>
    </row>
    <row r="485" spans="1:31">
      <c r="A485" s="971">
        <f t="shared" si="99"/>
        <v>471</v>
      </c>
      <c r="B485" s="972" t="s">
        <v>1853</v>
      </c>
      <c r="C485" s="972" t="s">
        <v>748</v>
      </c>
      <c r="D485" s="972" t="s">
        <v>2245</v>
      </c>
      <c r="E485" s="918" t="s">
        <v>749</v>
      </c>
      <c r="F485" s="895">
        <v>0</v>
      </c>
      <c r="G485" s="895">
        <v>0</v>
      </c>
      <c r="H485" s="895">
        <v>0</v>
      </c>
      <c r="I485" s="895">
        <v>0</v>
      </c>
      <c r="J485" s="895">
        <v>0</v>
      </c>
      <c r="K485" s="895">
        <v>0</v>
      </c>
      <c r="L485" s="895">
        <v>0</v>
      </c>
      <c r="M485" s="895">
        <v>0</v>
      </c>
      <c r="N485" s="895">
        <v>0</v>
      </c>
      <c r="O485" s="895">
        <v>-9011129.7300000004</v>
      </c>
      <c r="P485" s="895">
        <v>-8684055.2100000009</v>
      </c>
      <c r="Q485" s="895">
        <v>-8194537.3300000001</v>
      </c>
      <c r="R485" s="895">
        <v>-7181827.9199999999</v>
      </c>
      <c r="S485" s="896">
        <f t="shared" si="94"/>
        <v>-2456719.6858333335</v>
      </c>
      <c r="T485" s="971" t="s">
        <v>2110</v>
      </c>
      <c r="U485" s="973"/>
      <c r="V485" s="973"/>
      <c r="W485" s="973"/>
      <c r="X485" s="974">
        <f t="shared" si="101"/>
        <v>-2456719.6858333335</v>
      </c>
      <c r="Y485" s="973"/>
      <c r="Z485" s="973"/>
      <c r="AA485" s="973"/>
      <c r="AB485" s="973">
        <f t="shared" si="102"/>
        <v>-2456719.6858333335</v>
      </c>
      <c r="AC485" s="971"/>
      <c r="AD485" s="975">
        <f t="shared" si="98"/>
        <v>0</v>
      </c>
      <c r="AE485" s="971"/>
    </row>
    <row r="486" spans="1:31">
      <c r="A486" s="971">
        <f t="shared" si="99"/>
        <v>472</v>
      </c>
      <c r="B486" s="972" t="s">
        <v>1853</v>
      </c>
      <c r="C486" s="972" t="s">
        <v>748</v>
      </c>
      <c r="D486" s="972" t="s">
        <v>2238</v>
      </c>
      <c r="E486" s="918" t="s">
        <v>749</v>
      </c>
      <c r="F486" s="895">
        <v>-106810.7</v>
      </c>
      <c r="G486" s="895">
        <v>-94373.2</v>
      </c>
      <c r="H486" s="895">
        <v>-71784.399999999994</v>
      </c>
      <c r="I486" s="895">
        <v>-54819.88</v>
      </c>
      <c r="J486" s="895">
        <v>-30416.52</v>
      </c>
      <c r="K486" s="895">
        <v>-22168.639999999999</v>
      </c>
      <c r="L486" s="895">
        <v>-15111.61</v>
      </c>
      <c r="M486" s="895">
        <v>-13706.16</v>
      </c>
      <c r="N486" s="895">
        <v>-11890.2</v>
      </c>
      <c r="O486" s="895">
        <v>98601.06</v>
      </c>
      <c r="P486" s="895">
        <v>235850.71</v>
      </c>
      <c r="Q486" s="895">
        <v>353975.83</v>
      </c>
      <c r="R486" s="895">
        <v>674086.71</v>
      </c>
      <c r="S486" s="896">
        <f t="shared" si="94"/>
        <v>54816.249583333345</v>
      </c>
      <c r="T486" s="971" t="s">
        <v>2110</v>
      </c>
      <c r="U486" s="973"/>
      <c r="V486" s="973"/>
      <c r="W486" s="973"/>
      <c r="X486" s="974">
        <f t="shared" si="101"/>
        <v>54816.249583333345</v>
      </c>
      <c r="Y486" s="973"/>
      <c r="Z486" s="973"/>
      <c r="AA486" s="973"/>
      <c r="AB486" s="973">
        <f t="shared" si="102"/>
        <v>54816.249583333345</v>
      </c>
      <c r="AC486" s="971"/>
      <c r="AD486" s="975">
        <f t="shared" si="98"/>
        <v>0</v>
      </c>
      <c r="AE486" s="875"/>
    </row>
    <row r="487" spans="1:31">
      <c r="A487" s="879">
        <f t="shared" si="99"/>
        <v>473</v>
      </c>
      <c r="B487" s="893" t="s">
        <v>1886</v>
      </c>
      <c r="C487" s="893" t="s">
        <v>748</v>
      </c>
      <c r="D487" s="893" t="s">
        <v>2246</v>
      </c>
      <c r="E487" s="918" t="s">
        <v>750</v>
      </c>
      <c r="F487" s="895">
        <v>0</v>
      </c>
      <c r="G487" s="895">
        <v>0</v>
      </c>
      <c r="H487" s="895">
        <v>0</v>
      </c>
      <c r="I487" s="895">
        <v>0</v>
      </c>
      <c r="J487" s="895">
        <v>0</v>
      </c>
      <c r="K487" s="895">
        <v>0</v>
      </c>
      <c r="L487" s="895">
        <v>0</v>
      </c>
      <c r="M487" s="895">
        <v>0</v>
      </c>
      <c r="N487" s="895">
        <v>0</v>
      </c>
      <c r="O487" s="895">
        <v>0</v>
      </c>
      <c r="P487" s="895">
        <v>0</v>
      </c>
      <c r="Q487" s="895">
        <v>0</v>
      </c>
      <c r="R487" s="895">
        <v>0</v>
      </c>
      <c r="S487" s="896">
        <f t="shared" si="94"/>
        <v>0</v>
      </c>
      <c r="T487" s="879"/>
      <c r="U487" s="881"/>
      <c r="V487" s="881"/>
      <c r="W487" s="881"/>
      <c r="X487" s="974">
        <f t="shared" si="101"/>
        <v>0</v>
      </c>
      <c r="Y487" s="881"/>
      <c r="Z487" s="881"/>
      <c r="AA487" s="881"/>
      <c r="AB487" s="881"/>
      <c r="AC487" s="879"/>
      <c r="AD487" s="951">
        <f t="shared" si="98"/>
        <v>0</v>
      </c>
      <c r="AE487" s="882"/>
    </row>
    <row r="488" spans="1:31">
      <c r="A488" s="879">
        <f t="shared" si="99"/>
        <v>474</v>
      </c>
      <c r="B488" s="893" t="s">
        <v>1853</v>
      </c>
      <c r="C488" s="893" t="s">
        <v>748</v>
      </c>
      <c r="D488" s="893" t="s">
        <v>2247</v>
      </c>
      <c r="E488" s="918" t="s">
        <v>750</v>
      </c>
      <c r="F488" s="895">
        <v>0</v>
      </c>
      <c r="G488" s="895">
        <v>0</v>
      </c>
      <c r="H488" s="895">
        <v>0</v>
      </c>
      <c r="I488" s="895">
        <v>0</v>
      </c>
      <c r="J488" s="895">
        <v>0</v>
      </c>
      <c r="K488" s="895">
        <v>0</v>
      </c>
      <c r="L488" s="895">
        <v>0</v>
      </c>
      <c r="M488" s="895">
        <v>0</v>
      </c>
      <c r="N488" s="895">
        <v>0</v>
      </c>
      <c r="O488" s="895">
        <v>0</v>
      </c>
      <c r="P488" s="895">
        <v>0</v>
      </c>
      <c r="Q488" s="895">
        <v>0</v>
      </c>
      <c r="R488" s="895">
        <v>0</v>
      </c>
      <c r="S488" s="896">
        <f t="shared" si="94"/>
        <v>0</v>
      </c>
      <c r="T488" s="879"/>
      <c r="U488" s="881"/>
      <c r="V488" s="881"/>
      <c r="W488" s="881"/>
      <c r="X488" s="974">
        <f t="shared" si="101"/>
        <v>0</v>
      </c>
      <c r="Y488" s="881"/>
      <c r="Z488" s="881"/>
      <c r="AA488" s="881"/>
      <c r="AB488" s="881"/>
      <c r="AC488" s="879"/>
      <c r="AD488" s="951">
        <f t="shared" si="98"/>
        <v>0</v>
      </c>
      <c r="AE488" s="951"/>
    </row>
    <row r="489" spans="1:31">
      <c r="A489" s="879">
        <f t="shared" si="99"/>
        <v>475</v>
      </c>
      <c r="B489" s="893" t="s">
        <v>1850</v>
      </c>
      <c r="C489" s="893" t="s">
        <v>751</v>
      </c>
      <c r="D489" s="893" t="s">
        <v>585</v>
      </c>
      <c r="E489" s="918" t="s">
        <v>496</v>
      </c>
      <c r="F489" s="895">
        <v>0</v>
      </c>
      <c r="G489" s="895">
        <v>0</v>
      </c>
      <c r="H489" s="895">
        <v>0</v>
      </c>
      <c r="I489" s="895">
        <v>0</v>
      </c>
      <c r="J489" s="895">
        <v>0</v>
      </c>
      <c r="K489" s="895">
        <v>0</v>
      </c>
      <c r="L489" s="895">
        <v>0</v>
      </c>
      <c r="M489" s="895">
        <v>0</v>
      </c>
      <c r="N489" s="895">
        <v>0</v>
      </c>
      <c r="O489" s="895">
        <v>0</v>
      </c>
      <c r="P489" s="895">
        <v>0</v>
      </c>
      <c r="Q489" s="895">
        <v>0</v>
      </c>
      <c r="R489" s="895">
        <v>0</v>
      </c>
      <c r="S489" s="896">
        <f t="shared" si="94"/>
        <v>0</v>
      </c>
      <c r="T489" s="879"/>
      <c r="U489" s="881"/>
      <c r="V489" s="881"/>
      <c r="W489" s="881"/>
      <c r="X489" s="974">
        <f t="shared" si="101"/>
        <v>0</v>
      </c>
      <c r="Y489" s="881"/>
      <c r="Z489" s="881"/>
      <c r="AA489" s="881"/>
      <c r="AB489" s="881"/>
      <c r="AC489" s="879"/>
      <c r="AD489" s="951">
        <f t="shared" si="98"/>
        <v>0</v>
      </c>
      <c r="AE489" s="879"/>
    </row>
    <row r="490" spans="1:31">
      <c r="A490" s="879">
        <f t="shared" si="99"/>
        <v>476</v>
      </c>
      <c r="B490" s="879"/>
      <c r="C490" s="879"/>
      <c r="D490" s="879"/>
      <c r="E490" s="918" t="s">
        <v>752</v>
      </c>
      <c r="F490" s="898">
        <f t="shared" ref="F490:S490" si="103">SUM(F438:F489)</f>
        <v>-24806425.879999995</v>
      </c>
      <c r="G490" s="898">
        <f t="shared" si="103"/>
        <v>-27735517.059999995</v>
      </c>
      <c r="H490" s="898">
        <f t="shared" si="103"/>
        <v>-28994126.140000001</v>
      </c>
      <c r="I490" s="898">
        <f t="shared" si="103"/>
        <v>-29913904.839999992</v>
      </c>
      <c r="J490" s="898">
        <f t="shared" si="103"/>
        <v>-30185988.16</v>
      </c>
      <c r="K490" s="898">
        <f t="shared" si="103"/>
        <v>-30640191.779999997</v>
      </c>
      <c r="L490" s="898">
        <f t="shared" si="103"/>
        <v>-33449413.979999997</v>
      </c>
      <c r="M490" s="898">
        <f t="shared" si="103"/>
        <v>-32961281.640000001</v>
      </c>
      <c r="N490" s="898">
        <f t="shared" si="103"/>
        <v>-28513170.199999999</v>
      </c>
      <c r="O490" s="898">
        <f t="shared" si="103"/>
        <v>-27496522.810000006</v>
      </c>
      <c r="P490" s="898">
        <f t="shared" si="103"/>
        <v>-31672483.210000005</v>
      </c>
      <c r="Q490" s="898">
        <f t="shared" si="103"/>
        <v>-27063345.810000002</v>
      </c>
      <c r="R490" s="898">
        <f t="shared" si="103"/>
        <v>-27407251.719999991</v>
      </c>
      <c r="S490" s="899">
        <f t="shared" si="103"/>
        <v>-29561065.369166672</v>
      </c>
      <c r="T490" s="879"/>
      <c r="U490" s="881"/>
      <c r="V490" s="881"/>
      <c r="W490" s="881"/>
      <c r="X490" s="897"/>
      <c r="Y490" s="881"/>
      <c r="Z490" s="881"/>
      <c r="AA490" s="881"/>
      <c r="AB490" s="881"/>
      <c r="AC490" s="879"/>
      <c r="AD490" s="879"/>
      <c r="AE490" s="879"/>
    </row>
    <row r="491" spans="1:31">
      <c r="A491" s="879">
        <f t="shared" si="99"/>
        <v>477</v>
      </c>
      <c r="B491" s="879"/>
      <c r="C491" s="879"/>
      <c r="D491" s="879"/>
      <c r="E491" s="918"/>
      <c r="F491" s="895"/>
      <c r="G491" s="966"/>
      <c r="H491" s="942"/>
      <c r="I491" s="942"/>
      <c r="J491" s="943"/>
      <c r="K491" s="944"/>
      <c r="L491" s="945"/>
      <c r="M491" s="946"/>
      <c r="N491" s="947"/>
      <c r="O491" s="948"/>
      <c r="P491" s="949"/>
      <c r="Q491" s="967"/>
      <c r="R491" s="895"/>
      <c r="S491" s="896"/>
      <c r="T491" s="879"/>
      <c r="U491" s="881"/>
      <c r="V491" s="881"/>
      <c r="W491" s="881"/>
      <c r="X491" s="897"/>
      <c r="Y491" s="881"/>
      <c r="Z491" s="881"/>
      <c r="AA491" s="881"/>
      <c r="AB491" s="881"/>
      <c r="AC491" s="879"/>
      <c r="AD491" s="879"/>
      <c r="AE491" s="879"/>
    </row>
    <row r="492" spans="1:31">
      <c r="A492" s="879">
        <f t="shared" si="99"/>
        <v>478</v>
      </c>
      <c r="B492" s="893" t="s">
        <v>1853</v>
      </c>
      <c r="C492" s="893" t="s">
        <v>740</v>
      </c>
      <c r="D492" s="893" t="s">
        <v>478</v>
      </c>
      <c r="E492" s="918" t="s">
        <v>753</v>
      </c>
      <c r="F492" s="895">
        <v>-12939635.619999999</v>
      </c>
      <c r="G492" s="895">
        <v>-12892723.869999999</v>
      </c>
      <c r="H492" s="895">
        <v>-12891432.119999999</v>
      </c>
      <c r="I492" s="895">
        <v>-12861282.039999999</v>
      </c>
      <c r="J492" s="895">
        <v>-12850438.220000001</v>
      </c>
      <c r="K492" s="895">
        <v>-12797281.09</v>
      </c>
      <c r="L492" s="895">
        <v>-12780556.33</v>
      </c>
      <c r="M492" s="895">
        <v>-12759364.52</v>
      </c>
      <c r="N492" s="895">
        <v>-12668901.68</v>
      </c>
      <c r="O492" s="895">
        <v>-12666636.18</v>
      </c>
      <c r="P492" s="895">
        <v>-12640905.33</v>
      </c>
      <c r="Q492" s="895">
        <v>-12535265.859999999</v>
      </c>
      <c r="R492" s="895">
        <v>-12466514.949999999</v>
      </c>
      <c r="S492" s="896">
        <f t="shared" si="94"/>
        <v>-12753988.543750001</v>
      </c>
      <c r="T492" s="879"/>
      <c r="U492" s="881"/>
      <c r="V492" s="881">
        <f>+S492</f>
        <v>-12753988.543750001</v>
      </c>
      <c r="W492" s="881"/>
      <c r="X492" s="897"/>
      <c r="Y492" s="881"/>
      <c r="Z492" s="881"/>
      <c r="AA492" s="881"/>
      <c r="AB492" s="881"/>
      <c r="AC492" s="879"/>
      <c r="AD492" s="951">
        <f>+V492</f>
        <v>-12753988.543750001</v>
      </c>
      <c r="AE492" s="879"/>
    </row>
    <row r="493" spans="1:31">
      <c r="A493" s="879">
        <f t="shared" si="99"/>
        <v>479</v>
      </c>
      <c r="B493" s="893" t="s">
        <v>1886</v>
      </c>
      <c r="C493" s="893" t="s">
        <v>740</v>
      </c>
      <c r="D493" s="893" t="s">
        <v>534</v>
      </c>
      <c r="E493" s="918" t="s">
        <v>753</v>
      </c>
      <c r="F493" s="895">
        <v>-1691850.95</v>
      </c>
      <c r="G493" s="895">
        <v>-1691850.95</v>
      </c>
      <c r="H493" s="895">
        <v>-1691850.95</v>
      </c>
      <c r="I493" s="895">
        <v>-1667385.26</v>
      </c>
      <c r="J493" s="895">
        <v>-1667385.26</v>
      </c>
      <c r="K493" s="895">
        <v>-1667385.26</v>
      </c>
      <c r="L493" s="895">
        <v>-1667385.26</v>
      </c>
      <c r="M493" s="895">
        <v>-1667385.26</v>
      </c>
      <c r="N493" s="895">
        <v>-1651998.82</v>
      </c>
      <c r="O493" s="895">
        <v>-1651998.82</v>
      </c>
      <c r="P493" s="895">
        <v>-1638297.1</v>
      </c>
      <c r="Q493" s="895">
        <v>-1632252.6</v>
      </c>
      <c r="R493" s="895">
        <v>-1632252.6</v>
      </c>
      <c r="S493" s="896">
        <f t="shared" si="94"/>
        <v>-1663102.2762499999</v>
      </c>
      <c r="T493" s="879"/>
      <c r="U493" s="881"/>
      <c r="V493" s="881">
        <f>+S493</f>
        <v>-1663102.2762499999</v>
      </c>
      <c r="W493" s="881"/>
      <c r="X493" s="897"/>
      <c r="Y493" s="881"/>
      <c r="Z493" s="881"/>
      <c r="AA493" s="881"/>
      <c r="AB493" s="881"/>
      <c r="AC493" s="879"/>
      <c r="AD493" s="951">
        <f>+V493</f>
        <v>-1663102.2762499999</v>
      </c>
      <c r="AE493" s="879"/>
    </row>
    <row r="494" spans="1:31">
      <c r="A494" s="879">
        <f t="shared" si="99"/>
        <v>480</v>
      </c>
      <c r="B494" s="893" t="s">
        <v>1850</v>
      </c>
      <c r="C494" s="893" t="s">
        <v>754</v>
      </c>
      <c r="D494" s="893" t="s">
        <v>478</v>
      </c>
      <c r="E494" s="918" t="s">
        <v>755</v>
      </c>
      <c r="F494" s="895">
        <v>-7111261.1299999999</v>
      </c>
      <c r="G494" s="895">
        <v>-7170696.6299999999</v>
      </c>
      <c r="H494" s="895">
        <v>-7230132.1299999999</v>
      </c>
      <c r="I494" s="895">
        <v>-7289567.6299999999</v>
      </c>
      <c r="J494" s="895">
        <v>-7349003.1299999999</v>
      </c>
      <c r="K494" s="895">
        <v>-7413866.9699999997</v>
      </c>
      <c r="L494" s="895">
        <v>-7474388.1299999999</v>
      </c>
      <c r="M494" s="895">
        <v>-7534909.2999999998</v>
      </c>
      <c r="N494" s="895">
        <v>-7595430.46</v>
      </c>
      <c r="O494" s="895">
        <v>-7655951.6299999999</v>
      </c>
      <c r="P494" s="895">
        <v>-7716472.7999999998</v>
      </c>
      <c r="Q494" s="895">
        <v>-7776993.9699999997</v>
      </c>
      <c r="R494" s="895">
        <v>-7464486.1299999999</v>
      </c>
      <c r="S494" s="896">
        <f t="shared" si="94"/>
        <v>-7457940.5341666667</v>
      </c>
      <c r="T494" s="879"/>
      <c r="U494" s="881"/>
      <c r="V494" s="881">
        <f>+S494</f>
        <v>-7457940.5341666667</v>
      </c>
      <c r="W494" s="881"/>
      <c r="X494" s="897"/>
      <c r="Y494" s="881"/>
      <c r="Z494" s="881"/>
      <c r="AA494" s="881"/>
      <c r="AB494" s="881"/>
      <c r="AC494" s="879"/>
      <c r="AD494" s="951">
        <f>+V494</f>
        <v>-7457940.5341666667</v>
      </c>
      <c r="AE494" s="879"/>
    </row>
    <row r="495" spans="1:31">
      <c r="A495" s="879">
        <f t="shared" si="99"/>
        <v>481</v>
      </c>
      <c r="B495" s="893" t="s">
        <v>1850</v>
      </c>
      <c r="C495" s="893" t="s">
        <v>754</v>
      </c>
      <c r="D495" s="893" t="s">
        <v>663</v>
      </c>
      <c r="E495" s="918" t="s">
        <v>755</v>
      </c>
      <c r="F495" s="895">
        <v>-31343.99</v>
      </c>
      <c r="G495" s="895">
        <v>-31343.99</v>
      </c>
      <c r="H495" s="895">
        <v>-31343.99</v>
      </c>
      <c r="I495" s="895">
        <v>-31343.99</v>
      </c>
      <c r="J495" s="895">
        <v>-31343.99</v>
      </c>
      <c r="K495" s="895">
        <v>-31343.99</v>
      </c>
      <c r="L495" s="895">
        <v>-31343.99</v>
      </c>
      <c r="M495" s="895">
        <v>-31343.99</v>
      </c>
      <c r="N495" s="895">
        <v>-31343.99</v>
      </c>
      <c r="O495" s="895">
        <v>-31343.99</v>
      </c>
      <c r="P495" s="895">
        <v>-31343.99</v>
      </c>
      <c r="Q495" s="895">
        <v>-31343.99</v>
      </c>
      <c r="R495" s="895">
        <v>-55297.38</v>
      </c>
      <c r="S495" s="896">
        <f t="shared" si="94"/>
        <v>-32342.047916666663</v>
      </c>
      <c r="T495" s="879"/>
      <c r="U495" s="881"/>
      <c r="V495" s="881">
        <f>+S495</f>
        <v>-32342.047916666663</v>
      </c>
      <c r="W495" s="881"/>
      <c r="X495" s="897"/>
      <c r="Y495" s="881"/>
      <c r="Z495" s="881"/>
      <c r="AA495" s="881"/>
      <c r="AB495" s="881"/>
      <c r="AC495" s="879"/>
      <c r="AD495" s="951">
        <f>+V495</f>
        <v>-32342.047916666663</v>
      </c>
      <c r="AE495" s="879"/>
    </row>
    <row r="496" spans="1:31">
      <c r="A496" s="879">
        <f t="shared" si="99"/>
        <v>482</v>
      </c>
      <c r="B496" s="893" t="s">
        <v>1850</v>
      </c>
      <c r="C496" s="893" t="s">
        <v>754</v>
      </c>
      <c r="D496" s="893" t="s">
        <v>665</v>
      </c>
      <c r="E496" s="918" t="s">
        <v>755</v>
      </c>
      <c r="F496" s="895">
        <v>-515334</v>
      </c>
      <c r="G496" s="895">
        <v>-515334</v>
      </c>
      <c r="H496" s="895">
        <v>-515334</v>
      </c>
      <c r="I496" s="895">
        <v>-515334</v>
      </c>
      <c r="J496" s="895">
        <v>-515334</v>
      </c>
      <c r="K496" s="895">
        <v>-515334</v>
      </c>
      <c r="L496" s="895">
        <v>-515334</v>
      </c>
      <c r="M496" s="895">
        <v>-515334</v>
      </c>
      <c r="N496" s="895">
        <v>-515334</v>
      </c>
      <c r="O496" s="895">
        <v>-515334</v>
      </c>
      <c r="P496" s="895">
        <v>-515334</v>
      </c>
      <c r="Q496" s="895">
        <v>-515334</v>
      </c>
      <c r="R496" s="895">
        <v>-167851</v>
      </c>
      <c r="S496" s="896">
        <f t="shared" si="94"/>
        <v>-500855.54166666669</v>
      </c>
      <c r="T496" s="879"/>
      <c r="U496" s="881"/>
      <c r="V496" s="881">
        <f>+S496</f>
        <v>-500855.54166666669</v>
      </c>
      <c r="W496" s="881"/>
      <c r="X496" s="897"/>
      <c r="Y496" s="881"/>
      <c r="Z496" s="881"/>
      <c r="AA496" s="881"/>
      <c r="AB496" s="881"/>
      <c r="AC496" s="879"/>
      <c r="AD496" s="951">
        <f>+V496</f>
        <v>-500855.54166666669</v>
      </c>
      <c r="AE496" s="879"/>
    </row>
    <row r="497" spans="1:31">
      <c r="A497" s="879">
        <f t="shared" si="99"/>
        <v>483</v>
      </c>
      <c r="B497" s="893" t="s">
        <v>1850</v>
      </c>
      <c r="C497" s="893" t="s">
        <v>756</v>
      </c>
      <c r="D497" s="893" t="s">
        <v>2248</v>
      </c>
      <c r="E497" s="918" t="s">
        <v>757</v>
      </c>
      <c r="F497" s="895">
        <v>-50960517</v>
      </c>
      <c r="G497" s="895">
        <v>-50963872.890000001</v>
      </c>
      <c r="H497" s="895">
        <v>-50967246.25</v>
      </c>
      <c r="I497" s="895">
        <v>-51422476.130000003</v>
      </c>
      <c r="J497" s="895">
        <v>-51425884.640000001</v>
      </c>
      <c r="K497" s="895">
        <v>-51429310.859999999</v>
      </c>
      <c r="L497" s="895">
        <v>-51455189.93</v>
      </c>
      <c r="M497" s="895">
        <v>-51458651.880000003</v>
      </c>
      <c r="N497" s="895">
        <v>-52893394.299999997</v>
      </c>
      <c r="O497" s="895">
        <v>-53140104.700000003</v>
      </c>
      <c r="P497" s="895">
        <v>-53387966.060000002</v>
      </c>
      <c r="Q497" s="895">
        <v>-53636983.840000004</v>
      </c>
      <c r="R497" s="895">
        <v>-54807880</v>
      </c>
      <c r="S497" s="896">
        <f t="shared" si="94"/>
        <v>-52088773.331666671</v>
      </c>
      <c r="T497" s="879"/>
      <c r="U497" s="881"/>
      <c r="V497" s="881"/>
      <c r="W497" s="881"/>
      <c r="X497" s="897">
        <f>+S497</f>
        <v>-52088773.331666671</v>
      </c>
      <c r="Y497" s="881">
        <f>+AA497*$Z$7</f>
        <v>-39212428.564078674</v>
      </c>
      <c r="Z497" s="881">
        <f>+AA497*$Z$8</f>
        <v>-12876344.767587999</v>
      </c>
      <c r="AA497" s="881">
        <f>+S497</f>
        <v>-52088773.331666671</v>
      </c>
      <c r="AB497" s="881"/>
      <c r="AC497" s="879"/>
      <c r="AD497" s="951"/>
      <c r="AE497" s="879"/>
    </row>
    <row r="498" spans="1:31">
      <c r="A498" s="879">
        <f t="shared" si="99"/>
        <v>484</v>
      </c>
      <c r="B498" s="893" t="s">
        <v>1850</v>
      </c>
      <c r="C498" s="893" t="s">
        <v>751</v>
      </c>
      <c r="D498" s="893" t="s">
        <v>632</v>
      </c>
      <c r="E498" s="918" t="s">
        <v>539</v>
      </c>
      <c r="F498" s="895">
        <v>0</v>
      </c>
      <c r="G498" s="895">
        <v>0</v>
      </c>
      <c r="H498" s="895">
        <v>0</v>
      </c>
      <c r="I498" s="895">
        <v>0</v>
      </c>
      <c r="J498" s="895">
        <v>0</v>
      </c>
      <c r="K498" s="895">
        <v>0</v>
      </c>
      <c r="L498" s="895">
        <v>0</v>
      </c>
      <c r="M498" s="895">
        <v>0</v>
      </c>
      <c r="N498" s="895">
        <v>0</v>
      </c>
      <c r="O498" s="895">
        <v>0</v>
      </c>
      <c r="P498" s="895">
        <v>0</v>
      </c>
      <c r="Q498" s="895">
        <v>0</v>
      </c>
      <c r="R498" s="895">
        <v>0</v>
      </c>
      <c r="S498" s="896">
        <f t="shared" si="94"/>
        <v>0</v>
      </c>
      <c r="T498" s="879"/>
      <c r="U498" s="881"/>
      <c r="V498" s="881">
        <f>+S498</f>
        <v>0</v>
      </c>
      <c r="W498" s="881"/>
      <c r="X498" s="897"/>
      <c r="Y498" s="881"/>
      <c r="Z498" s="881"/>
      <c r="AA498" s="881"/>
      <c r="AB498" s="881"/>
      <c r="AC498" s="879"/>
      <c r="AD498" s="951">
        <f>+V498</f>
        <v>0</v>
      </c>
      <c r="AE498" s="879"/>
    </row>
    <row r="499" spans="1:31">
      <c r="A499" s="879">
        <f t="shared" si="99"/>
        <v>485</v>
      </c>
      <c r="B499" s="893" t="s">
        <v>1850</v>
      </c>
      <c r="C499" s="893" t="s">
        <v>758</v>
      </c>
      <c r="D499" s="893" t="s">
        <v>933</v>
      </c>
      <c r="E499" s="918" t="s">
        <v>374</v>
      </c>
      <c r="F499" s="895">
        <v>-797156.39</v>
      </c>
      <c r="G499" s="895">
        <v>-2202138.56</v>
      </c>
      <c r="H499" s="895">
        <v>-2202138.56</v>
      </c>
      <c r="I499" s="895">
        <v>-2202138.56</v>
      </c>
      <c r="J499" s="895">
        <v>-2202138.56</v>
      </c>
      <c r="K499" s="895">
        <v>-2202138.56</v>
      </c>
      <c r="L499" s="895">
        <v>-2202138.56</v>
      </c>
      <c r="M499" s="895">
        <v>-2202138.56</v>
      </c>
      <c r="N499" s="895">
        <v>-2202138.56</v>
      </c>
      <c r="O499" s="895">
        <v>-2202138.56</v>
      </c>
      <c r="P499" s="895">
        <v>-2202138.56</v>
      </c>
      <c r="Q499" s="895">
        <v>-2202138.56</v>
      </c>
      <c r="R499" s="895">
        <v>-2202138.56</v>
      </c>
      <c r="S499" s="896">
        <f t="shared" si="94"/>
        <v>-2143597.63625</v>
      </c>
      <c r="T499" s="879"/>
      <c r="U499" s="881"/>
      <c r="V499" s="881"/>
      <c r="W499" s="881"/>
      <c r="X499" s="897">
        <f>+S499</f>
        <v>-2143597.63625</v>
      </c>
      <c r="Y499" s="881">
        <v>-2498361</v>
      </c>
      <c r="Z499" s="881">
        <v>-67745</v>
      </c>
      <c r="AA499" s="881"/>
      <c r="AB499" s="881"/>
      <c r="AC499" s="879"/>
      <c r="AD499" s="951"/>
      <c r="AE499" s="879" t="s">
        <v>2249</v>
      </c>
    </row>
    <row r="500" spans="1:31">
      <c r="A500" s="879">
        <f t="shared" si="99"/>
        <v>486</v>
      </c>
      <c r="B500" s="893" t="s">
        <v>1850</v>
      </c>
      <c r="C500" s="893" t="s">
        <v>758</v>
      </c>
      <c r="D500" s="893" t="s">
        <v>2119</v>
      </c>
      <c r="E500" s="918" t="s">
        <v>374</v>
      </c>
      <c r="F500" s="895">
        <v>-1483998.41</v>
      </c>
      <c r="G500" s="895">
        <v>-24603.74</v>
      </c>
      <c r="H500" s="895">
        <v>-29509.9</v>
      </c>
      <c r="I500" s="895">
        <v>-42836.39</v>
      </c>
      <c r="J500" s="895">
        <v>-54004.91</v>
      </c>
      <c r="K500" s="895">
        <v>-54004.91</v>
      </c>
      <c r="L500" s="895">
        <v>-56355.19</v>
      </c>
      <c r="M500" s="895">
        <v>-722454.22</v>
      </c>
      <c r="N500" s="895">
        <v>-782273.7</v>
      </c>
      <c r="O500" s="895">
        <v>-782273.7</v>
      </c>
      <c r="P500" s="895">
        <v>-782273.7</v>
      </c>
      <c r="Q500" s="895">
        <v>-782273.7</v>
      </c>
      <c r="R500" s="895">
        <v>-800214.56</v>
      </c>
      <c r="S500" s="896">
        <f t="shared" si="94"/>
        <v>-437914.21208333335</v>
      </c>
      <c r="T500" s="879"/>
      <c r="U500" s="881"/>
      <c r="V500" s="881"/>
      <c r="W500" s="881"/>
      <c r="X500" s="897">
        <f>+S500</f>
        <v>-437914.21208333335</v>
      </c>
      <c r="Y500" s="881"/>
      <c r="Z500" s="881"/>
      <c r="AA500" s="881"/>
      <c r="AB500" s="881"/>
      <c r="AC500" s="879"/>
      <c r="AD500" s="951"/>
      <c r="AE500" s="879"/>
    </row>
    <row r="501" spans="1:31">
      <c r="A501" s="879">
        <f t="shared" si="99"/>
        <v>487</v>
      </c>
      <c r="B501" s="893" t="s">
        <v>1850</v>
      </c>
      <c r="C501" s="893" t="s">
        <v>758</v>
      </c>
      <c r="D501" s="893" t="s">
        <v>2250</v>
      </c>
      <c r="E501" s="918" t="s">
        <v>374</v>
      </c>
      <c r="F501" s="895">
        <v>2045.3</v>
      </c>
      <c r="G501" s="895">
        <v>0</v>
      </c>
      <c r="H501" s="895">
        <v>0</v>
      </c>
      <c r="I501" s="895">
        <v>0</v>
      </c>
      <c r="J501" s="895">
        <v>17816.5</v>
      </c>
      <c r="K501" s="895">
        <v>19409.5</v>
      </c>
      <c r="L501" s="895">
        <v>22283.68</v>
      </c>
      <c r="M501" s="895">
        <v>22283.68</v>
      </c>
      <c r="N501" s="895">
        <v>22283.68</v>
      </c>
      <c r="O501" s="895">
        <v>22283.68</v>
      </c>
      <c r="P501" s="895">
        <v>22283.68</v>
      </c>
      <c r="Q501" s="895">
        <v>23471.68</v>
      </c>
      <c r="R501" s="895">
        <v>23471.68</v>
      </c>
      <c r="S501" s="896">
        <f t="shared" si="94"/>
        <v>15406.214166666665</v>
      </c>
      <c r="T501" s="879"/>
      <c r="U501" s="881"/>
      <c r="V501" s="881"/>
      <c r="W501" s="881"/>
      <c r="X501" s="897">
        <f>+S501</f>
        <v>15406.214166666665</v>
      </c>
      <c r="Y501" s="881"/>
      <c r="Z501" s="881"/>
      <c r="AA501" s="881"/>
      <c r="AB501" s="881"/>
      <c r="AC501" s="879"/>
      <c r="AD501" s="951"/>
      <c r="AE501" s="879"/>
    </row>
    <row r="502" spans="1:31">
      <c r="A502" s="879">
        <f t="shared" si="99"/>
        <v>488</v>
      </c>
      <c r="B502" s="893" t="s">
        <v>1850</v>
      </c>
      <c r="C502" s="893" t="s">
        <v>758</v>
      </c>
      <c r="D502" s="893" t="s">
        <v>1858</v>
      </c>
      <c r="E502" s="918" t="s">
        <v>374</v>
      </c>
      <c r="F502" s="895">
        <v>76970.94</v>
      </c>
      <c r="G502" s="895">
        <v>0</v>
      </c>
      <c r="H502" s="895">
        <v>7662.17</v>
      </c>
      <c r="I502" s="895">
        <v>7662.17</v>
      </c>
      <c r="J502" s="895">
        <v>16274.85</v>
      </c>
      <c r="K502" s="895">
        <v>46932.4</v>
      </c>
      <c r="L502" s="895">
        <v>111861.2</v>
      </c>
      <c r="M502" s="895">
        <v>111861.2</v>
      </c>
      <c r="N502" s="895">
        <v>111861.2</v>
      </c>
      <c r="O502" s="895">
        <v>111861.2</v>
      </c>
      <c r="P502" s="895">
        <v>111861.2</v>
      </c>
      <c r="Q502" s="895">
        <v>168335.9</v>
      </c>
      <c r="R502" s="895">
        <v>168335.9</v>
      </c>
      <c r="S502" s="896">
        <f t="shared" si="94"/>
        <v>77402.242500000008</v>
      </c>
      <c r="T502" s="879"/>
      <c r="U502" s="881"/>
      <c r="V502" s="881"/>
      <c r="W502" s="881"/>
      <c r="X502" s="897">
        <f>+S502</f>
        <v>77402.242500000008</v>
      </c>
      <c r="Y502" s="881">
        <v>77402.240000000005</v>
      </c>
      <c r="Z502" s="881"/>
      <c r="AA502" s="881"/>
      <c r="AB502" s="881"/>
      <c r="AC502" s="879"/>
      <c r="AD502" s="951"/>
      <c r="AE502" s="879" t="s">
        <v>2251</v>
      </c>
    </row>
    <row r="503" spans="1:31">
      <c r="A503" s="879">
        <f t="shared" si="99"/>
        <v>489</v>
      </c>
      <c r="B503" s="893" t="s">
        <v>1850</v>
      </c>
      <c r="C503" s="893" t="s">
        <v>758</v>
      </c>
      <c r="D503" s="893" t="s">
        <v>1862</v>
      </c>
      <c r="E503" s="918" t="s">
        <v>374</v>
      </c>
      <c r="F503" s="895">
        <v>-1873090.42</v>
      </c>
      <c r="G503" s="895">
        <v>-1871940.47</v>
      </c>
      <c r="H503" s="895">
        <v>-1871424.42</v>
      </c>
      <c r="I503" s="895">
        <v>-1801886.81</v>
      </c>
      <c r="J503" s="895">
        <v>-1811877.29</v>
      </c>
      <c r="K503" s="895">
        <v>-1835727.71</v>
      </c>
      <c r="L503" s="895">
        <v>-1810275.43</v>
      </c>
      <c r="M503" s="895">
        <v>-1806885.94</v>
      </c>
      <c r="N503" s="895">
        <v>-1807118.06</v>
      </c>
      <c r="O503" s="895">
        <v>-1718242.87</v>
      </c>
      <c r="P503" s="895">
        <v>-1714074.84</v>
      </c>
      <c r="Q503" s="895">
        <v>-1706168.66</v>
      </c>
      <c r="R503" s="895">
        <v>-1671584.25</v>
      </c>
      <c r="S503" s="896">
        <f t="shared" si="94"/>
        <v>-1793996.6529166668</v>
      </c>
      <c r="T503" s="879"/>
      <c r="U503" s="881"/>
      <c r="V503" s="881"/>
      <c r="W503" s="881"/>
      <c r="X503" s="897">
        <f>+S503</f>
        <v>-1793996.6529166668</v>
      </c>
      <c r="Y503" s="881">
        <v>-1350632</v>
      </c>
      <c r="Z503" s="881">
        <v>-443365</v>
      </c>
      <c r="AA503" s="881"/>
      <c r="AB503" s="881"/>
      <c r="AC503" s="879"/>
      <c r="AD503" s="951"/>
      <c r="AE503" s="879" t="s">
        <v>2252</v>
      </c>
    </row>
    <row r="504" spans="1:31">
      <c r="A504" s="879">
        <f t="shared" si="99"/>
        <v>490</v>
      </c>
      <c r="B504" s="893" t="s">
        <v>1853</v>
      </c>
      <c r="C504" s="893" t="s">
        <v>748</v>
      </c>
      <c r="D504" s="893" t="s">
        <v>2253</v>
      </c>
      <c r="E504" s="918" t="s">
        <v>759</v>
      </c>
      <c r="F504" s="895">
        <v>0</v>
      </c>
      <c r="G504" s="895">
        <v>0</v>
      </c>
      <c r="H504" s="895">
        <v>0</v>
      </c>
      <c r="I504" s="895">
        <v>0</v>
      </c>
      <c r="J504" s="895">
        <v>0</v>
      </c>
      <c r="K504" s="895">
        <v>0</v>
      </c>
      <c r="L504" s="895">
        <v>0</v>
      </c>
      <c r="M504" s="895">
        <v>0</v>
      </c>
      <c r="N504" s="895">
        <v>0</v>
      </c>
      <c r="O504" s="895">
        <v>0</v>
      </c>
      <c r="P504" s="895">
        <v>0</v>
      </c>
      <c r="Q504" s="895">
        <v>0</v>
      </c>
      <c r="R504" s="895">
        <v>0</v>
      </c>
      <c r="S504" s="896">
        <f t="shared" si="94"/>
        <v>0</v>
      </c>
      <c r="T504" s="879"/>
      <c r="U504" s="881"/>
      <c r="V504" s="881">
        <f t="shared" ref="V504:V515" si="104">+S504</f>
        <v>0</v>
      </c>
      <c r="W504" s="881"/>
      <c r="X504" s="897"/>
      <c r="Y504" s="881"/>
      <c r="Z504" s="881"/>
      <c r="AA504" s="881"/>
      <c r="AB504" s="881"/>
      <c r="AC504" s="879"/>
      <c r="AD504" s="951">
        <f t="shared" ref="AD504:AD515" si="105">+V504</f>
        <v>0</v>
      </c>
      <c r="AE504" s="879"/>
    </row>
    <row r="505" spans="1:31">
      <c r="A505" s="879">
        <f t="shared" si="99"/>
        <v>491</v>
      </c>
      <c r="B505" s="893" t="s">
        <v>1853</v>
      </c>
      <c r="C505" s="893" t="s">
        <v>748</v>
      </c>
      <c r="D505" s="893" t="s">
        <v>2254</v>
      </c>
      <c r="E505" s="894" t="s">
        <v>760</v>
      </c>
      <c r="F505" s="895">
        <v>0</v>
      </c>
      <c r="G505" s="895">
        <v>0</v>
      </c>
      <c r="H505" s="895">
        <v>0</v>
      </c>
      <c r="I505" s="895">
        <v>0</v>
      </c>
      <c r="J505" s="895">
        <v>0</v>
      </c>
      <c r="K505" s="895">
        <v>0</v>
      </c>
      <c r="L505" s="895">
        <v>0</v>
      </c>
      <c r="M505" s="895">
        <v>0</v>
      </c>
      <c r="N505" s="895">
        <v>0</v>
      </c>
      <c r="O505" s="895">
        <v>0</v>
      </c>
      <c r="P505" s="895">
        <v>0</v>
      </c>
      <c r="Q505" s="895">
        <v>0</v>
      </c>
      <c r="R505" s="895">
        <v>0</v>
      </c>
      <c r="S505" s="896">
        <f t="shared" si="94"/>
        <v>0</v>
      </c>
      <c r="T505" s="879"/>
      <c r="U505" s="881"/>
      <c r="V505" s="881">
        <f t="shared" si="104"/>
        <v>0</v>
      </c>
      <c r="W505" s="881"/>
      <c r="X505" s="897"/>
      <c r="Y505" s="881"/>
      <c r="Z505" s="881"/>
      <c r="AA505" s="881"/>
      <c r="AB505" s="881"/>
      <c r="AC505" s="879"/>
      <c r="AD505" s="951">
        <f t="shared" si="105"/>
        <v>0</v>
      </c>
      <c r="AE505" s="879"/>
    </row>
    <row r="506" spans="1:31">
      <c r="A506" s="879">
        <f t="shared" si="99"/>
        <v>492</v>
      </c>
      <c r="B506" s="893" t="s">
        <v>389</v>
      </c>
      <c r="C506" s="893" t="s">
        <v>748</v>
      </c>
      <c r="D506" s="893" t="s">
        <v>744</v>
      </c>
      <c r="E506" s="918" t="s">
        <v>761</v>
      </c>
      <c r="F506" s="895">
        <v>0</v>
      </c>
      <c r="G506" s="895">
        <v>0</v>
      </c>
      <c r="H506" s="895">
        <v>0</v>
      </c>
      <c r="I506" s="895">
        <v>0</v>
      </c>
      <c r="J506" s="895">
        <v>0</v>
      </c>
      <c r="K506" s="895">
        <v>0</v>
      </c>
      <c r="L506" s="895">
        <v>0</v>
      </c>
      <c r="M506" s="895">
        <v>0</v>
      </c>
      <c r="N506" s="895">
        <v>0</v>
      </c>
      <c r="O506" s="895">
        <v>0</v>
      </c>
      <c r="P506" s="895">
        <v>0</v>
      </c>
      <c r="Q506" s="895">
        <v>0</v>
      </c>
      <c r="R506" s="895">
        <v>0</v>
      </c>
      <c r="S506" s="896">
        <f t="shared" si="94"/>
        <v>0</v>
      </c>
      <c r="T506" s="879"/>
      <c r="U506" s="881"/>
      <c r="V506" s="881">
        <f t="shared" si="104"/>
        <v>0</v>
      </c>
      <c r="W506" s="881"/>
      <c r="X506" s="897"/>
      <c r="Y506" s="881"/>
      <c r="Z506" s="881"/>
      <c r="AA506" s="881"/>
      <c r="AB506" s="881"/>
      <c r="AC506" s="879"/>
      <c r="AD506" s="951">
        <f t="shared" si="105"/>
        <v>0</v>
      </c>
      <c r="AE506" s="879"/>
    </row>
    <row r="507" spans="1:31">
      <c r="A507" s="879">
        <f t="shared" si="99"/>
        <v>493</v>
      </c>
      <c r="B507" s="893" t="s">
        <v>1850</v>
      </c>
      <c r="C507" s="893" t="s">
        <v>762</v>
      </c>
      <c r="D507" s="893" t="s">
        <v>2255</v>
      </c>
      <c r="E507" s="918" t="s">
        <v>763</v>
      </c>
      <c r="F507" s="895">
        <v>-2735.1599999999899</v>
      </c>
      <c r="G507" s="895">
        <v>-2743.88</v>
      </c>
      <c r="H507" s="895">
        <v>-2756.56</v>
      </c>
      <c r="I507" s="895">
        <v>-2675.1</v>
      </c>
      <c r="J507" s="895">
        <v>-2690.47</v>
      </c>
      <c r="K507" s="895">
        <v>-5529.69</v>
      </c>
      <c r="L507" s="895">
        <v>-5046.45</v>
      </c>
      <c r="M507" s="895">
        <v>-4830.33</v>
      </c>
      <c r="N507" s="895">
        <v>-4848.17</v>
      </c>
      <c r="O507" s="895">
        <v>-4873.37</v>
      </c>
      <c r="P507" s="895">
        <v>-2824.11</v>
      </c>
      <c r="Q507" s="895">
        <v>-2900.81</v>
      </c>
      <c r="R507" s="895">
        <v>-2917.92</v>
      </c>
      <c r="S507" s="896">
        <f t="shared" si="94"/>
        <v>-3712.123333333333</v>
      </c>
      <c r="T507" s="879"/>
      <c r="U507" s="881"/>
      <c r="V507" s="881">
        <f t="shared" si="104"/>
        <v>-3712.123333333333</v>
      </c>
      <c r="W507" s="881"/>
      <c r="X507" s="897"/>
      <c r="Y507" s="881"/>
      <c r="Z507" s="881"/>
      <c r="AA507" s="881"/>
      <c r="AB507" s="881"/>
      <c r="AC507" s="879"/>
      <c r="AD507" s="951">
        <f t="shared" si="105"/>
        <v>-3712.123333333333</v>
      </c>
      <c r="AE507" s="879"/>
    </row>
    <row r="508" spans="1:31">
      <c r="A508" s="879">
        <f t="shared" si="99"/>
        <v>494</v>
      </c>
      <c r="B508" s="893" t="s">
        <v>1850</v>
      </c>
      <c r="C508" s="893" t="s">
        <v>762</v>
      </c>
      <c r="D508" s="893" t="s">
        <v>2256</v>
      </c>
      <c r="E508" s="918" t="s">
        <v>763</v>
      </c>
      <c r="F508" s="895">
        <v>-120675</v>
      </c>
      <c r="G508" s="895">
        <v>-120675</v>
      </c>
      <c r="H508" s="895">
        <v>-120675</v>
      </c>
      <c r="I508" s="895">
        <v>-120675</v>
      </c>
      <c r="J508" s="895">
        <v>-120675</v>
      </c>
      <c r="K508" s="895">
        <v>-120675</v>
      </c>
      <c r="L508" s="895">
        <v>-120675</v>
      </c>
      <c r="M508" s="895">
        <v>-120675</v>
      </c>
      <c r="N508" s="895">
        <v>-120675</v>
      </c>
      <c r="O508" s="895">
        <v>-96540</v>
      </c>
      <c r="P508" s="895">
        <v>-96540</v>
      </c>
      <c r="Q508" s="895">
        <v>-96540</v>
      </c>
      <c r="R508" s="895">
        <v>-96540</v>
      </c>
      <c r="S508" s="896">
        <f t="shared" si="94"/>
        <v>-113635.625</v>
      </c>
      <c r="T508" s="879"/>
      <c r="U508" s="881"/>
      <c r="V508" s="881">
        <f t="shared" si="104"/>
        <v>-113635.625</v>
      </c>
      <c r="W508" s="881"/>
      <c r="X508" s="897"/>
      <c r="Y508" s="881"/>
      <c r="Z508" s="881"/>
      <c r="AA508" s="881"/>
      <c r="AB508" s="881"/>
      <c r="AC508" s="879"/>
      <c r="AD508" s="951">
        <f t="shared" si="105"/>
        <v>-113635.625</v>
      </c>
      <c r="AE508" s="879"/>
    </row>
    <row r="509" spans="1:31">
      <c r="A509" s="879">
        <f t="shared" si="99"/>
        <v>495</v>
      </c>
      <c r="B509" s="893" t="s">
        <v>1850</v>
      </c>
      <c r="C509" s="893" t="s">
        <v>762</v>
      </c>
      <c r="D509" s="893" t="s">
        <v>2257</v>
      </c>
      <c r="E509" s="918" t="s">
        <v>764</v>
      </c>
      <c r="F509" s="895">
        <v>-14111496.689999999</v>
      </c>
      <c r="G509" s="895">
        <v>-14088364.109999999</v>
      </c>
      <c r="H509" s="895">
        <v>-14065231.52</v>
      </c>
      <c r="I509" s="895">
        <v>-14042098.939999999</v>
      </c>
      <c r="J509" s="895">
        <v>-14018966.359999999</v>
      </c>
      <c r="K509" s="895">
        <v>-14037901.27</v>
      </c>
      <c r="L509" s="895">
        <v>-14023164.93</v>
      </c>
      <c r="M509" s="895">
        <v>-14008445.85</v>
      </c>
      <c r="N509" s="895">
        <v>-13993726.77</v>
      </c>
      <c r="O509" s="895">
        <v>-13979007.689999999</v>
      </c>
      <c r="P509" s="895">
        <v>-13964288.609999999</v>
      </c>
      <c r="Q509" s="895">
        <v>-13949569.529999999</v>
      </c>
      <c r="R509" s="895">
        <v>-12186712.689999999</v>
      </c>
      <c r="S509" s="896">
        <f t="shared" si="94"/>
        <v>-13943322.522499999</v>
      </c>
      <c r="T509" s="879"/>
      <c r="U509" s="881"/>
      <c r="V509" s="881">
        <f t="shared" si="104"/>
        <v>-13943322.522499999</v>
      </c>
      <c r="W509" s="881"/>
      <c r="X509" s="897"/>
      <c r="Y509" s="881"/>
      <c r="Z509" s="881"/>
      <c r="AA509" s="881"/>
      <c r="AB509" s="881"/>
      <c r="AC509" s="879"/>
      <c r="AD509" s="951">
        <f t="shared" si="105"/>
        <v>-13943322.522499999</v>
      </c>
      <c r="AE509" s="879"/>
    </row>
    <row r="510" spans="1:31">
      <c r="A510" s="879">
        <f t="shared" si="99"/>
        <v>496</v>
      </c>
      <c r="B510" s="893" t="s">
        <v>1850</v>
      </c>
      <c r="C510" s="893" t="s">
        <v>762</v>
      </c>
      <c r="D510" s="893" t="s">
        <v>2258</v>
      </c>
      <c r="E510" s="918" t="s">
        <v>764</v>
      </c>
      <c r="F510" s="895">
        <v>-1255781</v>
      </c>
      <c r="G510" s="895">
        <v>-1255781</v>
      </c>
      <c r="H510" s="895">
        <v>-1255781</v>
      </c>
      <c r="I510" s="895">
        <v>-1255781</v>
      </c>
      <c r="J510" s="895">
        <v>-1255781</v>
      </c>
      <c r="K510" s="895">
        <v>-1255781</v>
      </c>
      <c r="L510" s="895">
        <v>-1255781</v>
      </c>
      <c r="M510" s="895">
        <v>-1255781</v>
      </c>
      <c r="N510" s="895">
        <v>-1255781</v>
      </c>
      <c r="O510" s="895">
        <v>-1255781</v>
      </c>
      <c r="P510" s="895">
        <v>-1255781</v>
      </c>
      <c r="Q510" s="895">
        <v>-1255781</v>
      </c>
      <c r="R510" s="895">
        <v>-1069661</v>
      </c>
      <c r="S510" s="896">
        <f t="shared" si="94"/>
        <v>-1248026</v>
      </c>
      <c r="T510" s="879"/>
      <c r="U510" s="881"/>
      <c r="V510" s="881">
        <f t="shared" si="104"/>
        <v>-1248026</v>
      </c>
      <c r="W510" s="881"/>
      <c r="X510" s="897"/>
      <c r="Y510" s="881"/>
      <c r="Z510" s="881"/>
      <c r="AA510" s="881"/>
      <c r="AB510" s="881"/>
      <c r="AC510" s="879"/>
      <c r="AD510" s="951">
        <f t="shared" si="105"/>
        <v>-1248026</v>
      </c>
      <c r="AE510" s="879"/>
    </row>
    <row r="511" spans="1:31">
      <c r="A511" s="879">
        <f t="shared" si="99"/>
        <v>497</v>
      </c>
      <c r="B511" s="893" t="s">
        <v>1850</v>
      </c>
      <c r="C511" s="893" t="s">
        <v>765</v>
      </c>
      <c r="D511" s="893" t="s">
        <v>766</v>
      </c>
      <c r="E511" s="1008" t="s">
        <v>767</v>
      </c>
      <c r="F511" s="895">
        <v>-847148</v>
      </c>
      <c r="G511" s="895">
        <v>-847148</v>
      </c>
      <c r="H511" s="895">
        <v>-847148</v>
      </c>
      <c r="I511" s="895">
        <v>-847148</v>
      </c>
      <c r="J511" s="895">
        <v>-847148</v>
      </c>
      <c r="K511" s="895">
        <v>-847148</v>
      </c>
      <c r="L511" s="895">
        <v>-847148</v>
      </c>
      <c r="M511" s="895">
        <v>-847148</v>
      </c>
      <c r="N511" s="895">
        <v>-847148</v>
      </c>
      <c r="O511" s="895">
        <v>-847148</v>
      </c>
      <c r="P511" s="895">
        <v>-847148</v>
      </c>
      <c r="Q511" s="895">
        <v>-847148</v>
      </c>
      <c r="R511" s="895">
        <v>-1238067</v>
      </c>
      <c r="S511" s="896">
        <f t="shared" si="94"/>
        <v>-863436.29166666663</v>
      </c>
      <c r="T511" s="879"/>
      <c r="U511" s="881"/>
      <c r="V511" s="881">
        <f t="shared" si="104"/>
        <v>-863436.29166666663</v>
      </c>
      <c r="W511" s="881"/>
      <c r="X511" s="897"/>
      <c r="Y511" s="881"/>
      <c r="Z511" s="881"/>
      <c r="AA511" s="881"/>
      <c r="AB511" s="881"/>
      <c r="AC511" s="879"/>
      <c r="AD511" s="951">
        <f t="shared" si="105"/>
        <v>-863436.29166666663</v>
      </c>
      <c r="AE511" s="879"/>
    </row>
    <row r="512" spans="1:31">
      <c r="A512" s="879">
        <f t="shared" si="99"/>
        <v>498</v>
      </c>
      <c r="B512" s="893" t="s">
        <v>1853</v>
      </c>
      <c r="C512" s="893" t="s">
        <v>765</v>
      </c>
      <c r="D512" s="893" t="s">
        <v>2259</v>
      </c>
      <c r="E512" s="918" t="s">
        <v>768</v>
      </c>
      <c r="F512" s="895">
        <v>-2737401.56</v>
      </c>
      <c r="G512" s="895">
        <v>-2710317.16</v>
      </c>
      <c r="H512" s="895">
        <v>-2683232.7400000002</v>
      </c>
      <c r="I512" s="895">
        <v>-2645898.7999999998</v>
      </c>
      <c r="J512" s="895">
        <v>-2615397.63</v>
      </c>
      <c r="K512" s="895">
        <v>-2584896.4300000002</v>
      </c>
      <c r="L512" s="895">
        <v>-2553146.7999999998</v>
      </c>
      <c r="M512" s="895">
        <v>-2522437.54</v>
      </c>
      <c r="N512" s="895">
        <v>-2491728.2799999998</v>
      </c>
      <c r="O512" s="895">
        <v>-2552522.0099999998</v>
      </c>
      <c r="P512" s="895">
        <v>-2531979.75</v>
      </c>
      <c r="Q512" s="895">
        <v>-2546370.5600000001</v>
      </c>
      <c r="R512" s="895">
        <v>-2588762.79</v>
      </c>
      <c r="S512" s="896">
        <f t="shared" si="94"/>
        <v>-2591750.8229166665</v>
      </c>
      <c r="T512" s="879"/>
      <c r="U512" s="881"/>
      <c r="V512" s="881">
        <f t="shared" si="104"/>
        <v>-2591750.8229166665</v>
      </c>
      <c r="W512" s="881"/>
      <c r="X512" s="897"/>
      <c r="Y512" s="881"/>
      <c r="Z512" s="881"/>
      <c r="AA512" s="881"/>
      <c r="AB512" s="881"/>
      <c r="AC512" s="879"/>
      <c r="AD512" s="951">
        <f t="shared" si="105"/>
        <v>-2591750.8229166665</v>
      </c>
      <c r="AE512" s="879"/>
    </row>
    <row r="513" spans="1:31">
      <c r="A513" s="879">
        <f t="shared" si="99"/>
        <v>499</v>
      </c>
      <c r="B513" s="893" t="s">
        <v>1850</v>
      </c>
      <c r="C513" s="893" t="s">
        <v>765</v>
      </c>
      <c r="D513" s="893" t="s">
        <v>2260</v>
      </c>
      <c r="E513" s="1008" t="s">
        <v>769</v>
      </c>
      <c r="F513" s="895">
        <v>49444.46</v>
      </c>
      <c r="G513" s="895">
        <v>49444.44</v>
      </c>
      <c r="H513" s="895">
        <v>49444.53</v>
      </c>
      <c r="I513" s="895">
        <v>49403.66</v>
      </c>
      <c r="J513" s="895">
        <v>49403.56</v>
      </c>
      <c r="K513" s="895">
        <v>49403.6</v>
      </c>
      <c r="L513" s="895">
        <v>49403.64</v>
      </c>
      <c r="M513" s="895">
        <v>49403.69</v>
      </c>
      <c r="N513" s="895">
        <v>49403.69</v>
      </c>
      <c r="O513" s="895">
        <v>49403.73</v>
      </c>
      <c r="P513" s="895">
        <v>49403.76</v>
      </c>
      <c r="Q513" s="895">
        <v>49444.68</v>
      </c>
      <c r="R513" s="895">
        <v>46148.33</v>
      </c>
      <c r="S513" s="896">
        <f t="shared" si="94"/>
        <v>49279.947916666664</v>
      </c>
      <c r="T513" s="879"/>
      <c r="U513" s="881"/>
      <c r="V513" s="881">
        <f t="shared" si="104"/>
        <v>49279.947916666664</v>
      </c>
      <c r="W513" s="881"/>
      <c r="X513" s="897"/>
      <c r="Y513" s="881"/>
      <c r="Z513" s="881"/>
      <c r="AA513" s="881"/>
      <c r="AB513" s="881"/>
      <c r="AC513" s="879"/>
      <c r="AD513" s="951">
        <f t="shared" si="105"/>
        <v>49279.947916666664</v>
      </c>
      <c r="AE513" s="879"/>
    </row>
    <row r="514" spans="1:31">
      <c r="A514" s="879">
        <f t="shared" si="99"/>
        <v>500</v>
      </c>
      <c r="B514" s="893" t="s">
        <v>1886</v>
      </c>
      <c r="C514" s="893" t="s">
        <v>765</v>
      </c>
      <c r="D514" s="893" t="s">
        <v>2191</v>
      </c>
      <c r="E514" s="1008" t="s">
        <v>769</v>
      </c>
      <c r="F514" s="895">
        <v>0</v>
      </c>
      <c r="G514" s="895">
        <v>0</v>
      </c>
      <c r="H514" s="895">
        <v>0</v>
      </c>
      <c r="I514" s="895">
        <v>0</v>
      </c>
      <c r="J514" s="895">
        <v>0</v>
      </c>
      <c r="K514" s="895">
        <v>0</v>
      </c>
      <c r="L514" s="895">
        <v>0</v>
      </c>
      <c r="M514" s="895">
        <v>0</v>
      </c>
      <c r="N514" s="895">
        <v>0</v>
      </c>
      <c r="O514" s="895">
        <v>0</v>
      </c>
      <c r="P514" s="895">
        <v>0</v>
      </c>
      <c r="Q514" s="895">
        <v>0</v>
      </c>
      <c r="R514" s="895">
        <v>-313393.84000000003</v>
      </c>
      <c r="S514" s="896">
        <f t="shared" si="94"/>
        <v>-13058.076666666668</v>
      </c>
      <c r="T514" s="879"/>
      <c r="U514" s="881"/>
      <c r="V514" s="881">
        <f t="shared" si="104"/>
        <v>-13058.076666666668</v>
      </c>
      <c r="W514" s="881"/>
      <c r="X514" s="897"/>
      <c r="Y514" s="881"/>
      <c r="Z514" s="881"/>
      <c r="AA514" s="881"/>
      <c r="AB514" s="881"/>
      <c r="AC514" s="879"/>
      <c r="AD514" s="951">
        <f t="shared" si="105"/>
        <v>-13058.076666666668</v>
      </c>
      <c r="AE514" s="879"/>
    </row>
    <row r="515" spans="1:31">
      <c r="A515" s="879">
        <f t="shared" si="99"/>
        <v>501</v>
      </c>
      <c r="B515" s="893" t="s">
        <v>1850</v>
      </c>
      <c r="C515" s="893" t="s">
        <v>765</v>
      </c>
      <c r="D515" s="893" t="s">
        <v>2261</v>
      </c>
      <c r="E515" s="894" t="s">
        <v>760</v>
      </c>
      <c r="F515" s="895">
        <v>0</v>
      </c>
      <c r="G515" s="895">
        <v>0</v>
      </c>
      <c r="H515" s="895">
        <v>0</v>
      </c>
      <c r="I515" s="895">
        <v>0</v>
      </c>
      <c r="J515" s="895">
        <v>0</v>
      </c>
      <c r="K515" s="895">
        <v>0</v>
      </c>
      <c r="L515" s="895">
        <v>0</v>
      </c>
      <c r="M515" s="895">
        <v>0</v>
      </c>
      <c r="N515" s="895">
        <v>0</v>
      </c>
      <c r="O515" s="895">
        <v>0</v>
      </c>
      <c r="P515" s="895">
        <v>0</v>
      </c>
      <c r="Q515" s="895">
        <v>0</v>
      </c>
      <c r="R515" s="895">
        <v>0</v>
      </c>
      <c r="S515" s="896">
        <f t="shared" si="94"/>
        <v>0</v>
      </c>
      <c r="T515" s="879"/>
      <c r="U515" s="881"/>
      <c r="V515" s="881">
        <f t="shared" si="104"/>
        <v>0</v>
      </c>
      <c r="W515" s="881"/>
      <c r="X515" s="897"/>
      <c r="Y515" s="881"/>
      <c r="Z515" s="881"/>
      <c r="AA515" s="881"/>
      <c r="AB515" s="881"/>
      <c r="AC515" s="879"/>
      <c r="AD515" s="951">
        <f t="shared" si="105"/>
        <v>0</v>
      </c>
      <c r="AE515" s="879"/>
    </row>
    <row r="516" spans="1:31">
      <c r="A516" s="879">
        <f t="shared" si="99"/>
        <v>502</v>
      </c>
      <c r="B516" s="893" t="s">
        <v>1850</v>
      </c>
      <c r="C516" s="893" t="s">
        <v>490</v>
      </c>
      <c r="D516" s="893" t="s">
        <v>935</v>
      </c>
      <c r="E516" s="895" t="s">
        <v>936</v>
      </c>
      <c r="F516" s="895">
        <v>39302214</v>
      </c>
      <c r="G516" s="895">
        <v>39302214</v>
      </c>
      <c r="H516" s="895">
        <v>39302214</v>
      </c>
      <c r="I516" s="895">
        <v>39738439</v>
      </c>
      <c r="J516" s="895">
        <v>39738439</v>
      </c>
      <c r="K516" s="895">
        <v>39738439</v>
      </c>
      <c r="L516" s="895">
        <v>39670780</v>
      </c>
      <c r="M516" s="895">
        <v>39670780</v>
      </c>
      <c r="N516" s="895">
        <v>41382440.039999999</v>
      </c>
      <c r="O516" s="895">
        <v>41654121.939999998</v>
      </c>
      <c r="P516" s="895">
        <v>41919650.920000002</v>
      </c>
      <c r="Q516" s="895">
        <v>42186336.280000001</v>
      </c>
      <c r="R516" s="895">
        <v>42170920.5</v>
      </c>
      <c r="S516" s="896">
        <f t="shared" si="94"/>
        <v>40420035.119166672</v>
      </c>
      <c r="T516" s="879"/>
      <c r="U516" s="881"/>
      <c r="V516" s="881"/>
      <c r="W516" s="881"/>
      <c r="X516" s="897">
        <f>+S516</f>
        <v>40420035.119166672</v>
      </c>
      <c r="Y516" s="881">
        <f>+AA516*$Z$7</f>
        <v>30428202.437708672</v>
      </c>
      <c r="Z516" s="881">
        <f>+AA516*$Z$8</f>
        <v>9991832.6814580001</v>
      </c>
      <c r="AA516" s="881">
        <f>+S516</f>
        <v>40420035.119166672</v>
      </c>
      <c r="AB516" s="881"/>
      <c r="AC516" s="879"/>
      <c r="AD516" s="879"/>
      <c r="AE516" s="879"/>
    </row>
    <row r="517" spans="1:31">
      <c r="A517" s="879">
        <f t="shared" si="99"/>
        <v>503</v>
      </c>
      <c r="B517" s="879"/>
      <c r="C517" s="879"/>
      <c r="D517" s="879"/>
      <c r="E517" s="902" t="s">
        <v>770</v>
      </c>
      <c r="F517" s="898">
        <f t="shared" ref="F517:S517" si="106">SUM(F492:F516)</f>
        <v>-57048750.620000005</v>
      </c>
      <c r="G517" s="898">
        <f t="shared" si="106"/>
        <v>-57037875.809999987</v>
      </c>
      <c r="H517" s="898">
        <f t="shared" si="106"/>
        <v>-57045916.439999998</v>
      </c>
      <c r="I517" s="898">
        <f t="shared" si="106"/>
        <v>-56953022.819999993</v>
      </c>
      <c r="J517" s="898">
        <f t="shared" si="106"/>
        <v>-56946134.549999997</v>
      </c>
      <c r="K517" s="898">
        <f t="shared" si="106"/>
        <v>-56944140.239999995</v>
      </c>
      <c r="L517" s="898">
        <f t="shared" si="106"/>
        <v>-56943600.479999989</v>
      </c>
      <c r="M517" s="898">
        <f t="shared" si="106"/>
        <v>-57603456.819999993</v>
      </c>
      <c r="N517" s="898">
        <f t="shared" si="106"/>
        <v>-57295852.18</v>
      </c>
      <c r="O517" s="898">
        <f t="shared" si="106"/>
        <v>-57262225.969999999</v>
      </c>
      <c r="P517" s="898">
        <f t="shared" si="106"/>
        <v>-57224168.289999992</v>
      </c>
      <c r="Q517" s="898">
        <f t="shared" si="106"/>
        <v>-57089476.539999992</v>
      </c>
      <c r="R517" s="898">
        <f t="shared" si="106"/>
        <v>-56355398.260000005</v>
      </c>
      <c r="S517" s="899">
        <f t="shared" si="106"/>
        <v>-57087328.715000004</v>
      </c>
      <c r="T517" s="879"/>
      <c r="U517" s="881"/>
      <c r="V517" s="881"/>
      <c r="W517" s="881"/>
      <c r="X517" s="897"/>
      <c r="Y517" s="881"/>
      <c r="Z517" s="881"/>
      <c r="AA517" s="881"/>
      <c r="AB517" s="881"/>
      <c r="AC517" s="879"/>
      <c r="AD517" s="879"/>
      <c r="AE517" s="879"/>
    </row>
    <row r="518" spans="1:31">
      <c r="A518" s="879">
        <f t="shared" si="99"/>
        <v>504</v>
      </c>
      <c r="B518" s="879"/>
      <c r="C518" s="879"/>
      <c r="D518" s="879"/>
      <c r="E518" s="918"/>
      <c r="F518" s="895"/>
      <c r="G518" s="966"/>
      <c r="H518" s="942"/>
      <c r="I518" s="942"/>
      <c r="J518" s="943"/>
      <c r="K518" s="944"/>
      <c r="L518" s="945"/>
      <c r="M518" s="946"/>
      <c r="N518" s="947"/>
      <c r="O518" s="948"/>
      <c r="P518" s="949"/>
      <c r="Q518" s="967"/>
      <c r="R518" s="895"/>
      <c r="S518" s="896"/>
      <c r="T518" s="879"/>
      <c r="U518" s="881"/>
      <c r="V518" s="881"/>
      <c r="W518" s="881"/>
      <c r="X518" s="897"/>
      <c r="Y518" s="881"/>
      <c r="Z518" s="881"/>
      <c r="AA518" s="881"/>
      <c r="AB518" s="881"/>
      <c r="AC518" s="879"/>
      <c r="AD518" s="879"/>
      <c r="AE518" s="879"/>
    </row>
    <row r="519" spans="1:31">
      <c r="A519" s="879">
        <f t="shared" si="99"/>
        <v>505</v>
      </c>
      <c r="B519" s="893" t="s">
        <v>1850</v>
      </c>
      <c r="C519" s="893" t="s">
        <v>771</v>
      </c>
      <c r="D519" s="893" t="s">
        <v>585</v>
      </c>
      <c r="E519" s="918" t="s">
        <v>772</v>
      </c>
      <c r="F519" s="895">
        <v>-373122</v>
      </c>
      <c r="G519" s="895">
        <v>-368995.92</v>
      </c>
      <c r="H519" s="895">
        <v>-364869.83</v>
      </c>
      <c r="I519" s="895">
        <v>-360743.75</v>
      </c>
      <c r="J519" s="895">
        <v>-356617.67</v>
      </c>
      <c r="K519" s="895">
        <v>-352491.58</v>
      </c>
      <c r="L519" s="895">
        <v>-348718</v>
      </c>
      <c r="M519" s="895">
        <v>-344650.67</v>
      </c>
      <c r="N519" s="895">
        <v>-340583.33</v>
      </c>
      <c r="O519" s="895">
        <v>-336516</v>
      </c>
      <c r="P519" s="895">
        <v>-332448.67</v>
      </c>
      <c r="Q519" s="895">
        <v>-328355.33</v>
      </c>
      <c r="R519" s="895">
        <v>-324288</v>
      </c>
      <c r="S519" s="896">
        <f t="shared" si="94"/>
        <v>-348641.3125</v>
      </c>
      <c r="T519" s="879"/>
      <c r="U519" s="881"/>
      <c r="V519" s="881"/>
      <c r="W519" s="881"/>
      <c r="X519" s="897">
        <f>+S519</f>
        <v>-348641.3125</v>
      </c>
      <c r="Y519" s="881">
        <f>+AA519*$Z$7</f>
        <v>-262457.18005000002</v>
      </c>
      <c r="Z519" s="881">
        <f>+AA519*$Z$8</f>
        <v>-86184.13244999999</v>
      </c>
      <c r="AA519" s="881">
        <f>+S519</f>
        <v>-348641.3125</v>
      </c>
      <c r="AB519" s="881"/>
      <c r="AC519" s="879"/>
      <c r="AD519" s="879"/>
      <c r="AE519" s="879"/>
    </row>
    <row r="520" spans="1:31">
      <c r="A520" s="879">
        <f t="shared" si="99"/>
        <v>506</v>
      </c>
      <c r="B520" s="893" t="s">
        <v>1850</v>
      </c>
      <c r="C520" s="893" t="s">
        <v>773</v>
      </c>
      <c r="D520" s="893" t="s">
        <v>1890</v>
      </c>
      <c r="E520" s="918" t="s">
        <v>774</v>
      </c>
      <c r="F520" s="895">
        <v>883065.23</v>
      </c>
      <c r="G520" s="895">
        <v>873875.83</v>
      </c>
      <c r="H520" s="895">
        <v>864686.41</v>
      </c>
      <c r="I520" s="895">
        <v>576540.86</v>
      </c>
      <c r="J520" s="895">
        <v>566495.44999999995</v>
      </c>
      <c r="K520" s="895">
        <v>556450.04</v>
      </c>
      <c r="L520" s="895">
        <v>545952.99</v>
      </c>
      <c r="M520" s="895">
        <v>535832.31999999995</v>
      </c>
      <c r="N520" s="895">
        <v>525711.64</v>
      </c>
      <c r="O520" s="895">
        <v>542122.19999999995</v>
      </c>
      <c r="P520" s="895">
        <v>534949.46</v>
      </c>
      <c r="Q520" s="895">
        <v>560818.09</v>
      </c>
      <c r="R520" s="895">
        <v>589700.96</v>
      </c>
      <c r="S520" s="896">
        <f t="shared" si="94"/>
        <v>618318.19874999998</v>
      </c>
      <c r="T520" s="879"/>
      <c r="U520" s="881"/>
      <c r="V520" s="881"/>
      <c r="W520" s="881"/>
      <c r="X520" s="897">
        <f t="shared" ref="X520:X528" si="107">+S520</f>
        <v>618318.19874999998</v>
      </c>
      <c r="Y520" s="881">
        <f>+AA520*$Z$7</f>
        <v>465469.94001899997</v>
      </c>
      <c r="Z520" s="881">
        <f>+AA520*$Z$8</f>
        <v>152848.25873099998</v>
      </c>
      <c r="AA520" s="881">
        <f>+S520</f>
        <v>618318.19874999998</v>
      </c>
      <c r="AB520" s="881"/>
      <c r="AC520" s="879"/>
      <c r="AD520" s="879"/>
      <c r="AE520" s="879"/>
    </row>
    <row r="521" spans="1:31">
      <c r="A521" s="879">
        <f t="shared" si="99"/>
        <v>507</v>
      </c>
      <c r="B521" s="893" t="s">
        <v>1850</v>
      </c>
      <c r="C521" s="893" t="s">
        <v>773</v>
      </c>
      <c r="D521" s="893" t="s">
        <v>1891</v>
      </c>
      <c r="E521" s="918" t="s">
        <v>774</v>
      </c>
      <c r="F521" s="895">
        <v>1854336.33</v>
      </c>
      <c r="G521" s="895">
        <v>1836441.33</v>
      </c>
      <c r="H521" s="895">
        <v>1818546.33</v>
      </c>
      <c r="I521" s="895">
        <v>2069357.94</v>
      </c>
      <c r="J521" s="895">
        <v>2048902.18</v>
      </c>
      <c r="K521" s="895">
        <v>2028446.39</v>
      </c>
      <c r="L521" s="895">
        <v>2007193.81</v>
      </c>
      <c r="M521" s="895">
        <v>1986605.22</v>
      </c>
      <c r="N521" s="895">
        <v>1966016.64</v>
      </c>
      <c r="O521" s="895">
        <v>2010399.81</v>
      </c>
      <c r="P521" s="895">
        <v>1997030.29</v>
      </c>
      <c r="Q521" s="895">
        <v>1985552.47</v>
      </c>
      <c r="R521" s="895">
        <v>1999061.83</v>
      </c>
      <c r="S521" s="896">
        <f t="shared" si="94"/>
        <v>1973432.6241666668</v>
      </c>
      <c r="T521" s="879"/>
      <c r="U521" s="881"/>
      <c r="V521" s="881"/>
      <c r="W521" s="881"/>
      <c r="X521" s="897">
        <f t="shared" si="107"/>
        <v>1973432.6241666668</v>
      </c>
      <c r="Y521" s="881">
        <f>+AA521*$Z$7</f>
        <v>1485600.0794726668</v>
      </c>
      <c r="Z521" s="881">
        <f>+AA521*$Z$8</f>
        <v>487832.54469399998</v>
      </c>
      <c r="AA521" s="881">
        <f>+S521</f>
        <v>1973432.6241666668</v>
      </c>
      <c r="AB521" s="881"/>
      <c r="AC521" s="879"/>
      <c r="AD521" s="879"/>
      <c r="AE521" s="879"/>
    </row>
    <row r="522" spans="1:31">
      <c r="A522" s="879">
        <f t="shared" si="99"/>
        <v>508</v>
      </c>
      <c r="B522" s="893" t="s">
        <v>1850</v>
      </c>
      <c r="C522" s="893" t="s">
        <v>773</v>
      </c>
      <c r="D522" s="893" t="s">
        <v>1867</v>
      </c>
      <c r="E522" s="918" t="s">
        <v>774</v>
      </c>
      <c r="F522" s="895">
        <v>-95924439.430000007</v>
      </c>
      <c r="G522" s="895">
        <v>-95880284.769999996</v>
      </c>
      <c r="H522" s="895">
        <v>-95836130.090000004</v>
      </c>
      <c r="I522" s="895">
        <v>-95477141.109999999</v>
      </c>
      <c r="J522" s="895">
        <v>-95326147.390000001</v>
      </c>
      <c r="K522" s="895">
        <v>-95175153.719999999</v>
      </c>
      <c r="L522" s="895">
        <v>-95342095.019999996</v>
      </c>
      <c r="M522" s="895">
        <v>-95244090.469999999</v>
      </c>
      <c r="N522" s="895">
        <v>-95146085.950000003</v>
      </c>
      <c r="O522" s="895">
        <v>-96377115.560000002</v>
      </c>
      <c r="P522" s="895">
        <v>-96426781.480000004</v>
      </c>
      <c r="Q522" s="895">
        <v>-98123078.379999995</v>
      </c>
      <c r="R522" s="895">
        <v>-98089298.930000007</v>
      </c>
      <c r="S522" s="896">
        <f t="shared" si="94"/>
        <v>-95946747.760000005</v>
      </c>
      <c r="T522" s="879"/>
      <c r="U522" s="881"/>
      <c r="V522" s="881"/>
      <c r="W522" s="881"/>
      <c r="X522" s="897">
        <f t="shared" si="107"/>
        <v>-95946747.760000005</v>
      </c>
      <c r="Y522" s="881">
        <v>-73443638</v>
      </c>
      <c r="Z522" s="881">
        <v>-22503110</v>
      </c>
      <c r="AA522" s="881"/>
      <c r="AB522" s="881"/>
      <c r="AC522" s="879"/>
      <c r="AD522" s="879"/>
      <c r="AE522" s="879" t="s">
        <v>2262</v>
      </c>
    </row>
    <row r="523" spans="1:31">
      <c r="A523" s="879">
        <f t="shared" si="99"/>
        <v>509</v>
      </c>
      <c r="B523" s="893" t="s">
        <v>1850</v>
      </c>
      <c r="C523" s="893" t="s">
        <v>773</v>
      </c>
      <c r="D523" s="893" t="s">
        <v>1892</v>
      </c>
      <c r="E523" s="918" t="s">
        <v>774</v>
      </c>
      <c r="F523" s="895">
        <v>-161895.75</v>
      </c>
      <c r="G523" s="895">
        <v>-161895.75</v>
      </c>
      <c r="H523" s="895">
        <v>-161895.75</v>
      </c>
      <c r="I523" s="895">
        <v>-161895.75</v>
      </c>
      <c r="J523" s="895">
        <v>-161895.75</v>
      </c>
      <c r="K523" s="895">
        <v>-161895.75</v>
      </c>
      <c r="L523" s="895">
        <v>-161895.75</v>
      </c>
      <c r="M523" s="895">
        <v>-161895.75</v>
      </c>
      <c r="N523" s="895">
        <v>-161895.75</v>
      </c>
      <c r="O523" s="895">
        <v>-161895.75</v>
      </c>
      <c r="P523" s="895">
        <v>-161895.75</v>
      </c>
      <c r="Q523" s="895">
        <v>-161895.75</v>
      </c>
      <c r="R523" s="895">
        <v>-151102.70000000001</v>
      </c>
      <c r="S523" s="896">
        <f t="shared" si="94"/>
        <v>-161446.03958333333</v>
      </c>
      <c r="T523" s="879"/>
      <c r="U523" s="881"/>
      <c r="V523" s="881"/>
      <c r="W523" s="881"/>
      <c r="X523" s="897">
        <f t="shared" si="107"/>
        <v>-161446.03958333333</v>
      </c>
      <c r="Y523" s="881">
        <f>+AA523*$Z$7</f>
        <v>-121536.57859833333</v>
      </c>
      <c r="Z523" s="881">
        <f>+AA523*$Z$8</f>
        <v>-39909.460984999998</v>
      </c>
      <c r="AA523" s="881">
        <f>+S523</f>
        <v>-161446.03958333333</v>
      </c>
      <c r="AB523" s="881"/>
      <c r="AC523" s="879"/>
      <c r="AD523" s="879"/>
      <c r="AE523" s="879"/>
    </row>
    <row r="524" spans="1:31">
      <c r="A524" s="879">
        <f t="shared" si="99"/>
        <v>510</v>
      </c>
      <c r="B524" s="893" t="s">
        <v>1886</v>
      </c>
      <c r="C524" s="893" t="s">
        <v>773</v>
      </c>
      <c r="D524" s="893" t="s">
        <v>1887</v>
      </c>
      <c r="E524" s="918" t="s">
        <v>774</v>
      </c>
      <c r="F524" s="895">
        <v>38942.18</v>
      </c>
      <c r="G524" s="895">
        <v>38536.93</v>
      </c>
      <c r="H524" s="895">
        <v>38131.699999999997</v>
      </c>
      <c r="I524" s="895">
        <v>30325.16</v>
      </c>
      <c r="J524" s="895">
        <v>29796.79</v>
      </c>
      <c r="K524" s="895">
        <v>29268.42</v>
      </c>
      <c r="L524" s="895">
        <v>28716.29</v>
      </c>
      <c r="M524" s="895">
        <v>28183.94</v>
      </c>
      <c r="N524" s="895">
        <v>27651.63</v>
      </c>
      <c r="O524" s="895">
        <v>28514.799999999999</v>
      </c>
      <c r="P524" s="895">
        <v>28137.52</v>
      </c>
      <c r="Q524" s="895">
        <v>29498.17</v>
      </c>
      <c r="R524" s="895">
        <v>31017.37</v>
      </c>
      <c r="S524" s="896">
        <f t="shared" si="94"/>
        <v>30978.427083333339</v>
      </c>
      <c r="T524" s="879"/>
      <c r="U524" s="881"/>
      <c r="V524" s="881"/>
      <c r="W524" s="881"/>
      <c r="X524" s="897">
        <f t="shared" si="107"/>
        <v>30978.427083333339</v>
      </c>
      <c r="Y524" s="881"/>
      <c r="Z524" s="881">
        <f>+S524</f>
        <v>30978.427083333339</v>
      </c>
      <c r="AA524" s="881"/>
      <c r="AB524" s="881"/>
      <c r="AC524" s="879"/>
      <c r="AD524" s="879"/>
      <c r="AE524" s="879"/>
    </row>
    <row r="525" spans="1:31">
      <c r="A525" s="879">
        <f t="shared" si="99"/>
        <v>511</v>
      </c>
      <c r="B525" s="893" t="s">
        <v>1886</v>
      </c>
      <c r="C525" s="893" t="s">
        <v>773</v>
      </c>
      <c r="D525" s="893" t="s">
        <v>1888</v>
      </c>
      <c r="E525" s="918" t="s">
        <v>774</v>
      </c>
      <c r="F525" s="895">
        <v>-214358.06</v>
      </c>
      <c r="G525" s="895">
        <v>-213529.1</v>
      </c>
      <c r="H525" s="895">
        <v>-212700.13</v>
      </c>
      <c r="I525" s="895">
        <v>-998639.19</v>
      </c>
      <c r="J525" s="895">
        <v>-996839.2</v>
      </c>
      <c r="K525" s="895">
        <v>-995039.19</v>
      </c>
      <c r="L525" s="895">
        <v>-993281.09</v>
      </c>
      <c r="M525" s="895">
        <v>-991488.07</v>
      </c>
      <c r="N525" s="895">
        <v>-989695.05</v>
      </c>
      <c r="O525" s="895">
        <v>-1003601.37</v>
      </c>
      <c r="P525" s="895">
        <v>-1003552.74</v>
      </c>
      <c r="Q525" s="895">
        <v>-944033.17</v>
      </c>
      <c r="R525" s="895">
        <v>-903902.86</v>
      </c>
      <c r="S525" s="896">
        <f t="shared" si="94"/>
        <v>-825127.39666666684</v>
      </c>
      <c r="T525" s="879"/>
      <c r="U525" s="881"/>
      <c r="V525" s="881"/>
      <c r="W525" s="881"/>
      <c r="X525" s="897">
        <f t="shared" si="107"/>
        <v>-825127.39666666684</v>
      </c>
      <c r="Y525" s="881"/>
      <c r="Z525" s="881">
        <f>+S525</f>
        <v>-825127.39666666684</v>
      </c>
      <c r="AA525" s="881"/>
      <c r="AB525" s="881"/>
      <c r="AC525" s="879"/>
      <c r="AD525" s="879"/>
      <c r="AE525" s="879"/>
    </row>
    <row r="526" spans="1:31">
      <c r="A526" s="879">
        <f t="shared" si="99"/>
        <v>512</v>
      </c>
      <c r="B526" s="893" t="s">
        <v>1886</v>
      </c>
      <c r="C526" s="893" t="s">
        <v>773</v>
      </c>
      <c r="D526" s="893" t="s">
        <v>1871</v>
      </c>
      <c r="E526" s="918" t="s">
        <v>774</v>
      </c>
      <c r="F526" s="895">
        <v>-3872422.04</v>
      </c>
      <c r="G526" s="895">
        <v>-3872775.8</v>
      </c>
      <c r="H526" s="895">
        <v>-3873129.56</v>
      </c>
      <c r="I526" s="895">
        <v>-3843445.26</v>
      </c>
      <c r="J526" s="895">
        <v>-3839198.49</v>
      </c>
      <c r="K526" s="895">
        <v>-3834951.74</v>
      </c>
      <c r="L526" s="895">
        <v>-3847427.87</v>
      </c>
      <c r="M526" s="895">
        <v>-3845968.28</v>
      </c>
      <c r="N526" s="895">
        <v>-3844508.66</v>
      </c>
      <c r="O526" s="895">
        <v>-3893025.52</v>
      </c>
      <c r="P526" s="895">
        <v>-3897118.86</v>
      </c>
      <c r="Q526" s="895">
        <v>-4047193.88</v>
      </c>
      <c r="R526" s="895">
        <v>-4085566.09</v>
      </c>
      <c r="S526" s="896">
        <f t="shared" si="94"/>
        <v>-3884811.4987500007</v>
      </c>
      <c r="T526" s="879"/>
      <c r="U526" s="881"/>
      <c r="V526" s="881"/>
      <c r="W526" s="881"/>
      <c r="X526" s="897">
        <f t="shared" si="107"/>
        <v>-3884811.4987500007</v>
      </c>
      <c r="Y526" s="881"/>
      <c r="Z526" s="881">
        <v>-3884811.5</v>
      </c>
      <c r="AA526" s="881"/>
      <c r="AB526" s="881"/>
      <c r="AC526" s="879"/>
      <c r="AD526" s="879"/>
      <c r="AE526" s="879" t="s">
        <v>2263</v>
      </c>
    </row>
    <row r="527" spans="1:31">
      <c r="A527" s="879">
        <f t="shared" si="99"/>
        <v>513</v>
      </c>
      <c r="B527" s="893" t="s">
        <v>1886</v>
      </c>
      <c r="C527" s="893" t="s">
        <v>773</v>
      </c>
      <c r="D527" s="960" t="s">
        <v>1889</v>
      </c>
      <c r="E527" s="918" t="s">
        <v>774</v>
      </c>
      <c r="F527" s="895">
        <v>581511.75</v>
      </c>
      <c r="G527" s="895">
        <v>581511.75</v>
      </c>
      <c r="H527" s="895">
        <v>581511.75</v>
      </c>
      <c r="I527" s="895">
        <v>581511.75</v>
      </c>
      <c r="J527" s="895">
        <v>581511.75</v>
      </c>
      <c r="K527" s="895">
        <v>581511.75</v>
      </c>
      <c r="L527" s="895">
        <v>581511.75</v>
      </c>
      <c r="M527" s="895">
        <v>581511.75</v>
      </c>
      <c r="N527" s="895">
        <v>581511.75</v>
      </c>
      <c r="O527" s="895">
        <v>581511.75</v>
      </c>
      <c r="P527" s="895">
        <v>581511.75</v>
      </c>
      <c r="Q527" s="895">
        <v>581511.75</v>
      </c>
      <c r="R527" s="895">
        <v>542744.30000000005</v>
      </c>
      <c r="S527" s="896">
        <f t="shared" si="94"/>
        <v>579896.43958333333</v>
      </c>
      <c r="T527" s="879"/>
      <c r="U527" s="881"/>
      <c r="V527" s="881"/>
      <c r="W527" s="881"/>
      <c r="X527" s="897">
        <f t="shared" si="107"/>
        <v>579896.43958333333</v>
      </c>
      <c r="Y527" s="881"/>
      <c r="Z527" s="881">
        <f>+S527</f>
        <v>579896.43958333333</v>
      </c>
      <c r="AA527" s="881"/>
      <c r="AB527" s="881"/>
      <c r="AC527" s="879"/>
      <c r="AD527" s="879"/>
      <c r="AE527" s="879"/>
    </row>
    <row r="528" spans="1:31">
      <c r="A528" s="879">
        <f t="shared" si="99"/>
        <v>514</v>
      </c>
      <c r="B528" s="893" t="s">
        <v>1850</v>
      </c>
      <c r="C528" s="893" t="s">
        <v>775</v>
      </c>
      <c r="D528" s="893" t="s">
        <v>1869</v>
      </c>
      <c r="E528" s="918" t="s">
        <v>776</v>
      </c>
      <c r="F528" s="895">
        <v>-298910.77</v>
      </c>
      <c r="G528" s="895">
        <v>-297733.95</v>
      </c>
      <c r="H528" s="895">
        <v>-296557.15000000002</v>
      </c>
      <c r="I528" s="895">
        <v>-295380.34999999998</v>
      </c>
      <c r="J528" s="895">
        <v>-294203.53000000003</v>
      </c>
      <c r="K528" s="895">
        <v>-293026.71999999997</v>
      </c>
      <c r="L528" s="895">
        <v>-291849.90999999997</v>
      </c>
      <c r="M528" s="895">
        <v>-290673.11</v>
      </c>
      <c r="N528" s="895">
        <v>-289496.3</v>
      </c>
      <c r="O528" s="895">
        <v>-288319.49</v>
      </c>
      <c r="P528" s="895">
        <v>-287142.69</v>
      </c>
      <c r="Q528" s="895">
        <v>-285965.88</v>
      </c>
      <c r="R528" s="895">
        <v>-284789.06</v>
      </c>
      <c r="S528" s="896">
        <f t="shared" si="94"/>
        <v>-291849.91624999995</v>
      </c>
      <c r="T528" s="879"/>
      <c r="U528" s="881"/>
      <c r="V528" s="881"/>
      <c r="W528" s="881"/>
      <c r="X528" s="897">
        <f t="shared" si="107"/>
        <v>-291849.91624999995</v>
      </c>
      <c r="Y528" s="881">
        <v>-223400</v>
      </c>
      <c r="Z528" s="881">
        <v>-68450</v>
      </c>
      <c r="AA528" s="881"/>
      <c r="AB528" s="881"/>
      <c r="AC528" s="879"/>
      <c r="AD528" s="951"/>
      <c r="AE528" s="879" t="s">
        <v>2264</v>
      </c>
    </row>
    <row r="529" spans="1:31">
      <c r="A529" s="971">
        <f t="shared" ref="A529:A592" si="108">+A528+1</f>
        <v>515</v>
      </c>
      <c r="B529" s="972" t="s">
        <v>1850</v>
      </c>
      <c r="C529" s="972" t="s">
        <v>775</v>
      </c>
      <c r="D529" s="972" t="s">
        <v>1892</v>
      </c>
      <c r="E529" s="918" t="s">
        <v>776</v>
      </c>
      <c r="F529" s="895">
        <v>-34608022.850000001</v>
      </c>
      <c r="G529" s="895">
        <v>-34620017.43</v>
      </c>
      <c r="H529" s="895">
        <v>-34632012.07</v>
      </c>
      <c r="I529" s="895">
        <v>-34594533.43</v>
      </c>
      <c r="J529" s="895">
        <v>-34606492.979999997</v>
      </c>
      <c r="K529" s="895">
        <v>-34618452.57</v>
      </c>
      <c r="L529" s="895">
        <v>-34614696.380000003</v>
      </c>
      <c r="M529" s="895">
        <v>-34624041.229999997</v>
      </c>
      <c r="N529" s="895">
        <v>-34633386.079999998</v>
      </c>
      <c r="O529" s="895">
        <v>-34534346.850000001</v>
      </c>
      <c r="P529" s="895">
        <v>-34531651.57</v>
      </c>
      <c r="Q529" s="895">
        <v>-34528956.350000001</v>
      </c>
      <c r="R529" s="895">
        <v>-33763265.57</v>
      </c>
      <c r="S529" s="896">
        <f t="shared" si="94"/>
        <v>-34560352.595833331</v>
      </c>
      <c r="T529" s="971"/>
      <c r="U529" s="973"/>
      <c r="V529" s="973">
        <f>+S529</f>
        <v>-34560352.595833331</v>
      </c>
      <c r="W529" s="973"/>
      <c r="X529" s="974"/>
      <c r="Y529" s="973"/>
      <c r="Z529" s="973"/>
      <c r="AA529" s="973"/>
      <c r="AB529" s="973">
        <f>+X529</f>
        <v>0</v>
      </c>
      <c r="AC529" s="971"/>
      <c r="AD529" s="975">
        <f>+V529</f>
        <v>-34560352.595833331</v>
      </c>
      <c r="AE529" s="971"/>
    </row>
    <row r="530" spans="1:31">
      <c r="A530" s="879">
        <f t="shared" si="108"/>
        <v>516</v>
      </c>
      <c r="B530" s="893" t="s">
        <v>1886</v>
      </c>
      <c r="C530" s="893" t="s">
        <v>775</v>
      </c>
      <c r="D530" s="893" t="s">
        <v>1873</v>
      </c>
      <c r="E530" s="918" t="s">
        <v>776</v>
      </c>
      <c r="F530" s="895">
        <v>-13181.63</v>
      </c>
      <c r="G530" s="895">
        <v>-13129.73</v>
      </c>
      <c r="H530" s="895">
        <v>-13077.84</v>
      </c>
      <c r="I530" s="895">
        <v>-15536.55</v>
      </c>
      <c r="J530" s="895">
        <v>-15474.65</v>
      </c>
      <c r="K530" s="895">
        <v>-15412.75</v>
      </c>
      <c r="L530" s="895">
        <v>-15350.85</v>
      </c>
      <c r="M530" s="895">
        <v>-15288.96</v>
      </c>
      <c r="N530" s="895">
        <v>-15227.06</v>
      </c>
      <c r="O530" s="895">
        <v>-15165.16</v>
      </c>
      <c r="P530" s="895">
        <v>-15103.26</v>
      </c>
      <c r="Q530" s="895">
        <v>-15041.37</v>
      </c>
      <c r="R530" s="895">
        <v>-14979.47</v>
      </c>
      <c r="S530" s="896">
        <f t="shared" si="94"/>
        <v>-14824.060833333331</v>
      </c>
      <c r="T530" s="879"/>
      <c r="U530" s="881"/>
      <c r="V530" s="881">
        <f>+S530</f>
        <v>-14824.060833333331</v>
      </c>
      <c r="W530" s="881"/>
      <c r="X530" s="897"/>
      <c r="Y530" s="881"/>
      <c r="Z530" s="881"/>
      <c r="AA530" s="881"/>
      <c r="AB530" s="881"/>
      <c r="AC530" s="879"/>
      <c r="AD530" s="951">
        <f>+V530</f>
        <v>-14824.060833333331</v>
      </c>
      <c r="AE530" s="879"/>
    </row>
    <row r="531" spans="1:31">
      <c r="A531" s="971">
        <f t="shared" si="108"/>
        <v>517</v>
      </c>
      <c r="B531" s="972" t="s">
        <v>1886</v>
      </c>
      <c r="C531" s="972" t="s">
        <v>775</v>
      </c>
      <c r="D531" s="972" t="s">
        <v>1889</v>
      </c>
      <c r="E531" s="918" t="s">
        <v>776</v>
      </c>
      <c r="F531" s="895">
        <v>-1866272.87</v>
      </c>
      <c r="G531" s="895">
        <v>-1866801.81</v>
      </c>
      <c r="H531" s="895">
        <v>-1867330.76</v>
      </c>
      <c r="I531" s="895">
        <v>-2160511.04</v>
      </c>
      <c r="J531" s="895">
        <v>-2161140.1</v>
      </c>
      <c r="K531" s="895">
        <v>-2161769.15</v>
      </c>
      <c r="L531" s="895">
        <v>-2161571.6</v>
      </c>
      <c r="M531" s="895">
        <v>-2162063.12</v>
      </c>
      <c r="N531" s="895">
        <v>-2162554.64</v>
      </c>
      <c r="O531" s="895">
        <v>-2157345.3199999998</v>
      </c>
      <c r="P531" s="895">
        <v>-2157203.5499999998</v>
      </c>
      <c r="Q531" s="895">
        <v>-2157061.7999999998</v>
      </c>
      <c r="R531" s="895">
        <v>-2094061.52</v>
      </c>
      <c r="S531" s="896">
        <f t="shared" si="94"/>
        <v>-2096293.3404166671</v>
      </c>
      <c r="T531" s="971"/>
      <c r="U531" s="973"/>
      <c r="V531" s="973">
        <f>+S531</f>
        <v>-2096293.3404166671</v>
      </c>
      <c r="W531" s="973"/>
      <c r="X531" s="974"/>
      <c r="Y531" s="973"/>
      <c r="Z531" s="973"/>
      <c r="AA531" s="973"/>
      <c r="AB531" s="973"/>
      <c r="AC531" s="971"/>
      <c r="AD531" s="975">
        <f>+V531</f>
        <v>-2096293.3404166671</v>
      </c>
      <c r="AE531" s="971"/>
    </row>
    <row r="532" spans="1:31">
      <c r="A532" s="879">
        <f t="shared" si="108"/>
        <v>518</v>
      </c>
      <c r="B532" s="879"/>
      <c r="C532" s="879"/>
      <c r="D532" s="879"/>
      <c r="E532" s="918" t="s">
        <v>777</v>
      </c>
      <c r="F532" s="898">
        <f t="shared" ref="F532:S532" si="109">SUM(F519:F531)</f>
        <v>-133974769.91</v>
      </c>
      <c r="G532" s="898">
        <f t="shared" si="109"/>
        <v>-133964798.42</v>
      </c>
      <c r="H532" s="898">
        <f t="shared" si="109"/>
        <v>-133954826.99000002</v>
      </c>
      <c r="I532" s="898">
        <f t="shared" si="109"/>
        <v>-134650090.72</v>
      </c>
      <c r="J532" s="898">
        <f t="shared" si="109"/>
        <v>-134531303.59</v>
      </c>
      <c r="K532" s="898">
        <f t="shared" si="109"/>
        <v>-134412516.56999999</v>
      </c>
      <c r="L532" s="898">
        <f t="shared" si="109"/>
        <v>-134613511.63</v>
      </c>
      <c r="M532" s="898">
        <f t="shared" si="109"/>
        <v>-134548026.42999998</v>
      </c>
      <c r="N532" s="898">
        <f t="shared" si="109"/>
        <v>-134482541.16</v>
      </c>
      <c r="O532" s="898">
        <f t="shared" si="109"/>
        <v>-135604782.45999998</v>
      </c>
      <c r="P532" s="898">
        <f t="shared" si="109"/>
        <v>-135671269.55000001</v>
      </c>
      <c r="Q532" s="898">
        <f t="shared" si="109"/>
        <v>-137434201.43000001</v>
      </c>
      <c r="R532" s="898">
        <f t="shared" si="109"/>
        <v>-136548729.74000001</v>
      </c>
      <c r="S532" s="899">
        <f t="shared" si="109"/>
        <v>-134927468.23125002</v>
      </c>
      <c r="T532" s="879"/>
      <c r="U532" s="881"/>
      <c r="V532" s="881"/>
      <c r="W532" s="881"/>
      <c r="X532" s="897"/>
      <c r="Y532" s="881"/>
      <c r="Z532" s="881"/>
      <c r="AA532" s="881"/>
      <c r="AB532" s="881"/>
      <c r="AC532" s="879"/>
      <c r="AD532" s="879"/>
      <c r="AE532" s="879"/>
    </row>
    <row r="533" spans="1:31">
      <c r="A533" s="879">
        <f t="shared" si="108"/>
        <v>519</v>
      </c>
      <c r="B533" s="879"/>
      <c r="C533" s="879"/>
      <c r="D533" s="879"/>
      <c r="E533" s="918"/>
      <c r="F533" s="895"/>
      <c r="G533" s="966"/>
      <c r="H533" s="942"/>
      <c r="I533" s="942"/>
      <c r="J533" s="943"/>
      <c r="K533" s="944"/>
      <c r="L533" s="945"/>
      <c r="M533" s="946"/>
      <c r="N533" s="947"/>
      <c r="O533" s="911"/>
      <c r="P533" s="949"/>
      <c r="Q533" s="967"/>
      <c r="R533" s="895"/>
      <c r="S533" s="896"/>
      <c r="T533" s="879"/>
      <c r="U533" s="881"/>
      <c r="V533" s="881"/>
      <c r="W533" s="881"/>
      <c r="X533" s="897"/>
      <c r="Y533" s="881"/>
      <c r="Z533" s="881"/>
      <c r="AA533" s="881"/>
      <c r="AB533" s="881"/>
      <c r="AC533" s="879"/>
      <c r="AD533" s="879"/>
      <c r="AE533" s="879"/>
    </row>
    <row r="534" spans="1:31">
      <c r="A534" s="879">
        <f t="shared" si="108"/>
        <v>520</v>
      </c>
      <c r="B534" s="893" t="s">
        <v>1886</v>
      </c>
      <c r="C534" s="893" t="s">
        <v>778</v>
      </c>
      <c r="D534" s="893" t="s">
        <v>2265</v>
      </c>
      <c r="E534" s="918" t="s">
        <v>779</v>
      </c>
      <c r="F534" s="963">
        <v>-35790639.740000002</v>
      </c>
      <c r="G534" s="963">
        <v>-6543872.25</v>
      </c>
      <c r="H534" s="963">
        <v>-11721306.720000001</v>
      </c>
      <c r="I534" s="963">
        <v>-16376137.32</v>
      </c>
      <c r="J534" s="963">
        <v>-19668653.579999998</v>
      </c>
      <c r="K534" s="963">
        <v>-21506797.239999998</v>
      </c>
      <c r="L534" s="963">
        <v>-23139962.670000002</v>
      </c>
      <c r="M534" s="963">
        <v>-24290788.16</v>
      </c>
      <c r="N534" s="963">
        <v>-25290147.420000002</v>
      </c>
      <c r="O534" s="963">
        <v>-26376998.719999999</v>
      </c>
      <c r="P534" s="963">
        <v>-28030960.859999999</v>
      </c>
      <c r="Q534" s="963">
        <v>-30499592.68</v>
      </c>
      <c r="R534" s="963">
        <v>-35052264.350000001</v>
      </c>
      <c r="S534" s="896">
        <f t="shared" si="94"/>
        <v>-22405555.80541667</v>
      </c>
      <c r="T534" s="879"/>
      <c r="U534" s="881"/>
      <c r="V534" s="881"/>
      <c r="W534" s="881">
        <f t="shared" ref="W534:W591" si="110">+S534</f>
        <v>-22405555.80541667</v>
      </c>
      <c r="X534" s="897"/>
      <c r="Y534" s="881"/>
      <c r="Z534" s="881"/>
      <c r="AA534" s="881"/>
      <c r="AB534" s="881"/>
      <c r="AC534" s="879"/>
      <c r="AD534" s="879"/>
      <c r="AE534" s="879"/>
    </row>
    <row r="535" spans="1:31">
      <c r="A535" s="879">
        <f t="shared" si="108"/>
        <v>521</v>
      </c>
      <c r="B535" s="893" t="s">
        <v>1886</v>
      </c>
      <c r="C535" s="893" t="s">
        <v>778</v>
      </c>
      <c r="D535" s="893" t="s">
        <v>2266</v>
      </c>
      <c r="E535" s="918" t="s">
        <v>779</v>
      </c>
      <c r="F535" s="963">
        <v>-320376.03000000003</v>
      </c>
      <c r="G535" s="963">
        <v>35429.89</v>
      </c>
      <c r="H535" s="963">
        <v>-619313.67000000004</v>
      </c>
      <c r="I535" s="963">
        <v>-1101934.33</v>
      </c>
      <c r="J535" s="963">
        <v>-1616223.23</v>
      </c>
      <c r="K535" s="963">
        <v>-578427.89</v>
      </c>
      <c r="L535" s="963">
        <v>-534439.61</v>
      </c>
      <c r="M535" s="963">
        <v>-528475.68999999994</v>
      </c>
      <c r="N535" s="963">
        <v>-557265.76</v>
      </c>
      <c r="O535" s="963">
        <v>-581523.91</v>
      </c>
      <c r="P535" s="963">
        <v>-489494.07</v>
      </c>
      <c r="Q535" s="963">
        <v>-644489.86</v>
      </c>
      <c r="R535" s="963">
        <v>378562.05</v>
      </c>
      <c r="S535" s="896">
        <f t="shared" si="94"/>
        <v>-598922.09333333338</v>
      </c>
      <c r="T535" s="879"/>
      <c r="U535" s="881"/>
      <c r="V535" s="881"/>
      <c r="W535" s="881">
        <f t="shared" si="110"/>
        <v>-598922.09333333338</v>
      </c>
      <c r="X535" s="897"/>
      <c r="Y535" s="881"/>
      <c r="Z535" s="881"/>
      <c r="AA535" s="881"/>
      <c r="AB535" s="881"/>
      <c r="AC535" s="879"/>
      <c r="AD535" s="879"/>
      <c r="AE535" s="879"/>
    </row>
    <row r="536" spans="1:31">
      <c r="A536" s="879">
        <f t="shared" si="108"/>
        <v>522</v>
      </c>
      <c r="B536" s="893" t="s">
        <v>1886</v>
      </c>
      <c r="C536" s="893" t="s">
        <v>778</v>
      </c>
      <c r="D536" s="893" t="s">
        <v>2267</v>
      </c>
      <c r="E536" s="918" t="s">
        <v>779</v>
      </c>
      <c r="F536" s="963">
        <v>-2816459.05</v>
      </c>
      <c r="G536" s="963">
        <v>-389776.66</v>
      </c>
      <c r="H536" s="963">
        <v>-680644.98</v>
      </c>
      <c r="I536" s="963">
        <v>-967109.88</v>
      </c>
      <c r="J536" s="963">
        <v>-1194093.29</v>
      </c>
      <c r="K536" s="963">
        <v>-1347321.85</v>
      </c>
      <c r="L536" s="963">
        <v>-1476642.75</v>
      </c>
      <c r="M536" s="963">
        <v>-1595978.09</v>
      </c>
      <c r="N536" s="963">
        <v>-1730082.73</v>
      </c>
      <c r="O536" s="963">
        <v>-1858976.38</v>
      </c>
      <c r="P536" s="963">
        <v>-2043064.26</v>
      </c>
      <c r="Q536" s="963">
        <v>-2284766.7999999998</v>
      </c>
      <c r="R536" s="963">
        <v>-2576686.7999999998</v>
      </c>
      <c r="S536" s="896">
        <f t="shared" si="94"/>
        <v>-1522085.8829166666</v>
      </c>
      <c r="T536" s="879"/>
      <c r="U536" s="881"/>
      <c r="V536" s="881"/>
      <c r="W536" s="881">
        <f t="shared" si="110"/>
        <v>-1522085.8829166666</v>
      </c>
      <c r="X536" s="897"/>
      <c r="Y536" s="881"/>
      <c r="Z536" s="881"/>
      <c r="AA536" s="881"/>
      <c r="AB536" s="881"/>
      <c r="AC536" s="879"/>
      <c r="AD536" s="879"/>
      <c r="AE536" s="879"/>
    </row>
    <row r="537" spans="1:31">
      <c r="A537" s="879">
        <f t="shared" si="108"/>
        <v>523</v>
      </c>
      <c r="B537" s="893" t="s">
        <v>1886</v>
      </c>
      <c r="C537" s="893" t="s">
        <v>778</v>
      </c>
      <c r="D537" s="893" t="s">
        <v>2268</v>
      </c>
      <c r="E537" s="918" t="s">
        <v>779</v>
      </c>
      <c r="F537" s="963">
        <v>-3333.77</v>
      </c>
      <c r="G537" s="963">
        <v>0</v>
      </c>
      <c r="H537" s="963">
        <v>0</v>
      </c>
      <c r="I537" s="963">
        <v>0</v>
      </c>
      <c r="J537" s="963">
        <v>0</v>
      </c>
      <c r="K537" s="963">
        <v>0</v>
      </c>
      <c r="L537" s="963">
        <v>0</v>
      </c>
      <c r="M537" s="963">
        <v>-1697.01</v>
      </c>
      <c r="N537" s="963">
        <v>-1697.01</v>
      </c>
      <c r="O537" s="963">
        <v>-1697.01</v>
      </c>
      <c r="P537" s="963">
        <v>-1697.01</v>
      </c>
      <c r="Q537" s="963">
        <v>-1697.01</v>
      </c>
      <c r="R537" s="963">
        <v>-1697.01</v>
      </c>
      <c r="S537" s="896">
        <f t="shared" si="94"/>
        <v>-916.70333333333326</v>
      </c>
      <c r="T537" s="879"/>
      <c r="U537" s="881"/>
      <c r="V537" s="881"/>
      <c r="W537" s="881">
        <f t="shared" si="110"/>
        <v>-916.70333333333326</v>
      </c>
      <c r="X537" s="897"/>
      <c r="Y537" s="881"/>
      <c r="Z537" s="881"/>
      <c r="AA537" s="881"/>
      <c r="AB537" s="881"/>
      <c r="AC537" s="879"/>
      <c r="AD537" s="879"/>
      <c r="AE537" s="879"/>
    </row>
    <row r="538" spans="1:31">
      <c r="A538" s="879">
        <f t="shared" si="108"/>
        <v>524</v>
      </c>
      <c r="B538" s="893" t="s">
        <v>1886</v>
      </c>
      <c r="C538" s="893" t="s">
        <v>778</v>
      </c>
      <c r="D538" s="893" t="s">
        <v>2269</v>
      </c>
      <c r="E538" s="918" t="s">
        <v>779</v>
      </c>
      <c r="F538" s="963">
        <v>-21571611.859999999</v>
      </c>
      <c r="G538" s="963">
        <v>-3758312.59</v>
      </c>
      <c r="H538" s="963">
        <v>-6798026.3700000001</v>
      </c>
      <c r="I538" s="963">
        <v>-9410628.8000000007</v>
      </c>
      <c r="J538" s="963">
        <v>-11272739.33</v>
      </c>
      <c r="K538" s="963">
        <v>-12348652.359999999</v>
      </c>
      <c r="L538" s="963">
        <v>-13346507.300000001</v>
      </c>
      <c r="M538" s="963">
        <v>-14144331.92</v>
      </c>
      <c r="N538" s="963">
        <v>-14888729.76</v>
      </c>
      <c r="O538" s="963">
        <v>-15659439.68</v>
      </c>
      <c r="P538" s="963">
        <v>-16607132.57</v>
      </c>
      <c r="Q538" s="963">
        <v>-17919426.960000001</v>
      </c>
      <c r="R538" s="963">
        <v>-20260889.059999999</v>
      </c>
      <c r="S538" s="896">
        <f t="shared" si="94"/>
        <v>-13089181.508333335</v>
      </c>
      <c r="T538" s="879"/>
      <c r="U538" s="881"/>
      <c r="V538" s="881"/>
      <c r="W538" s="881">
        <f t="shared" si="110"/>
        <v>-13089181.508333335</v>
      </c>
      <c r="X538" s="897"/>
      <c r="Y538" s="881"/>
      <c r="Z538" s="881"/>
      <c r="AA538" s="881"/>
      <c r="AB538" s="881"/>
      <c r="AC538" s="879"/>
      <c r="AD538" s="879"/>
      <c r="AE538" s="879"/>
    </row>
    <row r="539" spans="1:31">
      <c r="A539" s="879">
        <f t="shared" si="108"/>
        <v>525</v>
      </c>
      <c r="B539" s="893" t="s">
        <v>1886</v>
      </c>
      <c r="C539" s="893" t="s">
        <v>778</v>
      </c>
      <c r="D539" s="893" t="s">
        <v>2270</v>
      </c>
      <c r="E539" s="918" t="s">
        <v>779</v>
      </c>
      <c r="F539" s="963">
        <v>-286813.49</v>
      </c>
      <c r="G539" s="963">
        <v>-71425.22</v>
      </c>
      <c r="H539" s="963">
        <v>270137.59000000003</v>
      </c>
      <c r="I539" s="963">
        <v>493937.32</v>
      </c>
      <c r="J539" s="963">
        <v>541425.38</v>
      </c>
      <c r="K539" s="963">
        <v>-386205.12</v>
      </c>
      <c r="L539" s="963">
        <v>-388970.88</v>
      </c>
      <c r="M539" s="963">
        <v>-371149.84</v>
      </c>
      <c r="N539" s="963">
        <v>-371453.23</v>
      </c>
      <c r="O539" s="963">
        <v>-347097.82</v>
      </c>
      <c r="P539" s="963">
        <v>-291458.59999999998</v>
      </c>
      <c r="Q539" s="963">
        <v>-434457.48</v>
      </c>
      <c r="R539" s="963">
        <v>-125743.93</v>
      </c>
      <c r="S539" s="896">
        <f t="shared" si="94"/>
        <v>-130249.71749999998</v>
      </c>
      <c r="T539" s="879"/>
      <c r="U539" s="881"/>
      <c r="V539" s="881"/>
      <c r="W539" s="881">
        <f t="shared" si="110"/>
        <v>-130249.71749999998</v>
      </c>
      <c r="X539" s="897"/>
      <c r="Y539" s="881"/>
      <c r="Z539" s="881"/>
      <c r="AA539" s="881"/>
      <c r="AB539" s="881"/>
      <c r="AC539" s="879"/>
      <c r="AD539" s="879"/>
      <c r="AE539" s="879"/>
    </row>
    <row r="540" spans="1:31">
      <c r="A540" s="879">
        <f t="shared" si="108"/>
        <v>526</v>
      </c>
      <c r="B540" s="893" t="s">
        <v>1886</v>
      </c>
      <c r="C540" s="893" t="s">
        <v>778</v>
      </c>
      <c r="D540" s="893" t="s">
        <v>2271</v>
      </c>
      <c r="E540" s="918" t="s">
        <v>779</v>
      </c>
      <c r="F540" s="963">
        <v>-1200.69</v>
      </c>
      <c r="G540" s="963">
        <v>0</v>
      </c>
      <c r="H540" s="963">
        <v>-546.41999999999996</v>
      </c>
      <c r="I540" s="963">
        <v>-546.41999999999996</v>
      </c>
      <c r="J540" s="963">
        <v>-546.41999999999996</v>
      </c>
      <c r="K540" s="963">
        <v>-546.41999999999996</v>
      </c>
      <c r="L540" s="963">
        <v>-546.41999999999996</v>
      </c>
      <c r="M540" s="963">
        <v>-546.41999999999996</v>
      </c>
      <c r="N540" s="963">
        <v>-546.41999999999996</v>
      </c>
      <c r="O540" s="963">
        <v>-546.41999999999996</v>
      </c>
      <c r="P540" s="963">
        <v>-546.41999999999996</v>
      </c>
      <c r="Q540" s="963">
        <v>-546.41999999999996</v>
      </c>
      <c r="R540" s="963">
        <v>-546.41999999999996</v>
      </c>
      <c r="S540" s="896">
        <f t="shared" si="94"/>
        <v>-528.14625000000001</v>
      </c>
      <c r="T540" s="879"/>
      <c r="U540" s="881"/>
      <c r="V540" s="881"/>
      <c r="W540" s="881">
        <f t="shared" si="110"/>
        <v>-528.14625000000001</v>
      </c>
      <c r="X540" s="897"/>
      <c r="Y540" s="881"/>
      <c r="Z540" s="881"/>
      <c r="AA540" s="881"/>
      <c r="AB540" s="881"/>
      <c r="AC540" s="879"/>
      <c r="AD540" s="879"/>
      <c r="AE540" s="879"/>
    </row>
    <row r="541" spans="1:31">
      <c r="A541" s="879">
        <f t="shared" si="108"/>
        <v>527</v>
      </c>
      <c r="B541" s="893" t="s">
        <v>1886</v>
      </c>
      <c r="C541" s="893" t="s">
        <v>778</v>
      </c>
      <c r="D541" s="893" t="s">
        <v>2272</v>
      </c>
      <c r="E541" s="918" t="s">
        <v>779</v>
      </c>
      <c r="F541" s="963">
        <v>-1714631.55</v>
      </c>
      <c r="G541" s="963">
        <v>-227888.95</v>
      </c>
      <c r="H541" s="963">
        <v>-458644.03</v>
      </c>
      <c r="I541" s="963">
        <v>-631978.25</v>
      </c>
      <c r="J541" s="963">
        <v>-782005.55</v>
      </c>
      <c r="K541" s="963">
        <v>-883251.13</v>
      </c>
      <c r="L541" s="963">
        <v>-964820.54</v>
      </c>
      <c r="M541" s="963">
        <v>-1036755.13</v>
      </c>
      <c r="N541" s="963">
        <v>-1107505.51</v>
      </c>
      <c r="O541" s="963">
        <v>-1180503.3</v>
      </c>
      <c r="P541" s="963">
        <v>-1258841.3999999999</v>
      </c>
      <c r="Q541" s="963">
        <v>-1378457.64</v>
      </c>
      <c r="R541" s="963">
        <v>-1499846.96</v>
      </c>
      <c r="S541" s="896">
        <f t="shared" si="94"/>
        <v>-959824.22374999989</v>
      </c>
      <c r="T541" s="879"/>
      <c r="U541" s="881"/>
      <c r="V541" s="881"/>
      <c r="W541" s="881">
        <f t="shared" si="110"/>
        <v>-959824.22374999989</v>
      </c>
      <c r="X541" s="897"/>
      <c r="Y541" s="881"/>
      <c r="Z541" s="881"/>
      <c r="AA541" s="881"/>
      <c r="AB541" s="881"/>
      <c r="AC541" s="879"/>
      <c r="AD541" s="879"/>
      <c r="AE541" s="879"/>
    </row>
    <row r="542" spans="1:31">
      <c r="A542" s="879">
        <f t="shared" si="108"/>
        <v>528</v>
      </c>
      <c r="B542" s="893" t="s">
        <v>1853</v>
      </c>
      <c r="C542" s="893" t="s">
        <v>778</v>
      </c>
      <c r="D542" s="893" t="s">
        <v>2265</v>
      </c>
      <c r="E542" s="918" t="s">
        <v>779</v>
      </c>
      <c r="F542" s="963">
        <v>-106476791.98999999</v>
      </c>
      <c r="G542" s="963">
        <v>-19493358.73</v>
      </c>
      <c r="H542" s="963">
        <v>-33825506.289999999</v>
      </c>
      <c r="I542" s="963">
        <v>-46852251.270000003</v>
      </c>
      <c r="J542" s="963">
        <v>-55553122.380000003</v>
      </c>
      <c r="K542" s="963">
        <v>-60569197.990000002</v>
      </c>
      <c r="L542" s="963">
        <v>-64892974.609999999</v>
      </c>
      <c r="M542" s="963">
        <v>-68381171.540000007</v>
      </c>
      <c r="N542" s="963">
        <v>-71470457.090000004</v>
      </c>
      <c r="O542" s="963">
        <v>-74691553.299999997</v>
      </c>
      <c r="P542" s="963">
        <v>-78953151.599999994</v>
      </c>
      <c r="Q542" s="963">
        <v>-85550514.549999997</v>
      </c>
      <c r="R542" s="963">
        <v>-98981997.140000001</v>
      </c>
      <c r="S542" s="896">
        <f t="shared" si="94"/>
        <v>-63580221.15958333</v>
      </c>
      <c r="T542" s="879"/>
      <c r="U542" s="881"/>
      <c r="V542" s="881"/>
      <c r="W542" s="881">
        <f t="shared" si="110"/>
        <v>-63580221.15958333</v>
      </c>
      <c r="X542" s="897"/>
      <c r="Y542" s="881"/>
      <c r="Z542" s="881"/>
      <c r="AA542" s="881"/>
      <c r="AB542" s="881"/>
      <c r="AC542" s="879"/>
      <c r="AD542" s="879"/>
      <c r="AE542" s="879"/>
    </row>
    <row r="543" spans="1:31">
      <c r="A543" s="879">
        <f t="shared" si="108"/>
        <v>529</v>
      </c>
      <c r="B543" s="893" t="s">
        <v>1853</v>
      </c>
      <c r="C543" s="893" t="s">
        <v>778</v>
      </c>
      <c r="D543" s="893" t="s">
        <v>2266</v>
      </c>
      <c r="E543" s="918" t="s">
        <v>779</v>
      </c>
      <c r="F543" s="963">
        <v>0</v>
      </c>
      <c r="G543" s="963">
        <v>0</v>
      </c>
      <c r="H543" s="963">
        <v>0</v>
      </c>
      <c r="I543" s="963">
        <v>0</v>
      </c>
      <c r="J543" s="963">
        <v>0</v>
      </c>
      <c r="K543" s="963">
        <v>0</v>
      </c>
      <c r="L543" s="963">
        <v>0</v>
      </c>
      <c r="M543" s="963">
        <v>0</v>
      </c>
      <c r="N543" s="963">
        <v>0</v>
      </c>
      <c r="O543" s="963">
        <v>-27776.86</v>
      </c>
      <c r="P543" s="963">
        <v>-75131.320000000007</v>
      </c>
      <c r="Q543" s="963">
        <v>-1102202.42</v>
      </c>
      <c r="R543" s="963">
        <v>104803.77</v>
      </c>
      <c r="S543" s="896">
        <f t="shared" si="94"/>
        <v>-96059.059583333321</v>
      </c>
      <c r="T543" s="879"/>
      <c r="U543" s="881"/>
      <c r="V543" s="881"/>
      <c r="W543" s="881">
        <f t="shared" si="110"/>
        <v>-96059.059583333321</v>
      </c>
      <c r="X543" s="897"/>
      <c r="Y543" s="881"/>
      <c r="Z543" s="881"/>
      <c r="AA543" s="881"/>
      <c r="AB543" s="881"/>
      <c r="AC543" s="879"/>
      <c r="AD543" s="879"/>
      <c r="AE543" s="879"/>
    </row>
    <row r="544" spans="1:31">
      <c r="A544" s="879">
        <f t="shared" si="108"/>
        <v>530</v>
      </c>
      <c r="B544" s="893" t="s">
        <v>1853</v>
      </c>
      <c r="C544" s="893" t="s">
        <v>778</v>
      </c>
      <c r="D544" s="893" t="s">
        <v>2267</v>
      </c>
      <c r="E544" s="918" t="s">
        <v>779</v>
      </c>
      <c r="F544" s="963">
        <v>-10672970.42</v>
      </c>
      <c r="G544" s="963">
        <v>-1244721.94</v>
      </c>
      <c r="H544" s="963">
        <v>-2275618.96</v>
      </c>
      <c r="I544" s="963">
        <v>-3407987.17</v>
      </c>
      <c r="J544" s="963">
        <v>-4176776.45</v>
      </c>
      <c r="K544" s="963">
        <v>-4734860.41</v>
      </c>
      <c r="L544" s="963">
        <v>-5335780.4400000004</v>
      </c>
      <c r="M544" s="963">
        <v>-5786041.4299999997</v>
      </c>
      <c r="N544" s="963">
        <v>-6383406.0899999999</v>
      </c>
      <c r="O544" s="963">
        <v>-6986466.5999999996</v>
      </c>
      <c r="P544" s="963">
        <v>-7818030.3200000003</v>
      </c>
      <c r="Q544" s="963">
        <v>-8569723.9399999995</v>
      </c>
      <c r="R544" s="963">
        <v>-9554575.6500000004</v>
      </c>
      <c r="S544" s="896">
        <f t="shared" si="94"/>
        <v>-5569432.2320833327</v>
      </c>
      <c r="T544" s="879"/>
      <c r="U544" s="881"/>
      <c r="V544" s="881"/>
      <c r="W544" s="881">
        <f t="shared" si="110"/>
        <v>-5569432.2320833327</v>
      </c>
      <c r="X544" s="897"/>
      <c r="Y544" s="881"/>
      <c r="Z544" s="881"/>
      <c r="AA544" s="881"/>
      <c r="AB544" s="881"/>
      <c r="AC544" s="879"/>
      <c r="AD544" s="879"/>
      <c r="AE544" s="879"/>
    </row>
    <row r="545" spans="1:31">
      <c r="A545" s="879">
        <f t="shared" si="108"/>
        <v>531</v>
      </c>
      <c r="B545" s="893" t="s">
        <v>1853</v>
      </c>
      <c r="C545" s="893" t="s">
        <v>778</v>
      </c>
      <c r="D545" s="893" t="s">
        <v>2273</v>
      </c>
      <c r="E545" s="918" t="s">
        <v>779</v>
      </c>
      <c r="F545" s="963">
        <v>0</v>
      </c>
      <c r="G545" s="963">
        <v>0</v>
      </c>
      <c r="H545" s="963">
        <v>0</v>
      </c>
      <c r="I545" s="963">
        <v>0</v>
      </c>
      <c r="J545" s="963">
        <v>0</v>
      </c>
      <c r="K545" s="963">
        <v>0</v>
      </c>
      <c r="L545" s="963">
        <v>0</v>
      </c>
      <c r="M545" s="963">
        <v>0</v>
      </c>
      <c r="N545" s="963">
        <v>0</v>
      </c>
      <c r="O545" s="963">
        <v>24801.09</v>
      </c>
      <c r="P545" s="963">
        <v>-4043.27</v>
      </c>
      <c r="Q545" s="963">
        <v>9589.15</v>
      </c>
      <c r="R545" s="963">
        <v>-12430.97</v>
      </c>
      <c r="S545" s="896">
        <f t="shared" si="94"/>
        <v>2010.9570833333335</v>
      </c>
      <c r="T545" s="879"/>
      <c r="U545" s="881"/>
      <c r="V545" s="881"/>
      <c r="W545" s="881">
        <f t="shared" si="110"/>
        <v>2010.9570833333335</v>
      </c>
      <c r="X545" s="897"/>
      <c r="Y545" s="881"/>
      <c r="Z545" s="881"/>
      <c r="AA545" s="881"/>
      <c r="AB545" s="881"/>
      <c r="AC545" s="879"/>
      <c r="AD545" s="879"/>
      <c r="AE545" s="879"/>
    </row>
    <row r="546" spans="1:31">
      <c r="A546" s="879">
        <f t="shared" si="108"/>
        <v>532</v>
      </c>
      <c r="B546" s="893" t="s">
        <v>1853</v>
      </c>
      <c r="C546" s="893" t="s">
        <v>778</v>
      </c>
      <c r="D546" s="893" t="s">
        <v>2268</v>
      </c>
      <c r="E546" s="918" t="s">
        <v>779</v>
      </c>
      <c r="F546" s="963">
        <v>-125229.42</v>
      </c>
      <c r="G546" s="963">
        <v>0</v>
      </c>
      <c r="H546" s="963">
        <v>0</v>
      </c>
      <c r="I546" s="963">
        <v>-14649.18</v>
      </c>
      <c r="J546" s="963">
        <v>-14649.18</v>
      </c>
      <c r="K546" s="963">
        <v>-14649.18</v>
      </c>
      <c r="L546" s="963">
        <v>-29318.46</v>
      </c>
      <c r="M546" s="963">
        <v>-53035.21</v>
      </c>
      <c r="N546" s="963">
        <v>-53035.21</v>
      </c>
      <c r="O546" s="963">
        <v>-59321.760000000002</v>
      </c>
      <c r="P546" s="963">
        <v>-59321.760000000002</v>
      </c>
      <c r="Q546" s="963">
        <v>-73384.820000000007</v>
      </c>
      <c r="R546" s="963">
        <v>-73384.820000000007</v>
      </c>
      <c r="S546" s="896">
        <f t="shared" si="94"/>
        <v>-39222.656666666669</v>
      </c>
      <c r="T546" s="879"/>
      <c r="U546" s="881"/>
      <c r="V546" s="881"/>
      <c r="W546" s="881">
        <f t="shared" si="110"/>
        <v>-39222.656666666669</v>
      </c>
      <c r="X546" s="897"/>
      <c r="Y546" s="881"/>
      <c r="Z546" s="881"/>
      <c r="AA546" s="881"/>
      <c r="AB546" s="881"/>
      <c r="AC546" s="879"/>
      <c r="AD546" s="879"/>
      <c r="AE546" s="879"/>
    </row>
    <row r="547" spans="1:31">
      <c r="A547" s="879">
        <f t="shared" si="108"/>
        <v>533</v>
      </c>
      <c r="B547" s="893" t="s">
        <v>1853</v>
      </c>
      <c r="C547" s="893" t="s">
        <v>778</v>
      </c>
      <c r="D547" s="893" t="s">
        <v>2269</v>
      </c>
      <c r="E547" s="918" t="s">
        <v>779</v>
      </c>
      <c r="F547" s="963">
        <v>-76586984.25</v>
      </c>
      <c r="G547" s="963">
        <v>-13331352.58</v>
      </c>
      <c r="H547" s="963">
        <v>-23355039.140000001</v>
      </c>
      <c r="I547" s="963">
        <v>-32270740.219999999</v>
      </c>
      <c r="J547" s="963">
        <v>-38376857.710000001</v>
      </c>
      <c r="K547" s="963">
        <v>-42075843.420000002</v>
      </c>
      <c r="L547" s="963">
        <v>-45396759.539999999</v>
      </c>
      <c r="M547" s="963">
        <v>-48212429.659999996</v>
      </c>
      <c r="N547" s="963">
        <v>-50806389.240000002</v>
      </c>
      <c r="O547" s="963">
        <v>-53513833.729999997</v>
      </c>
      <c r="P547" s="963">
        <v>-56588765.039999999</v>
      </c>
      <c r="Q547" s="963">
        <v>-60847740.600000001</v>
      </c>
      <c r="R547" s="963">
        <v>-69276286.359999999</v>
      </c>
      <c r="S547" s="896">
        <f t="shared" si="94"/>
        <v>-44808948.848750003</v>
      </c>
      <c r="T547" s="879"/>
      <c r="U547" s="881"/>
      <c r="V547" s="881"/>
      <c r="W547" s="881">
        <f t="shared" si="110"/>
        <v>-44808948.848750003</v>
      </c>
      <c r="X547" s="897"/>
      <c r="Y547" s="881"/>
      <c r="Z547" s="881"/>
      <c r="AA547" s="881"/>
      <c r="AB547" s="881"/>
      <c r="AC547" s="879"/>
      <c r="AD547" s="879"/>
      <c r="AE547" s="879"/>
    </row>
    <row r="548" spans="1:31">
      <c r="A548" s="879">
        <f t="shared" si="108"/>
        <v>534</v>
      </c>
      <c r="B548" s="893" t="s">
        <v>1853</v>
      </c>
      <c r="C548" s="893" t="s">
        <v>778</v>
      </c>
      <c r="D548" s="893" t="s">
        <v>2270</v>
      </c>
      <c r="E548" s="918" t="s">
        <v>779</v>
      </c>
      <c r="F548" s="963">
        <v>0</v>
      </c>
      <c r="G548" s="963">
        <v>0</v>
      </c>
      <c r="H548" s="963">
        <v>0</v>
      </c>
      <c r="I548" s="963">
        <v>0</v>
      </c>
      <c r="J548" s="963">
        <v>0</v>
      </c>
      <c r="K548" s="963">
        <v>0</v>
      </c>
      <c r="L548" s="963">
        <v>0</v>
      </c>
      <c r="M548" s="963">
        <v>0</v>
      </c>
      <c r="N548" s="963">
        <v>0</v>
      </c>
      <c r="O548" s="963">
        <v>-19917.53</v>
      </c>
      <c r="P548" s="963">
        <v>-69404.320000000007</v>
      </c>
      <c r="Q548" s="963">
        <v>-646657.62</v>
      </c>
      <c r="R548" s="963">
        <v>-5866.6100000000997</v>
      </c>
      <c r="S548" s="896">
        <f t="shared" si="94"/>
        <v>-61576.064583333333</v>
      </c>
      <c r="T548" s="879"/>
      <c r="U548" s="881"/>
      <c r="V548" s="881"/>
      <c r="W548" s="881">
        <f t="shared" si="110"/>
        <v>-61576.064583333333</v>
      </c>
      <c r="X548" s="897"/>
      <c r="Y548" s="881"/>
      <c r="Z548" s="881"/>
      <c r="AA548" s="881"/>
      <c r="AB548" s="881"/>
      <c r="AC548" s="879"/>
      <c r="AD548" s="879"/>
      <c r="AE548" s="879"/>
    </row>
    <row r="549" spans="1:31">
      <c r="A549" s="879">
        <f t="shared" si="108"/>
        <v>535</v>
      </c>
      <c r="B549" s="893" t="s">
        <v>1853</v>
      </c>
      <c r="C549" s="893" t="s">
        <v>778</v>
      </c>
      <c r="D549" s="893" t="s">
        <v>2271</v>
      </c>
      <c r="E549" s="918" t="s">
        <v>779</v>
      </c>
      <c r="F549" s="963">
        <v>-51935.040000000001</v>
      </c>
      <c r="G549" s="963">
        <v>-9746.01</v>
      </c>
      <c r="H549" s="963">
        <v>-17912.95</v>
      </c>
      <c r="I549" s="963">
        <v>-24302.38</v>
      </c>
      <c r="J549" s="963">
        <v>-25798.9</v>
      </c>
      <c r="K549" s="963">
        <v>-27136.97</v>
      </c>
      <c r="L549" s="963">
        <v>-27136.97</v>
      </c>
      <c r="M549" s="963">
        <v>-27136.97</v>
      </c>
      <c r="N549" s="963">
        <v>-42521.78</v>
      </c>
      <c r="O549" s="963">
        <v>-45593.279999999999</v>
      </c>
      <c r="P549" s="963">
        <v>-61521.95</v>
      </c>
      <c r="Q549" s="963">
        <v>-66778.789999999994</v>
      </c>
      <c r="R549" s="963">
        <v>-66778.789999999994</v>
      </c>
      <c r="S549" s="896">
        <f t="shared" si="94"/>
        <v>-36245.322083333325</v>
      </c>
      <c r="T549" s="879"/>
      <c r="U549" s="881"/>
      <c r="V549" s="881"/>
      <c r="W549" s="881">
        <f t="shared" si="110"/>
        <v>-36245.322083333325</v>
      </c>
      <c r="X549" s="897"/>
      <c r="Y549" s="881"/>
      <c r="Z549" s="881"/>
      <c r="AA549" s="881"/>
      <c r="AB549" s="881"/>
      <c r="AC549" s="879"/>
      <c r="AD549" s="879"/>
      <c r="AE549" s="879"/>
    </row>
    <row r="550" spans="1:31">
      <c r="A550" s="879">
        <f t="shared" si="108"/>
        <v>536</v>
      </c>
      <c r="B550" s="893" t="s">
        <v>1853</v>
      </c>
      <c r="C550" s="893" t="s">
        <v>778</v>
      </c>
      <c r="D550" s="893" t="s">
        <v>2274</v>
      </c>
      <c r="E550" s="918" t="s">
        <v>779</v>
      </c>
      <c r="F550" s="963">
        <v>-103878.36</v>
      </c>
      <c r="G550" s="963">
        <v>-220.33</v>
      </c>
      <c r="H550" s="963">
        <v>-558.17999999999995</v>
      </c>
      <c r="I550" s="963">
        <v>-831.96</v>
      </c>
      <c r="J550" s="963">
        <v>-1042.46</v>
      </c>
      <c r="K550" s="963">
        <v>-1239.82</v>
      </c>
      <c r="L550" s="963">
        <v>-1424.38</v>
      </c>
      <c r="M550" s="963">
        <v>-1737.7</v>
      </c>
      <c r="N550" s="963">
        <v>-1756.84</v>
      </c>
      <c r="O550" s="963">
        <v>-2125.7600000000002</v>
      </c>
      <c r="P550" s="963">
        <v>-2435.09</v>
      </c>
      <c r="Q550" s="963">
        <v>-2482.52</v>
      </c>
      <c r="R550" s="963">
        <v>-2553.6999999999998</v>
      </c>
      <c r="S550" s="896">
        <f t="shared" si="94"/>
        <v>-5755.9225000000006</v>
      </c>
      <c r="T550" s="879"/>
      <c r="U550" s="881"/>
      <c r="V550" s="881"/>
      <c r="W550" s="881">
        <f t="shared" si="110"/>
        <v>-5755.9225000000006</v>
      </c>
      <c r="X550" s="897"/>
      <c r="Y550" s="881"/>
      <c r="Z550" s="881"/>
      <c r="AA550" s="881"/>
      <c r="AB550" s="881"/>
      <c r="AC550" s="879"/>
      <c r="AD550" s="879"/>
      <c r="AE550" s="879"/>
    </row>
    <row r="551" spans="1:31">
      <c r="A551" s="879">
        <f t="shared" si="108"/>
        <v>537</v>
      </c>
      <c r="B551" s="893" t="s">
        <v>1853</v>
      </c>
      <c r="C551" s="893" t="s">
        <v>778</v>
      </c>
      <c r="D551" s="893" t="s">
        <v>2275</v>
      </c>
      <c r="E551" s="918" t="s">
        <v>779</v>
      </c>
      <c r="F551" s="963">
        <v>0</v>
      </c>
      <c r="G551" s="963">
        <v>0</v>
      </c>
      <c r="H551" s="963">
        <v>0</v>
      </c>
      <c r="I551" s="963">
        <v>0</v>
      </c>
      <c r="J551" s="963">
        <v>0</v>
      </c>
      <c r="K551" s="963">
        <v>0</v>
      </c>
      <c r="L551" s="963">
        <v>0</v>
      </c>
      <c r="M551" s="963">
        <v>0</v>
      </c>
      <c r="N551" s="963">
        <v>0</v>
      </c>
      <c r="O551" s="963">
        <v>-142.82</v>
      </c>
      <c r="P551" s="963">
        <v>-624.29</v>
      </c>
      <c r="Q551" s="963">
        <v>-946.66</v>
      </c>
      <c r="R551" s="963">
        <v>-1389</v>
      </c>
      <c r="S551" s="896">
        <f t="shared" si="94"/>
        <v>-200.68916666666667</v>
      </c>
      <c r="T551" s="879"/>
      <c r="U551" s="881"/>
      <c r="V551" s="881"/>
      <c r="W551" s="881">
        <f t="shared" si="110"/>
        <v>-200.68916666666667</v>
      </c>
      <c r="X551" s="897"/>
      <c r="Y551" s="881"/>
      <c r="Z551" s="881"/>
      <c r="AA551" s="881"/>
      <c r="AB551" s="881"/>
      <c r="AC551" s="879"/>
      <c r="AD551" s="879"/>
      <c r="AE551" s="879"/>
    </row>
    <row r="552" spans="1:31">
      <c r="A552" s="879">
        <f t="shared" si="108"/>
        <v>538</v>
      </c>
      <c r="B552" s="893" t="s">
        <v>1853</v>
      </c>
      <c r="C552" s="893" t="s">
        <v>778</v>
      </c>
      <c r="D552" s="893" t="s">
        <v>2276</v>
      </c>
      <c r="E552" s="918" t="s">
        <v>779</v>
      </c>
      <c r="F552" s="963">
        <v>-3556.32</v>
      </c>
      <c r="G552" s="963">
        <v>0</v>
      </c>
      <c r="H552" s="963">
        <v>0</v>
      </c>
      <c r="I552" s="963">
        <v>0</v>
      </c>
      <c r="J552" s="963">
        <v>0</v>
      </c>
      <c r="K552" s="963">
        <v>0</v>
      </c>
      <c r="L552" s="963">
        <v>0</v>
      </c>
      <c r="M552" s="963">
        <v>0</v>
      </c>
      <c r="N552" s="963">
        <v>0</v>
      </c>
      <c r="O552" s="963">
        <v>0</v>
      </c>
      <c r="P552" s="963">
        <v>0</v>
      </c>
      <c r="Q552" s="963">
        <v>0</v>
      </c>
      <c r="R552" s="963">
        <v>0</v>
      </c>
      <c r="S552" s="896">
        <f t="shared" si="94"/>
        <v>-148.18</v>
      </c>
      <c r="T552" s="879"/>
      <c r="U552" s="881"/>
      <c r="V552" s="881"/>
      <c r="W552" s="881">
        <f t="shared" si="110"/>
        <v>-148.18</v>
      </c>
      <c r="X552" s="897"/>
      <c r="Y552" s="881"/>
      <c r="Z552" s="881"/>
      <c r="AA552" s="881"/>
      <c r="AB552" s="881"/>
      <c r="AC552" s="879"/>
      <c r="AD552" s="879"/>
      <c r="AE552" s="879"/>
    </row>
    <row r="553" spans="1:31">
      <c r="A553" s="879">
        <f t="shared" si="108"/>
        <v>539</v>
      </c>
      <c r="B553" s="893" t="s">
        <v>1853</v>
      </c>
      <c r="C553" s="893" t="s">
        <v>778</v>
      </c>
      <c r="D553" s="893" t="s">
        <v>2272</v>
      </c>
      <c r="E553" s="918" t="s">
        <v>779</v>
      </c>
      <c r="F553" s="963">
        <v>-2889370.09</v>
      </c>
      <c r="G553" s="963">
        <v>-287821.27</v>
      </c>
      <c r="H553" s="963">
        <v>-574673.35</v>
      </c>
      <c r="I553" s="963">
        <v>-809738.05</v>
      </c>
      <c r="J553" s="963">
        <v>-1044540.57</v>
      </c>
      <c r="K553" s="963">
        <v>-1214769.3799999999</v>
      </c>
      <c r="L553" s="963">
        <v>-1357069.22</v>
      </c>
      <c r="M553" s="963">
        <v>-1472893.57</v>
      </c>
      <c r="N553" s="963">
        <v>-1610539.66</v>
      </c>
      <c r="O553" s="963">
        <v>-1717661.58</v>
      </c>
      <c r="P553" s="963">
        <v>-1836168.61</v>
      </c>
      <c r="Q553" s="963">
        <v>-2000064.5</v>
      </c>
      <c r="R553" s="963">
        <v>-2186731.2200000002</v>
      </c>
      <c r="S553" s="896">
        <f t="shared" si="94"/>
        <v>-1371999.2012499999</v>
      </c>
      <c r="T553" s="879"/>
      <c r="U553" s="881"/>
      <c r="V553" s="881"/>
      <c r="W553" s="881">
        <f t="shared" si="110"/>
        <v>-1371999.2012499999</v>
      </c>
      <c r="X553" s="897"/>
      <c r="Y553" s="881"/>
      <c r="Z553" s="881"/>
      <c r="AA553" s="881"/>
      <c r="AB553" s="881"/>
      <c r="AC553" s="879"/>
      <c r="AD553" s="879"/>
      <c r="AE553" s="879"/>
    </row>
    <row r="554" spans="1:31">
      <c r="A554" s="879">
        <f t="shared" si="108"/>
        <v>540</v>
      </c>
      <c r="B554" s="893" t="s">
        <v>1853</v>
      </c>
      <c r="C554" s="893" t="s">
        <v>778</v>
      </c>
      <c r="D554" s="893" t="s">
        <v>2277</v>
      </c>
      <c r="E554" s="918" t="s">
        <v>779</v>
      </c>
      <c r="F554" s="963">
        <v>0</v>
      </c>
      <c r="G554" s="963">
        <v>0</v>
      </c>
      <c r="H554" s="963">
        <v>0</v>
      </c>
      <c r="I554" s="963">
        <v>0</v>
      </c>
      <c r="J554" s="963">
        <v>0</v>
      </c>
      <c r="K554" s="963">
        <v>0</v>
      </c>
      <c r="L554" s="963">
        <v>0</v>
      </c>
      <c r="M554" s="963">
        <v>0</v>
      </c>
      <c r="N554" s="963">
        <v>0</v>
      </c>
      <c r="O554" s="963">
        <v>2556.89</v>
      </c>
      <c r="P554" s="963">
        <v>5614.95</v>
      </c>
      <c r="Q554" s="963">
        <v>8362.18</v>
      </c>
      <c r="R554" s="963">
        <v>12839.26</v>
      </c>
      <c r="S554" s="896">
        <f t="shared" si="94"/>
        <v>1912.8041666666668</v>
      </c>
      <c r="T554" s="879"/>
      <c r="U554" s="881"/>
      <c r="V554" s="881"/>
      <c r="W554" s="881">
        <f t="shared" si="110"/>
        <v>1912.8041666666668</v>
      </c>
      <c r="X554" s="897"/>
      <c r="Y554" s="881"/>
      <c r="Z554" s="881"/>
      <c r="AA554" s="881"/>
      <c r="AB554" s="881"/>
      <c r="AC554" s="879"/>
      <c r="AD554" s="879"/>
      <c r="AE554" s="879"/>
    </row>
    <row r="555" spans="1:31">
      <c r="A555" s="879">
        <f t="shared" si="108"/>
        <v>541</v>
      </c>
      <c r="B555" s="879" t="s">
        <v>1886</v>
      </c>
      <c r="C555" s="893" t="s">
        <v>780</v>
      </c>
      <c r="D555" s="893" t="s">
        <v>2265</v>
      </c>
      <c r="E555" s="918" t="s">
        <v>781</v>
      </c>
      <c r="F555" s="963">
        <v>-694858.05</v>
      </c>
      <c r="G555" s="963">
        <v>1033828.99</v>
      </c>
      <c r="H555" s="963">
        <v>1722481.83</v>
      </c>
      <c r="I555" s="963">
        <v>2510367.35</v>
      </c>
      <c r="J555" s="963">
        <v>3509177.89</v>
      </c>
      <c r="K555" s="963">
        <v>3929303.71</v>
      </c>
      <c r="L555" s="963">
        <v>4224232.7</v>
      </c>
      <c r="M555" s="963">
        <v>4388895.49</v>
      </c>
      <c r="N555" s="963">
        <v>4475339.7</v>
      </c>
      <c r="O555" s="963">
        <v>4288073.53</v>
      </c>
      <c r="P555" s="963">
        <v>3127537.61</v>
      </c>
      <c r="Q555" s="963">
        <v>2150250.5699999998</v>
      </c>
      <c r="R555" s="963">
        <v>-482734.04</v>
      </c>
      <c r="S555" s="896">
        <f t="shared" si="94"/>
        <v>2897557.7770833331</v>
      </c>
      <c r="T555" s="879"/>
      <c r="U555" s="881"/>
      <c r="V555" s="881"/>
      <c r="W555" s="881">
        <f t="shared" si="110"/>
        <v>2897557.7770833331</v>
      </c>
      <c r="X555" s="897"/>
      <c r="Y555" s="881"/>
      <c r="Z555" s="881"/>
      <c r="AA555" s="881"/>
      <c r="AB555" s="881"/>
      <c r="AC555" s="879"/>
      <c r="AD555" s="879"/>
      <c r="AE555" s="879"/>
    </row>
    <row r="556" spans="1:31">
      <c r="A556" s="879">
        <f t="shared" si="108"/>
        <v>542</v>
      </c>
      <c r="B556" s="879" t="s">
        <v>1886</v>
      </c>
      <c r="C556" s="893" t="s">
        <v>780</v>
      </c>
      <c r="D556" s="893" t="s">
        <v>2269</v>
      </c>
      <c r="E556" s="918" t="s">
        <v>781</v>
      </c>
      <c r="F556" s="963">
        <v>-225751.96</v>
      </c>
      <c r="G556" s="963">
        <v>605095.99</v>
      </c>
      <c r="H556" s="963">
        <v>954599.43</v>
      </c>
      <c r="I556" s="963">
        <v>1484884.92</v>
      </c>
      <c r="J556" s="963">
        <v>2045003.63</v>
      </c>
      <c r="K556" s="963">
        <v>2250694.3199999998</v>
      </c>
      <c r="L556" s="963">
        <v>2413210.23</v>
      </c>
      <c r="M556" s="963">
        <v>2457152.12</v>
      </c>
      <c r="N556" s="963">
        <v>2490492.36</v>
      </c>
      <c r="O556" s="963">
        <v>2360903.4500000002</v>
      </c>
      <c r="P556" s="963">
        <v>1759970.47</v>
      </c>
      <c r="Q556" s="963">
        <v>1365190.61</v>
      </c>
      <c r="R556" s="963">
        <v>32094.440000000399</v>
      </c>
      <c r="S556" s="896">
        <f t="shared" si="94"/>
        <v>1674197.3974999997</v>
      </c>
      <c r="T556" s="879"/>
      <c r="U556" s="881"/>
      <c r="V556" s="881"/>
      <c r="W556" s="881">
        <f t="shared" si="110"/>
        <v>1674197.3974999997</v>
      </c>
      <c r="X556" s="897"/>
      <c r="Y556" s="881"/>
      <c r="Z556" s="881"/>
      <c r="AA556" s="881"/>
      <c r="AB556" s="881"/>
      <c r="AC556" s="879"/>
      <c r="AD556" s="879"/>
      <c r="AE556" s="879"/>
    </row>
    <row r="557" spans="1:31">
      <c r="A557" s="879">
        <f t="shared" si="108"/>
        <v>543</v>
      </c>
      <c r="B557" s="879" t="s">
        <v>1886</v>
      </c>
      <c r="C557" s="893" t="s">
        <v>780</v>
      </c>
      <c r="D557" s="893" t="s">
        <v>2272</v>
      </c>
      <c r="E557" s="918" t="s">
        <v>781</v>
      </c>
      <c r="F557" s="963">
        <v>28642.82</v>
      </c>
      <c r="G557" s="963">
        <v>-2860.4</v>
      </c>
      <c r="H557" s="963">
        <v>50532.54</v>
      </c>
      <c r="I557" s="963">
        <v>77874.61</v>
      </c>
      <c r="J557" s="963">
        <v>126658.3</v>
      </c>
      <c r="K557" s="963">
        <v>146335.44</v>
      </c>
      <c r="L557" s="963">
        <v>155970.37</v>
      </c>
      <c r="M557" s="963">
        <v>157154.35999999999</v>
      </c>
      <c r="N557" s="963">
        <v>154906.41</v>
      </c>
      <c r="O557" s="963">
        <v>149561.94</v>
      </c>
      <c r="P557" s="963">
        <v>107966.5</v>
      </c>
      <c r="Q557" s="963">
        <v>105950.21</v>
      </c>
      <c r="R557" s="963">
        <v>16037.28</v>
      </c>
      <c r="S557" s="896">
        <f t="shared" si="94"/>
        <v>104365.86083333334</v>
      </c>
      <c r="T557" s="879"/>
      <c r="U557" s="881"/>
      <c r="V557" s="881"/>
      <c r="W557" s="881">
        <f t="shared" si="110"/>
        <v>104365.86083333334</v>
      </c>
      <c r="X557" s="897"/>
      <c r="Y557" s="881"/>
      <c r="Z557" s="881"/>
      <c r="AA557" s="881"/>
      <c r="AB557" s="881"/>
      <c r="AC557" s="879"/>
      <c r="AD557" s="879"/>
      <c r="AE557" s="879"/>
    </row>
    <row r="558" spans="1:31">
      <c r="A558" s="879">
        <f t="shared" si="108"/>
        <v>544</v>
      </c>
      <c r="B558" s="893" t="s">
        <v>1853</v>
      </c>
      <c r="C558" s="893" t="s">
        <v>780</v>
      </c>
      <c r="D558" s="893" t="s">
        <v>2265</v>
      </c>
      <c r="E558" s="918" t="s">
        <v>781</v>
      </c>
      <c r="F558" s="963">
        <v>1047124.96</v>
      </c>
      <c r="G558" s="963">
        <v>1590262.59</v>
      </c>
      <c r="H558" s="963">
        <v>4259703.2300000004</v>
      </c>
      <c r="I558" s="963">
        <v>6100044.3399999999</v>
      </c>
      <c r="J558" s="963">
        <v>8901190.9299999997</v>
      </c>
      <c r="K558" s="963">
        <v>9900489.4800000004</v>
      </c>
      <c r="L558" s="963">
        <v>10694006.91</v>
      </c>
      <c r="M558" s="963">
        <v>10894834.98</v>
      </c>
      <c r="N558" s="963">
        <v>11115100.359999999</v>
      </c>
      <c r="O558" s="963">
        <v>10779209.699999999</v>
      </c>
      <c r="P558" s="963">
        <v>8394086.0999999996</v>
      </c>
      <c r="Q558" s="963">
        <v>4947590.46</v>
      </c>
      <c r="R558" s="963">
        <v>-2015494.44</v>
      </c>
      <c r="S558" s="896">
        <f t="shared" si="94"/>
        <v>7257694.5283333333</v>
      </c>
      <c r="T558" s="879"/>
      <c r="U558" s="881"/>
      <c r="V558" s="881"/>
      <c r="W558" s="881">
        <f t="shared" si="110"/>
        <v>7257694.5283333333</v>
      </c>
      <c r="X558" s="897"/>
      <c r="Y558" s="881"/>
      <c r="Z558" s="881"/>
      <c r="AA558" s="881"/>
      <c r="AB558" s="881"/>
      <c r="AC558" s="879"/>
      <c r="AD558" s="879"/>
      <c r="AE558" s="879"/>
    </row>
    <row r="559" spans="1:31">
      <c r="A559" s="879">
        <f t="shared" si="108"/>
        <v>545</v>
      </c>
      <c r="B559" s="893" t="s">
        <v>1853</v>
      </c>
      <c r="C559" s="893" t="s">
        <v>780</v>
      </c>
      <c r="D559" s="893" t="s">
        <v>2269</v>
      </c>
      <c r="E559" s="918" t="s">
        <v>781</v>
      </c>
      <c r="F559" s="963">
        <v>1280188.44</v>
      </c>
      <c r="G559" s="963">
        <v>778168.01</v>
      </c>
      <c r="H559" s="963">
        <v>2425417.0699999998</v>
      </c>
      <c r="I559" s="963">
        <v>3821028.88</v>
      </c>
      <c r="J559" s="963">
        <v>5660759.8600000003</v>
      </c>
      <c r="K559" s="963">
        <v>6233219.3300000001</v>
      </c>
      <c r="L559" s="963">
        <v>6779467.8200000003</v>
      </c>
      <c r="M559" s="963">
        <v>6844845.3700000001</v>
      </c>
      <c r="N559" s="963">
        <v>6971093.2999999998</v>
      </c>
      <c r="O559" s="963">
        <v>6686057.9500000002</v>
      </c>
      <c r="P559" s="963">
        <v>5041962.28</v>
      </c>
      <c r="Q559" s="963">
        <v>3222334.99</v>
      </c>
      <c r="R559" s="963">
        <v>-851428.05</v>
      </c>
      <c r="S559" s="896">
        <f t="shared" si="94"/>
        <v>4556561.2545833336</v>
      </c>
      <c r="T559" s="879"/>
      <c r="U559" s="881"/>
      <c r="V559" s="881"/>
      <c r="W559" s="881">
        <f t="shared" si="110"/>
        <v>4556561.2545833336</v>
      </c>
      <c r="X559" s="897"/>
      <c r="Y559" s="881"/>
      <c r="Z559" s="881"/>
      <c r="AA559" s="881"/>
      <c r="AB559" s="881"/>
      <c r="AC559" s="879"/>
      <c r="AD559" s="879"/>
      <c r="AE559" s="879"/>
    </row>
    <row r="560" spans="1:31">
      <c r="A560" s="879">
        <f t="shared" si="108"/>
        <v>546</v>
      </c>
      <c r="B560" s="893" t="s">
        <v>1853</v>
      </c>
      <c r="C560" s="893" t="s">
        <v>780</v>
      </c>
      <c r="D560" s="893" t="s">
        <v>2274</v>
      </c>
      <c r="E560" s="918" t="s">
        <v>781</v>
      </c>
      <c r="F560" s="963">
        <v>8828.2900000000009</v>
      </c>
      <c r="G560" s="963">
        <v>-116.61</v>
      </c>
      <c r="H560" s="963">
        <v>-51.66</v>
      </c>
      <c r="I560" s="963">
        <v>11.81</v>
      </c>
      <c r="J560" s="963">
        <v>25.1</v>
      </c>
      <c r="K560" s="963">
        <v>36.159999999999997</v>
      </c>
      <c r="L560" s="963">
        <v>-88.57</v>
      </c>
      <c r="M560" s="963">
        <v>200.75</v>
      </c>
      <c r="N560" s="963">
        <v>-148.35</v>
      </c>
      <c r="O560" s="963">
        <v>-84.58</v>
      </c>
      <c r="P560" s="963">
        <v>176.75</v>
      </c>
      <c r="Q560" s="963">
        <v>149.44999999999999</v>
      </c>
      <c r="R560" s="963">
        <v>-19.600000000000101</v>
      </c>
      <c r="S560" s="896">
        <f t="shared" si="94"/>
        <v>376.21625</v>
      </c>
      <c r="T560" s="879"/>
      <c r="U560" s="881"/>
      <c r="V560" s="881"/>
      <c r="W560" s="881">
        <f t="shared" si="110"/>
        <v>376.21625</v>
      </c>
      <c r="X560" s="897"/>
      <c r="Y560" s="881"/>
      <c r="Z560" s="881"/>
      <c r="AA560" s="881"/>
      <c r="AB560" s="881"/>
      <c r="AC560" s="879"/>
      <c r="AD560" s="879"/>
      <c r="AE560" s="879"/>
    </row>
    <row r="561" spans="1:31">
      <c r="A561" s="879">
        <f t="shared" si="108"/>
        <v>547</v>
      </c>
      <c r="B561" s="893" t="s">
        <v>1853</v>
      </c>
      <c r="C561" s="893" t="s">
        <v>780</v>
      </c>
      <c r="D561" s="893" t="s">
        <v>2272</v>
      </c>
      <c r="E561" s="918" t="s">
        <v>781</v>
      </c>
      <c r="F561" s="963">
        <v>108684.47</v>
      </c>
      <c r="G561" s="963">
        <v>714.91</v>
      </c>
      <c r="H561" s="963">
        <v>52521.9</v>
      </c>
      <c r="I561" s="963">
        <v>53929.3</v>
      </c>
      <c r="J561" s="963">
        <v>119001.54</v>
      </c>
      <c r="K561" s="963">
        <v>147383.84</v>
      </c>
      <c r="L561" s="963">
        <v>173512.4</v>
      </c>
      <c r="M561" s="963">
        <v>152197.56</v>
      </c>
      <c r="N561" s="963">
        <v>182172.71</v>
      </c>
      <c r="O561" s="963">
        <v>169800.42</v>
      </c>
      <c r="P561" s="963">
        <v>122633.74</v>
      </c>
      <c r="Q561" s="963">
        <v>97425.27</v>
      </c>
      <c r="R561" s="963">
        <v>8460.4499999999807</v>
      </c>
      <c r="S561" s="896">
        <f t="shared" si="94"/>
        <v>110822.17083333332</v>
      </c>
      <c r="T561" s="879"/>
      <c r="U561" s="881"/>
      <c r="V561" s="881"/>
      <c r="W561" s="881">
        <f t="shared" si="110"/>
        <v>110822.17083333332</v>
      </c>
      <c r="X561" s="897"/>
      <c r="Y561" s="881"/>
      <c r="Z561" s="881"/>
      <c r="AA561" s="881"/>
      <c r="AB561" s="881"/>
      <c r="AC561" s="879"/>
      <c r="AD561" s="879"/>
      <c r="AE561" s="879"/>
    </row>
    <row r="562" spans="1:31">
      <c r="A562" s="879">
        <f t="shared" si="108"/>
        <v>548</v>
      </c>
      <c r="B562" s="879" t="s">
        <v>1886</v>
      </c>
      <c r="C562" s="893" t="s">
        <v>782</v>
      </c>
      <c r="D562" s="893" t="s">
        <v>2278</v>
      </c>
      <c r="E562" s="918" t="s">
        <v>783</v>
      </c>
      <c r="F562" s="963">
        <v>-153513.38</v>
      </c>
      <c r="G562" s="963">
        <v>-12384.69</v>
      </c>
      <c r="H562" s="963">
        <v>-32942.71</v>
      </c>
      <c r="I562" s="963">
        <v>-55437.35</v>
      </c>
      <c r="J562" s="963">
        <v>-71481.55</v>
      </c>
      <c r="K562" s="963">
        <v>-84430.84</v>
      </c>
      <c r="L562" s="963">
        <v>-97942.98</v>
      </c>
      <c r="M562" s="963">
        <v>-108037.75999999999</v>
      </c>
      <c r="N562" s="963">
        <v>-117360.68</v>
      </c>
      <c r="O562" s="963">
        <v>-125302.13</v>
      </c>
      <c r="P562" s="963">
        <v>-133225.87</v>
      </c>
      <c r="Q562" s="963">
        <v>-142896.87</v>
      </c>
      <c r="R562" s="963">
        <v>-150408.35</v>
      </c>
      <c r="S562" s="896">
        <f t="shared" si="94"/>
        <v>-94450.35791666666</v>
      </c>
      <c r="T562" s="879"/>
      <c r="U562" s="881"/>
      <c r="V562" s="881"/>
      <c r="W562" s="881">
        <f t="shared" si="110"/>
        <v>-94450.35791666666</v>
      </c>
      <c r="X562" s="897"/>
      <c r="Y562" s="881"/>
      <c r="Z562" s="881"/>
      <c r="AA562" s="881"/>
      <c r="AB562" s="881"/>
      <c r="AC562" s="879"/>
      <c r="AD562" s="879"/>
      <c r="AE562" s="879"/>
    </row>
    <row r="563" spans="1:31">
      <c r="A563" s="879">
        <f t="shared" si="108"/>
        <v>549</v>
      </c>
      <c r="B563" s="879" t="s">
        <v>1886</v>
      </c>
      <c r="C563" s="893" t="s">
        <v>782</v>
      </c>
      <c r="D563" s="893" t="s">
        <v>2279</v>
      </c>
      <c r="E563" s="918" t="s">
        <v>783</v>
      </c>
      <c r="F563" s="963">
        <v>-32474.95</v>
      </c>
      <c r="G563" s="963">
        <v>534.41999999999996</v>
      </c>
      <c r="H563" s="963">
        <v>-2983.83</v>
      </c>
      <c r="I563" s="963">
        <v>-3805.54</v>
      </c>
      <c r="J563" s="963">
        <v>-5899.27</v>
      </c>
      <c r="K563" s="963">
        <v>-5899.27</v>
      </c>
      <c r="L563" s="963">
        <v>-11838.81</v>
      </c>
      <c r="M563" s="963">
        <v>-13102.11</v>
      </c>
      <c r="N563" s="963">
        <v>-19892.009999999998</v>
      </c>
      <c r="O563" s="963">
        <v>-22675.82</v>
      </c>
      <c r="P563" s="963">
        <v>-24247.47</v>
      </c>
      <c r="Q563" s="963">
        <v>-27506.74</v>
      </c>
      <c r="R563" s="963">
        <v>-27506.74</v>
      </c>
      <c r="S563" s="896">
        <f t="shared" si="94"/>
        <v>-13942.274583333332</v>
      </c>
      <c r="T563" s="879"/>
      <c r="U563" s="881"/>
      <c r="V563" s="881"/>
      <c r="W563" s="881">
        <f t="shared" si="110"/>
        <v>-13942.274583333332</v>
      </c>
      <c r="X563" s="897"/>
      <c r="Y563" s="881"/>
      <c r="Z563" s="881"/>
      <c r="AA563" s="881"/>
      <c r="AB563" s="881"/>
      <c r="AC563" s="879"/>
      <c r="AD563" s="879"/>
      <c r="AE563" s="879"/>
    </row>
    <row r="564" spans="1:31">
      <c r="A564" s="879">
        <f t="shared" si="108"/>
        <v>550</v>
      </c>
      <c r="B564" s="893" t="s">
        <v>1853</v>
      </c>
      <c r="C564" s="893" t="s">
        <v>782</v>
      </c>
      <c r="D564" s="893" t="s">
        <v>2280</v>
      </c>
      <c r="E564" s="918" t="s">
        <v>783</v>
      </c>
      <c r="F564" s="963">
        <v>-67.069999999999993</v>
      </c>
      <c r="G564" s="963">
        <v>0</v>
      </c>
      <c r="H564" s="963">
        <v>0</v>
      </c>
      <c r="I564" s="963">
        <v>0</v>
      </c>
      <c r="J564" s="963">
        <v>0</v>
      </c>
      <c r="K564" s="963">
        <v>0</v>
      </c>
      <c r="L564" s="963">
        <v>-3665</v>
      </c>
      <c r="M564" s="963">
        <v>0</v>
      </c>
      <c r="N564" s="963">
        <v>0</v>
      </c>
      <c r="O564" s="963">
        <v>0</v>
      </c>
      <c r="P564" s="963">
        <v>0</v>
      </c>
      <c r="Q564" s="963">
        <v>0</v>
      </c>
      <c r="R564" s="963">
        <v>0</v>
      </c>
      <c r="S564" s="896">
        <f t="shared" si="94"/>
        <v>-308.21125000000001</v>
      </c>
      <c r="T564" s="879"/>
      <c r="U564" s="881"/>
      <c r="V564" s="881"/>
      <c r="W564" s="881">
        <f t="shared" si="110"/>
        <v>-308.21125000000001</v>
      </c>
      <c r="X564" s="897"/>
      <c r="Y564" s="881"/>
      <c r="Z564" s="881"/>
      <c r="AA564" s="881"/>
      <c r="AB564" s="881"/>
      <c r="AC564" s="879"/>
      <c r="AD564" s="879"/>
      <c r="AE564" s="879"/>
    </row>
    <row r="565" spans="1:31">
      <c r="A565" s="879">
        <f t="shared" si="108"/>
        <v>551</v>
      </c>
      <c r="B565" s="893" t="s">
        <v>1853</v>
      </c>
      <c r="C565" s="893" t="s">
        <v>782</v>
      </c>
      <c r="D565" s="893" t="s">
        <v>2278</v>
      </c>
      <c r="E565" s="918" t="s">
        <v>783</v>
      </c>
      <c r="F565" s="963">
        <v>-598770.21</v>
      </c>
      <c r="G565" s="963">
        <v>-66436.3</v>
      </c>
      <c r="H565" s="963">
        <v>-160366.75</v>
      </c>
      <c r="I565" s="963">
        <v>-239119.02</v>
      </c>
      <c r="J565" s="963">
        <v>-315276.71999999997</v>
      </c>
      <c r="K565" s="963">
        <v>-384348.38</v>
      </c>
      <c r="L565" s="963">
        <v>-444011.35</v>
      </c>
      <c r="M565" s="963">
        <v>-484703.02</v>
      </c>
      <c r="N565" s="963">
        <v>-532345.04</v>
      </c>
      <c r="O565" s="963">
        <v>-574717.44999999995</v>
      </c>
      <c r="P565" s="963">
        <v>-623416.04</v>
      </c>
      <c r="Q565" s="963">
        <v>-667700.43999999994</v>
      </c>
      <c r="R565" s="963">
        <v>-713886.11</v>
      </c>
      <c r="S565" s="896">
        <f t="shared" si="94"/>
        <v>-429064.05583333335</v>
      </c>
      <c r="T565" s="879"/>
      <c r="U565" s="881"/>
      <c r="V565" s="881"/>
      <c r="W565" s="881">
        <f t="shared" si="110"/>
        <v>-429064.05583333335</v>
      </c>
      <c r="X565" s="897"/>
      <c r="Y565" s="881"/>
      <c r="Z565" s="881"/>
      <c r="AA565" s="881"/>
      <c r="AB565" s="881"/>
      <c r="AC565" s="879"/>
      <c r="AD565" s="879"/>
      <c r="AE565" s="879"/>
    </row>
    <row r="566" spans="1:31">
      <c r="A566" s="879">
        <f t="shared" si="108"/>
        <v>552</v>
      </c>
      <c r="B566" s="893" t="s">
        <v>1853</v>
      </c>
      <c r="C566" s="893" t="s">
        <v>782</v>
      </c>
      <c r="D566" s="893" t="s">
        <v>2279</v>
      </c>
      <c r="E566" s="918" t="s">
        <v>783</v>
      </c>
      <c r="F566" s="963">
        <v>-69884.509999999995</v>
      </c>
      <c r="G566" s="963">
        <v>-10775.37</v>
      </c>
      <c r="H566" s="963">
        <v>-11631.49</v>
      </c>
      <c r="I566" s="963">
        <v>-18226.72</v>
      </c>
      <c r="J566" s="963">
        <v>-26794.75</v>
      </c>
      <c r="K566" s="963">
        <v>-30504.73</v>
      </c>
      <c r="L566" s="963">
        <v>-37972.93</v>
      </c>
      <c r="M566" s="963">
        <v>-38887.42</v>
      </c>
      <c r="N566" s="963">
        <v>-44722.6</v>
      </c>
      <c r="O566" s="963">
        <v>-52685.97</v>
      </c>
      <c r="P566" s="963">
        <v>-62965.03</v>
      </c>
      <c r="Q566" s="963">
        <v>-71274.67</v>
      </c>
      <c r="R566" s="963">
        <v>-95194.27</v>
      </c>
      <c r="S566" s="896">
        <f t="shared" si="94"/>
        <v>-40748.422500000001</v>
      </c>
      <c r="T566" s="879"/>
      <c r="U566" s="881"/>
      <c r="V566" s="881"/>
      <c r="W566" s="881">
        <f t="shared" si="110"/>
        <v>-40748.422500000001</v>
      </c>
      <c r="X566" s="897"/>
      <c r="Y566" s="881"/>
      <c r="Z566" s="881"/>
      <c r="AA566" s="881"/>
      <c r="AB566" s="881"/>
      <c r="AC566" s="879"/>
      <c r="AD566" s="879"/>
      <c r="AE566" s="879"/>
    </row>
    <row r="567" spans="1:31">
      <c r="A567" s="879">
        <f t="shared" si="108"/>
        <v>553</v>
      </c>
      <c r="B567" s="893" t="s">
        <v>1853</v>
      </c>
      <c r="C567" s="893" t="s">
        <v>782</v>
      </c>
      <c r="D567" s="893" t="s">
        <v>2281</v>
      </c>
      <c r="E567" s="918" t="s">
        <v>783</v>
      </c>
      <c r="F567" s="963">
        <v>-7507.21</v>
      </c>
      <c r="G567" s="963">
        <v>0</v>
      </c>
      <c r="H567" s="963">
        <v>0</v>
      </c>
      <c r="I567" s="963">
        <v>0</v>
      </c>
      <c r="J567" s="963">
        <v>0</v>
      </c>
      <c r="K567" s="963">
        <v>0</v>
      </c>
      <c r="L567" s="963">
        <v>0</v>
      </c>
      <c r="M567" s="963">
        <v>-1090.8</v>
      </c>
      <c r="N567" s="963">
        <v>-1440.8</v>
      </c>
      <c r="O567" s="963">
        <v>-1440.8</v>
      </c>
      <c r="P567" s="963">
        <v>-1440.8</v>
      </c>
      <c r="Q567" s="963">
        <v>-1440.8</v>
      </c>
      <c r="R567" s="963">
        <v>-1440.8</v>
      </c>
      <c r="S567" s="896">
        <f t="shared" si="94"/>
        <v>-944.00041666666675</v>
      </c>
      <c r="T567" s="879"/>
      <c r="U567" s="881"/>
      <c r="V567" s="881"/>
      <c r="W567" s="881">
        <f t="shared" si="110"/>
        <v>-944.00041666666675</v>
      </c>
      <c r="X567" s="897"/>
      <c r="Y567" s="881"/>
      <c r="Z567" s="881"/>
      <c r="AA567" s="881"/>
      <c r="AB567" s="881"/>
      <c r="AC567" s="879"/>
      <c r="AD567" s="879"/>
      <c r="AE567" s="879"/>
    </row>
    <row r="568" spans="1:31">
      <c r="A568" s="879">
        <f t="shared" si="108"/>
        <v>554</v>
      </c>
      <c r="B568" s="879" t="s">
        <v>1886</v>
      </c>
      <c r="C568" s="893" t="s">
        <v>141</v>
      </c>
      <c r="D568" s="893" t="s">
        <v>2282</v>
      </c>
      <c r="E568" s="918" t="s">
        <v>784</v>
      </c>
      <c r="F568" s="963">
        <v>-2607232.9700000002</v>
      </c>
      <c r="G568" s="963">
        <v>-213094.97</v>
      </c>
      <c r="H568" s="963">
        <v>-433453.02</v>
      </c>
      <c r="I568" s="963">
        <v>-656391.75</v>
      </c>
      <c r="J568" s="963">
        <v>-875930.94</v>
      </c>
      <c r="K568" s="963">
        <v>-1093252.74</v>
      </c>
      <c r="L568" s="963">
        <v>-1313864.6000000001</v>
      </c>
      <c r="M568" s="963">
        <v>-1538411.79</v>
      </c>
      <c r="N568" s="963">
        <v>-1750002.53</v>
      </c>
      <c r="O568" s="963">
        <v>-1969920.91</v>
      </c>
      <c r="P568" s="963">
        <v>-2200859.3199999998</v>
      </c>
      <c r="Q568" s="963">
        <v>-2446462.2000000002</v>
      </c>
      <c r="R568" s="963">
        <v>-2669684.13</v>
      </c>
      <c r="S568" s="896">
        <f t="shared" si="94"/>
        <v>-1427508.61</v>
      </c>
      <c r="T568" s="879"/>
      <c r="U568" s="881"/>
      <c r="V568" s="881"/>
      <c r="W568" s="881">
        <f t="shared" si="110"/>
        <v>-1427508.61</v>
      </c>
      <c r="X568" s="897"/>
      <c r="Y568" s="881"/>
      <c r="Z568" s="881"/>
      <c r="AA568" s="881"/>
      <c r="AB568" s="881"/>
      <c r="AC568" s="879"/>
      <c r="AD568" s="879"/>
      <c r="AE568" s="879"/>
    </row>
    <row r="569" spans="1:31">
      <c r="A569" s="879">
        <f t="shared" si="108"/>
        <v>555</v>
      </c>
      <c r="B569" s="879" t="s">
        <v>1886</v>
      </c>
      <c r="C569" s="893" t="s">
        <v>141</v>
      </c>
      <c r="D569" s="893" t="s">
        <v>2283</v>
      </c>
      <c r="E569" s="918" t="s">
        <v>784</v>
      </c>
      <c r="F569" s="963">
        <v>-1390049.92</v>
      </c>
      <c r="G569" s="963">
        <v>-125332.5</v>
      </c>
      <c r="H569" s="963">
        <v>-245827.68</v>
      </c>
      <c r="I569" s="963">
        <v>-368460.63</v>
      </c>
      <c r="J569" s="963">
        <v>-489092.72</v>
      </c>
      <c r="K569" s="963">
        <v>-598221.31999999995</v>
      </c>
      <c r="L569" s="963">
        <v>-704571.89</v>
      </c>
      <c r="M569" s="963">
        <v>-814209.5</v>
      </c>
      <c r="N569" s="963">
        <v>-921591.3</v>
      </c>
      <c r="O569" s="963">
        <v>-1033326.79</v>
      </c>
      <c r="P569" s="963">
        <v>-1148542.03</v>
      </c>
      <c r="Q569" s="963">
        <v>-1253773.96</v>
      </c>
      <c r="R569" s="963">
        <v>-1361685.39</v>
      </c>
      <c r="S569" s="896">
        <f t="shared" si="94"/>
        <v>-756568.1645833333</v>
      </c>
      <c r="T569" s="879"/>
      <c r="U569" s="881"/>
      <c r="V569" s="881"/>
      <c r="W569" s="881">
        <f t="shared" si="110"/>
        <v>-756568.1645833333</v>
      </c>
      <c r="X569" s="897"/>
      <c r="Y569" s="881"/>
      <c r="Z569" s="881"/>
      <c r="AA569" s="881"/>
      <c r="AB569" s="881"/>
      <c r="AC569" s="879"/>
      <c r="AD569" s="879"/>
      <c r="AE569" s="879"/>
    </row>
    <row r="570" spans="1:31">
      <c r="A570" s="879">
        <f t="shared" si="108"/>
        <v>556</v>
      </c>
      <c r="B570" s="893" t="s">
        <v>1853</v>
      </c>
      <c r="C570" s="893" t="s">
        <v>141</v>
      </c>
      <c r="D570" s="893" t="s">
        <v>2282</v>
      </c>
      <c r="E570" s="918" t="s">
        <v>784</v>
      </c>
      <c r="F570" s="963">
        <v>-12971857.689999999</v>
      </c>
      <c r="G570" s="963">
        <v>-1157202.06</v>
      </c>
      <c r="H570" s="963">
        <v>-2358490.86</v>
      </c>
      <c r="I570" s="963">
        <v>-3462824.83</v>
      </c>
      <c r="J570" s="963">
        <v>-4549015.9800000004</v>
      </c>
      <c r="K570" s="963">
        <v>-5565934.2999999998</v>
      </c>
      <c r="L570" s="963">
        <v>-6592889.6600000001</v>
      </c>
      <c r="M570" s="963">
        <v>-7629090.2999999998</v>
      </c>
      <c r="N570" s="963">
        <v>-8669611.1999999993</v>
      </c>
      <c r="O570" s="963">
        <v>-9718117.2899999991</v>
      </c>
      <c r="P570" s="963">
        <v>-11003350.6</v>
      </c>
      <c r="Q570" s="963">
        <v>-12334039.640000001</v>
      </c>
      <c r="R570" s="963">
        <v>-13635325.24</v>
      </c>
      <c r="S570" s="896">
        <f t="shared" si="94"/>
        <v>-7195346.5154166669</v>
      </c>
      <c r="T570" s="879"/>
      <c r="U570" s="881"/>
      <c r="V570" s="881"/>
      <c r="W570" s="881">
        <f t="shared" si="110"/>
        <v>-7195346.5154166669</v>
      </c>
      <c r="X570" s="897"/>
      <c r="Y570" s="881"/>
      <c r="Z570" s="881"/>
      <c r="AA570" s="881"/>
      <c r="AB570" s="881"/>
      <c r="AC570" s="879"/>
      <c r="AD570" s="879"/>
      <c r="AE570" s="879"/>
    </row>
    <row r="571" spans="1:31">
      <c r="A571" s="879">
        <f t="shared" si="108"/>
        <v>557</v>
      </c>
      <c r="B571" s="893" t="s">
        <v>1853</v>
      </c>
      <c r="C571" s="893" t="s">
        <v>141</v>
      </c>
      <c r="D571" s="893" t="s">
        <v>2284</v>
      </c>
      <c r="E571" s="918" t="s">
        <v>784</v>
      </c>
      <c r="F571" s="963">
        <v>-83174.100000000006</v>
      </c>
      <c r="G571" s="963">
        <v>0</v>
      </c>
      <c r="H571" s="963">
        <v>-5696.11</v>
      </c>
      <c r="I571" s="963">
        <v>-5696.11</v>
      </c>
      <c r="J571" s="963">
        <v>-5696.11</v>
      </c>
      <c r="K571" s="963">
        <v>-5696.11</v>
      </c>
      <c r="L571" s="963">
        <v>-5696.11</v>
      </c>
      <c r="M571" s="963">
        <v>-15968.27</v>
      </c>
      <c r="N571" s="963">
        <v>-15968.27</v>
      </c>
      <c r="O571" s="963">
        <v>-15968.27</v>
      </c>
      <c r="P571" s="963">
        <v>-3861.98</v>
      </c>
      <c r="Q571" s="963">
        <v>-3861.98</v>
      </c>
      <c r="R571" s="963">
        <v>-3861.98</v>
      </c>
      <c r="S571" s="896">
        <f t="shared" si="94"/>
        <v>-10635.613333333333</v>
      </c>
      <c r="T571" s="879"/>
      <c r="U571" s="881"/>
      <c r="V571" s="881"/>
      <c r="W571" s="881">
        <f t="shared" si="110"/>
        <v>-10635.613333333333</v>
      </c>
      <c r="X571" s="897"/>
      <c r="Y571" s="881"/>
      <c r="Z571" s="881"/>
      <c r="AA571" s="881"/>
      <c r="AB571" s="881"/>
      <c r="AC571" s="879"/>
      <c r="AD571" s="879"/>
      <c r="AE571" s="879"/>
    </row>
    <row r="572" spans="1:31">
      <c r="A572" s="879">
        <f t="shared" si="108"/>
        <v>558</v>
      </c>
      <c r="B572" s="893" t="s">
        <v>1853</v>
      </c>
      <c r="C572" s="893" t="s">
        <v>141</v>
      </c>
      <c r="D572" s="893" t="s">
        <v>2283</v>
      </c>
      <c r="E572" s="918" t="s">
        <v>784</v>
      </c>
      <c r="F572" s="963">
        <v>-7334678.3399999999</v>
      </c>
      <c r="G572" s="963">
        <v>-615783.94999999995</v>
      </c>
      <c r="H572" s="963">
        <v>-1233182.1599999999</v>
      </c>
      <c r="I572" s="963">
        <v>-1823556.49</v>
      </c>
      <c r="J572" s="963">
        <v>-2345936.59</v>
      </c>
      <c r="K572" s="963">
        <v>-2860194.21</v>
      </c>
      <c r="L572" s="963">
        <v>-3407578.26</v>
      </c>
      <c r="M572" s="963">
        <v>-3972686.96</v>
      </c>
      <c r="N572" s="963">
        <v>-4603341.6100000003</v>
      </c>
      <c r="O572" s="963">
        <v>-5370920.5800000001</v>
      </c>
      <c r="P572" s="963">
        <v>-6057167</v>
      </c>
      <c r="Q572" s="963">
        <v>-6642011.1299999999</v>
      </c>
      <c r="R572" s="963">
        <v>-7256117.3300000001</v>
      </c>
      <c r="S572" s="896">
        <f t="shared" si="94"/>
        <v>-3852313.0645833332</v>
      </c>
      <c r="T572" s="879"/>
      <c r="U572" s="881"/>
      <c r="V572" s="881"/>
      <c r="W572" s="881">
        <f t="shared" si="110"/>
        <v>-3852313.0645833332</v>
      </c>
      <c r="X572" s="897"/>
      <c r="Y572" s="881"/>
      <c r="Z572" s="881"/>
      <c r="AA572" s="881"/>
      <c r="AB572" s="881"/>
      <c r="AC572" s="879"/>
      <c r="AD572" s="879"/>
      <c r="AE572" s="879"/>
    </row>
    <row r="573" spans="1:31">
      <c r="A573" s="879">
        <f t="shared" si="108"/>
        <v>559</v>
      </c>
      <c r="B573" s="879" t="s">
        <v>1886</v>
      </c>
      <c r="C573" s="893" t="s">
        <v>785</v>
      </c>
      <c r="D573" s="893" t="s">
        <v>2282</v>
      </c>
      <c r="E573" s="918" t="s">
        <v>786</v>
      </c>
      <c r="F573" s="963">
        <v>14652.96</v>
      </c>
      <c r="G573" s="963">
        <v>-7253.52</v>
      </c>
      <c r="H573" s="963">
        <v>-9838.25</v>
      </c>
      <c r="I573" s="963">
        <v>-6442.72</v>
      </c>
      <c r="J573" s="963">
        <v>-4221.3</v>
      </c>
      <c r="K573" s="963">
        <v>-7512.92</v>
      </c>
      <c r="L573" s="963">
        <v>-11449.93</v>
      </c>
      <c r="M573" s="963">
        <v>1508.53</v>
      </c>
      <c r="N573" s="963">
        <v>-6827.06</v>
      </c>
      <c r="O573" s="963">
        <v>-17862.98</v>
      </c>
      <c r="P573" s="963">
        <v>-35692.519999999997</v>
      </c>
      <c r="Q573" s="963">
        <v>-13521.76</v>
      </c>
      <c r="R573" s="963">
        <v>-20193.11</v>
      </c>
      <c r="S573" s="896">
        <f t="shared" si="94"/>
        <v>-10157.042083333332</v>
      </c>
      <c r="T573" s="879"/>
      <c r="U573" s="881"/>
      <c r="V573" s="881"/>
      <c r="W573" s="881">
        <f t="shared" si="110"/>
        <v>-10157.042083333332</v>
      </c>
      <c r="X573" s="897"/>
      <c r="Y573" s="881"/>
      <c r="Z573" s="881"/>
      <c r="AA573" s="881"/>
      <c r="AB573" s="881"/>
      <c r="AC573" s="879"/>
      <c r="AD573" s="879"/>
      <c r="AE573" s="879"/>
    </row>
    <row r="574" spans="1:31">
      <c r="A574" s="879">
        <f t="shared" si="108"/>
        <v>560</v>
      </c>
      <c r="B574" s="879" t="s">
        <v>1886</v>
      </c>
      <c r="C574" s="893" t="s">
        <v>785</v>
      </c>
      <c r="D574" s="893" t="s">
        <v>2283</v>
      </c>
      <c r="E574" s="918" t="s">
        <v>786</v>
      </c>
      <c r="F574" s="963">
        <v>-10102.66</v>
      </c>
      <c r="G574" s="963">
        <v>4837.32</v>
      </c>
      <c r="H574" s="963">
        <v>2699.55</v>
      </c>
      <c r="I574" s="963">
        <v>4700.41</v>
      </c>
      <c r="J574" s="963">
        <v>16203.9</v>
      </c>
      <c r="K574" s="963">
        <v>18981.93</v>
      </c>
      <c r="L574" s="963">
        <v>15694.89</v>
      </c>
      <c r="M574" s="963">
        <v>17950.7</v>
      </c>
      <c r="N574" s="963">
        <v>13597.01</v>
      </c>
      <c r="O574" s="963">
        <v>10117.26</v>
      </c>
      <c r="P574" s="963">
        <v>20100.57</v>
      </c>
      <c r="Q574" s="963">
        <v>17421.07</v>
      </c>
      <c r="R574" s="963">
        <v>6843.13</v>
      </c>
      <c r="S574" s="896">
        <f t="shared" si="94"/>
        <v>11722.903749999998</v>
      </c>
      <c r="T574" s="879"/>
      <c r="U574" s="881"/>
      <c r="V574" s="881"/>
      <c r="W574" s="881">
        <f t="shared" si="110"/>
        <v>11722.903749999998</v>
      </c>
      <c r="X574" s="897"/>
      <c r="Y574" s="881"/>
      <c r="Z574" s="881"/>
      <c r="AA574" s="881"/>
      <c r="AB574" s="881"/>
      <c r="AC574" s="879"/>
      <c r="AD574" s="879"/>
      <c r="AE574" s="879"/>
    </row>
    <row r="575" spans="1:31">
      <c r="A575" s="879">
        <f t="shared" si="108"/>
        <v>561</v>
      </c>
      <c r="B575" s="893" t="s">
        <v>1853</v>
      </c>
      <c r="C575" s="893" t="s">
        <v>785</v>
      </c>
      <c r="D575" s="893" t="s">
        <v>2282</v>
      </c>
      <c r="E575" s="918" t="s">
        <v>786</v>
      </c>
      <c r="F575" s="963">
        <v>-7796.3599999999797</v>
      </c>
      <c r="G575" s="963">
        <v>-44359.75</v>
      </c>
      <c r="H575" s="963">
        <v>45792.91</v>
      </c>
      <c r="I575" s="963">
        <v>70938.19</v>
      </c>
      <c r="J575" s="963">
        <v>139677.73000000001</v>
      </c>
      <c r="K575" s="963">
        <v>130908.94</v>
      </c>
      <c r="L575" s="963">
        <v>117212.15</v>
      </c>
      <c r="M575" s="963">
        <v>116279.07</v>
      </c>
      <c r="N575" s="963">
        <v>96399.34</v>
      </c>
      <c r="O575" s="963">
        <v>-121619.64</v>
      </c>
      <c r="P575" s="963">
        <v>-177550.93</v>
      </c>
      <c r="Q575" s="963">
        <v>-147204.62</v>
      </c>
      <c r="R575" s="963">
        <v>-237666.06</v>
      </c>
      <c r="S575" s="896">
        <f t="shared" si="94"/>
        <v>8645.1816666666637</v>
      </c>
      <c r="T575" s="879"/>
      <c r="U575" s="881"/>
      <c r="V575" s="881"/>
      <c r="W575" s="881">
        <f t="shared" si="110"/>
        <v>8645.1816666666637</v>
      </c>
      <c r="X575" s="897"/>
      <c r="Y575" s="881"/>
      <c r="Z575" s="881"/>
      <c r="AA575" s="881"/>
      <c r="AB575" s="881"/>
      <c r="AC575" s="879"/>
      <c r="AD575" s="879"/>
      <c r="AE575" s="879"/>
    </row>
    <row r="576" spans="1:31">
      <c r="A576" s="879">
        <f t="shared" si="108"/>
        <v>562</v>
      </c>
      <c r="B576" s="893" t="s">
        <v>1853</v>
      </c>
      <c r="C576" s="893" t="s">
        <v>785</v>
      </c>
      <c r="D576" s="893" t="s">
        <v>2283</v>
      </c>
      <c r="E576" s="918" t="s">
        <v>786</v>
      </c>
      <c r="F576" s="963">
        <v>-29297.22</v>
      </c>
      <c r="G576" s="963">
        <v>-1799.47</v>
      </c>
      <c r="H576" s="963">
        <v>24477.53</v>
      </c>
      <c r="I576" s="963">
        <v>92407.07</v>
      </c>
      <c r="J576" s="963">
        <v>101125.14</v>
      </c>
      <c r="K576" s="963">
        <v>68256.37</v>
      </c>
      <c r="L576" s="963">
        <v>50806.14</v>
      </c>
      <c r="M576" s="963">
        <v>-14131.97</v>
      </c>
      <c r="N576" s="963">
        <v>-143023.51</v>
      </c>
      <c r="O576" s="963">
        <v>-71661.11</v>
      </c>
      <c r="P576" s="963">
        <v>29741.18</v>
      </c>
      <c r="Q576" s="963">
        <v>479.10999999997898</v>
      </c>
      <c r="R576" s="963">
        <v>-83483.789999999994</v>
      </c>
      <c r="S576" s="896">
        <f t="shared" si="94"/>
        <v>6690.4979166666699</v>
      </c>
      <c r="T576" s="879"/>
      <c r="U576" s="881"/>
      <c r="V576" s="881"/>
      <c r="W576" s="881">
        <f t="shared" si="110"/>
        <v>6690.4979166666699</v>
      </c>
      <c r="X576" s="897"/>
      <c r="Y576" s="881"/>
      <c r="Z576" s="881"/>
      <c r="AA576" s="881"/>
      <c r="AB576" s="881"/>
      <c r="AC576" s="879"/>
      <c r="AD576" s="879"/>
      <c r="AE576" s="879"/>
    </row>
    <row r="577" spans="1:31">
      <c r="A577" s="879">
        <f t="shared" si="108"/>
        <v>563</v>
      </c>
      <c r="B577" s="879">
        <v>47</v>
      </c>
      <c r="C577" s="893" t="s">
        <v>143</v>
      </c>
      <c r="D577" s="893"/>
      <c r="E577" s="918" t="s">
        <v>787</v>
      </c>
      <c r="F577" s="963">
        <v>-3000</v>
      </c>
      <c r="G577" s="963">
        <v>0</v>
      </c>
      <c r="H577" s="963">
        <v>0</v>
      </c>
      <c r="I577" s="963">
        <v>0</v>
      </c>
      <c r="J577" s="963">
        <v>0</v>
      </c>
      <c r="K577" s="963">
        <v>0</v>
      </c>
      <c r="L577" s="963">
        <v>0</v>
      </c>
      <c r="M577" s="963">
        <v>0</v>
      </c>
      <c r="N577" s="963">
        <v>0</v>
      </c>
      <c r="O577" s="963">
        <v>0</v>
      </c>
      <c r="P577" s="963">
        <v>0</v>
      </c>
      <c r="Q577" s="963">
        <v>0</v>
      </c>
      <c r="R577" s="963">
        <v>0</v>
      </c>
      <c r="S577" s="896">
        <f t="shared" si="94"/>
        <v>-125</v>
      </c>
      <c r="T577" s="879"/>
      <c r="U577" s="881"/>
      <c r="V577" s="881"/>
      <c r="W577" s="881">
        <f t="shared" si="110"/>
        <v>-125</v>
      </c>
      <c r="X577" s="897"/>
      <c r="Y577" s="881"/>
      <c r="Z577" s="881"/>
      <c r="AA577" s="881"/>
      <c r="AB577" s="881"/>
      <c r="AC577" s="879"/>
      <c r="AD577" s="879"/>
      <c r="AE577" s="879"/>
    </row>
    <row r="578" spans="1:31">
      <c r="A578" s="879">
        <f t="shared" si="108"/>
        <v>564</v>
      </c>
      <c r="B578" s="879" t="s">
        <v>1886</v>
      </c>
      <c r="C578" s="893" t="s">
        <v>143</v>
      </c>
      <c r="D578" s="893"/>
      <c r="E578" s="918" t="s">
        <v>787</v>
      </c>
      <c r="F578" s="963">
        <v>-9000</v>
      </c>
      <c r="G578" s="963">
        <v>-1000</v>
      </c>
      <c r="H578" s="963">
        <v>-2000</v>
      </c>
      <c r="I578" s="963">
        <v>-4000</v>
      </c>
      <c r="J578" s="963">
        <v>-4000</v>
      </c>
      <c r="K578" s="963">
        <v>-5000</v>
      </c>
      <c r="L578" s="963">
        <v>-6000</v>
      </c>
      <c r="M578" s="963">
        <v>-7000</v>
      </c>
      <c r="N578" s="963">
        <v>-8000</v>
      </c>
      <c r="O578" s="963">
        <v>-9000</v>
      </c>
      <c r="P578" s="963">
        <v>-10000</v>
      </c>
      <c r="Q578" s="963">
        <v>-11000</v>
      </c>
      <c r="R578" s="963">
        <v>-12000</v>
      </c>
      <c r="S578" s="896">
        <f t="shared" si="94"/>
        <v>-6458.333333333333</v>
      </c>
      <c r="T578" s="879"/>
      <c r="U578" s="881"/>
      <c r="V578" s="881"/>
      <c r="W578" s="881">
        <f t="shared" si="110"/>
        <v>-6458.333333333333</v>
      </c>
      <c r="X578" s="897"/>
      <c r="Y578" s="881"/>
      <c r="Z578" s="881"/>
      <c r="AA578" s="881"/>
      <c r="AB578" s="881"/>
      <c r="AC578" s="879"/>
      <c r="AD578" s="879"/>
      <c r="AE578" s="879"/>
    </row>
    <row r="579" spans="1:31">
      <c r="A579" s="879">
        <f t="shared" si="108"/>
        <v>565</v>
      </c>
      <c r="B579" s="893" t="s">
        <v>1853</v>
      </c>
      <c r="C579" s="893" t="s">
        <v>143</v>
      </c>
      <c r="D579" s="879"/>
      <c r="E579" s="918" t="s">
        <v>787</v>
      </c>
      <c r="F579" s="963">
        <v>-100</v>
      </c>
      <c r="G579" s="963">
        <v>0</v>
      </c>
      <c r="H579" s="963">
        <v>0</v>
      </c>
      <c r="I579" s="963">
        <v>0</v>
      </c>
      <c r="J579" s="963">
        <v>0</v>
      </c>
      <c r="K579" s="963">
        <v>-100</v>
      </c>
      <c r="L579" s="963">
        <v>-100</v>
      </c>
      <c r="M579" s="963">
        <v>-100</v>
      </c>
      <c r="N579" s="963">
        <v>-100</v>
      </c>
      <c r="O579" s="963">
        <v>-100</v>
      </c>
      <c r="P579" s="963">
        <v>-100</v>
      </c>
      <c r="Q579" s="963">
        <v>-100</v>
      </c>
      <c r="R579" s="963">
        <v>-100</v>
      </c>
      <c r="S579" s="896">
        <f t="shared" si="94"/>
        <v>-66.666666666666671</v>
      </c>
      <c r="T579" s="879"/>
      <c r="U579" s="881"/>
      <c r="V579" s="881"/>
      <c r="W579" s="881">
        <f t="shared" si="110"/>
        <v>-66.666666666666671</v>
      </c>
      <c r="X579" s="897"/>
      <c r="Y579" s="881"/>
      <c r="Z579" s="881"/>
      <c r="AA579" s="881"/>
      <c r="AB579" s="881"/>
      <c r="AC579" s="879"/>
      <c r="AD579" s="879"/>
      <c r="AE579" s="879"/>
    </row>
    <row r="580" spans="1:31">
      <c r="A580" s="879">
        <f t="shared" si="108"/>
        <v>566</v>
      </c>
      <c r="B580" s="960" t="s">
        <v>1850</v>
      </c>
      <c r="C580" s="893" t="s">
        <v>145</v>
      </c>
      <c r="D580" s="879"/>
      <c r="E580" s="1007" t="s">
        <v>146</v>
      </c>
      <c r="F580" s="963">
        <v>-102660</v>
      </c>
      <c r="G580" s="963">
        <v>-10127</v>
      </c>
      <c r="H580" s="963">
        <v>-20254</v>
      </c>
      <c r="I580" s="963">
        <v>-30381</v>
      </c>
      <c r="J580" s="963">
        <v>-40508</v>
      </c>
      <c r="K580" s="963">
        <v>-50635</v>
      </c>
      <c r="L580" s="963">
        <v>-60762</v>
      </c>
      <c r="M580" s="963">
        <v>-70889</v>
      </c>
      <c r="N580" s="963">
        <v>-81016</v>
      </c>
      <c r="O580" s="963">
        <v>-91143</v>
      </c>
      <c r="P580" s="963">
        <v>-101270</v>
      </c>
      <c r="Q580" s="963">
        <v>-111397</v>
      </c>
      <c r="R580" s="963">
        <v>-121524</v>
      </c>
      <c r="S580" s="896">
        <f t="shared" si="94"/>
        <v>-65039.5</v>
      </c>
      <c r="T580" s="879"/>
      <c r="U580" s="881"/>
      <c r="V580" s="881"/>
      <c r="W580" s="881">
        <f t="shared" si="110"/>
        <v>-65039.5</v>
      </c>
      <c r="X580" s="897"/>
      <c r="Y580" s="881"/>
      <c r="Z580" s="881"/>
      <c r="AA580" s="881"/>
      <c r="AB580" s="881"/>
      <c r="AC580" s="879"/>
      <c r="AD580" s="879"/>
      <c r="AE580" s="879"/>
    </row>
    <row r="581" spans="1:31">
      <c r="A581" s="879">
        <f t="shared" si="108"/>
        <v>567</v>
      </c>
      <c r="B581" s="893" t="s">
        <v>1850</v>
      </c>
      <c r="C581" s="893" t="s">
        <v>147</v>
      </c>
      <c r="D581" s="893" t="s">
        <v>2285</v>
      </c>
      <c r="E581" s="918" t="s">
        <v>788</v>
      </c>
      <c r="F581" s="963">
        <v>-1103.3599999999999</v>
      </c>
      <c r="G581" s="963">
        <v>0</v>
      </c>
      <c r="H581" s="963">
        <v>0</v>
      </c>
      <c r="I581" s="963">
        <v>0</v>
      </c>
      <c r="J581" s="963">
        <v>0</v>
      </c>
      <c r="K581" s="963">
        <v>0</v>
      </c>
      <c r="L581" s="963">
        <v>0</v>
      </c>
      <c r="M581" s="963">
        <v>0</v>
      </c>
      <c r="N581" s="963">
        <v>0</v>
      </c>
      <c r="O581" s="963">
        <v>0</v>
      </c>
      <c r="P581" s="963">
        <v>0</v>
      </c>
      <c r="Q581" s="963">
        <v>0</v>
      </c>
      <c r="R581" s="963">
        <v>0</v>
      </c>
      <c r="S581" s="896">
        <f t="shared" si="94"/>
        <v>-45.973333333333329</v>
      </c>
      <c r="T581" s="879"/>
      <c r="U581" s="881"/>
      <c r="V581" s="881"/>
      <c r="W581" s="881">
        <f t="shared" si="110"/>
        <v>-45.973333333333329</v>
      </c>
      <c r="X581" s="897"/>
      <c r="Y581" s="881"/>
      <c r="Z581" s="881"/>
      <c r="AA581" s="881"/>
      <c r="AB581" s="881"/>
      <c r="AC581" s="879"/>
      <c r="AD581" s="879"/>
      <c r="AE581" s="879"/>
    </row>
    <row r="582" spans="1:31">
      <c r="A582" s="879">
        <f t="shared" si="108"/>
        <v>568</v>
      </c>
      <c r="B582" s="879" t="s">
        <v>1886</v>
      </c>
      <c r="C582" s="893" t="s">
        <v>147</v>
      </c>
      <c r="D582" s="893" t="s">
        <v>2286</v>
      </c>
      <c r="E582" s="918" t="s">
        <v>788</v>
      </c>
      <c r="F582" s="963">
        <v>-35298.25</v>
      </c>
      <c r="G582" s="963">
        <v>-5221.63</v>
      </c>
      <c r="H582" s="963">
        <v>-8184</v>
      </c>
      <c r="I582" s="963">
        <v>-15465.87</v>
      </c>
      <c r="J582" s="963">
        <v>-15179.51</v>
      </c>
      <c r="K582" s="963">
        <v>-18921.96</v>
      </c>
      <c r="L582" s="963">
        <v>-28359.7</v>
      </c>
      <c r="M582" s="963">
        <v>-32521.99</v>
      </c>
      <c r="N582" s="963">
        <v>-33464.15</v>
      </c>
      <c r="O582" s="963">
        <v>-38538.199999999997</v>
      </c>
      <c r="P582" s="963">
        <v>-39780.18</v>
      </c>
      <c r="Q582" s="963">
        <v>-42133.62</v>
      </c>
      <c r="R582" s="963">
        <v>-42133.62</v>
      </c>
      <c r="S582" s="896">
        <f t="shared" si="94"/>
        <v>-26373.895416666666</v>
      </c>
      <c r="T582" s="879"/>
      <c r="U582" s="881"/>
      <c r="V582" s="881"/>
      <c r="W582" s="881">
        <f t="shared" si="110"/>
        <v>-26373.895416666666</v>
      </c>
      <c r="X582" s="897"/>
      <c r="Y582" s="881"/>
      <c r="Z582" s="881"/>
      <c r="AA582" s="881"/>
      <c r="AB582" s="881"/>
      <c r="AC582" s="879"/>
      <c r="AD582" s="879"/>
      <c r="AE582" s="879"/>
    </row>
    <row r="583" spans="1:31">
      <c r="A583" s="879">
        <f t="shared" si="108"/>
        <v>569</v>
      </c>
      <c r="B583" s="879" t="s">
        <v>1886</v>
      </c>
      <c r="C583" s="893" t="s">
        <v>147</v>
      </c>
      <c r="D583" s="893" t="s">
        <v>2285</v>
      </c>
      <c r="E583" s="918" t="s">
        <v>788</v>
      </c>
      <c r="F583" s="963">
        <v>-1198.1600000000001</v>
      </c>
      <c r="G583" s="963">
        <v>0</v>
      </c>
      <c r="H583" s="963">
        <v>0</v>
      </c>
      <c r="I583" s="963">
        <v>0</v>
      </c>
      <c r="J583" s="963">
        <v>0</v>
      </c>
      <c r="K583" s="963">
        <v>0</v>
      </c>
      <c r="L583" s="963">
        <v>0</v>
      </c>
      <c r="M583" s="963">
        <v>0</v>
      </c>
      <c r="N583" s="963">
        <v>0</v>
      </c>
      <c r="O583" s="963">
        <v>0</v>
      </c>
      <c r="P583" s="963">
        <v>-25</v>
      </c>
      <c r="Q583" s="963">
        <v>-25</v>
      </c>
      <c r="R583" s="963">
        <v>-25</v>
      </c>
      <c r="S583" s="896">
        <f t="shared" si="94"/>
        <v>-55.131666666666668</v>
      </c>
      <c r="T583" s="879"/>
      <c r="U583" s="881"/>
      <c r="V583" s="881"/>
      <c r="W583" s="881">
        <f t="shared" si="110"/>
        <v>-55.131666666666668</v>
      </c>
      <c r="X583" s="897"/>
      <c r="Y583" s="881"/>
      <c r="Z583" s="881"/>
      <c r="AA583" s="881"/>
      <c r="AB583" s="881"/>
      <c r="AC583" s="879"/>
      <c r="AD583" s="879"/>
      <c r="AE583" s="879"/>
    </row>
    <row r="584" spans="1:31">
      <c r="A584" s="879">
        <f t="shared" si="108"/>
        <v>570</v>
      </c>
      <c r="B584" s="879" t="s">
        <v>1886</v>
      </c>
      <c r="C584" s="893" t="s">
        <v>147</v>
      </c>
      <c r="D584" s="893" t="s">
        <v>2280</v>
      </c>
      <c r="E584" s="918" t="s">
        <v>788</v>
      </c>
      <c r="F584" s="963">
        <v>0</v>
      </c>
      <c r="G584" s="963">
        <v>0</v>
      </c>
      <c r="H584" s="963">
        <v>-114.6</v>
      </c>
      <c r="I584" s="963">
        <v>-114.6</v>
      </c>
      <c r="J584" s="963">
        <v>-114.6</v>
      </c>
      <c r="K584" s="963">
        <v>-114.6</v>
      </c>
      <c r="L584" s="963">
        <v>-114.6</v>
      </c>
      <c r="M584" s="963">
        <v>-114.6</v>
      </c>
      <c r="N584" s="963">
        <v>-114.6</v>
      </c>
      <c r="O584" s="963">
        <v>-114.6</v>
      </c>
      <c r="P584" s="963">
        <v>-114.6</v>
      </c>
      <c r="Q584" s="963">
        <v>-114.6</v>
      </c>
      <c r="R584" s="963">
        <v>-114.6</v>
      </c>
      <c r="S584" s="896">
        <f t="shared" si="94"/>
        <v>-100.27499999999999</v>
      </c>
      <c r="T584" s="879"/>
      <c r="U584" s="881"/>
      <c r="V584" s="881"/>
      <c r="W584" s="881">
        <f t="shared" si="110"/>
        <v>-100.27499999999999</v>
      </c>
      <c r="X584" s="897"/>
      <c r="Y584" s="881"/>
      <c r="Z584" s="881"/>
      <c r="AA584" s="881"/>
      <c r="AB584" s="881"/>
      <c r="AC584" s="879"/>
      <c r="AD584" s="879"/>
      <c r="AE584" s="879"/>
    </row>
    <row r="585" spans="1:31">
      <c r="A585" s="879">
        <f t="shared" si="108"/>
        <v>571</v>
      </c>
      <c r="B585" s="879" t="s">
        <v>1886</v>
      </c>
      <c r="C585" s="893" t="s">
        <v>147</v>
      </c>
      <c r="D585" s="893" t="s">
        <v>2279</v>
      </c>
      <c r="E585" s="918" t="s">
        <v>788</v>
      </c>
      <c r="F585" s="963">
        <v>-3063.72</v>
      </c>
      <c r="G585" s="963">
        <v>0</v>
      </c>
      <c r="H585" s="963">
        <v>-727.31</v>
      </c>
      <c r="I585" s="963">
        <v>-727.31</v>
      </c>
      <c r="J585" s="963">
        <v>-727.31</v>
      </c>
      <c r="K585" s="963">
        <v>-727.31</v>
      </c>
      <c r="L585" s="963">
        <v>-727.31</v>
      </c>
      <c r="M585" s="963">
        <v>-727.31</v>
      </c>
      <c r="N585" s="963">
        <v>-727.31</v>
      </c>
      <c r="O585" s="963">
        <v>-727.31</v>
      </c>
      <c r="P585" s="963">
        <v>-727.31</v>
      </c>
      <c r="Q585" s="963">
        <v>-727.31</v>
      </c>
      <c r="R585" s="963">
        <v>-727.31</v>
      </c>
      <c r="S585" s="896">
        <f t="shared" si="94"/>
        <v>-764.05124999999987</v>
      </c>
      <c r="T585" s="879"/>
      <c r="U585" s="881"/>
      <c r="V585" s="881"/>
      <c r="W585" s="881">
        <f t="shared" si="110"/>
        <v>-764.05124999999987</v>
      </c>
      <c r="X585" s="897"/>
      <c r="Y585" s="881"/>
      <c r="Z585" s="881"/>
      <c r="AA585" s="881"/>
      <c r="AB585" s="881"/>
      <c r="AC585" s="879"/>
      <c r="AD585" s="879"/>
      <c r="AE585" s="879"/>
    </row>
    <row r="586" spans="1:31">
      <c r="A586" s="879">
        <f t="shared" si="108"/>
        <v>572</v>
      </c>
      <c r="B586" s="879" t="s">
        <v>1853</v>
      </c>
      <c r="C586" s="893" t="s">
        <v>147</v>
      </c>
      <c r="D586" s="893" t="s">
        <v>2286</v>
      </c>
      <c r="E586" s="918" t="s">
        <v>788</v>
      </c>
      <c r="F586" s="963">
        <v>-224887.05</v>
      </c>
      <c r="G586" s="963">
        <v>-571.92999999999995</v>
      </c>
      <c r="H586" s="963">
        <v>-23476.94</v>
      </c>
      <c r="I586" s="963">
        <v>-39313.46</v>
      </c>
      <c r="J586" s="963">
        <v>-46351.24</v>
      </c>
      <c r="K586" s="963">
        <v>-51474.87</v>
      </c>
      <c r="L586" s="963">
        <v>-67796.09</v>
      </c>
      <c r="M586" s="963">
        <v>-78419.28</v>
      </c>
      <c r="N586" s="963">
        <v>-82360.02</v>
      </c>
      <c r="O586" s="963">
        <v>-98711.66</v>
      </c>
      <c r="P586" s="963">
        <v>-77987.850000000006</v>
      </c>
      <c r="Q586" s="963">
        <v>-83413.67</v>
      </c>
      <c r="R586" s="963">
        <v>-97447.71</v>
      </c>
      <c r="S586" s="896">
        <f t="shared" si="94"/>
        <v>-67587.032500000001</v>
      </c>
      <c r="T586" s="879"/>
      <c r="U586" s="881"/>
      <c r="V586" s="881"/>
      <c r="W586" s="881">
        <f t="shared" si="110"/>
        <v>-67587.032500000001</v>
      </c>
      <c r="X586" s="897"/>
      <c r="Y586" s="881"/>
      <c r="Z586" s="881"/>
      <c r="AA586" s="881"/>
      <c r="AB586" s="881"/>
      <c r="AC586" s="879"/>
      <c r="AD586" s="879"/>
      <c r="AE586" s="879"/>
    </row>
    <row r="587" spans="1:31">
      <c r="A587" s="879">
        <f t="shared" si="108"/>
        <v>573</v>
      </c>
      <c r="B587" s="879" t="s">
        <v>1853</v>
      </c>
      <c r="C587" s="893" t="s">
        <v>147</v>
      </c>
      <c r="D587" s="893" t="s">
        <v>2285</v>
      </c>
      <c r="E587" s="918" t="s">
        <v>788</v>
      </c>
      <c r="F587" s="963">
        <v>-13918.99</v>
      </c>
      <c r="G587" s="963">
        <v>-545</v>
      </c>
      <c r="H587" s="963">
        <v>-1090</v>
      </c>
      <c r="I587" s="963">
        <v>-1635</v>
      </c>
      <c r="J587" s="963">
        <v>-2180</v>
      </c>
      <c r="K587" s="963">
        <v>-2725</v>
      </c>
      <c r="L587" s="963">
        <v>-3370</v>
      </c>
      <c r="M587" s="963">
        <v>-3915</v>
      </c>
      <c r="N587" s="963">
        <v>-7155.47</v>
      </c>
      <c r="O587" s="963">
        <v>-7700.47</v>
      </c>
      <c r="P587" s="963">
        <v>-8295.4699999999993</v>
      </c>
      <c r="Q587" s="963">
        <v>-8840.4699999999993</v>
      </c>
      <c r="R587" s="963">
        <v>-9370.4699999999993</v>
      </c>
      <c r="S587" s="896">
        <f t="shared" si="94"/>
        <v>-4924.7174999999997</v>
      </c>
      <c r="T587" s="879"/>
      <c r="U587" s="881"/>
      <c r="V587" s="881"/>
      <c r="W587" s="881">
        <f t="shared" si="110"/>
        <v>-4924.7174999999997</v>
      </c>
      <c r="X587" s="897"/>
      <c r="Y587" s="881"/>
      <c r="Z587" s="881"/>
      <c r="AA587" s="881"/>
      <c r="AB587" s="881"/>
      <c r="AC587" s="879"/>
      <c r="AD587" s="879"/>
      <c r="AE587" s="879"/>
    </row>
    <row r="588" spans="1:31">
      <c r="A588" s="879">
        <f t="shared" si="108"/>
        <v>574</v>
      </c>
      <c r="B588" s="879" t="s">
        <v>1853</v>
      </c>
      <c r="C588" s="893" t="s">
        <v>147</v>
      </c>
      <c r="D588" s="893" t="s">
        <v>2280</v>
      </c>
      <c r="E588" s="918" t="s">
        <v>788</v>
      </c>
      <c r="F588" s="963">
        <v>-1082.17</v>
      </c>
      <c r="G588" s="963">
        <v>0</v>
      </c>
      <c r="H588" s="963">
        <v>-332.56</v>
      </c>
      <c r="I588" s="963">
        <v>-340.37</v>
      </c>
      <c r="J588" s="963">
        <v>-1219.24</v>
      </c>
      <c r="K588" s="963">
        <v>-1406.22</v>
      </c>
      <c r="L588" s="963">
        <v>-1535.4</v>
      </c>
      <c r="M588" s="963">
        <v>-1571.4</v>
      </c>
      <c r="N588" s="963">
        <v>-1608.27</v>
      </c>
      <c r="O588" s="963">
        <v>-1952.45</v>
      </c>
      <c r="P588" s="963">
        <v>-2464.2199999999998</v>
      </c>
      <c r="Q588" s="963">
        <v>-2464.2199999999998</v>
      </c>
      <c r="R588" s="963">
        <v>-2802.67</v>
      </c>
      <c r="S588" s="896">
        <f t="shared" si="94"/>
        <v>-1403.0641666666668</v>
      </c>
      <c r="T588" s="879"/>
      <c r="U588" s="881"/>
      <c r="V588" s="881"/>
      <c r="W588" s="881">
        <f t="shared" si="110"/>
        <v>-1403.0641666666668</v>
      </c>
      <c r="X588" s="897"/>
      <c r="Y588" s="881"/>
      <c r="Z588" s="881"/>
      <c r="AA588" s="881"/>
      <c r="AB588" s="881"/>
      <c r="AC588" s="879"/>
      <c r="AD588" s="879"/>
      <c r="AE588" s="879"/>
    </row>
    <row r="589" spans="1:31">
      <c r="A589" s="879">
        <f t="shared" si="108"/>
        <v>575</v>
      </c>
      <c r="B589" s="879" t="s">
        <v>1853</v>
      </c>
      <c r="C589" s="893" t="s">
        <v>147</v>
      </c>
      <c r="D589" s="893" t="s">
        <v>2279</v>
      </c>
      <c r="E589" s="918" t="s">
        <v>788</v>
      </c>
      <c r="F589" s="963">
        <v>-4915.71</v>
      </c>
      <c r="G589" s="963">
        <v>0</v>
      </c>
      <c r="H589" s="963">
        <v>0</v>
      </c>
      <c r="I589" s="963">
        <v>0</v>
      </c>
      <c r="J589" s="963">
        <v>0</v>
      </c>
      <c r="K589" s="963">
        <v>0</v>
      </c>
      <c r="L589" s="963">
        <v>0</v>
      </c>
      <c r="M589" s="963">
        <v>0</v>
      </c>
      <c r="N589" s="963">
        <v>0</v>
      </c>
      <c r="O589" s="963">
        <v>0</v>
      </c>
      <c r="P589" s="963">
        <v>0</v>
      </c>
      <c r="Q589" s="963">
        <v>0</v>
      </c>
      <c r="R589" s="963">
        <v>0</v>
      </c>
      <c r="S589" s="896">
        <f t="shared" si="94"/>
        <v>-204.82124999999999</v>
      </c>
      <c r="T589" s="879"/>
      <c r="U589" s="881"/>
      <c r="V589" s="881"/>
      <c r="W589" s="881">
        <f t="shared" si="110"/>
        <v>-204.82124999999999</v>
      </c>
      <c r="X589" s="897"/>
      <c r="Y589" s="881"/>
      <c r="Z589" s="881"/>
      <c r="AA589" s="881"/>
      <c r="AB589" s="881"/>
      <c r="AC589" s="879"/>
      <c r="AD589" s="879"/>
      <c r="AE589" s="879"/>
    </row>
    <row r="590" spans="1:31">
      <c r="A590" s="879">
        <f t="shared" si="108"/>
        <v>576</v>
      </c>
      <c r="B590" s="879" t="s">
        <v>389</v>
      </c>
      <c r="C590" s="893" t="s">
        <v>789</v>
      </c>
      <c r="D590" s="879" t="s">
        <v>389</v>
      </c>
      <c r="E590" s="918" t="s">
        <v>790</v>
      </c>
      <c r="F590" s="963">
        <v>0</v>
      </c>
      <c r="G590" s="963">
        <v>0</v>
      </c>
      <c r="H590" s="963">
        <v>0</v>
      </c>
      <c r="I590" s="963">
        <v>0</v>
      </c>
      <c r="J590" s="963">
        <v>0</v>
      </c>
      <c r="K590" s="963">
        <v>0</v>
      </c>
      <c r="L590" s="963">
        <v>0</v>
      </c>
      <c r="M590" s="963">
        <v>0</v>
      </c>
      <c r="N590" s="963">
        <v>0</v>
      </c>
      <c r="O590" s="963">
        <v>0</v>
      </c>
      <c r="P590" s="963">
        <v>0</v>
      </c>
      <c r="Q590" s="963">
        <v>0</v>
      </c>
      <c r="R590" s="963">
        <v>0</v>
      </c>
      <c r="S590" s="896">
        <f t="shared" si="94"/>
        <v>0</v>
      </c>
      <c r="T590" s="879"/>
      <c r="U590" s="881"/>
      <c r="V590" s="881"/>
      <c r="W590" s="881">
        <f t="shared" si="110"/>
        <v>0</v>
      </c>
      <c r="X590" s="897"/>
      <c r="Y590" s="881"/>
      <c r="Z590" s="881"/>
      <c r="AA590" s="881"/>
      <c r="AB590" s="881"/>
      <c r="AC590" s="879"/>
      <c r="AD590" s="879"/>
      <c r="AE590" s="879"/>
    </row>
    <row r="591" spans="1:31">
      <c r="A591" s="879">
        <f t="shared" si="108"/>
        <v>577</v>
      </c>
      <c r="B591" s="879" t="s">
        <v>389</v>
      </c>
      <c r="C591" s="893" t="s">
        <v>791</v>
      </c>
      <c r="D591" s="879" t="s">
        <v>389</v>
      </c>
      <c r="E591" s="918" t="s">
        <v>792</v>
      </c>
      <c r="F591" s="912">
        <v>0</v>
      </c>
      <c r="G591" s="912">
        <v>0</v>
      </c>
      <c r="H591" s="912">
        <v>0</v>
      </c>
      <c r="I591" s="912">
        <v>0</v>
      </c>
      <c r="J591" s="912">
        <v>0</v>
      </c>
      <c r="K591" s="912">
        <v>0</v>
      </c>
      <c r="L591" s="912">
        <v>0</v>
      </c>
      <c r="M591" s="912">
        <v>0</v>
      </c>
      <c r="N591" s="912">
        <v>0</v>
      </c>
      <c r="O591" s="912">
        <v>0</v>
      </c>
      <c r="P591" s="912">
        <v>0</v>
      </c>
      <c r="Q591" s="912">
        <v>0</v>
      </c>
      <c r="R591" s="912">
        <v>0</v>
      </c>
      <c r="S591" s="896">
        <f t="shared" si="94"/>
        <v>0</v>
      </c>
      <c r="T591" s="879"/>
      <c r="U591" s="881"/>
      <c r="V591" s="881"/>
      <c r="W591" s="881">
        <f t="shared" si="110"/>
        <v>0</v>
      </c>
      <c r="X591" s="897"/>
      <c r="Y591" s="881"/>
      <c r="Z591" s="881"/>
      <c r="AA591" s="881"/>
      <c r="AB591" s="881"/>
      <c r="AC591" s="879"/>
      <c r="AD591" s="879"/>
      <c r="AE591" s="879"/>
    </row>
    <row r="592" spans="1:31">
      <c r="A592" s="879">
        <f t="shared" si="108"/>
        <v>578</v>
      </c>
      <c r="B592" s="879"/>
      <c r="C592" s="879"/>
      <c r="D592" s="879"/>
      <c r="E592" s="918" t="s">
        <v>793</v>
      </c>
      <c r="F592" s="898">
        <f t="shared" ref="F592:S592" si="111">SUM(F534:F591)</f>
        <v>-283544904.14000016</v>
      </c>
      <c r="G592" s="898">
        <f t="shared" si="111"/>
        <v>-43584489.559999995</v>
      </c>
      <c r="H592" s="898">
        <f t="shared" si="111"/>
        <v>-75070071.409999982</v>
      </c>
      <c r="I592" s="898">
        <f t="shared" si="111"/>
        <v>-103890649.8</v>
      </c>
      <c r="J592" s="898">
        <f t="shared" si="111"/>
        <v>-121366425.47999999</v>
      </c>
      <c r="K592" s="898">
        <f t="shared" si="111"/>
        <v>-133630389.43999994</v>
      </c>
      <c r="L592" s="898">
        <f t="shared" si="111"/>
        <v>-145068575.37000003</v>
      </c>
      <c r="M592" s="898">
        <f t="shared" si="111"/>
        <v>-155698727.89000005</v>
      </c>
      <c r="N592" s="898">
        <f t="shared" si="111"/>
        <v>-165857253.34000003</v>
      </c>
      <c r="O592" s="898">
        <f t="shared" si="111"/>
        <v>-177944386.24000001</v>
      </c>
      <c r="P592" s="898">
        <f t="shared" si="111"/>
        <v>-197295086.82999995</v>
      </c>
      <c r="Q592" s="898">
        <f t="shared" si="111"/>
        <v>-224111098.89999989</v>
      </c>
      <c r="R592" s="898">
        <f t="shared" si="111"/>
        <v>-269012403.22000009</v>
      </c>
      <c r="S592" s="899">
        <f t="shared" si="111"/>
        <v>-151649650.66166669</v>
      </c>
      <c r="T592" s="879"/>
      <c r="U592" s="881"/>
      <c r="V592" s="881"/>
      <c r="W592" s="881"/>
      <c r="X592" s="897"/>
      <c r="Y592" s="881"/>
      <c r="Z592" s="881"/>
      <c r="AA592" s="881"/>
      <c r="AB592" s="881"/>
      <c r="AC592" s="879"/>
      <c r="AD592" s="879"/>
      <c r="AE592" s="879"/>
    </row>
    <row r="593" spans="1:31">
      <c r="A593" s="879">
        <f t="shared" ref="A593:A616" si="112">+A592+1</f>
        <v>579</v>
      </c>
      <c r="B593" s="879"/>
      <c r="C593" s="879"/>
      <c r="D593" s="879"/>
      <c r="E593" s="918"/>
      <c r="F593" s="895"/>
      <c r="G593" s="966"/>
      <c r="H593" s="942"/>
      <c r="I593" s="942"/>
      <c r="J593" s="943"/>
      <c r="K593" s="944"/>
      <c r="L593" s="945"/>
      <c r="M593" s="946"/>
      <c r="N593" s="947"/>
      <c r="O593" s="911"/>
      <c r="P593" s="949"/>
      <c r="Q593" s="967"/>
      <c r="R593" s="895"/>
      <c r="S593" s="896"/>
      <c r="T593" s="879"/>
      <c r="U593" s="881"/>
      <c r="V593" s="881"/>
      <c r="W593" s="881"/>
      <c r="X593" s="897"/>
      <c r="Y593" s="881"/>
      <c r="Z593" s="881"/>
      <c r="AA593" s="881"/>
      <c r="AB593" s="881"/>
      <c r="AC593" s="879"/>
      <c r="AD593" s="879"/>
      <c r="AE593" s="879"/>
    </row>
    <row r="594" spans="1:31">
      <c r="A594" s="879">
        <f t="shared" si="112"/>
        <v>580</v>
      </c>
      <c r="B594" s="893" t="s">
        <v>1850</v>
      </c>
      <c r="C594" s="893" t="s">
        <v>794</v>
      </c>
      <c r="D594" s="893" t="s">
        <v>2287</v>
      </c>
      <c r="E594" s="1007" t="s">
        <v>343</v>
      </c>
      <c r="F594" s="963">
        <v>-137177.31</v>
      </c>
      <c r="G594" s="963">
        <v>-6706.69</v>
      </c>
      <c r="H594" s="963">
        <v>-13517.94</v>
      </c>
      <c r="I594" s="963">
        <v>-22028.93</v>
      </c>
      <c r="J594" s="963">
        <v>-31990.82</v>
      </c>
      <c r="K594" s="963">
        <v>-42056.87</v>
      </c>
      <c r="L594" s="963">
        <v>-51951.95</v>
      </c>
      <c r="M594" s="963">
        <v>-60844.21</v>
      </c>
      <c r="N594" s="963">
        <v>-68623.19</v>
      </c>
      <c r="O594" s="963">
        <v>-75487.06</v>
      </c>
      <c r="P594" s="963">
        <v>-80510.210000000006</v>
      </c>
      <c r="Q594" s="963">
        <v>-83280.240000000005</v>
      </c>
      <c r="R594" s="963">
        <v>-85989.69</v>
      </c>
      <c r="S594" s="896">
        <f t="shared" ref="S594:S605" si="113">((F594+R594)+((G594+H594+I594+J594+K594+L594+M594+N594+O594+P594+Q594)*2))/24</f>
        <v>-54048.467499999999</v>
      </c>
      <c r="T594" s="879"/>
      <c r="U594" s="881"/>
      <c r="V594" s="881"/>
      <c r="W594" s="881">
        <f>+S594</f>
        <v>-54048.467499999999</v>
      </c>
      <c r="X594" s="897"/>
      <c r="Y594" s="881"/>
      <c r="Z594" s="881"/>
      <c r="AA594" s="881"/>
      <c r="AB594" s="881"/>
      <c r="AC594" s="879"/>
      <c r="AD594" s="879"/>
      <c r="AE594" s="879"/>
    </row>
    <row r="595" spans="1:31">
      <c r="A595" s="879">
        <f t="shared" si="112"/>
        <v>581</v>
      </c>
      <c r="B595" s="893" t="s">
        <v>1886</v>
      </c>
      <c r="C595" s="893" t="s">
        <v>794</v>
      </c>
      <c r="D595" s="893" t="s">
        <v>2119</v>
      </c>
      <c r="E595" s="1007" t="s">
        <v>343</v>
      </c>
      <c r="F595" s="963">
        <v>-1820358.3</v>
      </c>
      <c r="G595" s="963">
        <v>-2069.6999999999998</v>
      </c>
      <c r="H595" s="963">
        <v>-2303.5700000000002</v>
      </c>
      <c r="I595" s="963">
        <v>-21076.94</v>
      </c>
      <c r="J595" s="963">
        <v>-22407.51</v>
      </c>
      <c r="K595" s="963">
        <v>-23889.08</v>
      </c>
      <c r="L595" s="963">
        <v>-28752.61</v>
      </c>
      <c r="M595" s="963">
        <v>-58791.41</v>
      </c>
      <c r="N595" s="963">
        <v>-61340.29</v>
      </c>
      <c r="O595" s="963">
        <v>-67277.14</v>
      </c>
      <c r="P595" s="963">
        <v>-69562.38</v>
      </c>
      <c r="Q595" s="963">
        <v>-69562.38</v>
      </c>
      <c r="R595" s="963">
        <v>-75402.210000000006</v>
      </c>
      <c r="S595" s="896">
        <f t="shared" si="113"/>
        <v>-114576.10541666667</v>
      </c>
      <c r="T595" s="879"/>
      <c r="U595" s="881"/>
      <c r="V595" s="881"/>
      <c r="W595" s="881">
        <f t="shared" ref="W595:W605" si="114">+S595</f>
        <v>-114576.10541666667</v>
      </c>
      <c r="X595" s="897"/>
      <c r="Y595" s="881"/>
      <c r="Z595" s="881"/>
      <c r="AA595" s="881"/>
      <c r="AB595" s="881"/>
      <c r="AC595" s="879"/>
      <c r="AD595" s="879"/>
      <c r="AE595" s="879"/>
    </row>
    <row r="596" spans="1:31">
      <c r="A596" s="879">
        <f t="shared" si="112"/>
        <v>582</v>
      </c>
      <c r="B596" s="893" t="s">
        <v>1886</v>
      </c>
      <c r="C596" s="893" t="s">
        <v>794</v>
      </c>
      <c r="D596" s="893" t="s">
        <v>2288</v>
      </c>
      <c r="E596" s="1007" t="s">
        <v>343</v>
      </c>
      <c r="F596" s="963">
        <v>-32748.76</v>
      </c>
      <c r="G596" s="963">
        <v>-990.87</v>
      </c>
      <c r="H596" s="963">
        <v>-2542.14</v>
      </c>
      <c r="I596" s="963">
        <v>-6548.79</v>
      </c>
      <c r="J596" s="963">
        <v>-12869.6</v>
      </c>
      <c r="K596" s="963">
        <v>-15739.77</v>
      </c>
      <c r="L596" s="963">
        <v>-25317.79</v>
      </c>
      <c r="M596" s="963">
        <v>-24557.89</v>
      </c>
      <c r="N596" s="963">
        <v>-13575.58</v>
      </c>
      <c r="O596" s="963">
        <v>-21939.439999999999</v>
      </c>
      <c r="P596" s="963">
        <v>-30651.13</v>
      </c>
      <c r="Q596" s="963">
        <v>-33617.26</v>
      </c>
      <c r="R596" s="963">
        <v>-38457.65</v>
      </c>
      <c r="S596" s="896">
        <f t="shared" si="113"/>
        <v>-18662.788750000003</v>
      </c>
      <c r="T596" s="879"/>
      <c r="U596" s="881"/>
      <c r="V596" s="881"/>
      <c r="W596" s="881">
        <f t="shared" si="114"/>
        <v>-18662.788750000003</v>
      </c>
      <c r="X596" s="897"/>
      <c r="Y596" s="881"/>
      <c r="Z596" s="881"/>
      <c r="AA596" s="881"/>
      <c r="AB596" s="881"/>
      <c r="AC596" s="879"/>
      <c r="AD596" s="879"/>
      <c r="AE596" s="879"/>
    </row>
    <row r="597" spans="1:31">
      <c r="A597" s="879">
        <f t="shared" si="112"/>
        <v>583</v>
      </c>
      <c r="B597" s="893" t="s">
        <v>1853</v>
      </c>
      <c r="C597" s="893" t="s">
        <v>794</v>
      </c>
      <c r="D597" s="893" t="s">
        <v>2119</v>
      </c>
      <c r="E597" s="1007" t="s">
        <v>343</v>
      </c>
      <c r="F597" s="963">
        <v>-6909071.9400000004</v>
      </c>
      <c r="G597" s="963">
        <v>-9644.5499999999993</v>
      </c>
      <c r="H597" s="963">
        <v>-14401.87</v>
      </c>
      <c r="I597" s="963">
        <v>-31276.799999999999</v>
      </c>
      <c r="J597" s="963">
        <v>-44304.46</v>
      </c>
      <c r="K597" s="963">
        <v>-66342.070000000007</v>
      </c>
      <c r="L597" s="963">
        <v>-91048.09</v>
      </c>
      <c r="M597" s="963">
        <v>-97632.59</v>
      </c>
      <c r="N597" s="963">
        <v>-229322.52</v>
      </c>
      <c r="O597" s="963">
        <v>-248416.26</v>
      </c>
      <c r="P597" s="963">
        <v>-258732.42</v>
      </c>
      <c r="Q597" s="963">
        <v>-269331.62</v>
      </c>
      <c r="R597" s="963">
        <v>-281733.25</v>
      </c>
      <c r="S597" s="896">
        <f t="shared" si="113"/>
        <v>-412987.98708333337</v>
      </c>
      <c r="T597" s="879"/>
      <c r="U597" s="881"/>
      <c r="V597" s="881"/>
      <c r="W597" s="881">
        <f t="shared" si="114"/>
        <v>-412987.98708333337</v>
      </c>
      <c r="X597" s="897"/>
      <c r="Y597" s="881"/>
      <c r="Z597" s="881"/>
      <c r="AA597" s="881"/>
      <c r="AB597" s="881"/>
      <c r="AC597" s="879"/>
      <c r="AD597" s="879"/>
      <c r="AE597" s="879"/>
    </row>
    <row r="598" spans="1:31">
      <c r="A598" s="879">
        <f t="shared" si="112"/>
        <v>584</v>
      </c>
      <c r="B598" s="893" t="s">
        <v>1853</v>
      </c>
      <c r="C598" s="893" t="s">
        <v>794</v>
      </c>
      <c r="D598" s="893" t="s">
        <v>2288</v>
      </c>
      <c r="E598" s="1007" t="s">
        <v>343</v>
      </c>
      <c r="F598" s="963">
        <v>-172208.76</v>
      </c>
      <c r="G598" s="963">
        <v>-9613.7099999999991</v>
      </c>
      <c r="H598" s="963">
        <v>-18102.11</v>
      </c>
      <c r="I598" s="963">
        <v>-27021.8</v>
      </c>
      <c r="J598" s="963">
        <v>-36073.699999999997</v>
      </c>
      <c r="K598" s="963">
        <v>-45670.25</v>
      </c>
      <c r="L598" s="963">
        <v>-55227.02</v>
      </c>
      <c r="M598" s="963">
        <v>-65297.52</v>
      </c>
      <c r="N598" s="963">
        <v>-76486.02</v>
      </c>
      <c r="O598" s="963">
        <v>-87456.01</v>
      </c>
      <c r="P598" s="963">
        <v>-99189.03</v>
      </c>
      <c r="Q598" s="963">
        <v>-109811.3</v>
      </c>
      <c r="R598" s="963">
        <v>-128757.18</v>
      </c>
      <c r="S598" s="896">
        <f t="shared" si="113"/>
        <v>-65035.953333333338</v>
      </c>
      <c r="T598" s="879"/>
      <c r="U598" s="881"/>
      <c r="V598" s="881"/>
      <c r="W598" s="881">
        <f t="shared" si="114"/>
        <v>-65035.953333333338</v>
      </c>
      <c r="X598" s="897"/>
      <c r="Y598" s="881"/>
      <c r="Z598" s="881"/>
      <c r="AA598" s="881"/>
      <c r="AB598" s="881"/>
      <c r="AC598" s="879"/>
      <c r="AD598" s="879"/>
      <c r="AE598" s="879"/>
    </row>
    <row r="599" spans="1:31">
      <c r="A599" s="879">
        <f t="shared" si="112"/>
        <v>585</v>
      </c>
      <c r="B599" s="893" t="s">
        <v>1850</v>
      </c>
      <c r="C599" s="893" t="s">
        <v>794</v>
      </c>
      <c r="D599" s="893" t="s">
        <v>588</v>
      </c>
      <c r="E599" s="1007" t="s">
        <v>795</v>
      </c>
      <c r="F599" s="963">
        <v>-266466</v>
      </c>
      <c r="G599" s="963">
        <v>0</v>
      </c>
      <c r="H599" s="963">
        <v>0</v>
      </c>
      <c r="I599" s="963">
        <v>0</v>
      </c>
      <c r="J599" s="963">
        <v>0</v>
      </c>
      <c r="K599" s="963">
        <v>0</v>
      </c>
      <c r="L599" s="963">
        <v>0</v>
      </c>
      <c r="M599" s="963">
        <v>0</v>
      </c>
      <c r="N599" s="963">
        <v>0</v>
      </c>
      <c r="O599" s="963">
        <v>0</v>
      </c>
      <c r="P599" s="963">
        <v>0</v>
      </c>
      <c r="Q599" s="963">
        <v>0</v>
      </c>
      <c r="R599" s="963">
        <v>0</v>
      </c>
      <c r="S599" s="896">
        <f t="shared" si="113"/>
        <v>-11102.75</v>
      </c>
      <c r="T599" s="879"/>
      <c r="U599" s="881"/>
      <c r="V599" s="881"/>
      <c r="W599" s="881">
        <f t="shared" si="114"/>
        <v>-11102.75</v>
      </c>
      <c r="X599" s="897"/>
      <c r="Y599" s="881"/>
      <c r="Z599" s="881"/>
      <c r="AA599" s="881"/>
      <c r="AB599" s="881"/>
      <c r="AC599" s="879"/>
      <c r="AD599" s="879"/>
      <c r="AE599" s="879"/>
    </row>
    <row r="600" spans="1:31">
      <c r="A600" s="879">
        <f t="shared" si="112"/>
        <v>586</v>
      </c>
      <c r="B600" s="893" t="s">
        <v>1850</v>
      </c>
      <c r="C600" s="893" t="s">
        <v>796</v>
      </c>
      <c r="D600" s="879"/>
      <c r="E600" s="918" t="s">
        <v>797</v>
      </c>
      <c r="F600" s="963">
        <v>-1518.08</v>
      </c>
      <c r="G600" s="963">
        <v>-8.41</v>
      </c>
      <c r="H600" s="963">
        <v>-67</v>
      </c>
      <c r="I600" s="963">
        <v>-96.34</v>
      </c>
      <c r="J600" s="963">
        <v>-96.47</v>
      </c>
      <c r="K600" s="963">
        <v>-726.36</v>
      </c>
      <c r="L600" s="963">
        <v>-726.36</v>
      </c>
      <c r="M600" s="963">
        <v>-726.49</v>
      </c>
      <c r="N600" s="963">
        <v>-1168.9100000000001</v>
      </c>
      <c r="O600" s="963">
        <v>-1169.04</v>
      </c>
      <c r="P600" s="963">
        <v>-1611.46</v>
      </c>
      <c r="Q600" s="963">
        <v>-1611.46</v>
      </c>
      <c r="R600" s="963">
        <v>-1669.65</v>
      </c>
      <c r="S600" s="896">
        <f t="shared" si="113"/>
        <v>-800.1804166666667</v>
      </c>
      <c r="T600" s="879"/>
      <c r="U600" s="881"/>
      <c r="V600" s="881"/>
      <c r="W600" s="881">
        <f t="shared" si="114"/>
        <v>-800.1804166666667</v>
      </c>
      <c r="X600" s="897"/>
      <c r="Y600" s="881"/>
      <c r="Z600" s="881"/>
      <c r="AA600" s="881"/>
      <c r="AB600" s="881"/>
      <c r="AC600" s="879"/>
      <c r="AD600" s="879"/>
      <c r="AE600" s="879"/>
    </row>
    <row r="601" spans="1:31">
      <c r="A601" s="879">
        <f t="shared" si="112"/>
        <v>587</v>
      </c>
      <c r="B601" s="893" t="s">
        <v>1850</v>
      </c>
      <c r="C601" s="893" t="s">
        <v>796</v>
      </c>
      <c r="D601" s="893" t="s">
        <v>2289</v>
      </c>
      <c r="E601" s="918" t="s">
        <v>797</v>
      </c>
      <c r="F601" s="963">
        <v>-16838.72</v>
      </c>
      <c r="G601" s="963">
        <v>-866.41</v>
      </c>
      <c r="H601" s="963">
        <v>-1841.15</v>
      </c>
      <c r="I601" s="963">
        <v>-4100.45</v>
      </c>
      <c r="J601" s="963">
        <v>-6729.32</v>
      </c>
      <c r="K601" s="963">
        <v>-8047.7</v>
      </c>
      <c r="L601" s="963">
        <v>-8987.6200000000008</v>
      </c>
      <c r="M601" s="963">
        <v>-9874.81</v>
      </c>
      <c r="N601" s="963">
        <v>-11454.74</v>
      </c>
      <c r="O601" s="963">
        <v>-12352.02</v>
      </c>
      <c r="P601" s="963">
        <v>-13538.7</v>
      </c>
      <c r="Q601" s="963">
        <v>-14666.39</v>
      </c>
      <c r="R601" s="963">
        <v>-15996.78</v>
      </c>
      <c r="S601" s="896">
        <f t="shared" si="113"/>
        <v>-9073.0883333333331</v>
      </c>
      <c r="T601" s="879"/>
      <c r="U601" s="881"/>
      <c r="V601" s="881"/>
      <c r="W601" s="881">
        <f t="shared" si="114"/>
        <v>-9073.0883333333331</v>
      </c>
      <c r="X601" s="897"/>
      <c r="Y601" s="881"/>
      <c r="Z601" s="881"/>
      <c r="AA601" s="881"/>
      <c r="AB601" s="881"/>
      <c r="AC601" s="879"/>
      <c r="AD601" s="879"/>
      <c r="AE601" s="879"/>
    </row>
    <row r="602" spans="1:31">
      <c r="A602" s="879">
        <f t="shared" si="112"/>
        <v>588</v>
      </c>
      <c r="B602" s="893" t="s">
        <v>1850</v>
      </c>
      <c r="C602" s="893" t="s">
        <v>798</v>
      </c>
      <c r="D602" s="879"/>
      <c r="E602" s="918" t="s">
        <v>799</v>
      </c>
      <c r="F602" s="963">
        <v>0</v>
      </c>
      <c r="G602" s="963">
        <v>0</v>
      </c>
      <c r="H602" s="963">
        <v>0</v>
      </c>
      <c r="I602" s="963">
        <v>0</v>
      </c>
      <c r="J602" s="963">
        <v>0</v>
      </c>
      <c r="K602" s="963">
        <v>0</v>
      </c>
      <c r="L602" s="963">
        <v>0</v>
      </c>
      <c r="M602" s="963">
        <v>0</v>
      </c>
      <c r="N602" s="963">
        <v>0</v>
      </c>
      <c r="O602" s="963">
        <v>0</v>
      </c>
      <c r="P602" s="963">
        <v>0</v>
      </c>
      <c r="Q602" s="963">
        <v>0</v>
      </c>
      <c r="R602" s="963">
        <v>0</v>
      </c>
      <c r="S602" s="896">
        <f t="shared" si="113"/>
        <v>0</v>
      </c>
      <c r="T602" s="879"/>
      <c r="U602" s="881"/>
      <c r="V602" s="881"/>
      <c r="W602" s="881">
        <f t="shared" si="114"/>
        <v>0</v>
      </c>
      <c r="X602" s="897"/>
      <c r="Y602" s="881"/>
      <c r="Z602" s="881"/>
      <c r="AA602" s="881"/>
      <c r="AB602" s="881"/>
      <c r="AC602" s="879"/>
      <c r="AD602" s="879"/>
      <c r="AE602" s="879"/>
    </row>
    <row r="603" spans="1:31">
      <c r="A603" s="879">
        <f t="shared" si="112"/>
        <v>589</v>
      </c>
      <c r="B603" s="893" t="s">
        <v>1850</v>
      </c>
      <c r="C603" s="893" t="s">
        <v>800</v>
      </c>
      <c r="D603" s="879"/>
      <c r="E603" s="918" t="s">
        <v>801</v>
      </c>
      <c r="F603" s="963">
        <v>-461795.53</v>
      </c>
      <c r="G603" s="963">
        <v>-29021.1</v>
      </c>
      <c r="H603" s="963">
        <v>-54203.92</v>
      </c>
      <c r="I603" s="963">
        <v>-92338.3</v>
      </c>
      <c r="J603" s="963">
        <v>-91063.83</v>
      </c>
      <c r="K603" s="963">
        <v>-129349.55</v>
      </c>
      <c r="L603" s="963">
        <v>-160628.41</v>
      </c>
      <c r="M603" s="963">
        <v>-201601.98</v>
      </c>
      <c r="N603" s="963">
        <v>-250733</v>
      </c>
      <c r="O603" s="963">
        <v>-287568.37</v>
      </c>
      <c r="P603" s="963">
        <v>-311815.55</v>
      </c>
      <c r="Q603" s="963">
        <v>-336889.55</v>
      </c>
      <c r="R603" s="963">
        <v>-361161.84</v>
      </c>
      <c r="S603" s="896">
        <f t="shared" si="113"/>
        <v>-196391.02041666667</v>
      </c>
      <c r="T603" s="879"/>
      <c r="U603" s="881"/>
      <c r="V603" s="881"/>
      <c r="W603" s="881">
        <f t="shared" si="114"/>
        <v>-196391.02041666667</v>
      </c>
      <c r="X603" s="897"/>
      <c r="Y603" s="881"/>
      <c r="Z603" s="881"/>
      <c r="AA603" s="881"/>
      <c r="AB603" s="881"/>
      <c r="AC603" s="879"/>
      <c r="AD603" s="879"/>
      <c r="AE603" s="879"/>
    </row>
    <row r="604" spans="1:31">
      <c r="A604" s="879">
        <f t="shared" si="112"/>
        <v>590</v>
      </c>
      <c r="B604" s="893" t="s">
        <v>1850</v>
      </c>
      <c r="C604" s="893" t="s">
        <v>802</v>
      </c>
      <c r="D604" s="879"/>
      <c r="E604" s="918" t="s">
        <v>803</v>
      </c>
      <c r="F604" s="963">
        <v>-301152.05</v>
      </c>
      <c r="G604" s="963">
        <v>-22929.03</v>
      </c>
      <c r="H604" s="963">
        <v>-42826.400000000001</v>
      </c>
      <c r="I604" s="963">
        <v>-72947.17</v>
      </c>
      <c r="J604" s="963">
        <v>-72054</v>
      </c>
      <c r="K604" s="963">
        <v>-102293.68</v>
      </c>
      <c r="L604" s="963">
        <v>-127016.07</v>
      </c>
      <c r="M604" s="963">
        <v>-159387.71</v>
      </c>
      <c r="N604" s="963">
        <v>-198194.02</v>
      </c>
      <c r="O604" s="963">
        <v>-227335.52</v>
      </c>
      <c r="P604" s="963">
        <v>-246439.59</v>
      </c>
      <c r="Q604" s="963">
        <v>-266243.59000000003</v>
      </c>
      <c r="R604" s="963">
        <v>-284974.61</v>
      </c>
      <c r="S604" s="896">
        <f t="shared" si="113"/>
        <v>-152560.8425</v>
      </c>
      <c r="T604" s="879"/>
      <c r="U604" s="881"/>
      <c r="V604" s="881"/>
      <c r="W604" s="881">
        <f t="shared" si="114"/>
        <v>-152560.8425</v>
      </c>
      <c r="X604" s="897"/>
      <c r="Y604" s="881"/>
      <c r="Z604" s="881"/>
      <c r="AA604" s="881"/>
      <c r="AB604" s="881"/>
      <c r="AC604" s="879"/>
      <c r="AD604" s="879"/>
      <c r="AE604" s="879"/>
    </row>
    <row r="605" spans="1:31">
      <c r="A605" s="879">
        <f t="shared" si="112"/>
        <v>591</v>
      </c>
      <c r="B605" s="893" t="s">
        <v>1850</v>
      </c>
      <c r="C605" s="893" t="s">
        <v>804</v>
      </c>
      <c r="D605" s="879"/>
      <c r="E605" s="918" t="s">
        <v>805</v>
      </c>
      <c r="F605" s="912">
        <v>-9824.85</v>
      </c>
      <c r="G605" s="912">
        <v>-619.09</v>
      </c>
      <c r="H605" s="912">
        <v>-963.86</v>
      </c>
      <c r="I605" s="912">
        <v>-1577.61</v>
      </c>
      <c r="J605" s="912">
        <v>-2193.21</v>
      </c>
      <c r="K605" s="912">
        <v>-2193.21</v>
      </c>
      <c r="L605" s="912">
        <v>-2193.21</v>
      </c>
      <c r="M605" s="912">
        <v>-2376.23</v>
      </c>
      <c r="N605" s="912">
        <v>-2619.19</v>
      </c>
      <c r="O605" s="912">
        <v>-3557.12</v>
      </c>
      <c r="P605" s="912">
        <v>-4236.55</v>
      </c>
      <c r="Q605" s="912">
        <v>-4896.0200000000004</v>
      </c>
      <c r="R605" s="912">
        <v>-6275.73</v>
      </c>
      <c r="S605" s="896">
        <f t="shared" si="113"/>
        <v>-2956.2991666666662</v>
      </c>
      <c r="T605" s="879"/>
      <c r="U605" s="881"/>
      <c r="V605" s="881"/>
      <c r="W605" s="881">
        <f t="shared" si="114"/>
        <v>-2956.2991666666662</v>
      </c>
      <c r="X605" s="897"/>
      <c r="Y605" s="881"/>
      <c r="Z605" s="881"/>
      <c r="AA605" s="881"/>
      <c r="AB605" s="881"/>
      <c r="AC605" s="879"/>
      <c r="AD605" s="879"/>
      <c r="AE605" s="879"/>
    </row>
    <row r="606" spans="1:31">
      <c r="A606" s="879">
        <f t="shared" si="112"/>
        <v>592</v>
      </c>
      <c r="B606" s="879"/>
      <c r="C606" s="879"/>
      <c r="D606" s="879"/>
      <c r="E606" s="918" t="s">
        <v>806</v>
      </c>
      <c r="F606" s="898">
        <f t="shared" ref="F606:S606" si="115">SUM(F594:F605)</f>
        <v>-10129160.300000001</v>
      </c>
      <c r="G606" s="898">
        <f t="shared" si="115"/>
        <v>-82469.56</v>
      </c>
      <c r="H606" s="898">
        <f t="shared" si="115"/>
        <v>-150769.96</v>
      </c>
      <c r="I606" s="898">
        <f t="shared" si="115"/>
        <v>-279013.12999999995</v>
      </c>
      <c r="J606" s="898">
        <f t="shared" si="115"/>
        <v>-319782.92000000004</v>
      </c>
      <c r="K606" s="898">
        <f t="shared" si="115"/>
        <v>-436308.54000000004</v>
      </c>
      <c r="L606" s="898">
        <f t="shared" si="115"/>
        <v>-551849.12999999989</v>
      </c>
      <c r="M606" s="898">
        <f t="shared" si="115"/>
        <v>-681090.84</v>
      </c>
      <c r="N606" s="898">
        <f t="shared" si="115"/>
        <v>-913517.46</v>
      </c>
      <c r="O606" s="898">
        <f t="shared" si="115"/>
        <v>-1032557.9800000001</v>
      </c>
      <c r="P606" s="898">
        <f t="shared" si="115"/>
        <v>-1116287.02</v>
      </c>
      <c r="Q606" s="898">
        <f t="shared" si="115"/>
        <v>-1189909.81</v>
      </c>
      <c r="R606" s="898">
        <f t="shared" si="115"/>
        <v>-1280418.5899999999</v>
      </c>
      <c r="S606" s="899">
        <f t="shared" si="115"/>
        <v>-1038195.4829166669</v>
      </c>
      <c r="T606" s="879"/>
      <c r="U606" s="881"/>
      <c r="V606" s="881"/>
      <c r="W606" s="881"/>
      <c r="X606" s="897"/>
      <c r="Y606" s="881"/>
      <c r="Z606" s="881"/>
      <c r="AA606" s="881"/>
      <c r="AB606" s="881"/>
      <c r="AC606" s="879"/>
      <c r="AD606" s="879"/>
      <c r="AE606" s="879"/>
    </row>
    <row r="607" spans="1:31">
      <c r="A607" s="879">
        <f t="shared" si="112"/>
        <v>593</v>
      </c>
      <c r="B607" s="879"/>
      <c r="C607" s="879"/>
      <c r="D607" s="879"/>
      <c r="E607" s="918"/>
      <c r="F607" s="895"/>
      <c r="G607" s="966"/>
      <c r="H607" s="942"/>
      <c r="I607" s="942"/>
      <c r="J607" s="943"/>
      <c r="K607" s="944"/>
      <c r="L607" s="945"/>
      <c r="M607" s="946"/>
      <c r="N607" s="947"/>
      <c r="O607" s="911"/>
      <c r="P607" s="949"/>
      <c r="Q607" s="967"/>
      <c r="R607" s="895"/>
      <c r="S607" s="896"/>
      <c r="T607" s="879"/>
      <c r="U607" s="881"/>
      <c r="V607" s="881"/>
      <c r="W607" s="881"/>
      <c r="X607" s="897"/>
      <c r="Y607" s="881"/>
      <c r="Z607" s="881"/>
      <c r="AA607" s="881"/>
      <c r="AB607" s="881"/>
      <c r="AC607" s="879"/>
      <c r="AD607" s="879"/>
      <c r="AE607" s="879"/>
    </row>
    <row r="608" spans="1:31" ht="15.75" thickBot="1">
      <c r="A608" s="879">
        <f t="shared" si="112"/>
        <v>594</v>
      </c>
      <c r="B608" s="989"/>
      <c r="C608" s="989"/>
      <c r="D608" s="989"/>
      <c r="E608" s="1011" t="s">
        <v>807</v>
      </c>
      <c r="F608" s="991">
        <f>+F606+F592+F532+F517+F490+F437+F436+F435+F434+F433+F432+F431+F430+F429+F428+F427+F426+F425+F424+F423+F422+F421+F420+F419+F418+F417+F416+F415+F414+F412+F372+F351</f>
        <v>-957808188.96000004</v>
      </c>
      <c r="G608" s="991">
        <f t="shared" ref="G608:S608" si="116">+G606+G592+G532+G517+G490+G437+G436+G435+G434+G433+G432+G431+G430+G429+G428+G427+G426+G425+G424+G423+G422+G421+G420+G419+G418+G417+G416+G415+G414+G412+G372+G351</f>
        <v>-702758578.58999991</v>
      </c>
      <c r="H608" s="991">
        <f t="shared" si="116"/>
        <v>-735000254.90999997</v>
      </c>
      <c r="I608" s="991">
        <f t="shared" si="116"/>
        <v>-765442960.05999994</v>
      </c>
      <c r="J608" s="991">
        <f t="shared" si="116"/>
        <v>-772363559.80999982</v>
      </c>
      <c r="K608" s="991">
        <f t="shared" si="116"/>
        <v>-787640044.00999999</v>
      </c>
      <c r="L608" s="991">
        <f t="shared" si="116"/>
        <v>-797992253.01000011</v>
      </c>
      <c r="M608" s="991">
        <f t="shared" si="116"/>
        <v>-804112169.55000007</v>
      </c>
      <c r="N608" s="991">
        <f t="shared" si="116"/>
        <v>-813852966.13999999</v>
      </c>
      <c r="O608" s="991">
        <f t="shared" si="116"/>
        <v>-825107690.84000003</v>
      </c>
      <c r="P608" s="991">
        <f t="shared" si="116"/>
        <v>-852872870.34000003</v>
      </c>
      <c r="Q608" s="991">
        <f t="shared" si="116"/>
        <v>-886611525.81999981</v>
      </c>
      <c r="R608" s="991">
        <f t="shared" si="116"/>
        <v>-945811407.77000022</v>
      </c>
      <c r="S608" s="992">
        <f t="shared" si="116"/>
        <v>-807963722.62041676</v>
      </c>
      <c r="T608" s="989"/>
      <c r="U608" s="993"/>
      <c r="V608" s="993"/>
      <c r="W608" s="993"/>
      <c r="X608" s="994"/>
      <c r="Y608" s="993"/>
      <c r="Z608" s="993"/>
      <c r="AA608" s="993"/>
      <c r="AB608" s="993"/>
      <c r="AC608" s="989"/>
      <c r="AD608" s="989"/>
      <c r="AE608" s="989"/>
    </row>
    <row r="609" spans="1:31" ht="15.75" thickTop="1">
      <c r="A609" s="879">
        <f t="shared" si="112"/>
        <v>595</v>
      </c>
      <c r="B609" s="879"/>
      <c r="C609" s="879"/>
      <c r="D609" s="879"/>
      <c r="E609" s="879"/>
      <c r="F609" s="879"/>
      <c r="G609" s="879"/>
      <c r="H609" s="879"/>
      <c r="I609" s="879"/>
      <c r="J609" s="879"/>
      <c r="K609" s="879"/>
      <c r="L609" s="879"/>
      <c r="M609" s="879"/>
      <c r="N609" s="879"/>
      <c r="O609" s="879"/>
      <c r="P609" s="879"/>
      <c r="Q609" s="879"/>
      <c r="R609" s="879"/>
      <c r="S609" s="881"/>
      <c r="T609" s="879"/>
      <c r="U609" s="881"/>
      <c r="V609" s="881"/>
      <c r="W609" s="881"/>
      <c r="X609" s="881"/>
      <c r="Y609" s="881"/>
      <c r="Z609" s="881"/>
      <c r="AA609" s="881"/>
      <c r="AB609" s="881"/>
      <c r="AC609" s="879"/>
      <c r="AD609" s="879"/>
      <c r="AE609" s="879"/>
    </row>
    <row r="610" spans="1:31">
      <c r="A610" s="879">
        <f t="shared" si="112"/>
        <v>596</v>
      </c>
      <c r="B610" s="879"/>
      <c r="C610" s="879"/>
      <c r="D610" s="879"/>
      <c r="E610" s="879"/>
      <c r="F610" s="879"/>
      <c r="G610" s="879"/>
      <c r="H610" s="879"/>
      <c r="I610" s="879"/>
      <c r="J610" s="879"/>
      <c r="K610" s="879"/>
      <c r="L610" s="879"/>
      <c r="M610" s="879"/>
      <c r="N610" s="879"/>
      <c r="O610" s="879"/>
      <c r="P610" s="879"/>
      <c r="Q610" s="879"/>
      <c r="R610" s="879"/>
      <c r="S610" s="881"/>
      <c r="T610" s="879"/>
      <c r="U610" s="881"/>
      <c r="V610" s="881"/>
      <c r="W610" s="881"/>
      <c r="X610" s="881"/>
      <c r="Y610" s="881"/>
      <c r="Z610" s="881"/>
      <c r="AA610" s="881"/>
      <c r="AB610" s="881"/>
      <c r="AC610" s="879"/>
      <c r="AD610" s="879"/>
      <c r="AE610" s="879"/>
    </row>
    <row r="611" spans="1:31">
      <c r="A611" s="879">
        <f t="shared" si="112"/>
        <v>597</v>
      </c>
      <c r="B611" s="879"/>
      <c r="C611" s="879"/>
      <c r="D611" s="879"/>
      <c r="E611" s="989" t="s">
        <v>2290</v>
      </c>
      <c r="F611" s="879"/>
      <c r="G611" s="879"/>
      <c r="H611" s="879"/>
      <c r="I611" s="879"/>
      <c r="J611" s="879"/>
      <c r="K611" s="879"/>
      <c r="L611" s="879"/>
      <c r="M611" s="879"/>
      <c r="N611" s="879"/>
      <c r="O611" s="879"/>
      <c r="P611" s="879"/>
      <c r="Q611" s="879"/>
      <c r="R611" s="879"/>
      <c r="S611" s="881"/>
      <c r="T611" s="879"/>
      <c r="U611" s="993">
        <f>SUM(U15:U606)</f>
        <v>170249993.3083334</v>
      </c>
      <c r="V611" s="993">
        <f>SUM(V15:V606)</f>
        <v>-118234634.64208333</v>
      </c>
      <c r="W611" s="993">
        <f t="shared" ref="W611:AD611" si="117">SUM(W15:W606)</f>
        <v>-404403275.22500002</v>
      </c>
      <c r="X611" s="993">
        <f t="shared" si="117"/>
        <v>352387916.55875015</v>
      </c>
      <c r="Y611" s="993">
        <f t="shared" si="117"/>
        <v>247856651.81447345</v>
      </c>
      <c r="Z611" s="993">
        <f t="shared" si="117"/>
        <v>85492706.015526548</v>
      </c>
      <c r="AA611" s="993">
        <f t="shared" si="117"/>
        <v>-8760002.3537499942</v>
      </c>
      <c r="AB611" s="993">
        <f t="shared" si="117"/>
        <v>19038557.688333336</v>
      </c>
      <c r="AC611" s="1012">
        <f t="shared" si="117"/>
        <v>-407052069.88374996</v>
      </c>
      <c r="AD611" s="1012">
        <f t="shared" si="117"/>
        <v>52014935.204999998</v>
      </c>
      <c r="AE611" s="951">
        <f>+AB611+Z611+Y611</f>
        <v>352387915.51833332</v>
      </c>
    </row>
    <row r="612" spans="1:31">
      <c r="A612" s="879">
        <f>+A611+1</f>
        <v>598</v>
      </c>
      <c r="B612" s="879"/>
      <c r="C612" s="879"/>
      <c r="D612" s="879"/>
      <c r="E612" s="879" t="s">
        <v>2291</v>
      </c>
      <c r="F612" s="879"/>
      <c r="G612" s="879"/>
      <c r="H612" s="879"/>
      <c r="I612" s="879"/>
      <c r="J612" s="879"/>
      <c r="K612" s="879"/>
      <c r="L612" s="879"/>
      <c r="M612" s="879"/>
      <c r="N612" s="879"/>
      <c r="O612" s="879"/>
      <c r="P612" s="879"/>
      <c r="Q612" s="879"/>
      <c r="R612" s="879"/>
      <c r="S612" s="881"/>
      <c r="T612" s="879"/>
      <c r="U612" s="1013" t="s">
        <v>2292</v>
      </c>
      <c r="V612" s="1014">
        <f>+U611+V611</f>
        <v>52015358.666250065</v>
      </c>
      <c r="W612" s="1020" t="s">
        <v>2293</v>
      </c>
      <c r="X612" s="1021">
        <f>-W611-X611</f>
        <v>52015358.666249871</v>
      </c>
      <c r="Y612" s="881"/>
      <c r="Z612" s="881"/>
      <c r="AA612" s="881"/>
      <c r="AB612" s="881"/>
      <c r="AC612" s="951">
        <f>+AB611+Z611+Y611</f>
        <v>352387915.51833332</v>
      </c>
      <c r="AD612" s="879"/>
      <c r="AE612" s="951">
        <f>+AE611-X611</f>
        <v>-1.0404168367385864</v>
      </c>
    </row>
    <row r="613" spans="1:31">
      <c r="A613" s="879">
        <f t="shared" si="112"/>
        <v>599</v>
      </c>
      <c r="B613" s="879"/>
      <c r="C613" s="879"/>
      <c r="D613" s="879"/>
      <c r="E613" s="879"/>
      <c r="F613" s="879"/>
      <c r="G613" s="879"/>
      <c r="H613" s="879"/>
      <c r="I613" s="879"/>
      <c r="J613" s="879"/>
      <c r="K613" s="879"/>
      <c r="L613" s="879"/>
      <c r="M613" s="879"/>
      <c r="N613" s="879"/>
      <c r="O613" s="879"/>
      <c r="P613" s="879"/>
      <c r="Q613" s="879"/>
      <c r="R613" s="879"/>
      <c r="S613" s="881"/>
      <c r="T613" s="879"/>
      <c r="U613" s="881"/>
      <c r="V613" s="881"/>
      <c r="W613" s="881"/>
      <c r="X613" s="1019">
        <f>+X612-V612</f>
        <v>-1.9371509552001953E-7</v>
      </c>
      <c r="Y613" s="881"/>
      <c r="Z613" s="881"/>
      <c r="AA613" s="881"/>
      <c r="AB613" s="881"/>
      <c r="AC613" s="879"/>
      <c r="AD613" s="951"/>
      <c r="AE613" s="879"/>
    </row>
    <row r="614" spans="1:31">
      <c r="A614" s="879">
        <f t="shared" si="112"/>
        <v>600</v>
      </c>
      <c r="B614" s="879"/>
      <c r="C614" s="879"/>
      <c r="D614" s="879"/>
      <c r="E614" s="879" t="s">
        <v>2294</v>
      </c>
      <c r="F614" s="879"/>
      <c r="G614" s="879"/>
      <c r="H614" s="879"/>
      <c r="I614" s="879"/>
      <c r="J614" s="879"/>
      <c r="K614" s="879"/>
      <c r="L614" s="879"/>
      <c r="M614" s="879"/>
      <c r="N614" s="879"/>
      <c r="O614" s="879"/>
      <c r="P614" s="879"/>
      <c r="Q614" s="879"/>
      <c r="R614" s="879"/>
      <c r="S614" s="881"/>
      <c r="T614" s="879"/>
      <c r="U614" s="881"/>
      <c r="V614" s="881"/>
      <c r="W614" s="881"/>
      <c r="X614" s="881"/>
      <c r="Y614" s="882">
        <f>+Y611/AC612</f>
        <v>0.70336308624515953</v>
      </c>
      <c r="Z614" s="882">
        <f>+Z611/AC612</f>
        <v>0.24260964196168272</v>
      </c>
      <c r="AA614" s="882"/>
      <c r="AB614" s="882">
        <f>+AB611/AC612</f>
        <v>5.402727179315784E-2</v>
      </c>
      <c r="AC614" s="879"/>
      <c r="AD614" s="879"/>
      <c r="AE614" s="879"/>
    </row>
    <row r="615" spans="1:31">
      <c r="A615" s="879">
        <f t="shared" si="112"/>
        <v>601</v>
      </c>
      <c r="B615" s="879"/>
      <c r="C615" s="879"/>
      <c r="D615" s="879"/>
      <c r="E615" s="879"/>
      <c r="F615" s="879"/>
      <c r="G615" s="879"/>
      <c r="H615" s="879"/>
      <c r="I615" s="879"/>
      <c r="J615" s="879"/>
      <c r="K615" s="879"/>
      <c r="L615" s="879"/>
      <c r="M615" s="879"/>
      <c r="N615" s="879"/>
      <c r="O615" s="879"/>
      <c r="P615" s="879"/>
      <c r="Q615" s="879"/>
      <c r="R615" s="879"/>
      <c r="S615" s="881"/>
      <c r="T615" s="879"/>
      <c r="U615" s="881"/>
      <c r="V615" s="881"/>
      <c r="W615" s="881"/>
      <c r="X615" s="881"/>
      <c r="Y615" s="881"/>
      <c r="Z615" s="881"/>
      <c r="AA615" s="881"/>
      <c r="AB615" s="881"/>
      <c r="AC615" s="879"/>
      <c r="AD615" s="879"/>
      <c r="AE615" s="879"/>
    </row>
    <row r="616" spans="1:31">
      <c r="A616" s="879">
        <f t="shared" si="112"/>
        <v>602</v>
      </c>
      <c r="B616" s="879"/>
      <c r="C616" s="879"/>
      <c r="D616" s="879"/>
      <c r="E616" s="879" t="s">
        <v>2295</v>
      </c>
      <c r="F616" s="879"/>
      <c r="G616" s="879"/>
      <c r="H616" s="879"/>
      <c r="I616" s="879"/>
      <c r="J616" s="879"/>
      <c r="K616" s="879"/>
      <c r="L616" s="879"/>
      <c r="M616" s="879"/>
      <c r="N616" s="879"/>
      <c r="O616" s="879"/>
      <c r="P616" s="879"/>
      <c r="Q616" s="879"/>
      <c r="R616" s="879"/>
      <c r="S616" s="881"/>
      <c r="T616" s="879"/>
      <c r="U616" s="881"/>
      <c r="V616" s="881"/>
      <c r="W616" s="881"/>
      <c r="X616" s="881"/>
      <c r="Y616" s="1015">
        <f>+X612*Y614</f>
        <v>36585683.203642413</v>
      </c>
      <c r="Z616" s="881">
        <f>+X612*Z614</f>
        <v>12619427.542527393</v>
      </c>
      <c r="AA616" s="881"/>
      <c r="AB616" s="881">
        <f>+X612*AB614</f>
        <v>2810247.9200800699</v>
      </c>
      <c r="AC616" s="879"/>
      <c r="AD616" s="879"/>
      <c r="AE616" s="879"/>
    </row>
    <row r="617" spans="1:31">
      <c r="A617" s="879"/>
      <c r="B617" s="879"/>
      <c r="C617" s="879"/>
      <c r="D617" s="879"/>
      <c r="E617" s="879"/>
      <c r="F617" s="879"/>
      <c r="G617" s="879"/>
      <c r="H617" s="879"/>
      <c r="I617" s="879"/>
      <c r="J617" s="879"/>
      <c r="K617" s="879"/>
      <c r="L617" s="879"/>
      <c r="M617" s="879"/>
      <c r="N617" s="879"/>
      <c r="O617" s="879"/>
      <c r="P617" s="879"/>
      <c r="Q617" s="879"/>
      <c r="R617" s="879"/>
      <c r="S617" s="881"/>
      <c r="T617" s="879"/>
      <c r="U617" s="881"/>
      <c r="V617" s="881"/>
      <c r="W617" s="881"/>
      <c r="X617" s="881"/>
      <c r="Y617" s="881"/>
      <c r="Z617" s="881"/>
      <c r="AA617" s="881"/>
      <c r="AB617" s="881"/>
      <c r="AC617" s="879"/>
      <c r="AD617" s="879"/>
      <c r="AE617" s="879"/>
    </row>
    <row r="618" spans="1:31">
      <c r="A618" s="879"/>
      <c r="B618" s="879"/>
      <c r="C618" s="879"/>
      <c r="D618" s="879"/>
      <c r="E618" s="879"/>
      <c r="F618" s="879"/>
      <c r="G618" s="879"/>
      <c r="H618" s="879"/>
      <c r="I618" s="879"/>
      <c r="J618" s="879"/>
      <c r="K618" s="879"/>
      <c r="L618" s="879"/>
      <c r="M618" s="879"/>
      <c r="N618" s="879"/>
      <c r="O618" s="879"/>
      <c r="P618" s="879"/>
      <c r="Q618" s="879"/>
      <c r="R618" s="879"/>
      <c r="S618" s="881"/>
      <c r="T618" s="879"/>
      <c r="U618" s="881"/>
      <c r="V618" s="881"/>
      <c r="W618" s="881"/>
      <c r="X618" s="881"/>
      <c r="Y618" s="881"/>
      <c r="Z618" s="881"/>
      <c r="AA618" s="881"/>
      <c r="AB618" s="881"/>
      <c r="AC618" s="879"/>
      <c r="AD618" s="879"/>
      <c r="AE618" s="879"/>
    </row>
    <row r="619" spans="1:31">
      <c r="A619" s="879"/>
      <c r="B619" s="879"/>
      <c r="C619" s="879"/>
      <c r="D619" s="879"/>
      <c r="E619" s="879"/>
      <c r="F619" s="879"/>
      <c r="G619" s="879"/>
      <c r="H619" s="879"/>
      <c r="I619" s="879"/>
      <c r="J619" s="879"/>
      <c r="K619" s="879"/>
      <c r="L619" s="879"/>
      <c r="M619" s="879"/>
      <c r="N619" s="879"/>
      <c r="O619" s="879"/>
      <c r="P619" s="879"/>
      <c r="Q619" s="879"/>
      <c r="R619" s="879"/>
      <c r="S619" s="881"/>
      <c r="T619" s="879"/>
      <c r="U619" s="881"/>
      <c r="V619" s="881"/>
      <c r="W619" s="881"/>
      <c r="X619" s="881"/>
      <c r="Y619" s="881"/>
      <c r="Z619" s="881"/>
      <c r="AA619" s="881"/>
      <c r="AB619" s="881"/>
      <c r="AC619" s="879"/>
      <c r="AD619" s="879"/>
      <c r="AE619" s="879"/>
    </row>
    <row r="620" spans="1:31">
      <c r="A620" s="879"/>
      <c r="B620" s="879"/>
      <c r="C620" s="879"/>
      <c r="D620" s="879"/>
      <c r="E620" s="879"/>
      <c r="F620" s="879"/>
      <c r="G620" s="879"/>
      <c r="H620" s="879"/>
      <c r="I620" s="879"/>
      <c r="J620" s="879"/>
      <c r="K620" s="879"/>
      <c r="L620" s="879"/>
      <c r="M620" s="879"/>
      <c r="N620" s="879"/>
      <c r="O620" s="879"/>
      <c r="P620" s="879"/>
      <c r="Q620" s="879"/>
      <c r="R620" s="879"/>
      <c r="S620" s="881"/>
      <c r="T620" s="879"/>
      <c r="U620" s="881"/>
      <c r="V620" s="881"/>
      <c r="W620" s="881"/>
      <c r="X620" s="881"/>
      <c r="Y620" s="881"/>
      <c r="Z620" s="881"/>
      <c r="AA620" s="881"/>
      <c r="AB620" s="881"/>
      <c r="AC620" s="879"/>
      <c r="AD620" s="879"/>
      <c r="AE620" s="879"/>
    </row>
    <row r="621" spans="1:31">
      <c r="A621" s="879"/>
      <c r="B621" s="879"/>
      <c r="C621" s="879"/>
      <c r="D621" s="879"/>
      <c r="E621" s="879"/>
      <c r="F621" s="879"/>
      <c r="G621" s="879"/>
      <c r="H621" s="879"/>
      <c r="I621" s="879"/>
      <c r="J621" s="879"/>
      <c r="K621" s="879"/>
      <c r="L621" s="879"/>
      <c r="M621" s="879"/>
      <c r="N621" s="879"/>
      <c r="O621" s="879"/>
      <c r="P621" s="879"/>
      <c r="Q621" s="879"/>
      <c r="R621" s="879"/>
      <c r="S621" s="881"/>
      <c r="T621" s="879"/>
      <c r="U621" s="881"/>
      <c r="V621" s="881"/>
      <c r="W621" s="881"/>
      <c r="X621" s="881"/>
      <c r="Y621" s="881"/>
      <c r="Z621" s="881"/>
      <c r="AA621" s="881"/>
      <c r="AB621" s="881"/>
      <c r="AC621" s="879"/>
      <c r="AD621" s="879"/>
      <c r="AE621" s="879"/>
    </row>
    <row r="622" spans="1:31">
      <c r="A622" s="879"/>
      <c r="B622" s="879"/>
      <c r="C622" s="879"/>
      <c r="D622" s="879"/>
      <c r="E622" s="879"/>
      <c r="F622" s="879"/>
      <c r="G622" s="879"/>
      <c r="H622" s="879"/>
      <c r="I622" s="879"/>
      <c r="J622" s="879"/>
      <c r="K622" s="879"/>
      <c r="L622" s="879"/>
      <c r="M622" s="879"/>
      <c r="N622" s="879"/>
      <c r="O622" s="879"/>
      <c r="P622" s="879"/>
      <c r="Q622" s="879"/>
      <c r="R622" s="879"/>
      <c r="S622" s="881"/>
      <c r="T622" s="879"/>
      <c r="U622" s="881"/>
      <c r="V622" s="881"/>
      <c r="W622" s="881"/>
      <c r="X622" s="881"/>
      <c r="Y622" s="881"/>
      <c r="Z622" s="881"/>
      <c r="AA622" s="881"/>
      <c r="AB622" s="881"/>
      <c r="AC622" s="879"/>
      <c r="AD622" s="879"/>
      <c r="AE622" s="879"/>
    </row>
    <row r="623" spans="1:31">
      <c r="A623" s="879"/>
      <c r="B623" s="879"/>
      <c r="C623" s="879"/>
      <c r="D623" s="879"/>
      <c r="E623" s="879"/>
      <c r="F623" s="879"/>
      <c r="G623" s="879"/>
      <c r="H623" s="879"/>
      <c r="I623" s="879"/>
      <c r="J623" s="879"/>
      <c r="K623" s="879"/>
      <c r="L623" s="879"/>
      <c r="M623" s="879"/>
      <c r="N623" s="879"/>
      <c r="O623" s="879"/>
      <c r="P623" s="879"/>
      <c r="Q623" s="879"/>
      <c r="R623" s="879"/>
      <c r="S623" s="881"/>
      <c r="T623" s="879"/>
      <c r="U623" s="881"/>
      <c r="V623" s="881"/>
      <c r="W623" s="881"/>
      <c r="X623" s="881"/>
      <c r="Y623" s="881"/>
      <c r="Z623" s="881"/>
      <c r="AA623" s="881"/>
      <c r="AB623" s="881"/>
      <c r="AC623" s="879"/>
      <c r="AD623" s="879"/>
      <c r="AE623" s="879"/>
    </row>
    <row r="624" spans="1:31">
      <c r="A624" s="879"/>
      <c r="B624" s="879"/>
      <c r="C624" s="879"/>
      <c r="D624" s="879"/>
      <c r="E624" s="879"/>
      <c r="F624" s="879"/>
      <c r="G624" s="879"/>
      <c r="H624" s="879"/>
      <c r="I624" s="879"/>
      <c r="J624" s="879"/>
      <c r="K624" s="879"/>
      <c r="L624" s="879"/>
      <c r="M624" s="879"/>
      <c r="N624" s="879"/>
      <c r="O624" s="879"/>
      <c r="P624" s="879"/>
      <c r="Q624" s="879"/>
      <c r="R624" s="879"/>
      <c r="S624" s="881"/>
      <c r="T624" s="879"/>
      <c r="U624" s="881"/>
      <c r="V624" s="881"/>
      <c r="W624" s="881"/>
      <c r="X624" s="881"/>
      <c r="Y624" s="881"/>
      <c r="Z624" s="881"/>
      <c r="AA624" s="881"/>
      <c r="AB624" s="881"/>
      <c r="AC624" s="879"/>
      <c r="AD624" s="879"/>
      <c r="AE624" s="879"/>
    </row>
    <row r="625" spans="1:31">
      <c r="A625" s="879"/>
      <c r="B625" s="879"/>
      <c r="C625" s="879"/>
      <c r="D625" s="879"/>
      <c r="E625" s="879"/>
      <c r="F625" s="879"/>
      <c r="G625" s="879"/>
      <c r="H625" s="879"/>
      <c r="I625" s="879"/>
      <c r="J625" s="879"/>
      <c r="K625" s="879"/>
      <c r="L625" s="879"/>
      <c r="M625" s="879"/>
      <c r="N625" s="879"/>
      <c r="O625" s="879"/>
      <c r="P625" s="879"/>
      <c r="Q625" s="879"/>
      <c r="R625" s="879"/>
      <c r="S625" s="881"/>
      <c r="T625" s="879"/>
      <c r="U625" s="881"/>
      <c r="V625" s="881"/>
      <c r="W625" s="881"/>
      <c r="X625" s="881"/>
      <c r="Y625" s="881"/>
      <c r="Z625" s="881"/>
      <c r="AA625" s="881"/>
      <c r="AB625" s="881"/>
      <c r="AC625" s="879"/>
      <c r="AD625" s="879"/>
      <c r="AE625" s="879"/>
    </row>
    <row r="626" spans="1:31">
      <c r="A626" s="879"/>
      <c r="B626" s="879"/>
      <c r="C626" s="879"/>
      <c r="D626" s="879"/>
      <c r="E626" s="879"/>
      <c r="F626" s="879"/>
      <c r="G626" s="879"/>
      <c r="H626" s="879"/>
      <c r="I626" s="879"/>
      <c r="J626" s="879"/>
      <c r="K626" s="879"/>
      <c r="L626" s="879"/>
      <c r="M626" s="879"/>
      <c r="N626" s="879"/>
      <c r="O626" s="879"/>
      <c r="P626" s="879"/>
      <c r="Q626" s="879"/>
      <c r="R626" s="879"/>
      <c r="S626" s="881"/>
      <c r="T626" s="879"/>
      <c r="U626" s="881"/>
      <c r="V626" s="881"/>
      <c r="W626" s="881"/>
      <c r="X626" s="881"/>
      <c r="Y626" s="881"/>
      <c r="Z626" s="881"/>
      <c r="AA626" s="881"/>
      <c r="AB626" s="881"/>
      <c r="AC626" s="879"/>
      <c r="AD626" s="879"/>
      <c r="AE626" s="879"/>
    </row>
    <row r="627" spans="1:31">
      <c r="A627" s="879"/>
      <c r="B627" s="879"/>
      <c r="C627" s="879"/>
      <c r="D627" s="879"/>
      <c r="E627" s="879"/>
      <c r="F627" s="879"/>
      <c r="G627" s="879"/>
      <c r="H627" s="879"/>
      <c r="I627" s="879"/>
      <c r="J627" s="879"/>
      <c r="K627" s="879"/>
      <c r="L627" s="879"/>
      <c r="M627" s="879"/>
      <c r="N627" s="879"/>
      <c r="O627" s="879"/>
      <c r="P627" s="879"/>
      <c r="Q627" s="879"/>
      <c r="R627" s="879"/>
      <c r="S627" s="881"/>
      <c r="T627" s="879"/>
      <c r="U627" s="881"/>
      <c r="V627" s="881"/>
      <c r="W627" s="881"/>
      <c r="X627" s="881"/>
      <c r="Y627" s="881"/>
      <c r="Z627" s="881"/>
      <c r="AA627" s="881"/>
      <c r="AB627" s="881"/>
      <c r="AC627" s="879"/>
      <c r="AD627" s="879"/>
      <c r="AE627" s="879"/>
    </row>
    <row r="628" spans="1:31">
      <c r="A628" s="879"/>
      <c r="B628" s="879"/>
      <c r="C628" s="879"/>
      <c r="D628" s="879"/>
      <c r="E628" s="879"/>
      <c r="F628" s="879"/>
      <c r="G628" s="879"/>
      <c r="H628" s="879"/>
      <c r="I628" s="879"/>
      <c r="J628" s="879"/>
      <c r="K628" s="879"/>
      <c r="L628" s="879"/>
      <c r="M628" s="879"/>
      <c r="N628" s="879"/>
      <c r="O628" s="879"/>
      <c r="P628" s="879"/>
      <c r="Q628" s="879"/>
      <c r="R628" s="879"/>
      <c r="S628" s="881"/>
      <c r="T628" s="879"/>
      <c r="U628" s="881"/>
      <c r="V628" s="881"/>
      <c r="W628" s="881"/>
      <c r="X628" s="881"/>
      <c r="Y628" s="881"/>
      <c r="Z628" s="881"/>
      <c r="AA628" s="881"/>
      <c r="AB628" s="881"/>
      <c r="AC628" s="879"/>
      <c r="AD628" s="879"/>
      <c r="AE628" s="879"/>
    </row>
    <row r="629" spans="1:31">
      <c r="A629" s="879"/>
      <c r="B629" s="879"/>
      <c r="C629" s="879"/>
      <c r="D629" s="879"/>
      <c r="E629" s="879"/>
      <c r="F629" s="879"/>
      <c r="G629" s="879"/>
      <c r="H629" s="879"/>
      <c r="I629" s="879"/>
      <c r="J629" s="879"/>
      <c r="K629" s="879"/>
      <c r="L629" s="879"/>
      <c r="M629" s="879"/>
      <c r="N629" s="879"/>
      <c r="O629" s="879"/>
      <c r="P629" s="879"/>
      <c r="Q629" s="879"/>
      <c r="R629" s="879"/>
      <c r="S629" s="881"/>
      <c r="T629" s="879"/>
      <c r="U629" s="881"/>
      <c r="V629" s="881"/>
      <c r="W629" s="881"/>
      <c r="X629" s="881"/>
      <c r="Y629" s="881"/>
      <c r="Z629" s="881"/>
      <c r="AA629" s="881"/>
      <c r="AB629" s="881"/>
      <c r="AC629" s="879"/>
      <c r="AD629" s="879"/>
      <c r="AE629" s="879"/>
    </row>
    <row r="630" spans="1:31">
      <c r="A630" s="879"/>
      <c r="B630" s="879"/>
      <c r="C630" s="879"/>
      <c r="D630" s="879"/>
      <c r="E630" s="879"/>
      <c r="F630" s="879"/>
      <c r="G630" s="879"/>
      <c r="H630" s="879"/>
      <c r="I630" s="879"/>
      <c r="J630" s="879"/>
      <c r="K630" s="879"/>
      <c r="L630" s="879"/>
      <c r="M630" s="879"/>
      <c r="N630" s="879"/>
      <c r="O630" s="879"/>
      <c r="P630" s="879"/>
      <c r="Q630" s="879"/>
      <c r="R630" s="879"/>
      <c r="S630" s="881"/>
      <c r="T630" s="879"/>
      <c r="U630" s="881"/>
      <c r="V630" s="881"/>
      <c r="W630" s="881"/>
      <c r="X630" s="881"/>
      <c r="Y630" s="881"/>
      <c r="Z630" s="881"/>
      <c r="AA630" s="881"/>
      <c r="AB630" s="881"/>
      <c r="AC630" s="879"/>
      <c r="AD630" s="879"/>
      <c r="AE630" s="879"/>
    </row>
    <row r="631" spans="1:31">
      <c r="A631" s="879"/>
      <c r="B631" s="879"/>
      <c r="C631" s="879"/>
      <c r="D631" s="879"/>
      <c r="E631" s="879"/>
      <c r="F631" s="879"/>
      <c r="G631" s="879"/>
      <c r="H631" s="879"/>
      <c r="I631" s="879"/>
      <c r="J631" s="879"/>
      <c r="K631" s="879"/>
      <c r="L631" s="879"/>
      <c r="M631" s="879"/>
      <c r="N631" s="879"/>
      <c r="O631" s="879"/>
      <c r="P631" s="879"/>
      <c r="Q631" s="879"/>
      <c r="R631" s="879"/>
      <c r="S631" s="881"/>
      <c r="T631" s="879"/>
      <c r="U631" s="881"/>
      <c r="V631" s="881"/>
      <c r="W631" s="881"/>
      <c r="X631" s="881"/>
      <c r="Y631" s="881"/>
      <c r="Z631" s="881"/>
      <c r="AA631" s="881"/>
      <c r="AB631" s="881"/>
      <c r="AC631" s="879"/>
      <c r="AD631" s="879"/>
      <c r="AE631" s="879"/>
    </row>
    <row r="632" spans="1:31">
      <c r="A632" s="879"/>
      <c r="B632" s="879"/>
      <c r="C632" s="879"/>
      <c r="D632" s="879"/>
      <c r="E632" s="879"/>
      <c r="F632" s="879"/>
      <c r="G632" s="879"/>
      <c r="H632" s="879"/>
      <c r="I632" s="879"/>
      <c r="J632" s="879"/>
      <c r="K632" s="879"/>
      <c r="L632" s="879"/>
      <c r="M632" s="879"/>
      <c r="N632" s="879"/>
      <c r="O632" s="879"/>
      <c r="P632" s="879"/>
      <c r="Q632" s="879"/>
      <c r="R632" s="879"/>
      <c r="S632" s="881"/>
      <c r="T632" s="879"/>
      <c r="U632" s="881"/>
      <c r="V632" s="881"/>
      <c r="W632" s="881"/>
      <c r="X632" s="881"/>
      <c r="Y632" s="881"/>
      <c r="Z632" s="881"/>
      <c r="AA632" s="881"/>
      <c r="AB632" s="881"/>
      <c r="AC632" s="879"/>
      <c r="AD632" s="879"/>
      <c r="AE632" s="879"/>
    </row>
    <row r="633" spans="1:31">
      <c r="A633" s="879"/>
      <c r="B633" s="879"/>
      <c r="C633" s="879"/>
      <c r="D633" s="879"/>
      <c r="E633" s="879"/>
      <c r="F633" s="879"/>
      <c r="G633" s="879"/>
      <c r="H633" s="879"/>
      <c r="I633" s="879"/>
      <c r="J633" s="879"/>
      <c r="K633" s="879"/>
      <c r="L633" s="879"/>
      <c r="M633" s="879"/>
      <c r="N633" s="879"/>
      <c r="O633" s="879"/>
      <c r="P633" s="879"/>
      <c r="Q633" s="879"/>
      <c r="R633" s="879"/>
      <c r="S633" s="881"/>
      <c r="T633" s="879"/>
      <c r="U633" s="881"/>
      <c r="V633" s="881"/>
      <c r="W633" s="881"/>
      <c r="X633" s="881"/>
      <c r="Y633" s="881"/>
      <c r="Z633" s="881"/>
      <c r="AA633" s="881"/>
      <c r="AB633" s="881"/>
      <c r="AC633" s="879"/>
      <c r="AD633" s="879"/>
      <c r="AE633" s="879"/>
    </row>
    <row r="634" spans="1:31">
      <c r="A634" s="879"/>
      <c r="B634" s="879"/>
      <c r="C634" s="879"/>
      <c r="D634" s="879"/>
      <c r="E634" s="879"/>
      <c r="F634" s="879"/>
      <c r="G634" s="879"/>
      <c r="H634" s="879"/>
      <c r="I634" s="879"/>
      <c r="J634" s="879"/>
      <c r="K634" s="879"/>
      <c r="L634" s="879"/>
      <c r="M634" s="879"/>
      <c r="N634" s="879"/>
      <c r="O634" s="879"/>
      <c r="P634" s="879"/>
      <c r="Q634" s="879"/>
      <c r="R634" s="879"/>
      <c r="S634" s="881"/>
      <c r="T634" s="879"/>
      <c r="U634" s="881"/>
      <c r="V634" s="881"/>
      <c r="W634" s="881"/>
      <c r="X634" s="881"/>
      <c r="Y634" s="881"/>
      <c r="Z634" s="881"/>
      <c r="AA634" s="881"/>
      <c r="AB634" s="881"/>
      <c r="AC634" s="879"/>
      <c r="AD634" s="879"/>
      <c r="AE634" s="879"/>
    </row>
    <row r="635" spans="1:31">
      <c r="A635" s="879"/>
      <c r="B635" s="879"/>
      <c r="C635" s="879"/>
      <c r="D635" s="879"/>
      <c r="E635" s="879"/>
      <c r="F635" s="879"/>
      <c r="G635" s="879"/>
      <c r="H635" s="879"/>
      <c r="I635" s="879"/>
      <c r="J635" s="879"/>
      <c r="K635" s="879"/>
      <c r="L635" s="879"/>
      <c r="M635" s="879"/>
      <c r="N635" s="879"/>
      <c r="O635" s="879"/>
      <c r="P635" s="879"/>
      <c r="Q635" s="879"/>
      <c r="R635" s="879"/>
      <c r="S635" s="881"/>
      <c r="T635" s="879"/>
      <c r="U635" s="881"/>
      <c r="V635" s="881"/>
      <c r="W635" s="881"/>
      <c r="X635" s="881"/>
      <c r="Y635" s="881"/>
      <c r="Z635" s="881"/>
      <c r="AA635" s="881"/>
      <c r="AB635" s="881"/>
      <c r="AC635" s="879"/>
      <c r="AD635" s="879"/>
      <c r="AE635" s="879"/>
    </row>
    <row r="636" spans="1:31">
      <c r="A636" s="879"/>
      <c r="B636" s="879"/>
      <c r="C636" s="879"/>
      <c r="D636" s="879"/>
      <c r="E636" s="879"/>
      <c r="F636" s="879"/>
      <c r="G636" s="879"/>
      <c r="H636" s="879"/>
      <c r="I636" s="879"/>
      <c r="J636" s="879"/>
      <c r="K636" s="879"/>
      <c r="L636" s="879"/>
      <c r="M636" s="879"/>
      <c r="N636" s="879"/>
      <c r="O636" s="879"/>
      <c r="P636" s="879"/>
      <c r="Q636" s="879"/>
      <c r="R636" s="879"/>
      <c r="S636" s="881"/>
      <c r="T636" s="879"/>
      <c r="U636" s="881"/>
      <c r="V636" s="881"/>
      <c r="W636" s="881"/>
      <c r="X636" s="881"/>
      <c r="Y636" s="881"/>
      <c r="Z636" s="881"/>
      <c r="AA636" s="881"/>
      <c r="AB636" s="881"/>
      <c r="AC636" s="879"/>
      <c r="AD636" s="879"/>
      <c r="AE636" s="879"/>
    </row>
    <row r="637" spans="1:31">
      <c r="A637" s="879"/>
      <c r="B637" s="879"/>
      <c r="C637" s="879"/>
      <c r="D637" s="879"/>
      <c r="E637" s="879"/>
      <c r="F637" s="879"/>
      <c r="G637" s="879"/>
      <c r="H637" s="879"/>
      <c r="I637" s="879"/>
      <c r="J637" s="879"/>
      <c r="K637" s="879"/>
      <c r="L637" s="879"/>
      <c r="M637" s="879"/>
      <c r="N637" s="879"/>
      <c r="O637" s="879"/>
      <c r="P637" s="879"/>
      <c r="Q637" s="879"/>
      <c r="R637" s="879"/>
      <c r="S637" s="881"/>
      <c r="T637" s="879"/>
      <c r="U637" s="881"/>
      <c r="V637" s="881"/>
      <c r="W637" s="881"/>
      <c r="X637" s="881"/>
      <c r="Y637" s="881"/>
      <c r="Z637" s="881"/>
      <c r="AA637" s="881"/>
      <c r="AB637" s="881"/>
      <c r="AC637" s="879"/>
      <c r="AD637" s="879"/>
      <c r="AE637" s="879"/>
    </row>
    <row r="638" spans="1:31">
      <c r="A638" s="879"/>
      <c r="B638" s="879"/>
      <c r="C638" s="879"/>
      <c r="D638" s="879"/>
      <c r="E638" s="879"/>
      <c r="F638" s="879"/>
      <c r="G638" s="879"/>
      <c r="H638" s="879"/>
      <c r="I638" s="879"/>
      <c r="J638" s="879"/>
      <c r="K638" s="879"/>
      <c r="L638" s="879"/>
      <c r="M638" s="879"/>
      <c r="N638" s="879"/>
      <c r="O638" s="879"/>
      <c r="P638" s="879"/>
      <c r="Q638" s="879"/>
      <c r="R638" s="879"/>
      <c r="S638" s="881"/>
      <c r="T638" s="879"/>
      <c r="U638" s="881"/>
      <c r="V638" s="881"/>
      <c r="W638" s="881"/>
      <c r="X638" s="881"/>
      <c r="Y638" s="881"/>
      <c r="Z638" s="881"/>
      <c r="AA638" s="881"/>
      <c r="AB638" s="881"/>
      <c r="AC638" s="879"/>
      <c r="AD638" s="879"/>
      <c r="AE638" s="879"/>
    </row>
    <row r="639" spans="1:31">
      <c r="A639" s="879"/>
      <c r="B639" s="879"/>
      <c r="C639" s="879"/>
      <c r="D639" s="879"/>
      <c r="E639" s="879"/>
      <c r="F639" s="879"/>
      <c r="G639" s="879"/>
      <c r="H639" s="879"/>
      <c r="I639" s="879"/>
      <c r="J639" s="879"/>
      <c r="K639" s="879"/>
      <c r="L639" s="879"/>
      <c r="M639" s="879"/>
      <c r="N639" s="879"/>
      <c r="O639" s="879"/>
      <c r="P639" s="879"/>
      <c r="Q639" s="879"/>
      <c r="R639" s="879"/>
      <c r="S639" s="881"/>
      <c r="T639" s="879"/>
      <c r="U639" s="881"/>
      <c r="V639" s="881"/>
      <c r="W639" s="881"/>
      <c r="X639" s="881"/>
      <c r="Y639" s="881"/>
      <c r="Z639" s="881"/>
      <c r="AA639" s="881"/>
      <c r="AB639" s="881"/>
      <c r="AC639" s="879"/>
      <c r="AD639" s="879"/>
      <c r="AE639" s="879"/>
    </row>
    <row r="640" spans="1:31">
      <c r="A640" s="879"/>
      <c r="B640" s="879"/>
      <c r="C640" s="879"/>
      <c r="D640" s="879"/>
      <c r="E640" s="879"/>
      <c r="F640" s="879"/>
      <c r="G640" s="879"/>
      <c r="H640" s="879"/>
      <c r="I640" s="879"/>
      <c r="J640" s="879"/>
      <c r="K640" s="879"/>
      <c r="L640" s="879"/>
      <c r="M640" s="879"/>
      <c r="N640" s="879"/>
      <c r="O640" s="879"/>
      <c r="P640" s="879"/>
      <c r="Q640" s="879"/>
      <c r="R640" s="879"/>
      <c r="S640" s="881"/>
      <c r="T640" s="879"/>
      <c r="U640" s="881"/>
      <c r="V640" s="881"/>
      <c r="W640" s="881"/>
      <c r="X640" s="881"/>
      <c r="Y640" s="881"/>
      <c r="Z640" s="881"/>
      <c r="AA640" s="881"/>
      <c r="AB640" s="881"/>
      <c r="AC640" s="879"/>
      <c r="AD640" s="879"/>
      <c r="AE640" s="879"/>
    </row>
    <row r="641" spans="1:31">
      <c r="A641" s="879"/>
      <c r="B641" s="879"/>
      <c r="C641" s="879"/>
      <c r="D641" s="879"/>
      <c r="E641" s="879"/>
      <c r="F641" s="879"/>
      <c r="G641" s="879"/>
      <c r="H641" s="879"/>
      <c r="I641" s="879"/>
      <c r="J641" s="879"/>
      <c r="K641" s="879"/>
      <c r="L641" s="879"/>
      <c r="M641" s="879"/>
      <c r="N641" s="879"/>
      <c r="O641" s="879"/>
      <c r="P641" s="879"/>
      <c r="Q641" s="879"/>
      <c r="R641" s="879"/>
      <c r="S641" s="881"/>
      <c r="T641" s="879"/>
      <c r="U641" s="881"/>
      <c r="V641" s="881"/>
      <c r="W641" s="881"/>
      <c r="X641" s="881"/>
      <c r="Y641" s="881"/>
      <c r="Z641" s="881"/>
      <c r="AA641" s="881"/>
      <c r="AB641" s="881"/>
      <c r="AC641" s="879"/>
      <c r="AD641" s="879"/>
      <c r="AE641" s="879"/>
    </row>
    <row r="642" spans="1:31">
      <c r="A642" s="879"/>
      <c r="B642" s="879"/>
      <c r="C642" s="879"/>
      <c r="D642" s="879"/>
      <c r="E642" s="879"/>
      <c r="F642" s="879"/>
      <c r="G642" s="879"/>
      <c r="H642" s="879"/>
      <c r="I642" s="879"/>
      <c r="J642" s="879"/>
      <c r="K642" s="879"/>
      <c r="L642" s="879"/>
      <c r="M642" s="879"/>
      <c r="N642" s="879"/>
      <c r="O642" s="879"/>
      <c r="P642" s="879"/>
      <c r="Q642" s="879"/>
      <c r="R642" s="879"/>
      <c r="S642" s="881"/>
      <c r="T642" s="879"/>
      <c r="U642" s="881"/>
      <c r="V642" s="881"/>
      <c r="W642" s="881"/>
      <c r="X642" s="881"/>
      <c r="Y642" s="881"/>
      <c r="Z642" s="881"/>
      <c r="AA642" s="881"/>
      <c r="AB642" s="881"/>
      <c r="AC642" s="879"/>
      <c r="AD642" s="879"/>
      <c r="AE642" s="879"/>
    </row>
    <row r="643" spans="1:31">
      <c r="A643" s="879"/>
      <c r="B643" s="879"/>
      <c r="C643" s="879"/>
      <c r="D643" s="879"/>
      <c r="E643" s="879"/>
      <c r="F643" s="879"/>
      <c r="G643" s="879"/>
      <c r="H643" s="879"/>
      <c r="I643" s="879"/>
      <c r="J643" s="879"/>
      <c r="K643" s="879"/>
      <c r="L643" s="879"/>
      <c r="M643" s="879"/>
      <c r="N643" s="879"/>
      <c r="O643" s="879"/>
      <c r="P643" s="879"/>
      <c r="Q643" s="879"/>
      <c r="R643" s="879"/>
      <c r="S643" s="881"/>
      <c r="T643" s="879"/>
      <c r="U643" s="881"/>
      <c r="V643" s="881"/>
      <c r="W643" s="881"/>
      <c r="X643" s="881"/>
      <c r="Y643" s="881"/>
      <c r="Z643" s="881"/>
      <c r="AA643" s="881"/>
      <c r="AB643" s="881"/>
      <c r="AC643" s="879"/>
      <c r="AD643" s="879"/>
      <c r="AE643" s="879"/>
    </row>
    <row r="644" spans="1:31">
      <c r="A644" s="879"/>
      <c r="B644" s="879"/>
      <c r="C644" s="879"/>
      <c r="D644" s="879"/>
      <c r="E644" s="879"/>
      <c r="F644" s="879"/>
      <c r="G644" s="879"/>
      <c r="H644" s="879"/>
      <c r="I644" s="879"/>
      <c r="J644" s="879"/>
      <c r="K644" s="879"/>
      <c r="L644" s="879"/>
      <c r="M644" s="879"/>
      <c r="N644" s="879"/>
      <c r="O644" s="879"/>
      <c r="P644" s="879"/>
      <c r="Q644" s="879"/>
      <c r="R644" s="879"/>
      <c r="S644" s="881"/>
      <c r="T644" s="879"/>
      <c r="U644" s="881"/>
      <c r="V644" s="881"/>
      <c r="W644" s="881"/>
      <c r="X644" s="881"/>
      <c r="Y644" s="881"/>
      <c r="Z644" s="881"/>
      <c r="AA644" s="881"/>
      <c r="AB644" s="881"/>
      <c r="AC644" s="879"/>
      <c r="AD644" s="879"/>
      <c r="AE644" s="879"/>
    </row>
    <row r="645" spans="1:31">
      <c r="A645" s="879"/>
      <c r="B645" s="879"/>
      <c r="C645" s="879"/>
      <c r="D645" s="879"/>
      <c r="E645" s="879"/>
      <c r="F645" s="879"/>
      <c r="G645" s="879"/>
      <c r="H645" s="879"/>
      <c r="I645" s="879"/>
      <c r="J645" s="879"/>
      <c r="K645" s="879"/>
      <c r="L645" s="879"/>
      <c r="M645" s="879"/>
      <c r="N645" s="879"/>
      <c r="O645" s="879"/>
      <c r="P645" s="879"/>
      <c r="Q645" s="879"/>
      <c r="R645" s="879"/>
      <c r="S645" s="881"/>
      <c r="T645" s="879"/>
      <c r="U645" s="881"/>
      <c r="V645" s="881"/>
      <c r="W645" s="881"/>
      <c r="X645" s="881"/>
      <c r="Y645" s="881"/>
      <c r="Z645" s="881"/>
      <c r="AA645" s="881"/>
      <c r="AB645" s="881"/>
      <c r="AC645" s="879"/>
      <c r="AD645" s="879"/>
      <c r="AE645" s="879"/>
    </row>
    <row r="646" spans="1:31">
      <c r="A646" s="879"/>
      <c r="B646" s="879"/>
      <c r="C646" s="879"/>
      <c r="D646" s="879"/>
      <c r="E646" s="879"/>
      <c r="F646" s="879"/>
      <c r="G646" s="879"/>
      <c r="H646" s="879"/>
      <c r="I646" s="879"/>
      <c r="J646" s="879"/>
      <c r="K646" s="879"/>
      <c r="L646" s="879"/>
      <c r="M646" s="879"/>
      <c r="N646" s="879"/>
      <c r="O646" s="879"/>
      <c r="P646" s="879"/>
      <c r="Q646" s="879"/>
      <c r="R646" s="879"/>
      <c r="S646" s="881"/>
      <c r="T646" s="879"/>
      <c r="U646" s="881"/>
      <c r="V646" s="881"/>
      <c r="W646" s="881"/>
      <c r="X646" s="881"/>
      <c r="Y646" s="881"/>
      <c r="Z646" s="881"/>
      <c r="AA646" s="881"/>
      <c r="AB646" s="881"/>
      <c r="AC646" s="879"/>
      <c r="AD646" s="879"/>
      <c r="AE646" s="879"/>
    </row>
    <row r="647" spans="1:31">
      <c r="A647" s="879"/>
      <c r="B647" s="879"/>
      <c r="C647" s="879"/>
      <c r="D647" s="879"/>
      <c r="E647" s="879"/>
      <c r="F647" s="879"/>
      <c r="G647" s="879"/>
      <c r="H647" s="879"/>
      <c r="I647" s="879"/>
      <c r="J647" s="879"/>
      <c r="K647" s="879"/>
      <c r="L647" s="879"/>
      <c r="M647" s="879"/>
      <c r="N647" s="879"/>
      <c r="O647" s="879"/>
      <c r="P647" s="879"/>
      <c r="Q647" s="879"/>
      <c r="R647" s="879"/>
      <c r="S647" s="881"/>
      <c r="T647" s="879"/>
      <c r="U647" s="881"/>
      <c r="V647" s="881"/>
      <c r="W647" s="881"/>
      <c r="X647" s="881"/>
      <c r="Y647" s="881"/>
      <c r="Z647" s="881"/>
      <c r="AA647" s="881"/>
      <c r="AB647" s="881"/>
      <c r="AC647" s="879"/>
      <c r="AD647" s="879"/>
      <c r="AE647" s="879"/>
    </row>
    <row r="648" spans="1:31">
      <c r="A648" s="879"/>
      <c r="B648" s="879"/>
      <c r="C648" s="879"/>
      <c r="D648" s="879"/>
      <c r="E648" s="879"/>
      <c r="F648" s="879"/>
      <c r="G648" s="879"/>
      <c r="H648" s="879"/>
      <c r="I648" s="879"/>
      <c r="J648" s="879"/>
      <c r="K648" s="879"/>
      <c r="L648" s="879"/>
      <c r="M648" s="879"/>
      <c r="N648" s="879"/>
      <c r="O648" s="879"/>
      <c r="P648" s="879"/>
      <c r="Q648" s="879"/>
      <c r="R648" s="879"/>
      <c r="S648" s="881"/>
      <c r="T648" s="879"/>
      <c r="U648" s="881"/>
      <c r="V648" s="881"/>
      <c r="W648" s="881"/>
      <c r="X648" s="881"/>
      <c r="Y648" s="881"/>
      <c r="Z648" s="881"/>
      <c r="AA648" s="881"/>
      <c r="AB648" s="881"/>
      <c r="AC648" s="879"/>
      <c r="AD648" s="879"/>
      <c r="AE648" s="879"/>
    </row>
    <row r="649" spans="1:31">
      <c r="A649" s="879"/>
      <c r="B649" s="879"/>
      <c r="C649" s="879"/>
      <c r="D649" s="879"/>
      <c r="E649" s="879"/>
      <c r="F649" s="879"/>
      <c r="G649" s="879"/>
      <c r="H649" s="879"/>
      <c r="I649" s="879"/>
      <c r="J649" s="879"/>
      <c r="K649" s="879"/>
      <c r="L649" s="879"/>
      <c r="M649" s="879"/>
      <c r="N649" s="879"/>
      <c r="O649" s="879"/>
      <c r="P649" s="879"/>
      <c r="Q649" s="879"/>
      <c r="R649" s="879"/>
      <c r="S649" s="881"/>
      <c r="T649" s="879"/>
      <c r="U649" s="881"/>
      <c r="V649" s="881"/>
      <c r="W649" s="881"/>
      <c r="X649" s="881"/>
      <c r="Y649" s="881"/>
      <c r="Z649" s="881"/>
      <c r="AA649" s="881"/>
      <c r="AB649" s="881"/>
      <c r="AC649" s="879"/>
      <c r="AD649" s="879"/>
      <c r="AE649" s="879"/>
    </row>
    <row r="650" spans="1:31">
      <c r="A650" s="879"/>
      <c r="B650" s="879"/>
      <c r="C650" s="879"/>
      <c r="D650" s="879"/>
      <c r="E650" s="879"/>
      <c r="F650" s="879"/>
      <c r="G650" s="879"/>
      <c r="H650" s="879"/>
      <c r="I650" s="879"/>
      <c r="J650" s="879"/>
      <c r="K650" s="879"/>
      <c r="L650" s="879"/>
      <c r="M650" s="879"/>
      <c r="N650" s="879"/>
      <c r="O650" s="879"/>
      <c r="P650" s="879"/>
      <c r="Q650" s="879"/>
      <c r="R650" s="879"/>
      <c r="S650" s="881"/>
      <c r="T650" s="879"/>
      <c r="U650" s="881"/>
      <c r="V650" s="881"/>
      <c r="W650" s="881"/>
      <c r="X650" s="881"/>
      <c r="Y650" s="881"/>
      <c r="Z650" s="881"/>
      <c r="AA650" s="881"/>
      <c r="AB650" s="881"/>
      <c r="AC650" s="879"/>
      <c r="AD650" s="879"/>
      <c r="AE650" s="879"/>
    </row>
    <row r="651" spans="1:31">
      <c r="A651" s="879"/>
      <c r="B651" s="879"/>
      <c r="C651" s="879"/>
      <c r="D651" s="879"/>
      <c r="E651" s="879"/>
      <c r="F651" s="879"/>
      <c r="G651" s="879"/>
      <c r="H651" s="879"/>
      <c r="I651" s="879"/>
      <c r="J651" s="879"/>
      <c r="K651" s="879"/>
      <c r="L651" s="879"/>
      <c r="M651" s="879"/>
      <c r="N651" s="879"/>
      <c r="O651" s="879"/>
      <c r="P651" s="879"/>
      <c r="Q651" s="879"/>
      <c r="R651" s="879"/>
      <c r="S651" s="881"/>
      <c r="T651" s="879"/>
      <c r="U651" s="881"/>
      <c r="V651" s="881"/>
      <c r="W651" s="881"/>
      <c r="X651" s="881"/>
      <c r="Y651" s="881"/>
      <c r="Z651" s="881"/>
      <c r="AA651" s="881"/>
      <c r="AB651" s="881"/>
      <c r="AC651" s="879"/>
      <c r="AD651" s="879"/>
      <c r="AE651" s="879"/>
    </row>
    <row r="652" spans="1:31">
      <c r="A652" s="879"/>
      <c r="B652" s="879"/>
      <c r="C652" s="879"/>
      <c r="D652" s="879"/>
      <c r="E652" s="879"/>
      <c r="F652" s="879"/>
      <c r="G652" s="879"/>
      <c r="H652" s="879"/>
      <c r="I652" s="879"/>
      <c r="J652" s="879"/>
      <c r="K652" s="879"/>
      <c r="L652" s="879"/>
      <c r="M652" s="879"/>
      <c r="N652" s="879"/>
      <c r="O652" s="879"/>
      <c r="P652" s="879"/>
      <c r="Q652" s="879"/>
      <c r="R652" s="879"/>
      <c r="S652" s="881"/>
      <c r="T652" s="879"/>
      <c r="U652" s="881"/>
      <c r="V652" s="881"/>
      <c r="W652" s="881"/>
      <c r="X652" s="881"/>
      <c r="Y652" s="881"/>
      <c r="Z652" s="881"/>
      <c r="AA652" s="881"/>
      <c r="AB652" s="881"/>
      <c r="AC652" s="879"/>
      <c r="AD652" s="879"/>
      <c r="AE652" s="879"/>
    </row>
    <row r="653" spans="1:31">
      <c r="A653" s="879"/>
      <c r="B653" s="879"/>
      <c r="C653" s="879"/>
      <c r="D653" s="879"/>
      <c r="E653" s="879"/>
      <c r="F653" s="879"/>
      <c r="G653" s="879"/>
      <c r="H653" s="879"/>
      <c r="I653" s="879"/>
      <c r="J653" s="879"/>
      <c r="K653" s="879"/>
      <c r="L653" s="879"/>
      <c r="M653" s="879"/>
      <c r="N653" s="879"/>
      <c r="O653" s="879"/>
      <c r="P653" s="879"/>
      <c r="Q653" s="879"/>
      <c r="R653" s="879"/>
      <c r="S653" s="881"/>
      <c r="T653" s="879"/>
      <c r="U653" s="881"/>
      <c r="V653" s="881"/>
      <c r="W653" s="881"/>
      <c r="X653" s="881"/>
      <c r="Y653" s="881"/>
      <c r="Z653" s="881"/>
      <c r="AA653" s="881"/>
      <c r="AB653" s="881"/>
      <c r="AC653" s="879"/>
      <c r="AD653" s="879"/>
      <c r="AE653" s="879"/>
    </row>
    <row r="654" spans="1:31">
      <c r="A654" s="879"/>
      <c r="B654" s="879"/>
      <c r="C654" s="879"/>
      <c r="D654" s="879"/>
      <c r="E654" s="879"/>
      <c r="F654" s="879"/>
      <c r="G654" s="879"/>
      <c r="H654" s="879"/>
      <c r="I654" s="879"/>
      <c r="J654" s="879"/>
      <c r="K654" s="879"/>
      <c r="L654" s="879"/>
      <c r="M654" s="879"/>
      <c r="N654" s="879"/>
      <c r="O654" s="879"/>
      <c r="P654" s="879"/>
      <c r="Q654" s="879"/>
      <c r="R654" s="879"/>
      <c r="S654" s="881"/>
      <c r="T654" s="879"/>
      <c r="U654" s="881"/>
      <c r="V654" s="881"/>
      <c r="W654" s="881"/>
      <c r="X654" s="881"/>
      <c r="Y654" s="881"/>
      <c r="Z654" s="881"/>
      <c r="AA654" s="881"/>
      <c r="AB654" s="881"/>
      <c r="AC654" s="879"/>
      <c r="AD654" s="879"/>
      <c r="AE654" s="879"/>
    </row>
    <row r="655" spans="1:31">
      <c r="A655" s="879"/>
      <c r="B655" s="879"/>
      <c r="C655" s="879"/>
      <c r="D655" s="879"/>
      <c r="E655" s="879"/>
      <c r="F655" s="879"/>
      <c r="G655" s="879"/>
      <c r="H655" s="879"/>
      <c r="I655" s="879"/>
      <c r="J655" s="879"/>
      <c r="K655" s="879"/>
      <c r="L655" s="879"/>
      <c r="M655" s="879"/>
      <c r="N655" s="879"/>
      <c r="O655" s="879"/>
      <c r="P655" s="879"/>
      <c r="Q655" s="879"/>
      <c r="R655" s="879"/>
      <c r="S655" s="881"/>
      <c r="T655" s="879"/>
      <c r="U655" s="881"/>
      <c r="V655" s="881"/>
      <c r="W655" s="881"/>
      <c r="X655" s="881"/>
      <c r="Y655" s="881"/>
      <c r="Z655" s="881"/>
      <c r="AA655" s="881"/>
      <c r="AB655" s="881"/>
      <c r="AC655" s="879"/>
      <c r="AD655" s="879"/>
      <c r="AE655" s="879"/>
    </row>
    <row r="656" spans="1:31">
      <c r="A656" s="879"/>
      <c r="B656" s="879"/>
      <c r="C656" s="879"/>
      <c r="D656" s="879"/>
      <c r="E656" s="879"/>
      <c r="F656" s="879"/>
      <c r="G656" s="879"/>
      <c r="H656" s="879"/>
      <c r="I656" s="879"/>
      <c r="J656" s="879"/>
      <c r="K656" s="879"/>
      <c r="L656" s="879"/>
      <c r="M656" s="879"/>
      <c r="N656" s="879"/>
      <c r="O656" s="879"/>
      <c r="P656" s="879"/>
      <c r="Q656" s="879"/>
      <c r="R656" s="879"/>
      <c r="S656" s="881"/>
      <c r="T656" s="879"/>
      <c r="U656" s="881"/>
      <c r="V656" s="881"/>
      <c r="W656" s="881"/>
      <c r="X656" s="881"/>
      <c r="Y656" s="881"/>
      <c r="Z656" s="881"/>
      <c r="AA656" s="881"/>
      <c r="AB656" s="881"/>
      <c r="AC656" s="879"/>
      <c r="AD656" s="879"/>
      <c r="AE656" s="879"/>
    </row>
    <row r="657" spans="1:31">
      <c r="A657" s="879"/>
      <c r="B657" s="879"/>
      <c r="C657" s="879"/>
      <c r="D657" s="879"/>
      <c r="E657" s="879"/>
      <c r="F657" s="879"/>
      <c r="G657" s="879"/>
      <c r="H657" s="879"/>
      <c r="I657" s="879"/>
      <c r="J657" s="879"/>
      <c r="K657" s="879"/>
      <c r="L657" s="879"/>
      <c r="M657" s="879"/>
      <c r="N657" s="879"/>
      <c r="O657" s="879"/>
      <c r="P657" s="879"/>
      <c r="Q657" s="879"/>
      <c r="R657" s="879"/>
      <c r="S657" s="881"/>
      <c r="T657" s="879"/>
      <c r="U657" s="881"/>
      <c r="V657" s="881"/>
      <c r="W657" s="881"/>
      <c r="X657" s="881"/>
      <c r="Y657" s="881"/>
      <c r="Z657" s="881"/>
      <c r="AA657" s="881"/>
      <c r="AB657" s="881"/>
      <c r="AC657" s="879"/>
      <c r="AD657" s="879"/>
      <c r="AE657" s="879"/>
    </row>
    <row r="658" spans="1:31">
      <c r="A658" s="879"/>
      <c r="B658" s="879"/>
      <c r="C658" s="879"/>
      <c r="D658" s="879"/>
      <c r="E658" s="879"/>
      <c r="F658" s="879"/>
      <c r="G658" s="879"/>
      <c r="H658" s="879"/>
      <c r="I658" s="879"/>
      <c r="J658" s="879"/>
      <c r="K658" s="879"/>
      <c r="L658" s="879"/>
      <c r="M658" s="879"/>
      <c r="N658" s="879"/>
      <c r="O658" s="879"/>
      <c r="P658" s="879"/>
      <c r="Q658" s="879"/>
      <c r="R658" s="879"/>
      <c r="S658" s="881"/>
      <c r="T658" s="879"/>
      <c r="U658" s="881"/>
      <c r="V658" s="881"/>
      <c r="W658" s="881"/>
      <c r="X658" s="881"/>
      <c r="Y658" s="881"/>
      <c r="Z658" s="881"/>
      <c r="AA658" s="881"/>
      <c r="AB658" s="881"/>
      <c r="AC658" s="879"/>
      <c r="AD658" s="879"/>
      <c r="AE658" s="879"/>
    </row>
    <row r="659" spans="1:31">
      <c r="A659" s="879"/>
      <c r="B659" s="879"/>
      <c r="C659" s="879"/>
      <c r="D659" s="879"/>
      <c r="E659" s="879"/>
      <c r="F659" s="879"/>
      <c r="G659" s="879"/>
      <c r="H659" s="879"/>
      <c r="I659" s="879"/>
      <c r="J659" s="879"/>
      <c r="K659" s="879"/>
      <c r="L659" s="879"/>
      <c r="M659" s="879"/>
      <c r="N659" s="879"/>
      <c r="O659" s="879"/>
      <c r="P659" s="879"/>
      <c r="Q659" s="879"/>
      <c r="R659" s="879"/>
      <c r="S659" s="881"/>
      <c r="T659" s="879"/>
      <c r="U659" s="881"/>
      <c r="V659" s="881"/>
      <c r="W659" s="881"/>
      <c r="X659" s="881"/>
      <c r="Y659" s="881"/>
      <c r="Z659" s="881"/>
      <c r="AA659" s="881"/>
      <c r="AB659" s="881"/>
      <c r="AC659" s="879"/>
      <c r="AD659" s="879"/>
      <c r="AE659" s="879"/>
    </row>
    <row r="660" spans="1:31">
      <c r="A660" s="879"/>
      <c r="B660" s="879"/>
      <c r="C660" s="879"/>
      <c r="D660" s="879"/>
      <c r="E660" s="879"/>
      <c r="F660" s="879"/>
      <c r="G660" s="879"/>
      <c r="H660" s="879"/>
      <c r="I660" s="879"/>
      <c r="J660" s="879"/>
      <c r="K660" s="879"/>
      <c r="L660" s="879"/>
      <c r="M660" s="879"/>
      <c r="N660" s="879"/>
      <c r="O660" s="879"/>
      <c r="P660" s="879"/>
      <c r="Q660" s="879"/>
      <c r="R660" s="879"/>
      <c r="S660" s="881"/>
      <c r="T660" s="879"/>
      <c r="U660" s="881"/>
      <c r="V660" s="881"/>
      <c r="W660" s="881"/>
      <c r="X660" s="881"/>
      <c r="Y660" s="881"/>
      <c r="Z660" s="881"/>
      <c r="AA660" s="881"/>
      <c r="AB660" s="881"/>
      <c r="AC660" s="879"/>
      <c r="AD660" s="879"/>
      <c r="AE660" s="879"/>
    </row>
    <row r="661" spans="1:31">
      <c r="A661" s="879"/>
      <c r="B661" s="879"/>
      <c r="C661" s="879"/>
      <c r="D661" s="879"/>
      <c r="E661" s="879"/>
      <c r="F661" s="879"/>
      <c r="G661" s="879"/>
      <c r="H661" s="879"/>
      <c r="I661" s="879"/>
      <c r="J661" s="879"/>
      <c r="K661" s="879"/>
      <c r="L661" s="879"/>
      <c r="M661" s="879"/>
      <c r="N661" s="879"/>
      <c r="O661" s="879"/>
      <c r="P661" s="879"/>
      <c r="Q661" s="879"/>
      <c r="R661" s="879"/>
      <c r="S661" s="881"/>
      <c r="T661" s="879"/>
      <c r="U661" s="881"/>
      <c r="V661" s="881"/>
      <c r="W661" s="881"/>
      <c r="X661" s="881"/>
      <c r="Y661" s="881"/>
      <c r="Z661" s="881"/>
      <c r="AA661" s="881"/>
      <c r="AB661" s="881"/>
      <c r="AC661" s="879"/>
      <c r="AD661" s="879"/>
      <c r="AE661" s="879"/>
    </row>
    <row r="662" spans="1:31">
      <c r="A662" s="879"/>
      <c r="B662" s="879"/>
      <c r="C662" s="879"/>
      <c r="D662" s="879"/>
      <c r="E662" s="879"/>
      <c r="F662" s="879"/>
      <c r="G662" s="879"/>
      <c r="H662" s="879"/>
      <c r="I662" s="879"/>
      <c r="J662" s="879"/>
      <c r="K662" s="879"/>
      <c r="L662" s="879"/>
      <c r="M662" s="879"/>
      <c r="N662" s="879"/>
      <c r="O662" s="879"/>
      <c r="P662" s="879"/>
      <c r="Q662" s="879"/>
      <c r="R662" s="879"/>
      <c r="S662" s="881"/>
      <c r="T662" s="879"/>
      <c r="U662" s="881"/>
      <c r="V662" s="881"/>
      <c r="W662" s="881"/>
      <c r="X662" s="881"/>
      <c r="Y662" s="881"/>
      <c r="Z662" s="881"/>
      <c r="AA662" s="881"/>
      <c r="AB662" s="881"/>
      <c r="AC662" s="879"/>
      <c r="AD662" s="879"/>
      <c r="AE662" s="879"/>
    </row>
    <row r="663" spans="1:31">
      <c r="A663" s="879"/>
      <c r="B663" s="879"/>
      <c r="C663" s="879"/>
      <c r="D663" s="879"/>
      <c r="E663" s="879"/>
      <c r="F663" s="879"/>
      <c r="G663" s="879"/>
      <c r="H663" s="879"/>
      <c r="I663" s="879"/>
      <c r="J663" s="879"/>
      <c r="K663" s="879"/>
      <c r="L663" s="879"/>
      <c r="M663" s="879"/>
      <c r="N663" s="879"/>
      <c r="O663" s="879"/>
      <c r="P663" s="879"/>
      <c r="Q663" s="879"/>
      <c r="R663" s="879"/>
      <c r="S663" s="881"/>
      <c r="T663" s="879"/>
      <c r="U663" s="881"/>
      <c r="V663" s="881"/>
      <c r="W663" s="881"/>
      <c r="X663" s="881"/>
      <c r="Y663" s="881"/>
      <c r="Z663" s="881"/>
      <c r="AA663" s="881"/>
      <c r="AB663" s="881"/>
      <c r="AC663" s="879"/>
      <c r="AD663" s="879"/>
      <c r="AE663" s="879"/>
    </row>
    <row r="664" spans="1:31">
      <c r="A664" s="879"/>
      <c r="B664" s="879"/>
      <c r="C664" s="879"/>
      <c r="D664" s="879"/>
      <c r="E664" s="879"/>
      <c r="F664" s="879"/>
      <c r="G664" s="879"/>
      <c r="H664" s="879"/>
      <c r="I664" s="879"/>
      <c r="J664" s="879"/>
      <c r="K664" s="879"/>
      <c r="L664" s="879"/>
      <c r="M664" s="879"/>
      <c r="N664" s="879"/>
      <c r="O664" s="879"/>
      <c r="P664" s="879"/>
      <c r="Q664" s="879"/>
      <c r="R664" s="879"/>
      <c r="S664" s="881"/>
      <c r="T664" s="879"/>
      <c r="U664" s="881"/>
      <c r="V664" s="881"/>
      <c r="W664" s="881"/>
      <c r="X664" s="881"/>
      <c r="Y664" s="881"/>
      <c r="Z664" s="881"/>
      <c r="AA664" s="881"/>
      <c r="AB664" s="881"/>
      <c r="AC664" s="879"/>
      <c r="AD664" s="879"/>
      <c r="AE664" s="879"/>
    </row>
    <row r="665" spans="1:31">
      <c r="A665" s="879"/>
      <c r="B665" s="879"/>
      <c r="C665" s="879"/>
      <c r="D665" s="879"/>
      <c r="E665" s="879"/>
      <c r="F665" s="879"/>
      <c r="G665" s="879"/>
      <c r="H665" s="879"/>
      <c r="I665" s="879"/>
      <c r="J665" s="879"/>
      <c r="K665" s="879"/>
      <c r="L665" s="879"/>
      <c r="M665" s="879"/>
      <c r="N665" s="879"/>
      <c r="O665" s="879"/>
      <c r="P665" s="879"/>
      <c r="Q665" s="879"/>
      <c r="R665" s="879"/>
      <c r="S665" s="881"/>
      <c r="T665" s="879"/>
      <c r="U665" s="881"/>
      <c r="V665" s="881"/>
      <c r="W665" s="881"/>
      <c r="X665" s="881"/>
      <c r="Y665" s="881"/>
      <c r="Z665" s="881"/>
      <c r="AA665" s="881"/>
      <c r="AB665" s="881"/>
      <c r="AC665" s="879"/>
      <c r="AD665" s="879"/>
      <c r="AE665" s="879"/>
    </row>
    <row r="666" spans="1:31">
      <c r="A666" s="879"/>
      <c r="B666" s="879"/>
      <c r="C666" s="879"/>
      <c r="D666" s="879"/>
      <c r="E666" s="879"/>
      <c r="F666" s="879"/>
      <c r="G666" s="879"/>
      <c r="H666" s="879"/>
      <c r="I666" s="879"/>
      <c r="J666" s="879"/>
      <c r="K666" s="879"/>
      <c r="L666" s="879"/>
      <c r="M666" s="879"/>
      <c r="N666" s="879"/>
      <c r="O666" s="879"/>
      <c r="P666" s="879"/>
      <c r="Q666" s="879"/>
      <c r="R666" s="879"/>
      <c r="S666" s="881"/>
      <c r="T666" s="879"/>
      <c r="U666" s="881"/>
      <c r="V666" s="881"/>
      <c r="W666" s="881"/>
      <c r="X666" s="881"/>
      <c r="Y666" s="881"/>
      <c r="Z666" s="881"/>
      <c r="AA666" s="881"/>
      <c r="AB666" s="881"/>
      <c r="AC666" s="879"/>
      <c r="AD666" s="879"/>
      <c r="AE666" s="879"/>
    </row>
    <row r="667" spans="1:31">
      <c r="A667" s="879"/>
      <c r="B667" s="879"/>
      <c r="C667" s="879"/>
      <c r="D667" s="879"/>
      <c r="E667" s="879"/>
      <c r="F667" s="879"/>
      <c r="G667" s="879"/>
      <c r="H667" s="879"/>
      <c r="I667" s="879"/>
      <c r="J667" s="879"/>
      <c r="K667" s="879"/>
      <c r="L667" s="879"/>
      <c r="M667" s="879"/>
      <c r="N667" s="879"/>
      <c r="O667" s="879"/>
      <c r="P667" s="879"/>
      <c r="Q667" s="879"/>
      <c r="R667" s="879"/>
      <c r="S667" s="881"/>
      <c r="T667" s="879"/>
      <c r="U667" s="881"/>
      <c r="V667" s="881"/>
      <c r="W667" s="881"/>
      <c r="X667" s="881"/>
      <c r="Y667" s="881"/>
      <c r="Z667" s="881"/>
      <c r="AA667" s="881"/>
      <c r="AB667" s="881"/>
      <c r="AC667" s="879"/>
      <c r="AD667" s="879"/>
      <c r="AE667" s="879"/>
    </row>
    <row r="668" spans="1:31">
      <c r="A668" s="879"/>
      <c r="B668" s="879"/>
      <c r="C668" s="879"/>
      <c r="D668" s="879"/>
      <c r="E668" s="879"/>
      <c r="F668" s="879"/>
      <c r="G668" s="879"/>
      <c r="H668" s="879"/>
      <c r="I668" s="879"/>
      <c r="J668" s="879"/>
      <c r="K668" s="879"/>
      <c r="L668" s="879"/>
      <c r="M668" s="879"/>
      <c r="N668" s="879"/>
      <c r="O668" s="879"/>
      <c r="P668" s="879"/>
      <c r="Q668" s="879"/>
      <c r="R668" s="879"/>
      <c r="S668" s="881"/>
      <c r="T668" s="879"/>
      <c r="U668" s="881"/>
      <c r="V668" s="881"/>
      <c r="W668" s="881"/>
      <c r="X668" s="881"/>
      <c r="Y668" s="881"/>
      <c r="Z668" s="881"/>
      <c r="AA668" s="881"/>
      <c r="AB668" s="881"/>
      <c r="AC668" s="879"/>
      <c r="AD668" s="879"/>
      <c r="AE668" s="879"/>
    </row>
    <row r="669" spans="1:31">
      <c r="A669" s="879"/>
      <c r="B669" s="879"/>
      <c r="C669" s="879"/>
      <c r="D669" s="879"/>
      <c r="E669" s="879"/>
      <c r="F669" s="879"/>
      <c r="G669" s="879"/>
      <c r="H669" s="879"/>
      <c r="I669" s="879"/>
      <c r="J669" s="879"/>
      <c r="K669" s="879"/>
      <c r="L669" s="879"/>
      <c r="M669" s="879"/>
      <c r="N669" s="879"/>
      <c r="O669" s="879"/>
      <c r="P669" s="879"/>
      <c r="Q669" s="879"/>
      <c r="R669" s="879"/>
      <c r="S669" s="881"/>
      <c r="T669" s="879"/>
      <c r="U669" s="881"/>
      <c r="V669" s="881"/>
      <c r="W669" s="881"/>
      <c r="X669" s="881"/>
      <c r="Y669" s="881"/>
      <c r="Z669" s="881"/>
      <c r="AA669" s="881"/>
      <c r="AB669" s="881"/>
      <c r="AC669" s="879"/>
      <c r="AD669" s="879"/>
      <c r="AE669" s="879"/>
    </row>
    <row r="670" spans="1:31">
      <c r="A670" s="879"/>
      <c r="B670" s="879"/>
      <c r="C670" s="879"/>
      <c r="D670" s="879"/>
      <c r="E670" s="879"/>
      <c r="F670" s="879"/>
      <c r="G670" s="879"/>
      <c r="H670" s="879"/>
      <c r="I670" s="879"/>
      <c r="J670" s="879"/>
      <c r="K670" s="879"/>
      <c r="L670" s="879"/>
      <c r="M670" s="879"/>
      <c r="N670" s="879"/>
      <c r="O670" s="879"/>
      <c r="P670" s="879"/>
      <c r="Q670" s="879"/>
      <c r="R670" s="879"/>
      <c r="S670" s="881"/>
      <c r="T670" s="879"/>
      <c r="U670" s="881"/>
      <c r="V670" s="881"/>
      <c r="W670" s="881"/>
      <c r="X670" s="881"/>
      <c r="Y670" s="881"/>
      <c r="Z670" s="881"/>
      <c r="AA670" s="881"/>
      <c r="AB670" s="881"/>
      <c r="AC670" s="879"/>
      <c r="AD670" s="879"/>
      <c r="AE670" s="879"/>
    </row>
    <row r="671" spans="1:31">
      <c r="A671" s="879"/>
      <c r="B671" s="879"/>
      <c r="C671" s="879"/>
      <c r="D671" s="879"/>
      <c r="E671" s="879"/>
      <c r="F671" s="879"/>
      <c r="G671" s="879"/>
      <c r="H671" s="879"/>
      <c r="I671" s="879"/>
      <c r="J671" s="879"/>
      <c r="K671" s="879"/>
      <c r="L671" s="879"/>
      <c r="M671" s="879"/>
      <c r="N671" s="879"/>
      <c r="O671" s="879"/>
      <c r="P671" s="879"/>
      <c r="Q671" s="879"/>
      <c r="R671" s="879"/>
      <c r="S671" s="881"/>
      <c r="T671" s="879"/>
      <c r="U671" s="881"/>
      <c r="V671" s="881"/>
      <c r="W671" s="881"/>
      <c r="X671" s="881"/>
      <c r="Y671" s="881"/>
      <c r="Z671" s="881"/>
      <c r="AA671" s="881"/>
      <c r="AB671" s="881"/>
      <c r="AC671" s="879"/>
      <c r="AD671" s="879"/>
      <c r="AE671" s="879"/>
    </row>
    <row r="672" spans="1:31">
      <c r="A672" s="879"/>
      <c r="B672" s="879"/>
      <c r="C672" s="879"/>
      <c r="D672" s="879"/>
      <c r="E672" s="879"/>
      <c r="F672" s="879"/>
      <c r="G672" s="879"/>
      <c r="H672" s="879"/>
      <c r="I672" s="879"/>
      <c r="J672" s="879"/>
      <c r="K672" s="879"/>
      <c r="L672" s="879"/>
      <c r="M672" s="879"/>
      <c r="N672" s="879"/>
      <c r="O672" s="879"/>
      <c r="P672" s="879"/>
      <c r="Q672" s="879"/>
      <c r="R672" s="879"/>
      <c r="S672" s="881"/>
      <c r="T672" s="879"/>
      <c r="U672" s="881"/>
      <c r="V672" s="881"/>
      <c r="W672" s="881"/>
      <c r="X672" s="881"/>
      <c r="Y672" s="881"/>
      <c r="Z672" s="881"/>
      <c r="AA672" s="881"/>
      <c r="AB672" s="881"/>
      <c r="AC672" s="879"/>
      <c r="AD672" s="879"/>
      <c r="AE672" s="879"/>
    </row>
    <row r="673" spans="1:31">
      <c r="A673" s="879"/>
      <c r="B673" s="879"/>
      <c r="C673" s="879"/>
      <c r="D673" s="879"/>
      <c r="E673" s="879"/>
      <c r="F673" s="879"/>
      <c r="G673" s="879"/>
      <c r="H673" s="879"/>
      <c r="I673" s="879"/>
      <c r="J673" s="879"/>
      <c r="K673" s="879"/>
      <c r="L673" s="879"/>
      <c r="M673" s="879"/>
      <c r="N673" s="879"/>
      <c r="O673" s="879"/>
      <c r="P673" s="879"/>
      <c r="Q673" s="879"/>
      <c r="R673" s="879"/>
      <c r="S673" s="881"/>
      <c r="T673" s="879"/>
      <c r="U673" s="881"/>
      <c r="V673" s="881"/>
      <c r="W673" s="881"/>
      <c r="X673" s="881"/>
      <c r="Y673" s="881"/>
      <c r="Z673" s="881"/>
      <c r="AA673" s="881"/>
      <c r="AB673" s="881"/>
      <c r="AC673" s="879"/>
      <c r="AD673" s="879"/>
      <c r="AE673" s="879"/>
    </row>
    <row r="674" spans="1:31">
      <c r="A674" s="879"/>
      <c r="B674" s="879"/>
      <c r="C674" s="879"/>
      <c r="D674" s="879"/>
      <c r="E674" s="879"/>
      <c r="F674" s="879"/>
      <c r="G674" s="879"/>
      <c r="H674" s="879"/>
      <c r="I674" s="879"/>
      <c r="J674" s="879"/>
      <c r="K674" s="879"/>
      <c r="L674" s="879"/>
      <c r="M674" s="879"/>
      <c r="N674" s="879"/>
      <c r="O674" s="879"/>
      <c r="P674" s="879"/>
      <c r="Q674" s="879"/>
      <c r="R674" s="879"/>
      <c r="S674" s="881"/>
      <c r="T674" s="879"/>
      <c r="U674" s="881"/>
      <c r="V674" s="881"/>
      <c r="W674" s="881"/>
      <c r="X674" s="881"/>
      <c r="Y674" s="881"/>
      <c r="Z674" s="881"/>
      <c r="AA674" s="881"/>
      <c r="AB674" s="881"/>
      <c r="AC674" s="879"/>
      <c r="AD674" s="879"/>
      <c r="AE674" s="879"/>
    </row>
    <row r="675" spans="1:31">
      <c r="A675" s="879"/>
      <c r="B675" s="879"/>
      <c r="C675" s="879"/>
      <c r="D675" s="879"/>
      <c r="E675" s="879"/>
      <c r="F675" s="879"/>
      <c r="G675" s="879"/>
      <c r="H675" s="879"/>
      <c r="I675" s="879"/>
      <c r="J675" s="879"/>
      <c r="K675" s="879"/>
      <c r="L675" s="879"/>
      <c r="M675" s="879"/>
      <c r="N675" s="879"/>
      <c r="O675" s="879"/>
      <c r="P675" s="879"/>
      <c r="Q675" s="879"/>
      <c r="R675" s="879"/>
      <c r="S675" s="881"/>
      <c r="T675" s="879"/>
      <c r="U675" s="881"/>
      <c r="V675" s="881"/>
      <c r="W675" s="881"/>
      <c r="X675" s="881"/>
      <c r="Y675" s="881"/>
      <c r="Z675" s="881"/>
      <c r="AA675" s="881"/>
      <c r="AB675" s="881"/>
      <c r="AC675" s="879"/>
      <c r="AD675" s="879"/>
      <c r="AE675" s="879"/>
    </row>
    <row r="676" spans="1:31">
      <c r="A676" s="879"/>
      <c r="B676" s="879"/>
      <c r="C676" s="879"/>
      <c r="D676" s="879"/>
      <c r="E676" s="879"/>
      <c r="F676" s="879"/>
      <c r="G676" s="879"/>
      <c r="H676" s="879"/>
      <c r="I676" s="879"/>
      <c r="J676" s="879"/>
      <c r="K676" s="879"/>
      <c r="L676" s="879"/>
      <c r="M676" s="879"/>
      <c r="N676" s="879"/>
      <c r="O676" s="879"/>
      <c r="P676" s="879"/>
      <c r="Q676" s="879"/>
      <c r="R676" s="879"/>
      <c r="S676" s="881"/>
      <c r="T676" s="879"/>
      <c r="U676" s="881"/>
      <c r="V676" s="881"/>
      <c r="W676" s="881"/>
      <c r="X676" s="881"/>
      <c r="Y676" s="881"/>
      <c r="Z676" s="881"/>
      <c r="AA676" s="881"/>
      <c r="AB676" s="881"/>
      <c r="AC676" s="879"/>
      <c r="AD676" s="879"/>
      <c r="AE676" s="879"/>
    </row>
    <row r="677" spans="1:31">
      <c r="A677" s="879"/>
      <c r="B677" s="879"/>
      <c r="C677" s="879"/>
      <c r="D677" s="879"/>
      <c r="E677" s="879"/>
      <c r="F677" s="879"/>
      <c r="G677" s="879"/>
      <c r="H677" s="879"/>
      <c r="I677" s="879"/>
      <c r="J677" s="879"/>
      <c r="K677" s="879"/>
      <c r="L677" s="879"/>
      <c r="M677" s="879"/>
      <c r="N677" s="879"/>
      <c r="O677" s="879"/>
      <c r="P677" s="879"/>
      <c r="Q677" s="879"/>
      <c r="R677" s="879"/>
      <c r="S677" s="881"/>
      <c r="T677" s="879"/>
      <c r="U677" s="881"/>
      <c r="V677" s="881"/>
      <c r="W677" s="881"/>
      <c r="X677" s="881"/>
      <c r="Y677" s="881"/>
      <c r="Z677" s="881"/>
      <c r="AA677" s="881"/>
      <c r="AB677" s="881"/>
      <c r="AC677" s="879"/>
      <c r="AD677" s="879"/>
      <c r="AE677" s="879"/>
    </row>
    <row r="678" spans="1:31">
      <c r="A678" s="879"/>
      <c r="B678" s="879"/>
      <c r="C678" s="879"/>
      <c r="D678" s="879"/>
      <c r="E678" s="879"/>
      <c r="F678" s="879"/>
      <c r="G678" s="879"/>
      <c r="H678" s="879"/>
      <c r="I678" s="879"/>
      <c r="J678" s="879"/>
      <c r="K678" s="879"/>
      <c r="L678" s="879"/>
      <c r="M678" s="879"/>
      <c r="N678" s="879"/>
      <c r="O678" s="879"/>
      <c r="P678" s="879"/>
      <c r="Q678" s="879"/>
      <c r="R678" s="879"/>
      <c r="S678" s="881"/>
      <c r="T678" s="879"/>
      <c r="U678" s="881"/>
      <c r="V678" s="881"/>
      <c r="W678" s="881"/>
      <c r="X678" s="881"/>
      <c r="Y678" s="881"/>
      <c r="Z678" s="881"/>
      <c r="AA678" s="881"/>
      <c r="AB678" s="881"/>
      <c r="AC678" s="879"/>
      <c r="AD678" s="879"/>
      <c r="AE678" s="879"/>
    </row>
    <row r="679" spans="1:31">
      <c r="A679" s="879"/>
      <c r="B679" s="879"/>
      <c r="C679" s="879"/>
      <c r="D679" s="879"/>
      <c r="E679" s="879"/>
      <c r="F679" s="879"/>
      <c r="G679" s="879"/>
      <c r="H679" s="879"/>
      <c r="I679" s="879"/>
      <c r="J679" s="879"/>
      <c r="K679" s="879"/>
      <c r="L679" s="879"/>
      <c r="M679" s="879"/>
      <c r="N679" s="879"/>
      <c r="O679" s="879"/>
      <c r="P679" s="879"/>
      <c r="Q679" s="879"/>
      <c r="R679" s="879"/>
      <c r="S679" s="881"/>
      <c r="T679" s="879"/>
      <c r="U679" s="881"/>
      <c r="V679" s="881"/>
      <c r="W679" s="881"/>
      <c r="X679" s="881"/>
      <c r="Y679" s="881"/>
      <c r="Z679" s="881"/>
      <c r="AA679" s="881"/>
      <c r="AB679" s="881"/>
      <c r="AC679" s="879"/>
      <c r="AD679" s="879"/>
      <c r="AE679" s="879"/>
    </row>
    <row r="680" spans="1:31">
      <c r="A680" s="879"/>
      <c r="B680" s="879"/>
      <c r="C680" s="879"/>
      <c r="D680" s="879"/>
      <c r="E680" s="879"/>
      <c r="F680" s="879"/>
      <c r="G680" s="879"/>
      <c r="H680" s="879"/>
      <c r="I680" s="879"/>
      <c r="J680" s="879"/>
      <c r="K680" s="879"/>
      <c r="L680" s="879"/>
      <c r="M680" s="879"/>
      <c r="N680" s="879"/>
      <c r="O680" s="879"/>
      <c r="P680" s="879"/>
      <c r="Q680" s="879"/>
      <c r="R680" s="879"/>
      <c r="S680" s="881"/>
      <c r="T680" s="879"/>
      <c r="U680" s="881"/>
      <c r="V680" s="881"/>
      <c r="W680" s="881"/>
      <c r="X680" s="881"/>
      <c r="Y680" s="881"/>
      <c r="Z680" s="881"/>
      <c r="AA680" s="881"/>
      <c r="AB680" s="881"/>
      <c r="AC680" s="879"/>
      <c r="AD680" s="879"/>
      <c r="AE680" s="879"/>
    </row>
    <row r="681" spans="1:31">
      <c r="A681" s="879"/>
      <c r="B681" s="879"/>
      <c r="C681" s="879"/>
      <c r="D681" s="879"/>
      <c r="E681" s="879"/>
      <c r="F681" s="879"/>
      <c r="G681" s="879"/>
      <c r="H681" s="879"/>
      <c r="I681" s="879"/>
      <c r="J681" s="879"/>
      <c r="K681" s="879"/>
      <c r="L681" s="879"/>
      <c r="M681" s="879"/>
      <c r="N681" s="879"/>
      <c r="O681" s="879"/>
      <c r="P681" s="879"/>
      <c r="Q681" s="879"/>
      <c r="R681" s="879"/>
      <c r="S681" s="881"/>
      <c r="T681" s="879"/>
      <c r="U681" s="881"/>
      <c r="V681" s="881"/>
      <c r="W681" s="881"/>
      <c r="X681" s="881"/>
      <c r="Y681" s="881"/>
      <c r="Z681" s="881"/>
      <c r="AA681" s="881"/>
      <c r="AB681" s="881"/>
      <c r="AC681" s="879"/>
      <c r="AD681" s="879"/>
      <c r="AE681" s="879"/>
    </row>
    <row r="682" spans="1:31">
      <c r="A682" s="879"/>
      <c r="B682" s="879"/>
      <c r="C682" s="879"/>
      <c r="D682" s="879"/>
      <c r="E682" s="879"/>
      <c r="F682" s="879"/>
      <c r="G682" s="879"/>
      <c r="H682" s="879"/>
      <c r="I682" s="879"/>
      <c r="J682" s="879"/>
      <c r="K682" s="879"/>
      <c r="L682" s="879"/>
      <c r="M682" s="879"/>
      <c r="N682" s="879"/>
      <c r="O682" s="879"/>
      <c r="P682" s="879"/>
      <c r="Q682" s="879"/>
      <c r="R682" s="879"/>
      <c r="S682" s="881"/>
      <c r="T682" s="879"/>
      <c r="U682" s="881"/>
      <c r="V682" s="881"/>
      <c r="W682" s="881"/>
      <c r="X682" s="881"/>
      <c r="Y682" s="881"/>
      <c r="Z682" s="881"/>
      <c r="AA682" s="881"/>
      <c r="AB682" s="881"/>
      <c r="AC682" s="879"/>
      <c r="AD682" s="879"/>
      <c r="AE682" s="879"/>
    </row>
    <row r="683" spans="1:31">
      <c r="A683" s="879"/>
      <c r="B683" s="879"/>
      <c r="C683" s="879"/>
      <c r="D683" s="879"/>
      <c r="E683" s="879"/>
      <c r="F683" s="879"/>
      <c r="G683" s="879"/>
      <c r="H683" s="879"/>
      <c r="I683" s="879"/>
      <c r="J683" s="879"/>
      <c r="K683" s="879"/>
      <c r="L683" s="879"/>
      <c r="M683" s="879"/>
      <c r="N683" s="879"/>
      <c r="O683" s="879"/>
      <c r="P683" s="879"/>
      <c r="Q683" s="879"/>
      <c r="R683" s="879"/>
      <c r="S683" s="881"/>
      <c r="T683" s="879"/>
      <c r="U683" s="881"/>
      <c r="V683" s="881"/>
      <c r="W683" s="881"/>
      <c r="X683" s="881"/>
      <c r="Y683" s="881"/>
      <c r="Z683" s="881"/>
      <c r="AA683" s="881"/>
      <c r="AB683" s="881"/>
      <c r="AC683" s="879"/>
      <c r="AD683" s="879"/>
      <c r="AE683" s="879"/>
    </row>
    <row r="684" spans="1:31">
      <c r="A684" s="879"/>
      <c r="B684" s="879"/>
      <c r="C684" s="879"/>
      <c r="D684" s="879"/>
      <c r="E684" s="879"/>
      <c r="F684" s="879"/>
      <c r="G684" s="879"/>
      <c r="H684" s="879"/>
      <c r="I684" s="879"/>
      <c r="J684" s="879"/>
      <c r="K684" s="879"/>
      <c r="L684" s="879"/>
      <c r="M684" s="879"/>
      <c r="N684" s="879"/>
      <c r="O684" s="879"/>
      <c r="P684" s="879"/>
      <c r="Q684" s="879"/>
      <c r="R684" s="879"/>
      <c r="S684" s="881"/>
      <c r="T684" s="879"/>
      <c r="U684" s="881"/>
      <c r="V684" s="881"/>
      <c r="W684" s="881"/>
      <c r="X684" s="881"/>
      <c r="Y684" s="881"/>
      <c r="Z684" s="881"/>
      <c r="AA684" s="881"/>
      <c r="AB684" s="881"/>
      <c r="AC684" s="879"/>
      <c r="AD684" s="879"/>
      <c r="AE684" s="879"/>
    </row>
    <row r="685" spans="1:31">
      <c r="A685" s="879"/>
      <c r="B685" s="879"/>
      <c r="C685" s="879"/>
      <c r="D685" s="879"/>
      <c r="E685" s="879"/>
      <c r="F685" s="879"/>
      <c r="G685" s="879"/>
      <c r="H685" s="879"/>
      <c r="I685" s="879"/>
      <c r="J685" s="879"/>
      <c r="K685" s="879"/>
      <c r="L685" s="879"/>
      <c r="M685" s="879"/>
      <c r="N685" s="879"/>
      <c r="O685" s="879"/>
      <c r="P685" s="879"/>
      <c r="Q685" s="879"/>
      <c r="R685" s="879"/>
      <c r="S685" s="881"/>
      <c r="T685" s="879"/>
      <c r="U685" s="881"/>
      <c r="V685" s="881"/>
      <c r="W685" s="881"/>
      <c r="X685" s="881"/>
      <c r="Y685" s="881"/>
      <c r="Z685" s="881"/>
      <c r="AA685" s="881"/>
      <c r="AB685" s="881"/>
      <c r="AC685" s="879"/>
      <c r="AD685" s="879"/>
      <c r="AE685" s="879"/>
    </row>
    <row r="686" spans="1:31">
      <c r="A686" s="879"/>
      <c r="B686" s="879"/>
      <c r="C686" s="879"/>
      <c r="D686" s="879"/>
      <c r="E686" s="879"/>
      <c r="F686" s="879"/>
      <c r="G686" s="879"/>
      <c r="H686" s="879"/>
      <c r="I686" s="879"/>
      <c r="J686" s="879"/>
      <c r="K686" s="879"/>
      <c r="L686" s="879"/>
      <c r="M686" s="879"/>
      <c r="N686" s="879"/>
      <c r="O686" s="879"/>
      <c r="P686" s="879"/>
      <c r="Q686" s="879"/>
      <c r="R686" s="879"/>
      <c r="S686" s="881"/>
      <c r="T686" s="879"/>
      <c r="U686" s="881"/>
      <c r="V686" s="881"/>
      <c r="W686" s="881"/>
      <c r="X686" s="881"/>
      <c r="Y686" s="881"/>
      <c r="Z686" s="881"/>
      <c r="AA686" s="881"/>
      <c r="AB686" s="881"/>
      <c r="AC686" s="879"/>
      <c r="AD686" s="879"/>
      <c r="AE686" s="879"/>
    </row>
    <row r="687" spans="1:31">
      <c r="A687" s="879"/>
      <c r="B687" s="879"/>
      <c r="C687" s="879"/>
      <c r="D687" s="879"/>
      <c r="E687" s="879"/>
      <c r="F687" s="879"/>
      <c r="G687" s="879"/>
      <c r="H687" s="879"/>
      <c r="I687" s="879"/>
      <c r="J687" s="879"/>
      <c r="K687" s="879"/>
      <c r="L687" s="879"/>
      <c r="M687" s="879"/>
      <c r="N687" s="879"/>
      <c r="O687" s="879"/>
      <c r="P687" s="879"/>
      <c r="Q687" s="879"/>
      <c r="R687" s="879"/>
      <c r="S687" s="881"/>
      <c r="T687" s="879"/>
      <c r="U687" s="881"/>
      <c r="V687" s="881"/>
      <c r="W687" s="881"/>
      <c r="X687" s="881"/>
      <c r="Y687" s="881"/>
      <c r="Z687" s="881"/>
      <c r="AA687" s="881"/>
      <c r="AB687" s="881"/>
      <c r="AC687" s="879"/>
      <c r="AD687" s="879"/>
      <c r="AE687" s="879"/>
    </row>
    <row r="688" spans="1:31">
      <c r="A688" s="879"/>
      <c r="B688" s="879"/>
      <c r="C688" s="879"/>
      <c r="D688" s="879"/>
      <c r="E688" s="879"/>
      <c r="F688" s="879"/>
      <c r="G688" s="879"/>
      <c r="H688" s="879"/>
      <c r="I688" s="879"/>
      <c r="J688" s="879"/>
      <c r="K688" s="879"/>
      <c r="L688" s="879"/>
      <c r="M688" s="879"/>
      <c r="N688" s="879"/>
      <c r="O688" s="879"/>
      <c r="P688" s="879"/>
      <c r="Q688" s="879"/>
      <c r="R688" s="879"/>
      <c r="S688" s="881"/>
      <c r="T688" s="879"/>
      <c r="U688" s="881"/>
      <c r="V688" s="881"/>
      <c r="W688" s="881"/>
      <c r="X688" s="881"/>
      <c r="Y688" s="881"/>
      <c r="Z688" s="881"/>
      <c r="AA688" s="881"/>
      <c r="AB688" s="881"/>
      <c r="AC688" s="879"/>
      <c r="AD688" s="879"/>
      <c r="AE688" s="879"/>
    </row>
    <row r="689" spans="1:31">
      <c r="A689" s="879"/>
      <c r="B689" s="879"/>
      <c r="C689" s="879"/>
      <c r="D689" s="879"/>
      <c r="E689" s="879"/>
      <c r="F689" s="879"/>
      <c r="G689" s="879"/>
      <c r="H689" s="879"/>
      <c r="I689" s="879"/>
      <c r="J689" s="879"/>
      <c r="K689" s="879"/>
      <c r="L689" s="879"/>
      <c r="M689" s="879"/>
      <c r="N689" s="879"/>
      <c r="O689" s="879"/>
      <c r="P689" s="879"/>
      <c r="Q689" s="879"/>
      <c r="R689" s="879"/>
      <c r="S689" s="881"/>
      <c r="T689" s="879"/>
      <c r="U689" s="881"/>
      <c r="V689" s="881"/>
      <c r="W689" s="881"/>
      <c r="X689" s="881"/>
      <c r="Y689" s="881"/>
      <c r="Z689" s="881"/>
      <c r="AA689" s="881"/>
      <c r="AB689" s="881"/>
      <c r="AC689" s="879"/>
      <c r="AD689" s="879"/>
      <c r="AE689" s="879"/>
    </row>
    <row r="690" spans="1:31">
      <c r="A690" s="879"/>
      <c r="B690" s="879"/>
      <c r="C690" s="879"/>
      <c r="D690" s="879"/>
      <c r="E690" s="879"/>
      <c r="F690" s="879"/>
      <c r="G690" s="879"/>
      <c r="H690" s="879"/>
      <c r="I690" s="879"/>
      <c r="J690" s="879"/>
      <c r="K690" s="879"/>
      <c r="L690" s="879"/>
      <c r="M690" s="879"/>
      <c r="N690" s="879"/>
      <c r="O690" s="879"/>
      <c r="P690" s="879"/>
      <c r="Q690" s="879"/>
      <c r="R690" s="879"/>
      <c r="S690" s="881"/>
      <c r="T690" s="879"/>
      <c r="U690" s="881"/>
      <c r="V690" s="881"/>
      <c r="W690" s="881"/>
      <c r="X690" s="881"/>
      <c r="Y690" s="881"/>
      <c r="Z690" s="881"/>
      <c r="AA690" s="881"/>
      <c r="AB690" s="881"/>
      <c r="AC690" s="879"/>
      <c r="AD690" s="879"/>
      <c r="AE690" s="879"/>
    </row>
    <row r="691" spans="1:31">
      <c r="A691" s="879"/>
      <c r="B691" s="879"/>
      <c r="C691" s="879"/>
      <c r="D691" s="879"/>
      <c r="E691" s="879"/>
      <c r="F691" s="879"/>
      <c r="G691" s="879"/>
      <c r="H691" s="879"/>
      <c r="I691" s="879"/>
      <c r="J691" s="879"/>
      <c r="K691" s="879"/>
      <c r="L691" s="879"/>
      <c r="M691" s="879"/>
      <c r="N691" s="879"/>
      <c r="O691" s="879"/>
      <c r="P691" s="879"/>
      <c r="Q691" s="879"/>
      <c r="R691" s="879"/>
      <c r="S691" s="881"/>
      <c r="T691" s="879"/>
      <c r="U691" s="881"/>
      <c r="V691" s="881"/>
      <c r="W691" s="881"/>
      <c r="X691" s="881"/>
      <c r="Y691" s="881"/>
      <c r="Z691" s="881"/>
      <c r="AA691" s="881"/>
      <c r="AB691" s="881"/>
      <c r="AC691" s="879"/>
      <c r="AD691" s="879"/>
      <c r="AE691" s="879"/>
    </row>
    <row r="692" spans="1:31">
      <c r="A692" s="879"/>
      <c r="B692" s="879"/>
      <c r="C692" s="879"/>
      <c r="D692" s="879"/>
      <c r="E692" s="879"/>
      <c r="F692" s="879"/>
      <c r="G692" s="879"/>
      <c r="H692" s="879"/>
      <c r="I692" s="879"/>
      <c r="J692" s="879"/>
      <c r="K692" s="879"/>
      <c r="L692" s="879"/>
      <c r="M692" s="879"/>
      <c r="N692" s="879"/>
      <c r="O692" s="879"/>
      <c r="P692" s="879"/>
      <c r="Q692" s="879"/>
      <c r="R692" s="879"/>
      <c r="S692" s="881"/>
      <c r="T692" s="879"/>
      <c r="U692" s="881"/>
      <c r="V692" s="881"/>
      <c r="W692" s="881"/>
      <c r="X692" s="881"/>
      <c r="Y692" s="881"/>
      <c r="Z692" s="881"/>
      <c r="AA692" s="881"/>
      <c r="AB692" s="881"/>
      <c r="AC692" s="879"/>
      <c r="AD692" s="879"/>
      <c r="AE692" s="879"/>
    </row>
    <row r="693" spans="1:31">
      <c r="A693" s="879"/>
      <c r="B693" s="879"/>
      <c r="C693" s="879"/>
      <c r="D693" s="879"/>
      <c r="E693" s="879"/>
      <c r="F693" s="879"/>
      <c r="G693" s="879"/>
      <c r="H693" s="879"/>
      <c r="I693" s="879"/>
      <c r="J693" s="879"/>
      <c r="K693" s="879"/>
      <c r="L693" s="879"/>
      <c r="M693" s="879"/>
      <c r="N693" s="879"/>
      <c r="O693" s="879"/>
      <c r="P693" s="879"/>
      <c r="Q693" s="879"/>
      <c r="R693" s="879"/>
      <c r="S693" s="881"/>
      <c r="T693" s="879"/>
      <c r="U693" s="881"/>
      <c r="V693" s="881"/>
      <c r="W693" s="881"/>
      <c r="X693" s="881"/>
      <c r="Y693" s="881"/>
      <c r="Z693" s="881"/>
      <c r="AA693" s="881"/>
      <c r="AB693" s="881"/>
      <c r="AC693" s="879"/>
      <c r="AD693" s="879"/>
      <c r="AE693" s="879"/>
    </row>
    <row r="694" spans="1:31">
      <c r="A694" s="879"/>
      <c r="B694" s="879"/>
      <c r="C694" s="879"/>
      <c r="D694" s="879"/>
      <c r="E694" s="879"/>
      <c r="F694" s="879"/>
      <c r="G694" s="879"/>
      <c r="H694" s="879"/>
      <c r="I694" s="879"/>
      <c r="J694" s="879"/>
      <c r="K694" s="879"/>
      <c r="L694" s="879"/>
      <c r="M694" s="879"/>
      <c r="N694" s="879"/>
      <c r="O694" s="879"/>
      <c r="P694" s="879"/>
      <c r="Q694" s="879"/>
      <c r="R694" s="879"/>
      <c r="S694" s="881"/>
      <c r="T694" s="879"/>
      <c r="U694" s="881"/>
      <c r="V694" s="881"/>
      <c r="W694" s="881"/>
      <c r="X694" s="881"/>
      <c r="Y694" s="881"/>
      <c r="Z694" s="881"/>
      <c r="AA694" s="881"/>
      <c r="AB694" s="881"/>
      <c r="AC694" s="879"/>
      <c r="AD694" s="879"/>
      <c r="AE694" s="879"/>
    </row>
    <row r="695" spans="1:31">
      <c r="A695" s="879"/>
      <c r="B695" s="879"/>
      <c r="C695" s="879"/>
      <c r="D695" s="879"/>
      <c r="E695" s="879"/>
      <c r="F695" s="879"/>
      <c r="G695" s="879"/>
      <c r="H695" s="879"/>
      <c r="I695" s="879"/>
      <c r="J695" s="879"/>
      <c r="K695" s="879"/>
      <c r="L695" s="879"/>
      <c r="M695" s="879"/>
      <c r="N695" s="879"/>
      <c r="O695" s="879"/>
      <c r="P695" s="879"/>
      <c r="Q695" s="879"/>
      <c r="R695" s="879"/>
      <c r="S695" s="881"/>
      <c r="T695" s="879"/>
      <c r="U695" s="881"/>
      <c r="V695" s="881"/>
      <c r="W695" s="881"/>
      <c r="X695" s="881"/>
      <c r="Y695" s="881"/>
      <c r="Z695" s="881"/>
      <c r="AA695" s="881"/>
      <c r="AB695" s="881"/>
      <c r="AC695" s="879"/>
      <c r="AD695" s="879"/>
      <c r="AE695" s="879"/>
    </row>
    <row r="696" spans="1:31">
      <c r="A696" s="879"/>
      <c r="B696" s="879"/>
      <c r="C696" s="879"/>
      <c r="D696" s="879"/>
      <c r="E696" s="879"/>
      <c r="F696" s="879"/>
      <c r="G696" s="879"/>
      <c r="H696" s="879"/>
      <c r="I696" s="879"/>
      <c r="J696" s="879"/>
      <c r="K696" s="879"/>
      <c r="L696" s="879"/>
      <c r="M696" s="879"/>
      <c r="N696" s="879"/>
      <c r="O696" s="879"/>
      <c r="P696" s="879"/>
      <c r="Q696" s="879"/>
      <c r="R696" s="879"/>
      <c r="S696" s="881"/>
      <c r="T696" s="879"/>
      <c r="U696" s="881"/>
      <c r="V696" s="881"/>
      <c r="W696" s="881"/>
      <c r="X696" s="881"/>
      <c r="Y696" s="881"/>
      <c r="Z696" s="881"/>
      <c r="AA696" s="881"/>
      <c r="AB696" s="881"/>
      <c r="AC696" s="879"/>
      <c r="AD696" s="879"/>
      <c r="AE696" s="879"/>
    </row>
    <row r="697" spans="1:31">
      <c r="A697" s="879"/>
      <c r="B697" s="879"/>
      <c r="C697" s="879"/>
      <c r="D697" s="879"/>
      <c r="E697" s="879"/>
      <c r="F697" s="879"/>
      <c r="G697" s="879"/>
      <c r="H697" s="879"/>
      <c r="I697" s="879"/>
      <c r="J697" s="879"/>
      <c r="K697" s="879"/>
      <c r="L697" s="879"/>
      <c r="M697" s="879"/>
      <c r="N697" s="879"/>
      <c r="O697" s="879"/>
      <c r="P697" s="879"/>
      <c r="Q697" s="879"/>
      <c r="R697" s="879"/>
      <c r="S697" s="881"/>
      <c r="T697" s="879"/>
      <c r="U697" s="881"/>
      <c r="V697" s="881"/>
      <c r="W697" s="881"/>
      <c r="X697" s="881"/>
      <c r="Y697" s="881"/>
      <c r="Z697" s="881"/>
      <c r="AA697" s="881"/>
      <c r="AB697" s="881"/>
      <c r="AC697" s="879"/>
      <c r="AD697" s="879"/>
      <c r="AE697" s="879"/>
    </row>
    <row r="698" spans="1:31">
      <c r="A698" s="879"/>
      <c r="B698" s="879"/>
      <c r="C698" s="879"/>
      <c r="D698" s="879"/>
      <c r="E698" s="879"/>
      <c r="F698" s="879"/>
      <c r="G698" s="879"/>
      <c r="H698" s="879"/>
      <c r="I698" s="879"/>
      <c r="J698" s="879"/>
      <c r="K698" s="879"/>
      <c r="L698" s="879"/>
      <c r="M698" s="879"/>
      <c r="N698" s="879"/>
      <c r="O698" s="879"/>
      <c r="P698" s="879"/>
      <c r="Q698" s="879"/>
      <c r="R698" s="879"/>
      <c r="S698" s="881"/>
      <c r="T698" s="879"/>
      <c r="U698" s="881"/>
      <c r="V698" s="881"/>
      <c r="W698" s="881"/>
      <c r="X698" s="881"/>
      <c r="Y698" s="881"/>
      <c r="Z698" s="881"/>
      <c r="AA698" s="881"/>
      <c r="AB698" s="881"/>
      <c r="AC698" s="879"/>
      <c r="AD698" s="879"/>
      <c r="AE698" s="879"/>
    </row>
    <row r="699" spans="1:31">
      <c r="A699" s="879"/>
      <c r="B699" s="879"/>
      <c r="C699" s="879"/>
      <c r="D699" s="879"/>
      <c r="E699" s="879"/>
      <c r="F699" s="879"/>
      <c r="G699" s="879"/>
      <c r="H699" s="879"/>
      <c r="I699" s="879"/>
      <c r="J699" s="879"/>
      <c r="K699" s="879"/>
      <c r="L699" s="879"/>
      <c r="M699" s="879"/>
      <c r="N699" s="879"/>
      <c r="O699" s="879"/>
      <c r="P699" s="879"/>
      <c r="Q699" s="879"/>
      <c r="R699" s="879"/>
      <c r="S699" s="881"/>
      <c r="T699" s="879"/>
      <c r="U699" s="881"/>
      <c r="V699" s="881"/>
      <c r="W699" s="881"/>
      <c r="X699" s="881"/>
      <c r="Y699" s="881"/>
      <c r="Z699" s="881"/>
      <c r="AA699" s="881"/>
      <c r="AB699" s="881"/>
      <c r="AC699" s="879"/>
      <c r="AD699" s="879"/>
      <c r="AE699" s="879"/>
    </row>
    <row r="700" spans="1:31">
      <c r="A700" s="879"/>
      <c r="B700" s="879"/>
      <c r="C700" s="879"/>
      <c r="D700" s="879"/>
      <c r="E700" s="879"/>
      <c r="F700" s="879"/>
      <c r="G700" s="879"/>
      <c r="H700" s="879"/>
      <c r="I700" s="879"/>
      <c r="J700" s="879"/>
      <c r="K700" s="879"/>
      <c r="L700" s="879"/>
      <c r="M700" s="879"/>
      <c r="N700" s="879"/>
      <c r="O700" s="879"/>
      <c r="P700" s="879"/>
      <c r="Q700" s="879"/>
      <c r="R700" s="879"/>
      <c r="S700" s="881"/>
      <c r="T700" s="879"/>
      <c r="U700" s="881"/>
      <c r="V700" s="881"/>
      <c r="W700" s="881"/>
      <c r="X700" s="881"/>
      <c r="Y700" s="881"/>
      <c r="Z700" s="881"/>
      <c r="AA700" s="881"/>
      <c r="AB700" s="881"/>
      <c r="AC700" s="879"/>
      <c r="AD700" s="879"/>
      <c r="AE700" s="879"/>
    </row>
    <row r="701" spans="1:31">
      <c r="A701" s="879"/>
      <c r="B701" s="879"/>
      <c r="C701" s="879"/>
      <c r="D701" s="879"/>
      <c r="E701" s="879"/>
      <c r="F701" s="879"/>
      <c r="G701" s="879"/>
      <c r="H701" s="879"/>
      <c r="I701" s="879"/>
      <c r="J701" s="879"/>
      <c r="K701" s="879"/>
      <c r="L701" s="879"/>
      <c r="M701" s="879"/>
      <c r="N701" s="879"/>
      <c r="O701" s="879"/>
      <c r="P701" s="879"/>
      <c r="Q701" s="879"/>
      <c r="R701" s="879"/>
      <c r="S701" s="881"/>
      <c r="T701" s="879"/>
      <c r="U701" s="881"/>
      <c r="V701" s="881"/>
      <c r="W701" s="881"/>
      <c r="X701" s="881"/>
      <c r="Y701" s="881"/>
      <c r="Z701" s="881"/>
      <c r="AA701" s="881"/>
      <c r="AB701" s="881"/>
      <c r="AC701" s="879"/>
      <c r="AD701" s="879"/>
      <c r="AE701" s="879"/>
    </row>
    <row r="702" spans="1:31">
      <c r="A702" s="879"/>
      <c r="B702" s="879"/>
      <c r="C702" s="879"/>
      <c r="D702" s="879"/>
      <c r="E702" s="879"/>
      <c r="F702" s="879"/>
      <c r="G702" s="879"/>
      <c r="H702" s="879"/>
      <c r="I702" s="879"/>
      <c r="J702" s="879"/>
      <c r="K702" s="879"/>
      <c r="L702" s="879"/>
      <c r="M702" s="879"/>
      <c r="N702" s="879"/>
      <c r="O702" s="879"/>
      <c r="P702" s="879"/>
      <c r="Q702" s="879"/>
      <c r="R702" s="879"/>
      <c r="S702" s="881"/>
      <c r="T702" s="879"/>
      <c r="U702" s="881"/>
      <c r="V702" s="881"/>
      <c r="W702" s="881"/>
      <c r="X702" s="881"/>
      <c r="Y702" s="881"/>
      <c r="Z702" s="881"/>
      <c r="AA702" s="881"/>
      <c r="AB702" s="881"/>
      <c r="AC702" s="879"/>
      <c r="AD702" s="879"/>
      <c r="AE702" s="879"/>
    </row>
    <row r="703" spans="1:31">
      <c r="A703" s="879"/>
      <c r="B703" s="879"/>
      <c r="C703" s="879"/>
      <c r="D703" s="879"/>
      <c r="E703" s="879"/>
      <c r="F703" s="879"/>
      <c r="G703" s="879"/>
      <c r="H703" s="879"/>
      <c r="I703" s="879"/>
      <c r="J703" s="879"/>
      <c r="K703" s="879"/>
      <c r="L703" s="879"/>
      <c r="M703" s="879"/>
      <c r="N703" s="879"/>
      <c r="O703" s="879"/>
      <c r="P703" s="879"/>
      <c r="Q703" s="879"/>
      <c r="R703" s="879"/>
      <c r="S703" s="881"/>
      <c r="T703" s="879"/>
      <c r="U703" s="881"/>
      <c r="V703" s="881"/>
      <c r="W703" s="881"/>
      <c r="X703" s="881"/>
      <c r="Y703" s="881"/>
      <c r="Z703" s="881"/>
      <c r="AA703" s="881"/>
      <c r="AB703" s="881"/>
      <c r="AC703" s="879"/>
      <c r="AD703" s="879"/>
      <c r="AE703" s="879"/>
    </row>
    <row r="704" spans="1:31">
      <c r="A704" s="879"/>
      <c r="B704" s="879"/>
      <c r="C704" s="879"/>
      <c r="D704" s="879"/>
      <c r="E704" s="879"/>
      <c r="F704" s="879"/>
      <c r="G704" s="879"/>
      <c r="H704" s="879"/>
      <c r="I704" s="879"/>
      <c r="J704" s="879"/>
      <c r="K704" s="879"/>
      <c r="L704" s="879"/>
      <c r="M704" s="879"/>
      <c r="N704" s="879"/>
      <c r="O704" s="879"/>
      <c r="P704" s="879"/>
      <c r="Q704" s="879"/>
      <c r="R704" s="879"/>
      <c r="S704" s="881"/>
      <c r="T704" s="879"/>
      <c r="U704" s="881"/>
      <c r="V704" s="881"/>
      <c r="W704" s="881"/>
      <c r="X704" s="881"/>
      <c r="Y704" s="881"/>
      <c r="Z704" s="881"/>
      <c r="AA704" s="881"/>
      <c r="AB704" s="881"/>
      <c r="AC704" s="879"/>
      <c r="AD704" s="879"/>
      <c r="AE704" s="879"/>
    </row>
    <row r="705" spans="1:31">
      <c r="A705" s="879"/>
      <c r="B705" s="879"/>
      <c r="C705" s="879"/>
      <c r="D705" s="879"/>
      <c r="E705" s="879"/>
      <c r="F705" s="879"/>
      <c r="G705" s="879"/>
      <c r="H705" s="879"/>
      <c r="I705" s="879"/>
      <c r="J705" s="879"/>
      <c r="K705" s="879"/>
      <c r="L705" s="879"/>
      <c r="M705" s="879"/>
      <c r="N705" s="879"/>
      <c r="O705" s="879"/>
      <c r="P705" s="879"/>
      <c r="Q705" s="879"/>
      <c r="R705" s="879"/>
      <c r="S705" s="881"/>
      <c r="T705" s="879"/>
      <c r="U705" s="881"/>
      <c r="V705" s="881"/>
      <c r="W705" s="881"/>
      <c r="X705" s="881"/>
      <c r="Y705" s="881"/>
      <c r="Z705" s="881"/>
      <c r="AA705" s="881"/>
      <c r="AB705" s="881"/>
      <c r="AC705" s="879"/>
      <c r="AD705" s="879"/>
      <c r="AE705" s="879"/>
    </row>
    <row r="706" spans="1:31">
      <c r="A706" s="879"/>
      <c r="B706" s="879"/>
      <c r="C706" s="879"/>
      <c r="D706" s="879"/>
      <c r="E706" s="879"/>
      <c r="F706" s="879"/>
      <c r="G706" s="879"/>
      <c r="H706" s="879"/>
      <c r="I706" s="879"/>
      <c r="J706" s="879"/>
      <c r="K706" s="879"/>
      <c r="L706" s="879"/>
      <c r="M706" s="879"/>
      <c r="N706" s="879"/>
      <c r="O706" s="879"/>
      <c r="P706" s="879"/>
      <c r="Q706" s="879"/>
      <c r="R706" s="879"/>
      <c r="S706" s="881"/>
      <c r="T706" s="879"/>
      <c r="U706" s="881"/>
      <c r="V706" s="881"/>
      <c r="W706" s="881"/>
      <c r="X706" s="881"/>
      <c r="Y706" s="881"/>
      <c r="Z706" s="881"/>
      <c r="AA706" s="881"/>
      <c r="AB706" s="881"/>
      <c r="AC706" s="879"/>
      <c r="AD706" s="879"/>
      <c r="AE706" s="879"/>
    </row>
    <row r="707" spans="1:31">
      <c r="A707" s="879"/>
      <c r="B707" s="879"/>
      <c r="C707" s="879"/>
      <c r="D707" s="879"/>
      <c r="E707" s="879"/>
      <c r="F707" s="879"/>
      <c r="G707" s="879"/>
      <c r="H707" s="879"/>
      <c r="I707" s="879"/>
      <c r="J707" s="879"/>
      <c r="K707" s="879"/>
      <c r="L707" s="879"/>
      <c r="M707" s="879"/>
      <c r="N707" s="879"/>
      <c r="O707" s="879"/>
      <c r="P707" s="879"/>
      <c r="Q707" s="879"/>
      <c r="R707" s="879"/>
      <c r="S707" s="881"/>
      <c r="T707" s="879"/>
      <c r="U707" s="881"/>
      <c r="V707" s="881"/>
      <c r="W707" s="881"/>
      <c r="X707" s="881"/>
      <c r="Y707" s="881"/>
      <c r="Z707" s="881"/>
      <c r="AA707" s="881"/>
      <c r="AB707" s="881"/>
      <c r="AC707" s="879"/>
      <c r="AD707" s="879"/>
      <c r="AE707" s="879"/>
    </row>
    <row r="708" spans="1:31">
      <c r="A708" s="879"/>
      <c r="B708" s="879"/>
      <c r="C708" s="879"/>
      <c r="D708" s="879"/>
      <c r="E708" s="879"/>
      <c r="F708" s="879"/>
      <c r="G708" s="879"/>
      <c r="H708" s="879"/>
      <c r="I708" s="879"/>
      <c r="J708" s="879"/>
      <c r="K708" s="879"/>
      <c r="L708" s="879"/>
      <c r="M708" s="879"/>
      <c r="N708" s="879"/>
      <c r="O708" s="879"/>
      <c r="P708" s="879"/>
      <c r="Q708" s="879"/>
      <c r="R708" s="879"/>
      <c r="S708" s="881"/>
      <c r="T708" s="879"/>
      <c r="U708" s="881"/>
      <c r="V708" s="881"/>
      <c r="W708" s="881"/>
      <c r="X708" s="881"/>
      <c r="Y708" s="881"/>
      <c r="Z708" s="881"/>
      <c r="AA708" s="881"/>
      <c r="AB708" s="881"/>
      <c r="AC708" s="879"/>
      <c r="AD708" s="879"/>
      <c r="AE708" s="879"/>
    </row>
    <row r="709" spans="1:31">
      <c r="A709" s="879"/>
      <c r="B709" s="879"/>
      <c r="C709" s="879"/>
      <c r="D709" s="879"/>
      <c r="E709" s="879"/>
      <c r="F709" s="879"/>
      <c r="G709" s="879"/>
      <c r="H709" s="879"/>
      <c r="I709" s="879"/>
      <c r="J709" s="879"/>
      <c r="K709" s="879"/>
      <c r="L709" s="879"/>
      <c r="M709" s="879"/>
      <c r="N709" s="879"/>
      <c r="O709" s="879"/>
      <c r="P709" s="879"/>
      <c r="Q709" s="879"/>
      <c r="R709" s="879"/>
      <c r="S709" s="881"/>
      <c r="T709" s="879"/>
      <c r="U709" s="881"/>
      <c r="V709" s="881"/>
      <c r="W709" s="881"/>
      <c r="X709" s="881"/>
      <c r="Y709" s="881"/>
      <c r="Z709" s="881"/>
      <c r="AA709" s="881"/>
      <c r="AB709" s="881"/>
      <c r="AC709" s="879"/>
      <c r="AD709" s="879"/>
      <c r="AE709" s="879"/>
    </row>
    <row r="710" spans="1:31">
      <c r="A710" s="879"/>
      <c r="B710" s="879"/>
      <c r="C710" s="879"/>
      <c r="D710" s="879"/>
      <c r="E710" s="879"/>
      <c r="F710" s="879"/>
      <c r="G710" s="879"/>
      <c r="H710" s="879"/>
      <c r="I710" s="879"/>
      <c r="J710" s="879"/>
      <c r="K710" s="879"/>
      <c r="L710" s="879"/>
      <c r="M710" s="879"/>
      <c r="N710" s="879"/>
      <c r="O710" s="879"/>
      <c r="P710" s="879"/>
      <c r="Q710" s="879"/>
      <c r="R710" s="879"/>
      <c r="S710" s="881"/>
      <c r="T710" s="879"/>
      <c r="U710" s="881"/>
      <c r="V710" s="881"/>
      <c r="W710" s="881"/>
      <c r="X710" s="881"/>
      <c r="Y710" s="881"/>
      <c r="Z710" s="881"/>
      <c r="AA710" s="881"/>
      <c r="AB710" s="881"/>
      <c r="AC710" s="879"/>
      <c r="AD710" s="879"/>
      <c r="AE710" s="879"/>
    </row>
    <row r="711" spans="1:31">
      <c r="A711" s="879"/>
      <c r="B711" s="879"/>
      <c r="C711" s="879"/>
      <c r="D711" s="879"/>
      <c r="E711" s="879"/>
      <c r="F711" s="879"/>
      <c r="G711" s="879"/>
      <c r="H711" s="879"/>
      <c r="I711" s="879"/>
      <c r="J711" s="879"/>
      <c r="K711" s="879"/>
      <c r="L711" s="879"/>
      <c r="M711" s="879"/>
      <c r="N711" s="879"/>
      <c r="O711" s="879"/>
      <c r="P711" s="879"/>
      <c r="Q711" s="879"/>
      <c r="R711" s="879"/>
      <c r="S711" s="881"/>
      <c r="T711" s="879"/>
      <c r="U711" s="881"/>
      <c r="V711" s="881"/>
      <c r="W711" s="881"/>
      <c r="X711" s="881"/>
      <c r="Y711" s="881"/>
      <c r="Z711" s="881"/>
      <c r="AA711" s="881"/>
      <c r="AB711" s="881"/>
      <c r="AC711" s="879"/>
      <c r="AD711" s="879"/>
      <c r="AE711" s="879"/>
    </row>
    <row r="712" spans="1:31">
      <c r="A712" s="879"/>
      <c r="B712" s="879"/>
      <c r="C712" s="879"/>
      <c r="D712" s="879"/>
      <c r="E712" s="879"/>
      <c r="F712" s="879"/>
      <c r="G712" s="879"/>
      <c r="H712" s="879"/>
      <c r="I712" s="879"/>
      <c r="J712" s="879"/>
      <c r="K712" s="879"/>
      <c r="L712" s="879"/>
      <c r="M712" s="879"/>
      <c r="N712" s="879"/>
      <c r="O712" s="879"/>
      <c r="P712" s="879"/>
      <c r="Q712" s="879"/>
      <c r="R712" s="879"/>
      <c r="S712" s="881"/>
      <c r="T712" s="879"/>
      <c r="U712" s="881"/>
      <c r="V712" s="881"/>
      <c r="W712" s="881"/>
      <c r="X712" s="881"/>
      <c r="Y712" s="881"/>
      <c r="Z712" s="881"/>
      <c r="AA712" s="881"/>
      <c r="AB712" s="881"/>
      <c r="AC712" s="879"/>
      <c r="AD712" s="879"/>
      <c r="AE712" s="879"/>
    </row>
    <row r="713" spans="1:31">
      <c r="A713" s="879"/>
      <c r="B713" s="879"/>
      <c r="C713" s="879"/>
      <c r="D713" s="879"/>
      <c r="E713" s="879"/>
      <c r="F713" s="879"/>
      <c r="G713" s="879"/>
      <c r="H713" s="879"/>
      <c r="I713" s="879"/>
      <c r="J713" s="879"/>
      <c r="K713" s="879"/>
      <c r="L713" s="879"/>
      <c r="M713" s="879"/>
      <c r="N713" s="879"/>
      <c r="O713" s="879"/>
      <c r="P713" s="879"/>
      <c r="Q713" s="879"/>
      <c r="R713" s="879"/>
      <c r="S713" s="881"/>
      <c r="T713" s="879"/>
      <c r="U713" s="881"/>
      <c r="V713" s="881"/>
      <c r="W713" s="881"/>
      <c r="X713" s="881"/>
      <c r="Y713" s="881"/>
      <c r="Z713" s="881"/>
      <c r="AA713" s="881"/>
      <c r="AB713" s="881"/>
      <c r="AC713" s="879"/>
      <c r="AD713" s="879"/>
      <c r="AE713" s="879"/>
    </row>
    <row r="714" spans="1:31">
      <c r="A714" s="879"/>
      <c r="B714" s="879"/>
      <c r="C714" s="879"/>
      <c r="D714" s="879"/>
      <c r="E714" s="879"/>
      <c r="F714" s="879"/>
      <c r="G714" s="879"/>
      <c r="H714" s="879"/>
      <c r="I714" s="879"/>
      <c r="J714" s="879"/>
      <c r="K714" s="879"/>
      <c r="L714" s="879"/>
      <c r="M714" s="879"/>
      <c r="N714" s="879"/>
      <c r="O714" s="879"/>
      <c r="P714" s="879"/>
      <c r="Q714" s="879"/>
      <c r="R714" s="879"/>
      <c r="S714" s="881"/>
      <c r="T714" s="879"/>
      <c r="U714" s="881"/>
      <c r="V714" s="881"/>
      <c r="W714" s="881"/>
      <c r="X714" s="881"/>
      <c r="Y714" s="881"/>
      <c r="Z714" s="881"/>
      <c r="AA714" s="881"/>
      <c r="AB714" s="881"/>
      <c r="AC714" s="879"/>
      <c r="AD714" s="879"/>
      <c r="AE714" s="879"/>
    </row>
    <row r="715" spans="1:31">
      <c r="A715" s="879"/>
      <c r="B715" s="879"/>
      <c r="C715" s="879"/>
      <c r="D715" s="879"/>
      <c r="E715" s="879"/>
      <c r="F715" s="879"/>
      <c r="G715" s="879"/>
      <c r="H715" s="879"/>
      <c r="I715" s="879"/>
      <c r="J715" s="879"/>
      <c r="K715" s="879"/>
      <c r="L715" s="879"/>
      <c r="M715" s="879"/>
      <c r="N715" s="879"/>
      <c r="O715" s="879"/>
      <c r="P715" s="879"/>
      <c r="Q715" s="879"/>
      <c r="R715" s="879"/>
      <c r="S715" s="881"/>
      <c r="T715" s="879"/>
      <c r="U715" s="881"/>
      <c r="V715" s="881"/>
      <c r="W715" s="881"/>
      <c r="X715" s="881"/>
      <c r="Y715" s="881"/>
      <c r="Z715" s="881"/>
      <c r="AA715" s="881"/>
      <c r="AB715" s="881"/>
      <c r="AC715" s="879"/>
      <c r="AD715" s="879"/>
      <c r="AE715" s="879"/>
    </row>
    <row r="716" spans="1:31">
      <c r="A716" s="879"/>
      <c r="B716" s="879"/>
      <c r="C716" s="879"/>
      <c r="D716" s="879"/>
      <c r="E716" s="879"/>
      <c r="F716" s="879"/>
      <c r="G716" s="879"/>
      <c r="H716" s="879"/>
      <c r="I716" s="879"/>
      <c r="J716" s="879"/>
      <c r="K716" s="879"/>
      <c r="L716" s="879"/>
      <c r="M716" s="879"/>
      <c r="N716" s="879"/>
      <c r="O716" s="879"/>
      <c r="P716" s="879"/>
      <c r="Q716" s="879"/>
      <c r="R716" s="879"/>
      <c r="S716" s="881"/>
      <c r="T716" s="879"/>
      <c r="U716" s="881"/>
      <c r="V716" s="881"/>
      <c r="W716" s="881"/>
      <c r="X716" s="881"/>
      <c r="Y716" s="881"/>
      <c r="Z716" s="881"/>
      <c r="AA716" s="881"/>
      <c r="AB716" s="881"/>
      <c r="AC716" s="879"/>
      <c r="AD716" s="879"/>
      <c r="AE716" s="879"/>
    </row>
    <row r="717" spans="1:31">
      <c r="A717" s="879"/>
      <c r="B717" s="879"/>
      <c r="C717" s="879"/>
      <c r="D717" s="879"/>
      <c r="E717" s="879"/>
      <c r="F717" s="879"/>
      <c r="G717" s="879"/>
      <c r="H717" s="879"/>
      <c r="I717" s="879"/>
      <c r="J717" s="879"/>
      <c r="K717" s="879"/>
      <c r="L717" s="879"/>
      <c r="M717" s="879"/>
      <c r="N717" s="879"/>
      <c r="O717" s="879"/>
      <c r="P717" s="879"/>
      <c r="Q717" s="879"/>
      <c r="R717" s="879"/>
      <c r="S717" s="881"/>
      <c r="T717" s="879"/>
      <c r="U717" s="881"/>
      <c r="V717" s="881"/>
      <c r="W717" s="881"/>
      <c r="X717" s="881"/>
      <c r="Y717" s="881"/>
      <c r="Z717" s="881"/>
      <c r="AA717" s="881"/>
      <c r="AB717" s="881"/>
      <c r="AC717" s="879"/>
      <c r="AD717" s="879"/>
      <c r="AE717" s="879"/>
    </row>
    <row r="718" spans="1:31">
      <c r="A718" s="879"/>
      <c r="B718" s="879"/>
      <c r="C718" s="879"/>
      <c r="D718" s="879"/>
      <c r="E718" s="879"/>
      <c r="F718" s="879"/>
      <c r="G718" s="879"/>
      <c r="H718" s="879"/>
      <c r="I718" s="879"/>
      <c r="J718" s="879"/>
      <c r="K718" s="879"/>
      <c r="L718" s="879"/>
      <c r="M718" s="879"/>
      <c r="N718" s="879"/>
      <c r="O718" s="879"/>
      <c r="P718" s="879"/>
      <c r="Q718" s="879"/>
      <c r="R718" s="879"/>
      <c r="S718" s="881"/>
      <c r="T718" s="879"/>
      <c r="U718" s="881"/>
      <c r="V718" s="881"/>
      <c r="W718" s="881"/>
      <c r="X718" s="881"/>
      <c r="Y718" s="881"/>
      <c r="Z718" s="881"/>
      <c r="AA718" s="881"/>
      <c r="AB718" s="881"/>
      <c r="AC718" s="879"/>
      <c r="AD718" s="879"/>
      <c r="AE718" s="879"/>
    </row>
    <row r="719" spans="1:31">
      <c r="A719" s="879"/>
      <c r="B719" s="879"/>
      <c r="C719" s="879"/>
      <c r="D719" s="879"/>
      <c r="E719" s="879"/>
      <c r="F719" s="879"/>
      <c r="G719" s="879"/>
      <c r="H719" s="879"/>
      <c r="I719" s="879"/>
      <c r="J719" s="879"/>
      <c r="K719" s="879"/>
      <c r="L719" s="879"/>
      <c r="M719" s="879"/>
      <c r="N719" s="879"/>
      <c r="O719" s="879"/>
      <c r="P719" s="879"/>
      <c r="Q719" s="879"/>
      <c r="R719" s="879"/>
      <c r="S719" s="881"/>
      <c r="T719" s="879"/>
      <c r="U719" s="881"/>
      <c r="V719" s="881"/>
      <c r="W719" s="881"/>
      <c r="X719" s="881"/>
      <c r="Y719" s="881"/>
      <c r="Z719" s="881"/>
      <c r="AA719" s="881"/>
      <c r="AB719" s="881"/>
      <c r="AC719" s="879"/>
      <c r="AD719" s="879"/>
      <c r="AE719" s="879"/>
    </row>
    <row r="720" spans="1:31">
      <c r="A720" s="879"/>
      <c r="B720" s="879"/>
      <c r="C720" s="879"/>
      <c r="D720" s="879"/>
      <c r="E720" s="879"/>
      <c r="F720" s="879"/>
      <c r="G720" s="879"/>
      <c r="H720" s="879"/>
      <c r="I720" s="879"/>
      <c r="J720" s="879"/>
      <c r="K720" s="879"/>
      <c r="L720" s="879"/>
      <c r="M720" s="879"/>
      <c r="N720" s="879"/>
      <c r="O720" s="879"/>
      <c r="P720" s="879"/>
      <c r="Q720" s="879"/>
      <c r="R720" s="879"/>
      <c r="S720" s="881"/>
      <c r="T720" s="879"/>
      <c r="U720" s="881"/>
      <c r="V720" s="881"/>
      <c r="W720" s="881"/>
      <c r="X720" s="881"/>
      <c r="Y720" s="881"/>
      <c r="Z720" s="881"/>
      <c r="AA720" s="881"/>
      <c r="AB720" s="881"/>
      <c r="AC720" s="879"/>
      <c r="AD720" s="879"/>
      <c r="AE720" s="879"/>
    </row>
    <row r="721" spans="1:31">
      <c r="A721" s="879"/>
      <c r="B721" s="879"/>
      <c r="C721" s="879"/>
      <c r="D721" s="879"/>
      <c r="E721" s="879"/>
      <c r="F721" s="879"/>
      <c r="G721" s="879"/>
      <c r="H721" s="879"/>
      <c r="I721" s="879"/>
      <c r="J721" s="879"/>
      <c r="K721" s="879"/>
      <c r="L721" s="879"/>
      <c r="M721" s="879"/>
      <c r="N721" s="879"/>
      <c r="O721" s="879"/>
      <c r="P721" s="879"/>
      <c r="Q721" s="879"/>
      <c r="R721" s="879"/>
      <c r="S721" s="881"/>
      <c r="T721" s="879"/>
      <c r="U721" s="881"/>
      <c r="V721" s="881"/>
      <c r="W721" s="881"/>
      <c r="X721" s="881"/>
      <c r="Y721" s="881"/>
      <c r="Z721" s="881"/>
      <c r="AA721" s="881"/>
      <c r="AB721" s="881"/>
      <c r="AC721" s="879"/>
      <c r="AD721" s="879"/>
      <c r="AE721" s="879"/>
    </row>
    <row r="722" spans="1:31">
      <c r="A722" s="879"/>
      <c r="B722" s="879"/>
      <c r="C722" s="879"/>
      <c r="D722" s="879"/>
      <c r="E722" s="879"/>
      <c r="F722" s="879"/>
      <c r="G722" s="879"/>
      <c r="H722" s="879"/>
      <c r="I722" s="879"/>
      <c r="J722" s="879"/>
      <c r="K722" s="879"/>
      <c r="L722" s="879"/>
      <c r="M722" s="879"/>
      <c r="N722" s="879"/>
      <c r="O722" s="879"/>
      <c r="P722" s="879"/>
      <c r="Q722" s="879"/>
      <c r="R722" s="879"/>
      <c r="S722" s="881"/>
      <c r="T722" s="879"/>
      <c r="U722" s="881"/>
      <c r="V722" s="881"/>
      <c r="W722" s="881"/>
      <c r="X722" s="881"/>
      <c r="Y722" s="881"/>
      <c r="Z722" s="881"/>
      <c r="AA722" s="881"/>
      <c r="AB722" s="881"/>
      <c r="AC722" s="879"/>
      <c r="AD722" s="879"/>
      <c r="AE722" s="879"/>
    </row>
    <row r="723" spans="1:31">
      <c r="A723" s="879"/>
      <c r="B723" s="879"/>
      <c r="C723" s="879"/>
      <c r="D723" s="879"/>
      <c r="E723" s="879"/>
      <c r="F723" s="879"/>
      <c r="G723" s="879"/>
      <c r="H723" s="879"/>
      <c r="I723" s="879"/>
      <c r="J723" s="879"/>
      <c r="K723" s="879"/>
      <c r="L723" s="879"/>
      <c r="M723" s="879"/>
      <c r="N723" s="879"/>
      <c r="O723" s="879"/>
      <c r="P723" s="879"/>
      <c r="Q723" s="879"/>
      <c r="R723" s="879"/>
      <c r="S723" s="881"/>
      <c r="T723" s="879"/>
      <c r="U723" s="881"/>
      <c r="V723" s="881"/>
      <c r="W723" s="881"/>
      <c r="X723" s="881"/>
      <c r="Y723" s="881"/>
      <c r="Z723" s="881"/>
      <c r="AA723" s="881"/>
      <c r="AB723" s="881"/>
      <c r="AC723" s="879"/>
      <c r="AD723" s="879"/>
      <c r="AE723" s="879"/>
    </row>
    <row r="724" spans="1:31">
      <c r="A724" s="879"/>
      <c r="B724" s="879"/>
      <c r="C724" s="879"/>
      <c r="D724" s="879"/>
      <c r="E724" s="879"/>
      <c r="F724" s="879"/>
      <c r="G724" s="879"/>
      <c r="H724" s="879"/>
      <c r="I724" s="879"/>
      <c r="J724" s="879"/>
      <c r="K724" s="879"/>
      <c r="L724" s="879"/>
      <c r="M724" s="879"/>
      <c r="N724" s="879"/>
      <c r="O724" s="879"/>
      <c r="P724" s="879"/>
      <c r="Q724" s="879"/>
      <c r="R724" s="879"/>
      <c r="S724" s="881"/>
      <c r="T724" s="879"/>
      <c r="U724" s="881"/>
      <c r="V724" s="881"/>
      <c r="W724" s="881"/>
      <c r="X724" s="881"/>
      <c r="Y724" s="881"/>
      <c r="Z724" s="881"/>
      <c r="AA724" s="881"/>
      <c r="AB724" s="881"/>
      <c r="AC724" s="879"/>
      <c r="AD724" s="879"/>
      <c r="AE724" s="879"/>
    </row>
    <row r="725" spans="1:31">
      <c r="A725" s="879"/>
      <c r="B725" s="879"/>
      <c r="C725" s="879"/>
      <c r="D725" s="879"/>
      <c r="E725" s="879"/>
      <c r="F725" s="879"/>
      <c r="G725" s="879"/>
      <c r="H725" s="879"/>
      <c r="I725" s="879"/>
      <c r="J725" s="879"/>
      <c r="K725" s="879"/>
      <c r="L725" s="879"/>
      <c r="M725" s="879"/>
      <c r="N725" s="879"/>
      <c r="O725" s="879"/>
      <c r="P725" s="879"/>
      <c r="Q725" s="879"/>
      <c r="R725" s="879"/>
      <c r="S725" s="881"/>
      <c r="T725" s="879"/>
      <c r="U725" s="881"/>
      <c r="V725" s="881"/>
      <c r="W725" s="881"/>
      <c r="X725" s="881"/>
      <c r="Y725" s="881"/>
      <c r="Z725" s="881"/>
      <c r="AA725" s="881"/>
      <c r="AB725" s="881"/>
      <c r="AC725" s="879"/>
      <c r="AD725" s="879"/>
      <c r="AE725" s="879"/>
    </row>
    <row r="726" spans="1:31">
      <c r="A726" s="879"/>
      <c r="B726" s="879"/>
      <c r="C726" s="879"/>
      <c r="D726" s="879"/>
      <c r="E726" s="879"/>
      <c r="F726" s="879"/>
      <c r="G726" s="879"/>
      <c r="H726" s="879"/>
      <c r="I726" s="879"/>
      <c r="J726" s="879"/>
      <c r="K726" s="879"/>
      <c r="L726" s="879"/>
      <c r="M726" s="879"/>
      <c r="N726" s="879"/>
      <c r="O726" s="879"/>
      <c r="P726" s="879"/>
      <c r="Q726" s="879"/>
      <c r="R726" s="879"/>
      <c r="S726" s="881"/>
      <c r="T726" s="879"/>
      <c r="U726" s="881"/>
      <c r="V726" s="881"/>
      <c r="W726" s="881"/>
      <c r="X726" s="881"/>
      <c r="Y726" s="881"/>
      <c r="Z726" s="881"/>
      <c r="AA726" s="881"/>
      <c r="AB726" s="881"/>
      <c r="AC726" s="879"/>
      <c r="AD726" s="879"/>
      <c r="AE726" s="879"/>
    </row>
    <row r="727" spans="1:31">
      <c r="A727" s="879"/>
      <c r="B727" s="879"/>
      <c r="C727" s="879"/>
      <c r="D727" s="879"/>
      <c r="E727" s="879"/>
      <c r="F727" s="879"/>
      <c r="G727" s="879"/>
      <c r="H727" s="879"/>
      <c r="I727" s="879"/>
      <c r="J727" s="879"/>
      <c r="K727" s="879"/>
      <c r="L727" s="879"/>
      <c r="M727" s="879"/>
      <c r="N727" s="879"/>
      <c r="O727" s="879"/>
      <c r="P727" s="879"/>
      <c r="Q727" s="879"/>
      <c r="R727" s="879"/>
      <c r="S727" s="881"/>
      <c r="T727" s="879"/>
      <c r="U727" s="881"/>
      <c r="V727" s="881"/>
      <c r="W727" s="881"/>
      <c r="X727" s="881"/>
      <c r="Y727" s="881"/>
      <c r="Z727" s="881"/>
      <c r="AA727" s="881"/>
      <c r="AB727" s="881"/>
      <c r="AC727" s="879"/>
      <c r="AD727" s="879"/>
      <c r="AE727" s="879"/>
    </row>
    <row r="728" spans="1:31">
      <c r="A728" s="879"/>
      <c r="B728" s="879"/>
      <c r="C728" s="879"/>
      <c r="D728" s="879"/>
      <c r="E728" s="879"/>
      <c r="F728" s="879"/>
      <c r="G728" s="879"/>
      <c r="H728" s="879"/>
      <c r="I728" s="879"/>
      <c r="J728" s="879"/>
      <c r="K728" s="879"/>
      <c r="L728" s="879"/>
      <c r="M728" s="879"/>
      <c r="N728" s="879"/>
      <c r="O728" s="879"/>
      <c r="P728" s="879"/>
      <c r="Q728" s="879"/>
      <c r="R728" s="879"/>
      <c r="S728" s="881"/>
      <c r="T728" s="879"/>
      <c r="U728" s="881"/>
      <c r="V728" s="881"/>
      <c r="W728" s="881"/>
      <c r="X728" s="881"/>
      <c r="Y728" s="881"/>
      <c r="Z728" s="881"/>
      <c r="AA728" s="881"/>
      <c r="AB728" s="881"/>
      <c r="AC728" s="879"/>
      <c r="AD728" s="879"/>
      <c r="AE728" s="879"/>
    </row>
    <row r="729" spans="1:31">
      <c r="A729" s="879"/>
      <c r="B729" s="879"/>
      <c r="C729" s="879"/>
      <c r="D729" s="879"/>
      <c r="E729" s="879"/>
      <c r="F729" s="879"/>
      <c r="G729" s="879"/>
      <c r="H729" s="879"/>
      <c r="I729" s="879"/>
      <c r="J729" s="879"/>
      <c r="K729" s="879"/>
      <c r="L729" s="879"/>
      <c r="M729" s="879"/>
      <c r="N729" s="879"/>
      <c r="O729" s="879"/>
      <c r="P729" s="879"/>
      <c r="Q729" s="879"/>
      <c r="R729" s="879"/>
      <c r="S729" s="881"/>
      <c r="T729" s="879"/>
      <c r="U729" s="881"/>
      <c r="V729" s="881"/>
      <c r="W729" s="881"/>
      <c r="X729" s="881"/>
      <c r="Y729" s="881"/>
      <c r="Z729" s="881"/>
      <c r="AA729" s="881"/>
      <c r="AB729" s="881"/>
      <c r="AC729" s="879"/>
      <c r="AD729" s="879"/>
      <c r="AE729" s="879"/>
    </row>
    <row r="730" spans="1:31">
      <c r="A730" s="879"/>
      <c r="B730" s="879"/>
      <c r="C730" s="879"/>
      <c r="D730" s="879"/>
      <c r="E730" s="879"/>
      <c r="F730" s="879"/>
      <c r="G730" s="879"/>
      <c r="H730" s="879"/>
      <c r="I730" s="879"/>
      <c r="J730" s="879"/>
      <c r="K730" s="879"/>
      <c r="L730" s="879"/>
      <c r="M730" s="879"/>
      <c r="N730" s="879"/>
      <c r="O730" s="879"/>
      <c r="P730" s="879"/>
      <c r="Q730" s="879"/>
      <c r="R730" s="879"/>
      <c r="S730" s="881"/>
      <c r="T730" s="879"/>
      <c r="U730" s="881"/>
      <c r="V730" s="881"/>
      <c r="W730" s="881"/>
      <c r="X730" s="881"/>
      <c r="Y730" s="881"/>
      <c r="Z730" s="881"/>
      <c r="AA730" s="881"/>
      <c r="AB730" s="881"/>
      <c r="AC730" s="879"/>
      <c r="AD730" s="879"/>
      <c r="AE730" s="879"/>
    </row>
    <row r="731" spans="1:31">
      <c r="A731" s="879"/>
      <c r="B731" s="879"/>
      <c r="C731" s="879"/>
      <c r="D731" s="879"/>
      <c r="E731" s="879"/>
      <c r="F731" s="879"/>
      <c r="G731" s="879"/>
      <c r="H731" s="879"/>
      <c r="I731" s="879"/>
      <c r="J731" s="879"/>
      <c r="K731" s="879"/>
      <c r="L731" s="879"/>
      <c r="M731" s="879"/>
      <c r="N731" s="879"/>
      <c r="O731" s="879"/>
      <c r="P731" s="879"/>
      <c r="Q731" s="879"/>
      <c r="R731" s="879"/>
      <c r="S731" s="881"/>
      <c r="T731" s="879"/>
      <c r="U731" s="881"/>
      <c r="V731" s="881"/>
      <c r="W731" s="881"/>
      <c r="X731" s="881"/>
      <c r="Y731" s="881"/>
      <c r="Z731" s="881"/>
      <c r="AA731" s="881"/>
      <c r="AB731" s="881"/>
      <c r="AC731" s="879"/>
      <c r="AD731" s="879"/>
      <c r="AE731" s="879"/>
    </row>
    <row r="732" spans="1:31">
      <c r="A732" s="879"/>
      <c r="B732" s="879"/>
      <c r="C732" s="879"/>
      <c r="D732" s="879"/>
      <c r="E732" s="879"/>
      <c r="F732" s="879"/>
      <c r="G732" s="879"/>
      <c r="H732" s="879"/>
      <c r="I732" s="879"/>
      <c r="J732" s="879"/>
      <c r="K732" s="879"/>
      <c r="L732" s="879"/>
      <c r="M732" s="879"/>
      <c r="N732" s="879"/>
      <c r="O732" s="879"/>
      <c r="P732" s="879"/>
      <c r="Q732" s="879"/>
      <c r="R732" s="879"/>
      <c r="S732" s="881"/>
      <c r="T732" s="879"/>
      <c r="U732" s="881"/>
      <c r="V732" s="881"/>
      <c r="W732" s="881"/>
      <c r="X732" s="881"/>
      <c r="Y732" s="881"/>
      <c r="Z732" s="881"/>
      <c r="AA732" s="881"/>
      <c r="AB732" s="881"/>
      <c r="AC732" s="879"/>
      <c r="AD732" s="879"/>
      <c r="AE732" s="879"/>
    </row>
    <row r="733" spans="1:31">
      <c r="A733" s="879"/>
      <c r="B733" s="879"/>
      <c r="C733" s="879"/>
      <c r="D733" s="879"/>
      <c r="E733" s="879"/>
      <c r="F733" s="879"/>
      <c r="G733" s="879"/>
      <c r="H733" s="879"/>
      <c r="I733" s="879"/>
      <c r="J733" s="879"/>
      <c r="K733" s="879"/>
      <c r="L733" s="879"/>
      <c r="M733" s="879"/>
      <c r="N733" s="879"/>
      <c r="O733" s="879"/>
      <c r="P733" s="879"/>
      <c r="Q733" s="879"/>
      <c r="R733" s="879"/>
      <c r="S733" s="881"/>
      <c r="T733" s="879"/>
      <c r="U733" s="881"/>
      <c r="V733" s="881"/>
      <c r="W733" s="881"/>
      <c r="X733" s="881"/>
      <c r="Y733" s="881"/>
      <c r="Z733" s="881"/>
      <c r="AA733" s="881"/>
      <c r="AB733" s="881"/>
      <c r="AC733" s="879"/>
      <c r="AD733" s="879"/>
      <c r="AE733" s="879"/>
    </row>
    <row r="734" spans="1:31">
      <c r="A734" s="879"/>
      <c r="B734" s="879"/>
      <c r="C734" s="879"/>
      <c r="D734" s="879"/>
      <c r="E734" s="879"/>
      <c r="F734" s="879"/>
      <c r="G734" s="879"/>
      <c r="H734" s="879"/>
      <c r="I734" s="879"/>
      <c r="J734" s="879"/>
      <c r="K734" s="879"/>
      <c r="L734" s="879"/>
      <c r="M734" s="879"/>
      <c r="N734" s="879"/>
      <c r="O734" s="879"/>
      <c r="P734" s="879"/>
      <c r="Q734" s="879"/>
      <c r="R734" s="879"/>
      <c r="S734" s="881"/>
      <c r="T734" s="879"/>
      <c r="U734" s="881"/>
      <c r="V734" s="881"/>
      <c r="W734" s="881"/>
      <c r="X734" s="881"/>
      <c r="Y734" s="881"/>
      <c r="Z734" s="881"/>
      <c r="AA734" s="881"/>
      <c r="AB734" s="881"/>
      <c r="AC734" s="879"/>
      <c r="AD734" s="879"/>
      <c r="AE734" s="879"/>
    </row>
    <row r="735" spans="1:31">
      <c r="A735" s="879"/>
      <c r="B735" s="879"/>
      <c r="C735" s="879"/>
      <c r="D735" s="879"/>
      <c r="E735" s="879"/>
      <c r="F735" s="879"/>
      <c r="G735" s="879"/>
      <c r="H735" s="879"/>
      <c r="I735" s="879"/>
      <c r="J735" s="879"/>
      <c r="K735" s="879"/>
      <c r="L735" s="879"/>
      <c r="M735" s="879"/>
      <c r="N735" s="879"/>
      <c r="O735" s="879"/>
      <c r="P735" s="879"/>
      <c r="Q735" s="879"/>
      <c r="R735" s="879"/>
      <c r="S735" s="881"/>
      <c r="T735" s="879"/>
      <c r="U735" s="881"/>
      <c r="V735" s="881"/>
      <c r="W735" s="881"/>
      <c r="X735" s="881"/>
      <c r="Y735" s="881"/>
      <c r="Z735" s="881"/>
      <c r="AA735" s="881"/>
      <c r="AB735" s="881"/>
      <c r="AC735" s="879"/>
      <c r="AD735" s="879"/>
      <c r="AE735" s="879"/>
    </row>
    <row r="736" spans="1:31">
      <c r="A736" s="879"/>
      <c r="B736" s="879"/>
      <c r="C736" s="879"/>
      <c r="D736" s="879"/>
      <c r="E736" s="879"/>
      <c r="F736" s="879"/>
      <c r="G736" s="879"/>
      <c r="H736" s="879"/>
      <c r="I736" s="879"/>
      <c r="J736" s="879"/>
      <c r="K736" s="879"/>
      <c r="L736" s="879"/>
      <c r="M736" s="879"/>
      <c r="N736" s="879"/>
      <c r="O736" s="879"/>
      <c r="P736" s="879"/>
      <c r="Q736" s="879"/>
      <c r="R736" s="879"/>
      <c r="S736" s="881"/>
      <c r="T736" s="879"/>
      <c r="U736" s="881"/>
      <c r="V736" s="881"/>
      <c r="W736" s="881"/>
      <c r="X736" s="881"/>
      <c r="Y736" s="881"/>
      <c r="Z736" s="881"/>
      <c r="AA736" s="881"/>
      <c r="AB736" s="881"/>
      <c r="AC736" s="879"/>
      <c r="AD736" s="879"/>
      <c r="AE736" s="879"/>
    </row>
    <row r="737" spans="1:31">
      <c r="A737" s="879"/>
      <c r="B737" s="879"/>
      <c r="C737" s="879"/>
      <c r="D737" s="879"/>
      <c r="E737" s="879"/>
      <c r="F737" s="879"/>
      <c r="G737" s="879"/>
      <c r="H737" s="879"/>
      <c r="I737" s="879"/>
      <c r="J737" s="879"/>
      <c r="K737" s="879"/>
      <c r="L737" s="879"/>
      <c r="M737" s="879"/>
      <c r="N737" s="879"/>
      <c r="O737" s="879"/>
      <c r="P737" s="879"/>
      <c r="Q737" s="879"/>
      <c r="R737" s="879"/>
      <c r="S737" s="881"/>
      <c r="T737" s="879"/>
      <c r="U737" s="881"/>
      <c r="V737" s="881"/>
      <c r="W737" s="881"/>
      <c r="X737" s="881"/>
      <c r="Y737" s="881"/>
      <c r="Z737" s="881"/>
      <c r="AA737" s="881"/>
      <c r="AB737" s="881"/>
      <c r="AC737" s="879"/>
      <c r="AD737" s="879"/>
      <c r="AE737" s="879"/>
    </row>
    <row r="738" spans="1:31">
      <c r="A738" s="879"/>
      <c r="B738" s="879"/>
      <c r="C738" s="879"/>
      <c r="D738" s="879"/>
      <c r="E738" s="879"/>
      <c r="F738" s="879"/>
      <c r="G738" s="879"/>
      <c r="H738" s="879"/>
      <c r="I738" s="879"/>
      <c r="J738" s="879"/>
      <c r="K738" s="879"/>
      <c r="L738" s="879"/>
      <c r="M738" s="879"/>
      <c r="N738" s="879"/>
      <c r="O738" s="879"/>
      <c r="P738" s="879"/>
      <c r="Q738" s="879"/>
      <c r="R738" s="879"/>
      <c r="S738" s="881"/>
      <c r="T738" s="879"/>
      <c r="U738" s="881"/>
      <c r="V738" s="881"/>
      <c r="W738" s="881"/>
      <c r="X738" s="881"/>
      <c r="Y738" s="881"/>
      <c r="Z738" s="881"/>
      <c r="AA738" s="881"/>
      <c r="AB738" s="881"/>
      <c r="AC738" s="879"/>
      <c r="AD738" s="879"/>
      <c r="AE738" s="879"/>
    </row>
    <row r="739" spans="1:31">
      <c r="A739" s="879"/>
      <c r="B739" s="879"/>
      <c r="C739" s="879"/>
      <c r="D739" s="879"/>
      <c r="E739" s="879"/>
      <c r="F739" s="879"/>
      <c r="G739" s="879"/>
      <c r="H739" s="879"/>
      <c r="I739" s="879"/>
      <c r="J739" s="879"/>
      <c r="K739" s="879"/>
      <c r="L739" s="879"/>
      <c r="M739" s="879"/>
      <c r="N739" s="879"/>
      <c r="O739" s="879"/>
      <c r="P739" s="879"/>
      <c r="Q739" s="879"/>
      <c r="R739" s="879"/>
      <c r="S739" s="881"/>
      <c r="T739" s="879"/>
      <c r="U739" s="881"/>
      <c r="V739" s="881"/>
      <c r="W739" s="881"/>
      <c r="X739" s="881"/>
      <c r="Y739" s="881"/>
      <c r="Z739" s="881"/>
      <c r="AA739" s="881"/>
      <c r="AB739" s="881"/>
      <c r="AC739" s="879"/>
      <c r="AD739" s="879"/>
      <c r="AE739" s="879"/>
    </row>
    <row r="740" spans="1:31">
      <c r="A740" s="879"/>
      <c r="B740" s="879"/>
      <c r="C740" s="879"/>
      <c r="D740" s="879"/>
      <c r="E740" s="879"/>
      <c r="F740" s="879"/>
      <c r="G740" s="879"/>
      <c r="H740" s="879"/>
      <c r="I740" s="879"/>
      <c r="J740" s="879"/>
      <c r="K740" s="879"/>
      <c r="L740" s="879"/>
      <c r="M740" s="879"/>
      <c r="N740" s="879"/>
      <c r="O740" s="879"/>
      <c r="P740" s="879"/>
      <c r="Q740" s="879"/>
      <c r="R740" s="879"/>
      <c r="S740" s="881"/>
      <c r="T740" s="879"/>
      <c r="U740" s="881"/>
      <c r="V740" s="881"/>
      <c r="W740" s="881"/>
      <c r="X740" s="881"/>
      <c r="Y740" s="881"/>
      <c r="Z740" s="881"/>
      <c r="AA740" s="881"/>
      <c r="AB740" s="881"/>
      <c r="AC740" s="879"/>
      <c r="AD740" s="879"/>
      <c r="AE740" s="879"/>
    </row>
    <row r="741" spans="1:31">
      <c r="A741" s="879"/>
      <c r="B741" s="879"/>
      <c r="C741" s="879"/>
      <c r="D741" s="879"/>
      <c r="E741" s="879"/>
      <c r="F741" s="879"/>
      <c r="G741" s="879"/>
      <c r="H741" s="879"/>
      <c r="I741" s="879"/>
      <c r="J741" s="879"/>
      <c r="K741" s="879"/>
      <c r="L741" s="879"/>
      <c r="M741" s="879"/>
      <c r="N741" s="879"/>
      <c r="O741" s="879"/>
      <c r="P741" s="879"/>
      <c r="Q741" s="879"/>
      <c r="R741" s="879"/>
      <c r="S741" s="881"/>
      <c r="T741" s="879"/>
      <c r="U741" s="881"/>
      <c r="V741" s="881"/>
      <c r="W741" s="881"/>
      <c r="X741" s="881"/>
      <c r="Y741" s="881"/>
      <c r="Z741" s="881"/>
      <c r="AA741" s="881"/>
      <c r="AB741" s="881"/>
      <c r="AC741" s="879"/>
      <c r="AD741" s="879"/>
      <c r="AE741" s="879"/>
    </row>
    <row r="742" spans="1:31">
      <c r="A742" s="879"/>
      <c r="B742" s="879"/>
      <c r="C742" s="879"/>
      <c r="D742" s="879"/>
      <c r="E742" s="879"/>
      <c r="F742" s="879"/>
      <c r="G742" s="879"/>
      <c r="H742" s="879"/>
      <c r="I742" s="879"/>
      <c r="J742" s="879"/>
      <c r="K742" s="879"/>
      <c r="L742" s="879"/>
      <c r="M742" s="879"/>
      <c r="N742" s="879"/>
      <c r="O742" s="879"/>
      <c r="P742" s="879"/>
      <c r="Q742" s="879"/>
      <c r="R742" s="879"/>
      <c r="S742" s="881"/>
      <c r="T742" s="879"/>
      <c r="U742" s="881"/>
      <c r="V742" s="881"/>
      <c r="W742" s="881"/>
      <c r="X742" s="881"/>
      <c r="Y742" s="881"/>
      <c r="Z742" s="881"/>
      <c r="AA742" s="881"/>
      <c r="AB742" s="881"/>
      <c r="AC742" s="879"/>
      <c r="AD742" s="879"/>
      <c r="AE742" s="879"/>
    </row>
    <row r="743" spans="1:31">
      <c r="A743" s="879"/>
      <c r="B743" s="879"/>
      <c r="C743" s="879"/>
      <c r="D743" s="879"/>
      <c r="E743" s="879"/>
      <c r="F743" s="879"/>
      <c r="G743" s="879"/>
      <c r="H743" s="879"/>
      <c r="I743" s="879"/>
      <c r="J743" s="879"/>
      <c r="K743" s="879"/>
      <c r="L743" s="879"/>
      <c r="M743" s="879"/>
      <c r="N743" s="879"/>
      <c r="O743" s="879"/>
      <c r="P743" s="879"/>
      <c r="Q743" s="879"/>
      <c r="R743" s="879"/>
      <c r="S743" s="881"/>
      <c r="T743" s="879"/>
      <c r="U743" s="881"/>
      <c r="V743" s="881"/>
      <c r="W743" s="881"/>
      <c r="X743" s="881"/>
      <c r="Y743" s="881"/>
      <c r="Z743" s="881"/>
      <c r="AA743" s="881"/>
      <c r="AB743" s="881"/>
      <c r="AC743" s="879"/>
      <c r="AD743" s="879"/>
      <c r="AE743" s="879"/>
    </row>
    <row r="744" spans="1:31">
      <c r="A744" s="879"/>
      <c r="B744" s="879"/>
      <c r="C744" s="879"/>
      <c r="D744" s="879"/>
      <c r="E744" s="879"/>
      <c r="F744" s="879"/>
      <c r="G744" s="879"/>
      <c r="H744" s="879"/>
      <c r="I744" s="879"/>
      <c r="J744" s="879"/>
      <c r="K744" s="879"/>
      <c r="L744" s="879"/>
      <c r="M744" s="879"/>
      <c r="N744" s="879"/>
      <c r="O744" s="879"/>
      <c r="P744" s="879"/>
      <c r="Q744" s="879"/>
      <c r="R744" s="879"/>
      <c r="S744" s="881"/>
      <c r="T744" s="879"/>
      <c r="U744" s="881"/>
      <c r="V744" s="881"/>
      <c r="W744" s="881"/>
      <c r="X744" s="881"/>
      <c r="Y744" s="881"/>
      <c r="Z744" s="881"/>
      <c r="AA744" s="881"/>
      <c r="AB744" s="881"/>
      <c r="AC744" s="879"/>
      <c r="AD744" s="879"/>
      <c r="AE744" s="879"/>
    </row>
    <row r="745" spans="1:31">
      <c r="A745" s="879"/>
      <c r="B745" s="879"/>
      <c r="C745" s="879"/>
      <c r="D745" s="879"/>
      <c r="E745" s="879"/>
      <c r="F745" s="879"/>
      <c r="G745" s="879"/>
      <c r="H745" s="879"/>
      <c r="I745" s="879"/>
      <c r="J745" s="879"/>
      <c r="K745" s="879"/>
      <c r="L745" s="879"/>
      <c r="M745" s="879"/>
      <c r="N745" s="879"/>
      <c r="O745" s="879"/>
      <c r="P745" s="879"/>
      <c r="Q745" s="879"/>
      <c r="R745" s="879"/>
      <c r="S745" s="881"/>
      <c r="T745" s="879"/>
      <c r="U745" s="881"/>
      <c r="V745" s="881"/>
      <c r="W745" s="881"/>
      <c r="X745" s="881"/>
      <c r="Y745" s="881"/>
      <c r="Z745" s="881"/>
      <c r="AA745" s="881"/>
      <c r="AB745" s="881"/>
      <c r="AC745" s="879"/>
      <c r="AD745" s="879"/>
      <c r="AE745" s="879"/>
    </row>
    <row r="746" spans="1:31">
      <c r="A746" s="879"/>
      <c r="B746" s="879"/>
      <c r="C746" s="879"/>
      <c r="D746" s="879"/>
      <c r="E746" s="879"/>
      <c r="F746" s="879"/>
      <c r="G746" s="879"/>
      <c r="H746" s="879"/>
      <c r="I746" s="879"/>
      <c r="J746" s="879"/>
      <c r="K746" s="879"/>
      <c r="L746" s="879"/>
      <c r="M746" s="879"/>
      <c r="N746" s="879"/>
      <c r="O746" s="879"/>
      <c r="P746" s="879"/>
      <c r="Q746" s="879"/>
      <c r="R746" s="879"/>
      <c r="S746" s="881"/>
      <c r="T746" s="879"/>
      <c r="U746" s="881"/>
      <c r="V746" s="881"/>
      <c r="W746" s="881"/>
      <c r="X746" s="881"/>
      <c r="Y746" s="881"/>
      <c r="Z746" s="881"/>
      <c r="AA746" s="881"/>
      <c r="AB746" s="881"/>
      <c r="AC746" s="879"/>
      <c r="AD746" s="879"/>
      <c r="AE746" s="879"/>
    </row>
    <row r="747" spans="1:31">
      <c r="A747" s="879"/>
      <c r="B747" s="879"/>
      <c r="C747" s="879"/>
      <c r="D747" s="879"/>
      <c r="E747" s="879"/>
      <c r="F747" s="879"/>
      <c r="G747" s="879"/>
      <c r="H747" s="879"/>
      <c r="I747" s="879"/>
      <c r="J747" s="879"/>
      <c r="K747" s="879"/>
      <c r="L747" s="879"/>
      <c r="M747" s="879"/>
      <c r="N747" s="879"/>
      <c r="O747" s="879"/>
      <c r="P747" s="879"/>
      <c r="Q747" s="879"/>
      <c r="R747" s="879"/>
      <c r="S747" s="881"/>
      <c r="T747" s="879"/>
      <c r="U747" s="881"/>
      <c r="V747" s="881"/>
      <c r="W747" s="881"/>
      <c r="X747" s="881"/>
      <c r="Y747" s="881"/>
      <c r="Z747" s="881"/>
      <c r="AA747" s="881"/>
      <c r="AB747" s="881"/>
      <c r="AC747" s="879"/>
      <c r="AD747" s="879"/>
      <c r="AE747" s="879"/>
    </row>
    <row r="748" spans="1:31">
      <c r="A748" s="879"/>
      <c r="B748" s="879"/>
      <c r="C748" s="879"/>
      <c r="D748" s="879"/>
      <c r="E748" s="879"/>
      <c r="F748" s="879"/>
      <c r="G748" s="879"/>
      <c r="H748" s="879"/>
      <c r="I748" s="879"/>
      <c r="J748" s="879"/>
      <c r="K748" s="879"/>
      <c r="L748" s="879"/>
      <c r="M748" s="879"/>
      <c r="N748" s="879"/>
      <c r="O748" s="879"/>
      <c r="P748" s="879"/>
      <c r="Q748" s="879"/>
      <c r="R748" s="879"/>
      <c r="S748" s="881"/>
      <c r="T748" s="879"/>
      <c r="U748" s="881"/>
      <c r="V748" s="881"/>
      <c r="W748" s="881"/>
      <c r="X748" s="881"/>
      <c r="Y748" s="881"/>
      <c r="Z748" s="881"/>
      <c r="AA748" s="881"/>
      <c r="AB748" s="881"/>
      <c r="AC748" s="879"/>
      <c r="AD748" s="879"/>
      <c r="AE748" s="879"/>
    </row>
    <row r="749" spans="1:31">
      <c r="A749" s="879"/>
      <c r="B749" s="879"/>
      <c r="C749" s="879"/>
      <c r="D749" s="879"/>
      <c r="E749" s="879"/>
      <c r="F749" s="879"/>
      <c r="G749" s="879"/>
      <c r="H749" s="879"/>
      <c r="I749" s="879"/>
      <c r="J749" s="879"/>
      <c r="K749" s="879"/>
      <c r="L749" s="879"/>
      <c r="M749" s="879"/>
      <c r="N749" s="879"/>
      <c r="O749" s="879"/>
      <c r="P749" s="879"/>
      <c r="Q749" s="879"/>
      <c r="R749" s="879"/>
      <c r="S749" s="881"/>
      <c r="T749" s="879"/>
      <c r="U749" s="881"/>
      <c r="V749" s="881"/>
      <c r="W749" s="881"/>
      <c r="X749" s="881"/>
      <c r="Y749" s="881"/>
      <c r="Z749" s="881"/>
      <c r="AA749" s="881"/>
      <c r="AB749" s="881"/>
      <c r="AC749" s="879"/>
      <c r="AD749" s="879"/>
      <c r="AE749" s="879"/>
    </row>
    <row r="750" spans="1:31">
      <c r="A750" s="879"/>
      <c r="B750" s="879"/>
      <c r="C750" s="879"/>
      <c r="D750" s="879"/>
      <c r="E750" s="879"/>
      <c r="F750" s="879"/>
      <c r="G750" s="879"/>
      <c r="H750" s="879"/>
      <c r="I750" s="879"/>
      <c r="J750" s="879"/>
      <c r="K750" s="879"/>
      <c r="L750" s="879"/>
      <c r="M750" s="879"/>
      <c r="N750" s="879"/>
      <c r="O750" s="879"/>
      <c r="P750" s="879"/>
      <c r="Q750" s="879"/>
      <c r="R750" s="879"/>
      <c r="S750" s="881"/>
      <c r="T750" s="879"/>
      <c r="U750" s="881"/>
      <c r="V750" s="881"/>
      <c r="W750" s="881"/>
      <c r="X750" s="881"/>
      <c r="Y750" s="881"/>
      <c r="Z750" s="881"/>
      <c r="AA750" s="881"/>
      <c r="AB750" s="881"/>
      <c r="AC750" s="879"/>
      <c r="AD750" s="879"/>
      <c r="AE750" s="879"/>
    </row>
    <row r="751" spans="1:31">
      <c r="A751" s="879"/>
      <c r="B751" s="879"/>
      <c r="C751" s="879"/>
      <c r="D751" s="879"/>
      <c r="E751" s="879"/>
      <c r="F751" s="879"/>
      <c r="G751" s="879"/>
      <c r="H751" s="879"/>
      <c r="I751" s="879"/>
      <c r="J751" s="879"/>
      <c r="K751" s="879"/>
      <c r="L751" s="879"/>
      <c r="M751" s="879"/>
      <c r="N751" s="879"/>
      <c r="O751" s="879"/>
      <c r="P751" s="879"/>
      <c r="Q751" s="879"/>
      <c r="R751" s="879"/>
      <c r="S751" s="881"/>
      <c r="T751" s="879"/>
      <c r="U751" s="881"/>
      <c r="V751" s="881"/>
      <c r="W751" s="881"/>
      <c r="X751" s="881"/>
      <c r="Y751" s="881"/>
      <c r="Z751" s="881"/>
      <c r="AA751" s="881"/>
      <c r="AB751" s="881"/>
      <c r="AC751" s="879"/>
      <c r="AD751" s="879"/>
      <c r="AE751" s="879"/>
    </row>
    <row r="752" spans="1:31">
      <c r="A752" s="879"/>
      <c r="B752" s="879"/>
      <c r="C752" s="879"/>
      <c r="D752" s="879"/>
      <c r="E752" s="879"/>
      <c r="F752" s="879"/>
      <c r="G752" s="879"/>
      <c r="H752" s="879"/>
      <c r="I752" s="879"/>
      <c r="J752" s="879"/>
      <c r="K752" s="879"/>
      <c r="L752" s="879"/>
      <c r="M752" s="879"/>
      <c r="N752" s="879"/>
      <c r="O752" s="879"/>
      <c r="P752" s="879"/>
      <c r="Q752" s="879"/>
      <c r="R752" s="879"/>
      <c r="S752" s="881"/>
      <c r="T752" s="879"/>
      <c r="U752" s="881"/>
      <c r="V752" s="881"/>
      <c r="W752" s="881"/>
      <c r="X752" s="881"/>
      <c r="Y752" s="881"/>
      <c r="Z752" s="881"/>
      <c r="AA752" s="881"/>
      <c r="AB752" s="881"/>
      <c r="AC752" s="879"/>
      <c r="AD752" s="879"/>
      <c r="AE752" s="879"/>
    </row>
    <row r="753" spans="1:31">
      <c r="A753" s="879"/>
      <c r="B753" s="879"/>
      <c r="C753" s="879"/>
      <c r="D753" s="879"/>
      <c r="E753" s="879"/>
      <c r="F753" s="879"/>
      <c r="G753" s="879"/>
      <c r="H753" s="879"/>
      <c r="I753" s="879"/>
      <c r="J753" s="879"/>
      <c r="K753" s="879"/>
      <c r="L753" s="879"/>
      <c r="M753" s="879"/>
      <c r="N753" s="879"/>
      <c r="O753" s="879"/>
      <c r="P753" s="879"/>
      <c r="Q753" s="879"/>
      <c r="R753" s="879"/>
      <c r="S753" s="881"/>
      <c r="T753" s="879"/>
      <c r="U753" s="881"/>
      <c r="V753" s="881"/>
      <c r="W753" s="881"/>
      <c r="X753" s="881"/>
      <c r="Y753" s="881"/>
      <c r="Z753" s="881"/>
      <c r="AA753" s="881"/>
      <c r="AB753" s="881"/>
      <c r="AC753" s="879"/>
      <c r="AD753" s="879"/>
      <c r="AE753" s="879"/>
    </row>
    <row r="754" spans="1:31">
      <c r="A754" s="879"/>
      <c r="B754" s="879"/>
      <c r="C754" s="879"/>
      <c r="D754" s="879"/>
      <c r="E754" s="879"/>
      <c r="F754" s="879"/>
      <c r="G754" s="879"/>
      <c r="H754" s="879"/>
      <c r="I754" s="879"/>
      <c r="J754" s="879"/>
      <c r="K754" s="879"/>
      <c r="L754" s="879"/>
      <c r="M754" s="879"/>
      <c r="N754" s="879"/>
      <c r="O754" s="879"/>
      <c r="P754" s="879"/>
      <c r="Q754" s="879"/>
      <c r="R754" s="879"/>
      <c r="S754" s="881"/>
      <c r="T754" s="879"/>
      <c r="U754" s="881"/>
      <c r="V754" s="881"/>
      <c r="W754" s="881"/>
      <c r="X754" s="881"/>
      <c r="Y754" s="881"/>
      <c r="Z754" s="881"/>
      <c r="AA754" s="881"/>
      <c r="AB754" s="881"/>
      <c r="AC754" s="879"/>
      <c r="AD754" s="879"/>
      <c r="AE754" s="879"/>
    </row>
    <row r="755" spans="1:31">
      <c r="A755" s="879"/>
      <c r="B755" s="879"/>
      <c r="C755" s="879"/>
      <c r="D755" s="879"/>
      <c r="E755" s="879"/>
      <c r="F755" s="879"/>
      <c r="G755" s="879"/>
      <c r="H755" s="879"/>
      <c r="I755" s="879"/>
      <c r="J755" s="879"/>
      <c r="K755" s="879"/>
      <c r="L755" s="879"/>
      <c r="M755" s="879"/>
      <c r="N755" s="879"/>
      <c r="O755" s="879"/>
      <c r="P755" s="879"/>
      <c r="Q755" s="879"/>
      <c r="R755" s="879"/>
      <c r="S755" s="881"/>
      <c r="T755" s="879"/>
      <c r="U755" s="881"/>
      <c r="V755" s="881"/>
      <c r="W755" s="881"/>
      <c r="X755" s="881"/>
      <c r="Y755" s="881"/>
      <c r="Z755" s="881"/>
      <c r="AA755" s="881"/>
      <c r="AB755" s="881"/>
      <c r="AC755" s="879"/>
      <c r="AD755" s="879"/>
      <c r="AE755" s="879"/>
    </row>
    <row r="756" spans="1:31">
      <c r="A756" s="879"/>
      <c r="B756" s="879"/>
      <c r="C756" s="879"/>
      <c r="D756" s="879"/>
      <c r="E756" s="879"/>
      <c r="F756" s="879"/>
      <c r="G756" s="879"/>
      <c r="H756" s="879"/>
      <c r="I756" s="879"/>
      <c r="J756" s="879"/>
      <c r="K756" s="879"/>
      <c r="L756" s="879"/>
      <c r="M756" s="879"/>
      <c r="N756" s="879"/>
      <c r="O756" s="879"/>
      <c r="P756" s="879"/>
      <c r="Q756" s="879"/>
      <c r="R756" s="879"/>
      <c r="S756" s="881"/>
      <c r="T756" s="879"/>
      <c r="U756" s="881"/>
      <c r="V756" s="881"/>
      <c r="W756" s="881"/>
      <c r="X756" s="881"/>
      <c r="Y756" s="881"/>
      <c r="Z756" s="881"/>
      <c r="AA756" s="881"/>
      <c r="AB756" s="881"/>
      <c r="AC756" s="879"/>
      <c r="AD756" s="879"/>
      <c r="AE756" s="879"/>
    </row>
    <row r="757" spans="1:31">
      <c r="A757" s="879"/>
      <c r="B757" s="879"/>
      <c r="C757" s="879"/>
      <c r="D757" s="879"/>
      <c r="E757" s="879"/>
      <c r="F757" s="879"/>
      <c r="G757" s="879"/>
      <c r="H757" s="879"/>
      <c r="I757" s="879"/>
      <c r="J757" s="879"/>
      <c r="K757" s="879"/>
      <c r="L757" s="879"/>
      <c r="M757" s="879"/>
      <c r="N757" s="879"/>
      <c r="O757" s="879"/>
      <c r="P757" s="879"/>
      <c r="Q757" s="879"/>
      <c r="R757" s="879"/>
      <c r="S757" s="881"/>
      <c r="T757" s="879"/>
      <c r="U757" s="881"/>
      <c r="V757" s="881"/>
      <c r="W757" s="881"/>
      <c r="X757" s="881"/>
      <c r="Y757" s="881"/>
      <c r="Z757" s="881"/>
      <c r="AA757" s="881"/>
      <c r="AB757" s="881"/>
      <c r="AC757" s="879"/>
      <c r="AD757" s="879"/>
      <c r="AE757" s="879"/>
    </row>
    <row r="758" spans="1:31">
      <c r="A758" s="879"/>
      <c r="B758" s="879"/>
      <c r="C758" s="879"/>
      <c r="D758" s="879"/>
      <c r="E758" s="879"/>
      <c r="F758" s="879"/>
      <c r="G758" s="879"/>
      <c r="H758" s="879"/>
      <c r="I758" s="879"/>
      <c r="J758" s="879"/>
      <c r="K758" s="879"/>
      <c r="L758" s="879"/>
      <c r="M758" s="879"/>
      <c r="N758" s="879"/>
      <c r="O758" s="879"/>
      <c r="P758" s="879"/>
      <c r="Q758" s="879"/>
      <c r="R758" s="879"/>
      <c r="S758" s="881"/>
      <c r="T758" s="879"/>
      <c r="U758" s="881"/>
      <c r="V758" s="881"/>
      <c r="W758" s="881"/>
      <c r="X758" s="881"/>
      <c r="Y758" s="881"/>
      <c r="Z758" s="881"/>
      <c r="AA758" s="881"/>
      <c r="AB758" s="881"/>
      <c r="AC758" s="879"/>
      <c r="AD758" s="879"/>
      <c r="AE758" s="879"/>
    </row>
    <row r="759" spans="1:31">
      <c r="A759" s="879"/>
      <c r="B759" s="879"/>
      <c r="C759" s="879"/>
      <c r="D759" s="879"/>
      <c r="E759" s="879"/>
      <c r="F759" s="879"/>
      <c r="G759" s="879"/>
      <c r="H759" s="879"/>
      <c r="I759" s="879"/>
      <c r="J759" s="879"/>
      <c r="K759" s="879"/>
      <c r="L759" s="879"/>
      <c r="M759" s="879"/>
      <c r="N759" s="879"/>
      <c r="O759" s="879"/>
      <c r="P759" s="879"/>
      <c r="Q759" s="879"/>
      <c r="R759" s="879"/>
      <c r="S759" s="881"/>
      <c r="T759" s="879"/>
      <c r="U759" s="881"/>
      <c r="V759" s="881"/>
      <c r="W759" s="881"/>
      <c r="X759" s="881"/>
      <c r="Y759" s="881"/>
      <c r="Z759" s="881"/>
      <c r="AA759" s="881"/>
      <c r="AB759" s="881"/>
      <c r="AC759" s="879"/>
      <c r="AD759" s="879"/>
      <c r="AE759" s="879"/>
    </row>
    <row r="760" spans="1:31">
      <c r="A760" s="879"/>
      <c r="B760" s="879"/>
      <c r="C760" s="879"/>
      <c r="D760" s="879"/>
      <c r="E760" s="879"/>
      <c r="F760" s="879"/>
      <c r="G760" s="879"/>
      <c r="H760" s="879"/>
      <c r="I760" s="879"/>
      <c r="J760" s="879"/>
      <c r="K760" s="879"/>
      <c r="L760" s="879"/>
      <c r="M760" s="879"/>
      <c r="N760" s="879"/>
      <c r="O760" s="879"/>
      <c r="P760" s="879"/>
      <c r="Q760" s="879"/>
      <c r="R760" s="879"/>
      <c r="S760" s="881"/>
      <c r="T760" s="879"/>
      <c r="U760" s="881"/>
      <c r="V760" s="881"/>
      <c r="W760" s="881"/>
      <c r="X760" s="881"/>
      <c r="Y760" s="881"/>
      <c r="Z760" s="881"/>
      <c r="AA760" s="881"/>
      <c r="AB760" s="881"/>
      <c r="AC760" s="879"/>
      <c r="AD760" s="879"/>
      <c r="AE760" s="879"/>
    </row>
    <row r="761" spans="1:31">
      <c r="A761" s="879"/>
      <c r="B761" s="879"/>
      <c r="C761" s="879"/>
      <c r="D761" s="879"/>
      <c r="E761" s="879"/>
      <c r="F761" s="879"/>
      <c r="G761" s="879"/>
      <c r="H761" s="879"/>
      <c r="I761" s="879"/>
      <c r="J761" s="879"/>
      <c r="K761" s="879"/>
      <c r="L761" s="879"/>
      <c r="M761" s="879"/>
      <c r="N761" s="879"/>
      <c r="O761" s="879"/>
      <c r="P761" s="879"/>
      <c r="Q761" s="879"/>
      <c r="R761" s="879"/>
      <c r="S761" s="881"/>
      <c r="T761" s="879"/>
      <c r="U761" s="881"/>
      <c r="V761" s="881"/>
      <c r="W761" s="881"/>
      <c r="X761" s="881"/>
      <c r="Y761" s="881"/>
      <c r="Z761" s="881"/>
      <c r="AA761" s="881"/>
      <c r="AB761" s="881"/>
      <c r="AC761" s="879"/>
      <c r="AD761" s="879"/>
      <c r="AE761" s="879"/>
    </row>
    <row r="762" spans="1:31">
      <c r="A762" s="879"/>
      <c r="B762" s="879"/>
      <c r="C762" s="879"/>
      <c r="D762" s="879"/>
      <c r="E762" s="879"/>
      <c r="F762" s="879"/>
      <c r="G762" s="879"/>
      <c r="H762" s="879"/>
      <c r="I762" s="879"/>
      <c r="J762" s="879"/>
      <c r="K762" s="879"/>
      <c r="L762" s="879"/>
      <c r="M762" s="879"/>
      <c r="N762" s="879"/>
      <c r="O762" s="879"/>
      <c r="P762" s="879"/>
      <c r="Q762" s="879"/>
      <c r="R762" s="879"/>
      <c r="S762" s="881"/>
      <c r="T762" s="879"/>
      <c r="U762" s="881"/>
      <c r="V762" s="881"/>
      <c r="W762" s="881"/>
      <c r="X762" s="881"/>
      <c r="Y762" s="881"/>
      <c r="Z762" s="881"/>
      <c r="AA762" s="881"/>
      <c r="AB762" s="881"/>
      <c r="AC762" s="879"/>
      <c r="AD762" s="879"/>
      <c r="AE762" s="879"/>
    </row>
    <row r="763" spans="1:31">
      <c r="A763" s="879"/>
      <c r="B763" s="879"/>
      <c r="C763" s="879"/>
      <c r="D763" s="879"/>
      <c r="E763" s="879"/>
      <c r="F763" s="879"/>
      <c r="G763" s="879"/>
      <c r="H763" s="879"/>
      <c r="I763" s="879"/>
      <c r="J763" s="879"/>
      <c r="K763" s="879"/>
      <c r="L763" s="879"/>
      <c r="M763" s="879"/>
      <c r="N763" s="879"/>
      <c r="O763" s="879"/>
      <c r="P763" s="879"/>
      <c r="Q763" s="879"/>
      <c r="R763" s="879"/>
      <c r="S763" s="881"/>
      <c r="T763" s="879"/>
      <c r="U763" s="881"/>
      <c r="V763" s="881"/>
      <c r="W763" s="881"/>
      <c r="X763" s="881"/>
      <c r="Y763" s="881"/>
      <c r="Z763" s="881"/>
      <c r="AA763" s="881"/>
      <c r="AB763" s="881"/>
      <c r="AC763" s="879"/>
      <c r="AD763" s="879"/>
      <c r="AE763" s="879"/>
    </row>
    <row r="764" spans="1:31">
      <c r="A764" s="879"/>
      <c r="B764" s="879"/>
      <c r="C764" s="879"/>
      <c r="D764" s="879"/>
      <c r="E764" s="879"/>
      <c r="F764" s="879"/>
      <c r="G764" s="879"/>
      <c r="H764" s="879"/>
      <c r="I764" s="879"/>
      <c r="J764" s="879"/>
      <c r="K764" s="879"/>
      <c r="L764" s="879"/>
      <c r="M764" s="879"/>
      <c r="N764" s="879"/>
      <c r="O764" s="879"/>
      <c r="P764" s="879"/>
      <c r="Q764" s="879"/>
      <c r="R764" s="879"/>
      <c r="S764" s="881"/>
      <c r="T764" s="879"/>
      <c r="U764" s="881"/>
      <c r="V764" s="881"/>
      <c r="W764" s="881"/>
      <c r="X764" s="881"/>
      <c r="Y764" s="881"/>
      <c r="Z764" s="881"/>
      <c r="AA764" s="881"/>
      <c r="AB764" s="881"/>
      <c r="AC764" s="879"/>
      <c r="AD764" s="879"/>
      <c r="AE764" s="879"/>
    </row>
    <row r="765" spans="1:31">
      <c r="A765" s="879"/>
      <c r="B765" s="879"/>
      <c r="C765" s="879"/>
      <c r="D765" s="879"/>
      <c r="E765" s="879"/>
      <c r="F765" s="879"/>
      <c r="G765" s="879"/>
      <c r="H765" s="879"/>
      <c r="I765" s="879"/>
      <c r="J765" s="879"/>
      <c r="K765" s="879"/>
      <c r="L765" s="879"/>
      <c r="M765" s="879"/>
      <c r="N765" s="879"/>
      <c r="O765" s="879"/>
      <c r="P765" s="879"/>
      <c r="Q765" s="879"/>
      <c r="R765" s="879"/>
      <c r="S765" s="881"/>
      <c r="T765" s="879"/>
      <c r="U765" s="881"/>
      <c r="V765" s="881"/>
      <c r="W765" s="881"/>
      <c r="X765" s="881"/>
      <c r="Y765" s="881"/>
      <c r="Z765" s="881"/>
      <c r="AA765" s="881"/>
      <c r="AB765" s="881"/>
      <c r="AC765" s="879"/>
      <c r="AD765" s="879"/>
      <c r="AE765" s="879"/>
    </row>
    <row r="766" spans="1:31">
      <c r="A766" s="879"/>
      <c r="B766" s="879"/>
      <c r="C766" s="879"/>
      <c r="D766" s="879"/>
      <c r="E766" s="879"/>
      <c r="F766" s="879"/>
      <c r="G766" s="879"/>
      <c r="H766" s="879"/>
      <c r="I766" s="879"/>
      <c r="J766" s="879"/>
      <c r="K766" s="879"/>
      <c r="L766" s="879"/>
      <c r="M766" s="879"/>
      <c r="N766" s="879"/>
      <c r="O766" s="879"/>
      <c r="P766" s="879"/>
      <c r="Q766" s="879"/>
      <c r="R766" s="879"/>
      <c r="S766" s="881"/>
      <c r="T766" s="879"/>
      <c r="U766" s="881"/>
      <c r="V766" s="881"/>
      <c r="W766" s="881"/>
      <c r="X766" s="881"/>
      <c r="Y766" s="881"/>
      <c r="Z766" s="881"/>
      <c r="AA766" s="881"/>
      <c r="AB766" s="881"/>
      <c r="AC766" s="879"/>
      <c r="AD766" s="879"/>
      <c r="AE766" s="879"/>
    </row>
    <row r="767" spans="1:31">
      <c r="A767" s="879"/>
      <c r="B767" s="879"/>
      <c r="C767" s="879"/>
      <c r="D767" s="879"/>
      <c r="E767" s="879"/>
      <c r="F767" s="879"/>
      <c r="G767" s="879"/>
      <c r="H767" s="879"/>
      <c r="I767" s="879"/>
      <c r="J767" s="879"/>
      <c r="K767" s="879"/>
      <c r="L767" s="879"/>
      <c r="M767" s="879"/>
      <c r="N767" s="879"/>
      <c r="O767" s="879"/>
      <c r="P767" s="879"/>
      <c r="Q767" s="879"/>
      <c r="R767" s="879"/>
      <c r="S767" s="881"/>
      <c r="T767" s="879"/>
      <c r="U767" s="881"/>
      <c r="V767" s="881"/>
      <c r="W767" s="881"/>
      <c r="X767" s="881"/>
      <c r="Y767" s="881"/>
      <c r="Z767" s="881"/>
      <c r="AA767" s="881"/>
      <c r="AB767" s="881"/>
      <c r="AC767" s="879"/>
      <c r="AD767" s="879"/>
      <c r="AE767" s="879"/>
    </row>
    <row r="768" spans="1:31">
      <c r="A768" s="879"/>
      <c r="B768" s="879"/>
      <c r="C768" s="879"/>
      <c r="D768" s="879"/>
      <c r="E768" s="879"/>
      <c r="F768" s="879"/>
      <c r="G768" s="879"/>
      <c r="H768" s="879"/>
      <c r="I768" s="879"/>
      <c r="J768" s="879"/>
      <c r="K768" s="879"/>
      <c r="L768" s="879"/>
      <c r="M768" s="879"/>
      <c r="N768" s="879"/>
      <c r="O768" s="879"/>
      <c r="P768" s="879"/>
      <c r="Q768" s="879"/>
      <c r="R768" s="879"/>
      <c r="S768" s="881"/>
      <c r="T768" s="879"/>
      <c r="U768" s="881"/>
      <c r="V768" s="881"/>
      <c r="W768" s="881"/>
      <c r="X768" s="881"/>
      <c r="Y768" s="881"/>
      <c r="Z768" s="881"/>
      <c r="AA768" s="881"/>
      <c r="AB768" s="881"/>
      <c r="AC768" s="879"/>
      <c r="AD768" s="879"/>
      <c r="AE768" s="879"/>
    </row>
    <row r="769" spans="1:31">
      <c r="A769" s="879"/>
      <c r="B769" s="879"/>
      <c r="C769" s="879"/>
      <c r="D769" s="879"/>
      <c r="E769" s="879"/>
      <c r="F769" s="879"/>
      <c r="G769" s="879"/>
      <c r="H769" s="879"/>
      <c r="I769" s="879"/>
      <c r="J769" s="879"/>
      <c r="K769" s="879"/>
      <c r="L769" s="879"/>
      <c r="M769" s="879"/>
      <c r="N769" s="879"/>
      <c r="O769" s="879"/>
      <c r="P769" s="879"/>
      <c r="Q769" s="879"/>
      <c r="R769" s="879"/>
      <c r="S769" s="881"/>
      <c r="T769" s="879"/>
      <c r="U769" s="881"/>
      <c r="V769" s="881"/>
      <c r="W769" s="881"/>
      <c r="X769" s="881"/>
      <c r="Y769" s="881"/>
      <c r="Z769" s="881"/>
      <c r="AA769" s="881"/>
      <c r="AB769" s="881"/>
      <c r="AC769" s="879"/>
      <c r="AD769" s="879"/>
      <c r="AE769" s="879"/>
    </row>
    <row r="770" spans="1:31">
      <c r="A770" s="879"/>
      <c r="B770" s="879"/>
      <c r="C770" s="879"/>
      <c r="D770" s="879"/>
      <c r="E770" s="879"/>
      <c r="F770" s="879"/>
      <c r="G770" s="879"/>
      <c r="H770" s="879"/>
      <c r="I770" s="879"/>
      <c r="J770" s="879"/>
      <c r="K770" s="879"/>
      <c r="L770" s="879"/>
      <c r="M770" s="879"/>
      <c r="N770" s="879"/>
      <c r="O770" s="879"/>
      <c r="P770" s="879"/>
      <c r="Q770" s="879"/>
      <c r="R770" s="879"/>
      <c r="S770" s="881"/>
      <c r="T770" s="879"/>
      <c r="U770" s="881"/>
      <c r="V770" s="881"/>
      <c r="W770" s="881"/>
      <c r="X770" s="881"/>
      <c r="Y770" s="881"/>
      <c r="Z770" s="881"/>
      <c r="AA770" s="881"/>
      <c r="AB770" s="881"/>
      <c r="AC770" s="879"/>
      <c r="AD770" s="879"/>
      <c r="AE770" s="879"/>
    </row>
    <row r="771" spans="1:31">
      <c r="A771" s="879"/>
      <c r="B771" s="879"/>
      <c r="C771" s="879"/>
      <c r="D771" s="879"/>
      <c r="E771" s="879"/>
      <c r="F771" s="879"/>
      <c r="G771" s="879"/>
      <c r="H771" s="879"/>
      <c r="I771" s="879"/>
      <c r="J771" s="879"/>
      <c r="K771" s="879"/>
      <c r="L771" s="879"/>
      <c r="M771" s="879"/>
      <c r="N771" s="879"/>
      <c r="O771" s="879"/>
      <c r="P771" s="879"/>
      <c r="Q771" s="879"/>
      <c r="R771" s="879"/>
      <c r="S771" s="881"/>
      <c r="T771" s="879"/>
      <c r="U771" s="881"/>
      <c r="V771" s="881"/>
      <c r="W771" s="881"/>
      <c r="X771" s="881"/>
      <c r="Y771" s="881"/>
      <c r="Z771" s="881"/>
      <c r="AA771" s="881"/>
      <c r="AB771" s="881"/>
      <c r="AC771" s="879"/>
      <c r="AD771" s="879"/>
      <c r="AE771" s="879"/>
    </row>
    <row r="772" spans="1:31">
      <c r="A772" s="879"/>
      <c r="B772" s="879"/>
      <c r="C772" s="879"/>
      <c r="D772" s="879"/>
      <c r="E772" s="879"/>
      <c r="F772" s="879"/>
      <c r="G772" s="879"/>
      <c r="H772" s="879"/>
      <c r="I772" s="879"/>
      <c r="J772" s="879"/>
      <c r="K772" s="879"/>
      <c r="L772" s="879"/>
      <c r="M772" s="879"/>
      <c r="N772" s="879"/>
      <c r="O772" s="879"/>
      <c r="P772" s="879"/>
      <c r="Q772" s="879"/>
      <c r="R772" s="879"/>
      <c r="S772" s="881"/>
      <c r="T772" s="879"/>
      <c r="U772" s="881"/>
      <c r="V772" s="881"/>
      <c r="W772" s="881"/>
      <c r="X772" s="881"/>
      <c r="Y772" s="881"/>
      <c r="Z772" s="881"/>
      <c r="AA772" s="881"/>
      <c r="AB772" s="881"/>
      <c r="AC772" s="879"/>
      <c r="AD772" s="879"/>
      <c r="AE772" s="879"/>
    </row>
    <row r="773" spans="1:31">
      <c r="A773" s="879"/>
      <c r="B773" s="879"/>
      <c r="C773" s="879"/>
      <c r="D773" s="879"/>
      <c r="E773" s="879"/>
      <c r="F773" s="879"/>
      <c r="G773" s="879"/>
      <c r="H773" s="879"/>
      <c r="I773" s="879"/>
      <c r="J773" s="879"/>
      <c r="K773" s="879"/>
      <c r="L773" s="879"/>
      <c r="M773" s="879"/>
      <c r="N773" s="879"/>
      <c r="O773" s="879"/>
      <c r="P773" s="879"/>
      <c r="Q773" s="879"/>
      <c r="R773" s="879"/>
      <c r="S773" s="881"/>
      <c r="T773" s="879"/>
      <c r="U773" s="881"/>
      <c r="V773" s="881"/>
      <c r="W773" s="881"/>
      <c r="X773" s="881"/>
      <c r="Y773" s="881"/>
      <c r="Z773" s="881"/>
      <c r="AA773" s="881"/>
      <c r="AB773" s="881"/>
      <c r="AC773" s="879"/>
      <c r="AD773" s="879"/>
      <c r="AE773" s="879"/>
    </row>
    <row r="774" spans="1:31">
      <c r="A774" s="879"/>
      <c r="B774" s="879"/>
      <c r="C774" s="879"/>
      <c r="D774" s="879"/>
      <c r="E774" s="879"/>
      <c r="F774" s="879"/>
      <c r="G774" s="879"/>
      <c r="H774" s="879"/>
      <c r="I774" s="879"/>
      <c r="J774" s="879"/>
      <c r="K774" s="879"/>
      <c r="L774" s="879"/>
      <c r="M774" s="879"/>
      <c r="N774" s="879"/>
      <c r="O774" s="879"/>
      <c r="P774" s="879"/>
      <c r="Q774" s="879"/>
      <c r="R774" s="879"/>
      <c r="S774" s="881"/>
      <c r="T774" s="879"/>
      <c r="U774" s="881"/>
      <c r="V774" s="881"/>
      <c r="W774" s="881"/>
      <c r="X774" s="881"/>
      <c r="Y774" s="881"/>
      <c r="Z774" s="881"/>
      <c r="AA774" s="881"/>
      <c r="AB774" s="881"/>
      <c r="AC774" s="879"/>
      <c r="AD774" s="879"/>
      <c r="AE774" s="879"/>
    </row>
    <row r="775" spans="1:31">
      <c r="A775" s="879"/>
      <c r="B775" s="879"/>
      <c r="C775" s="879"/>
      <c r="D775" s="879"/>
      <c r="E775" s="879"/>
      <c r="F775" s="879"/>
      <c r="G775" s="879"/>
      <c r="H775" s="879"/>
      <c r="I775" s="879"/>
      <c r="J775" s="879"/>
      <c r="K775" s="879"/>
      <c r="L775" s="879"/>
      <c r="M775" s="879"/>
      <c r="N775" s="879"/>
      <c r="O775" s="879"/>
      <c r="P775" s="879"/>
      <c r="Q775" s="879"/>
      <c r="R775" s="879"/>
      <c r="S775" s="881"/>
      <c r="T775" s="879"/>
      <c r="U775" s="881"/>
      <c r="V775" s="881"/>
      <c r="W775" s="881"/>
      <c r="X775" s="881"/>
      <c r="Y775" s="881"/>
      <c r="Z775" s="881"/>
      <c r="AA775" s="881"/>
      <c r="AB775" s="881"/>
      <c r="AC775" s="879"/>
      <c r="AD775" s="879"/>
      <c r="AE775" s="879"/>
    </row>
    <row r="776" spans="1:31">
      <c r="A776" s="879"/>
      <c r="B776" s="879"/>
      <c r="C776" s="879"/>
      <c r="D776" s="879"/>
      <c r="E776" s="879"/>
      <c r="F776" s="879"/>
      <c r="G776" s="879"/>
      <c r="H776" s="879"/>
      <c r="I776" s="879"/>
      <c r="J776" s="879"/>
      <c r="K776" s="879"/>
      <c r="L776" s="879"/>
      <c r="M776" s="879"/>
      <c r="N776" s="879"/>
      <c r="O776" s="879"/>
      <c r="P776" s="879"/>
      <c r="Q776" s="879"/>
      <c r="R776" s="879"/>
      <c r="S776" s="881"/>
      <c r="T776" s="879"/>
      <c r="U776" s="881"/>
      <c r="V776" s="881"/>
      <c r="W776" s="881"/>
      <c r="X776" s="881"/>
      <c r="Y776" s="881"/>
      <c r="Z776" s="881"/>
      <c r="AA776" s="881"/>
      <c r="AB776" s="881"/>
      <c r="AC776" s="879"/>
      <c r="AD776" s="879"/>
      <c r="AE776" s="879"/>
    </row>
    <row r="777" spans="1:31">
      <c r="A777" s="879"/>
      <c r="B777" s="879"/>
      <c r="C777" s="879"/>
      <c r="D777" s="879"/>
      <c r="E777" s="879"/>
      <c r="F777" s="879"/>
      <c r="G777" s="879"/>
      <c r="H777" s="879"/>
      <c r="I777" s="879"/>
      <c r="J777" s="879"/>
      <c r="K777" s="879"/>
      <c r="L777" s="879"/>
      <c r="M777" s="879"/>
      <c r="N777" s="879"/>
      <c r="O777" s="879"/>
      <c r="P777" s="879"/>
      <c r="Q777" s="879"/>
      <c r="R777" s="879"/>
      <c r="S777" s="881"/>
      <c r="T777" s="879"/>
      <c r="U777" s="881"/>
      <c r="V777" s="881"/>
      <c r="W777" s="881"/>
      <c r="X777" s="881"/>
      <c r="Y777" s="881"/>
      <c r="Z777" s="881"/>
      <c r="AA777" s="881"/>
      <c r="AB777" s="881"/>
      <c r="AC777" s="879"/>
      <c r="AD777" s="879"/>
      <c r="AE777" s="879"/>
    </row>
    <row r="778" spans="1:31">
      <c r="A778" s="879"/>
      <c r="B778" s="879"/>
      <c r="C778" s="879"/>
      <c r="D778" s="879"/>
      <c r="E778" s="879"/>
      <c r="F778" s="879"/>
      <c r="G778" s="879"/>
      <c r="H778" s="879"/>
      <c r="I778" s="879"/>
      <c r="J778" s="879"/>
      <c r="K778" s="879"/>
      <c r="L778" s="879"/>
      <c r="M778" s="879"/>
      <c r="N778" s="879"/>
      <c r="O778" s="879"/>
      <c r="P778" s="879"/>
      <c r="Q778" s="879"/>
      <c r="R778" s="879"/>
      <c r="S778" s="881"/>
      <c r="T778" s="879"/>
      <c r="U778" s="881"/>
      <c r="V778" s="881"/>
      <c r="W778" s="881"/>
      <c r="X778" s="881"/>
      <c r="Y778" s="881"/>
      <c r="Z778" s="881"/>
      <c r="AA778" s="881"/>
      <c r="AB778" s="881"/>
      <c r="AC778" s="879"/>
      <c r="AD778" s="879"/>
      <c r="AE778" s="879"/>
    </row>
    <row r="779" spans="1:31">
      <c r="A779" s="879"/>
      <c r="B779" s="879"/>
      <c r="C779" s="879"/>
      <c r="D779" s="879"/>
      <c r="E779" s="879"/>
      <c r="F779" s="879"/>
      <c r="G779" s="879"/>
      <c r="H779" s="879"/>
      <c r="I779" s="879"/>
      <c r="J779" s="879"/>
      <c r="K779" s="879"/>
      <c r="L779" s="879"/>
      <c r="M779" s="879"/>
      <c r="N779" s="879"/>
      <c r="O779" s="879"/>
      <c r="P779" s="879"/>
      <c r="Q779" s="879"/>
      <c r="R779" s="879"/>
      <c r="S779" s="881"/>
      <c r="T779" s="879"/>
      <c r="U779" s="881"/>
      <c r="V779" s="881"/>
      <c r="W779" s="881"/>
      <c r="X779" s="881"/>
      <c r="Y779" s="881"/>
      <c r="Z779" s="881"/>
      <c r="AA779" s="881"/>
      <c r="AB779" s="881"/>
      <c r="AC779" s="879"/>
      <c r="AD779" s="879"/>
      <c r="AE779" s="879"/>
    </row>
    <row r="780" spans="1:31">
      <c r="A780" s="879"/>
      <c r="B780" s="879"/>
      <c r="C780" s="879"/>
      <c r="D780" s="879"/>
      <c r="E780" s="879"/>
      <c r="F780" s="879"/>
      <c r="G780" s="879"/>
      <c r="H780" s="879"/>
      <c r="I780" s="879"/>
      <c r="J780" s="879"/>
      <c r="K780" s="879"/>
      <c r="L780" s="879"/>
      <c r="M780" s="879"/>
      <c r="N780" s="879"/>
      <c r="O780" s="879"/>
      <c r="P780" s="879"/>
      <c r="Q780" s="879"/>
      <c r="R780" s="879"/>
      <c r="S780" s="881"/>
      <c r="T780" s="879"/>
      <c r="U780" s="881"/>
      <c r="V780" s="881"/>
      <c r="W780" s="881"/>
      <c r="X780" s="881"/>
      <c r="Y780" s="881"/>
      <c r="Z780" s="881"/>
      <c r="AA780" s="881"/>
      <c r="AB780" s="881"/>
      <c r="AC780" s="879"/>
      <c r="AD780" s="879"/>
      <c r="AE780" s="879"/>
    </row>
    <row r="781" spans="1:31">
      <c r="A781" s="879"/>
      <c r="B781" s="879"/>
      <c r="C781" s="879"/>
      <c r="D781" s="879"/>
      <c r="E781" s="879"/>
      <c r="F781" s="879"/>
      <c r="G781" s="879"/>
      <c r="H781" s="879"/>
      <c r="I781" s="879"/>
      <c r="J781" s="879"/>
      <c r="K781" s="879"/>
      <c r="L781" s="879"/>
      <c r="M781" s="879"/>
      <c r="N781" s="879"/>
      <c r="O781" s="879"/>
      <c r="P781" s="879"/>
      <c r="Q781" s="879"/>
      <c r="R781" s="879"/>
      <c r="S781" s="881"/>
      <c r="T781" s="879"/>
      <c r="U781" s="881"/>
      <c r="V781" s="881"/>
      <c r="W781" s="881"/>
      <c r="X781" s="881"/>
      <c r="Y781" s="881"/>
      <c r="Z781" s="881"/>
      <c r="AA781" s="881"/>
      <c r="AB781" s="881"/>
      <c r="AC781" s="879"/>
      <c r="AD781" s="879"/>
      <c r="AE781" s="879"/>
    </row>
    <row r="782" spans="1:31">
      <c r="A782" s="879"/>
      <c r="B782" s="879"/>
      <c r="C782" s="879"/>
      <c r="D782" s="879"/>
      <c r="E782" s="879"/>
      <c r="F782" s="879"/>
      <c r="G782" s="879"/>
      <c r="H782" s="879"/>
      <c r="I782" s="879"/>
      <c r="J782" s="879"/>
      <c r="K782" s="879"/>
      <c r="L782" s="879"/>
      <c r="M782" s="879"/>
      <c r="N782" s="879"/>
      <c r="O782" s="879"/>
      <c r="P782" s="879"/>
      <c r="Q782" s="879"/>
      <c r="R782" s="879"/>
      <c r="S782" s="881"/>
      <c r="T782" s="879"/>
      <c r="U782" s="881"/>
      <c r="V782" s="881"/>
      <c r="W782" s="881"/>
      <c r="X782" s="881"/>
      <c r="Y782" s="881"/>
      <c r="Z782" s="881"/>
      <c r="AA782" s="881"/>
      <c r="AB782" s="881"/>
      <c r="AC782" s="879"/>
      <c r="AD782" s="879"/>
      <c r="AE782" s="879"/>
    </row>
    <row r="783" spans="1:31">
      <c r="A783" s="879"/>
      <c r="B783" s="879"/>
      <c r="C783" s="879"/>
      <c r="D783" s="879"/>
      <c r="E783" s="879"/>
      <c r="F783" s="879"/>
      <c r="G783" s="879"/>
      <c r="H783" s="879"/>
      <c r="I783" s="879"/>
      <c r="J783" s="879"/>
      <c r="K783" s="879"/>
      <c r="L783" s="879"/>
      <c r="M783" s="879"/>
      <c r="N783" s="879"/>
      <c r="O783" s="879"/>
      <c r="P783" s="879"/>
      <c r="Q783" s="879"/>
      <c r="R783" s="879"/>
      <c r="S783" s="881"/>
      <c r="T783" s="879"/>
      <c r="U783" s="881"/>
      <c r="V783" s="881"/>
      <c r="W783" s="881"/>
      <c r="X783" s="881"/>
      <c r="Y783" s="881"/>
      <c r="Z783" s="881"/>
      <c r="AA783" s="881"/>
      <c r="AB783" s="881"/>
      <c r="AC783" s="879"/>
      <c r="AD783" s="879"/>
      <c r="AE783" s="879"/>
    </row>
    <row r="784" spans="1:31">
      <c r="A784" s="879"/>
      <c r="B784" s="879"/>
      <c r="C784" s="879"/>
      <c r="D784" s="879"/>
      <c r="E784" s="879"/>
      <c r="F784" s="879"/>
      <c r="G784" s="879"/>
      <c r="H784" s="879"/>
      <c r="I784" s="879"/>
      <c r="J784" s="879"/>
      <c r="K784" s="879"/>
      <c r="L784" s="879"/>
      <c r="M784" s="879"/>
      <c r="N784" s="879"/>
      <c r="O784" s="879"/>
      <c r="P784" s="879"/>
      <c r="Q784" s="879"/>
      <c r="R784" s="879"/>
      <c r="S784" s="881"/>
      <c r="T784" s="879"/>
      <c r="U784" s="881"/>
      <c r="V784" s="881"/>
      <c r="W784" s="881"/>
      <c r="X784" s="881"/>
      <c r="Y784" s="881"/>
      <c r="Z784" s="881"/>
      <c r="AA784" s="881"/>
      <c r="AB784" s="881"/>
      <c r="AC784" s="879"/>
      <c r="AD784" s="879"/>
      <c r="AE784" s="879"/>
    </row>
    <row r="785" spans="1:31">
      <c r="A785" s="879"/>
      <c r="B785" s="879"/>
      <c r="C785" s="879"/>
      <c r="D785" s="879"/>
      <c r="E785" s="879"/>
      <c r="F785" s="879"/>
      <c r="G785" s="879"/>
      <c r="H785" s="879"/>
      <c r="I785" s="879"/>
      <c r="J785" s="879"/>
      <c r="K785" s="879"/>
      <c r="L785" s="879"/>
      <c r="M785" s="879"/>
      <c r="N785" s="879"/>
      <c r="O785" s="879"/>
      <c r="P785" s="879"/>
      <c r="Q785" s="879"/>
      <c r="R785" s="879"/>
      <c r="S785" s="881"/>
      <c r="T785" s="879"/>
      <c r="U785" s="881"/>
      <c r="V785" s="881"/>
      <c r="W785" s="881"/>
      <c r="X785" s="881"/>
      <c r="Y785" s="881"/>
      <c r="Z785" s="881"/>
      <c r="AA785" s="881"/>
      <c r="AB785" s="881"/>
      <c r="AC785" s="879"/>
      <c r="AD785" s="879"/>
      <c r="AE785" s="879"/>
    </row>
    <row r="786" spans="1:31">
      <c r="A786" s="879"/>
      <c r="B786" s="879"/>
      <c r="C786" s="879"/>
      <c r="D786" s="879"/>
      <c r="E786" s="879"/>
      <c r="F786" s="879"/>
      <c r="G786" s="879"/>
      <c r="H786" s="879"/>
      <c r="I786" s="879"/>
      <c r="J786" s="879"/>
      <c r="K786" s="879"/>
      <c r="L786" s="879"/>
      <c r="M786" s="879"/>
      <c r="N786" s="879"/>
      <c r="O786" s="879"/>
      <c r="P786" s="879"/>
      <c r="Q786" s="879"/>
      <c r="R786" s="879"/>
      <c r="S786" s="881"/>
      <c r="T786" s="879"/>
      <c r="U786" s="881"/>
      <c r="V786" s="881"/>
      <c r="W786" s="881"/>
      <c r="X786" s="881"/>
      <c r="Y786" s="881"/>
      <c r="Z786" s="881"/>
      <c r="AA786" s="881"/>
      <c r="AB786" s="881"/>
      <c r="AC786" s="879"/>
      <c r="AD786" s="879"/>
      <c r="AE786" s="879"/>
    </row>
    <row r="787" spans="1:31">
      <c r="A787" s="879"/>
      <c r="B787" s="879"/>
      <c r="C787" s="879"/>
      <c r="D787" s="879"/>
      <c r="E787" s="879"/>
      <c r="F787" s="879"/>
      <c r="G787" s="879"/>
      <c r="H787" s="879"/>
      <c r="I787" s="879"/>
      <c r="J787" s="879"/>
      <c r="K787" s="879"/>
      <c r="L787" s="879"/>
      <c r="M787" s="879"/>
      <c r="N787" s="879"/>
      <c r="O787" s="879"/>
      <c r="P787" s="879"/>
      <c r="Q787" s="879"/>
      <c r="R787" s="879"/>
      <c r="S787" s="881"/>
      <c r="T787" s="879"/>
      <c r="U787" s="881"/>
      <c r="V787" s="881"/>
      <c r="W787" s="881"/>
      <c r="X787" s="881"/>
      <c r="Y787" s="881"/>
      <c r="Z787" s="881"/>
      <c r="AA787" s="881"/>
      <c r="AB787" s="881"/>
      <c r="AC787" s="879"/>
      <c r="AD787" s="879"/>
      <c r="AE787" s="879"/>
    </row>
    <row r="788" spans="1:31">
      <c r="A788" s="879"/>
      <c r="B788" s="879"/>
      <c r="C788" s="879"/>
      <c r="D788" s="879"/>
      <c r="E788" s="879"/>
      <c r="F788" s="879"/>
      <c r="G788" s="879"/>
      <c r="H788" s="879"/>
      <c r="I788" s="879"/>
      <c r="J788" s="879"/>
      <c r="K788" s="879"/>
      <c r="L788" s="879"/>
      <c r="M788" s="879"/>
      <c r="N788" s="879"/>
      <c r="O788" s="879"/>
      <c r="P788" s="879"/>
      <c r="Q788" s="879"/>
      <c r="R788" s="879"/>
      <c r="S788" s="881"/>
      <c r="T788" s="879"/>
      <c r="U788" s="881"/>
      <c r="V788" s="881"/>
      <c r="W788" s="881"/>
      <c r="X788" s="881"/>
      <c r="Y788" s="881"/>
      <c r="Z788" s="881"/>
      <c r="AA788" s="881"/>
      <c r="AB788" s="881"/>
      <c r="AC788" s="879"/>
      <c r="AD788" s="879"/>
      <c r="AE788" s="879"/>
    </row>
    <row r="789" spans="1:31">
      <c r="A789" s="879"/>
      <c r="B789" s="879"/>
      <c r="C789" s="879"/>
      <c r="D789" s="879"/>
      <c r="E789" s="879"/>
      <c r="F789" s="879"/>
      <c r="G789" s="879"/>
      <c r="H789" s="879"/>
      <c r="I789" s="879"/>
      <c r="J789" s="879"/>
      <c r="K789" s="879"/>
      <c r="L789" s="879"/>
      <c r="M789" s="879"/>
      <c r="N789" s="879"/>
      <c r="O789" s="879"/>
      <c r="P789" s="879"/>
      <c r="Q789" s="879"/>
      <c r="R789" s="879"/>
      <c r="S789" s="881"/>
      <c r="T789" s="879"/>
      <c r="U789" s="881"/>
      <c r="V789" s="881"/>
      <c r="W789" s="881"/>
      <c r="X789" s="881"/>
      <c r="Y789" s="881"/>
      <c r="Z789" s="881"/>
      <c r="AA789" s="881"/>
      <c r="AB789" s="881"/>
      <c r="AC789" s="879"/>
      <c r="AD789" s="879"/>
      <c r="AE789" s="879"/>
    </row>
    <row r="790" spans="1:31">
      <c r="A790" s="879"/>
      <c r="B790" s="879"/>
      <c r="C790" s="879"/>
      <c r="D790" s="879"/>
      <c r="E790" s="879"/>
      <c r="F790" s="879"/>
      <c r="G790" s="879"/>
      <c r="H790" s="879"/>
      <c r="I790" s="879"/>
      <c r="J790" s="879"/>
      <c r="K790" s="879"/>
      <c r="L790" s="879"/>
      <c r="M790" s="879"/>
      <c r="N790" s="879"/>
      <c r="O790" s="879"/>
      <c r="P790" s="879"/>
      <c r="Q790" s="879"/>
      <c r="R790" s="879"/>
      <c r="S790" s="881"/>
      <c r="T790" s="879"/>
      <c r="U790" s="881"/>
      <c r="V790" s="881"/>
      <c r="W790" s="881"/>
      <c r="X790" s="881"/>
      <c r="Y790" s="881"/>
      <c r="Z790" s="881"/>
      <c r="AA790" s="881"/>
      <c r="AB790" s="881"/>
      <c r="AC790" s="879"/>
      <c r="AD790" s="879"/>
      <c r="AE790" s="879"/>
    </row>
    <row r="791" spans="1:31">
      <c r="A791" s="879"/>
      <c r="B791" s="879"/>
      <c r="C791" s="879"/>
      <c r="D791" s="879"/>
      <c r="E791" s="879"/>
      <c r="F791" s="879"/>
      <c r="G791" s="879"/>
      <c r="H791" s="879"/>
      <c r="I791" s="879"/>
      <c r="J791" s="879"/>
      <c r="K791" s="879"/>
      <c r="L791" s="879"/>
      <c r="M791" s="879"/>
      <c r="N791" s="879"/>
      <c r="O791" s="879"/>
      <c r="P791" s="879"/>
      <c r="Q791" s="879"/>
      <c r="R791" s="879"/>
      <c r="S791" s="881"/>
      <c r="T791" s="879"/>
      <c r="U791" s="881"/>
      <c r="V791" s="881"/>
      <c r="W791" s="881"/>
      <c r="X791" s="881"/>
      <c r="Y791" s="881"/>
      <c r="Z791" s="881"/>
      <c r="AA791" s="881"/>
      <c r="AB791" s="881"/>
      <c r="AC791" s="879"/>
      <c r="AD791" s="879"/>
      <c r="AE791" s="879"/>
    </row>
    <row r="792" spans="1:31">
      <c r="A792" s="879"/>
      <c r="B792" s="879"/>
      <c r="C792" s="879"/>
      <c r="D792" s="879"/>
      <c r="E792" s="879"/>
      <c r="F792" s="879"/>
      <c r="G792" s="879"/>
      <c r="H792" s="879"/>
      <c r="I792" s="879"/>
      <c r="J792" s="879"/>
      <c r="K792" s="879"/>
      <c r="L792" s="879"/>
      <c r="M792" s="879"/>
      <c r="N792" s="879"/>
      <c r="O792" s="879"/>
      <c r="P792" s="879"/>
      <c r="Q792" s="879"/>
      <c r="R792" s="879"/>
      <c r="S792" s="881"/>
      <c r="T792" s="879"/>
      <c r="U792" s="881"/>
      <c r="V792" s="881"/>
      <c r="W792" s="881"/>
      <c r="X792" s="881"/>
      <c r="Y792" s="881"/>
      <c r="Z792" s="881"/>
      <c r="AA792" s="881"/>
      <c r="AB792" s="881"/>
      <c r="AC792" s="879"/>
      <c r="AD792" s="879"/>
      <c r="AE792" s="879"/>
    </row>
    <row r="793" spans="1:31">
      <c r="A793" s="879"/>
      <c r="B793" s="879"/>
      <c r="C793" s="879"/>
      <c r="D793" s="879"/>
      <c r="E793" s="879"/>
      <c r="F793" s="879"/>
      <c r="G793" s="879"/>
      <c r="H793" s="879"/>
      <c r="I793" s="879"/>
      <c r="J793" s="879"/>
      <c r="K793" s="879"/>
      <c r="L793" s="879"/>
      <c r="M793" s="879"/>
      <c r="N793" s="879"/>
      <c r="O793" s="879"/>
      <c r="P793" s="879"/>
      <c r="Q793" s="879"/>
      <c r="R793" s="879"/>
      <c r="S793" s="881"/>
      <c r="T793" s="879"/>
      <c r="U793" s="881"/>
      <c r="V793" s="881"/>
      <c r="W793" s="881"/>
      <c r="X793" s="881"/>
      <c r="Y793" s="881"/>
      <c r="Z793" s="881"/>
      <c r="AA793" s="881"/>
      <c r="AB793" s="881"/>
      <c r="AC793" s="879"/>
      <c r="AD793" s="879"/>
      <c r="AE793" s="879"/>
    </row>
    <row r="794" spans="1:31">
      <c r="A794" s="879"/>
      <c r="B794" s="879"/>
      <c r="C794" s="879"/>
      <c r="D794" s="879"/>
      <c r="E794" s="879"/>
      <c r="F794" s="879"/>
      <c r="G794" s="879"/>
      <c r="H794" s="879"/>
      <c r="I794" s="879"/>
      <c r="J794" s="879"/>
      <c r="K794" s="879"/>
      <c r="L794" s="879"/>
      <c r="M794" s="879"/>
      <c r="N794" s="879"/>
      <c r="O794" s="879"/>
      <c r="P794" s="879"/>
      <c r="Q794" s="879"/>
      <c r="R794" s="879"/>
      <c r="S794" s="881"/>
      <c r="T794" s="879"/>
      <c r="U794" s="881"/>
      <c r="V794" s="881"/>
      <c r="W794" s="881"/>
      <c r="X794" s="881"/>
      <c r="Y794" s="881"/>
      <c r="Z794" s="881"/>
      <c r="AA794" s="881"/>
      <c r="AB794" s="881"/>
      <c r="AC794" s="879"/>
      <c r="AD794" s="879"/>
      <c r="AE794" s="879"/>
    </row>
    <row r="795" spans="1:31">
      <c r="A795" s="879"/>
      <c r="B795" s="879"/>
      <c r="C795" s="879"/>
      <c r="D795" s="879"/>
      <c r="E795" s="879"/>
      <c r="F795" s="879"/>
      <c r="G795" s="879"/>
      <c r="H795" s="879"/>
      <c r="I795" s="879"/>
      <c r="J795" s="879"/>
      <c r="K795" s="879"/>
      <c r="L795" s="879"/>
      <c r="M795" s="879"/>
      <c r="N795" s="879"/>
      <c r="O795" s="879"/>
      <c r="P795" s="879"/>
      <c r="Q795" s="879"/>
      <c r="R795" s="879"/>
      <c r="S795" s="881"/>
      <c r="T795" s="879"/>
      <c r="U795" s="881"/>
      <c r="V795" s="881"/>
      <c r="W795" s="881"/>
      <c r="X795" s="881"/>
      <c r="Y795" s="881"/>
      <c r="Z795" s="881"/>
      <c r="AA795" s="881"/>
      <c r="AB795" s="881"/>
      <c r="AC795" s="879"/>
      <c r="AD795" s="879"/>
      <c r="AE795" s="879"/>
    </row>
    <row r="796" spans="1:31">
      <c r="A796" s="879"/>
      <c r="B796" s="879"/>
      <c r="C796" s="879"/>
      <c r="D796" s="879"/>
      <c r="E796" s="879"/>
      <c r="F796" s="879"/>
      <c r="G796" s="879"/>
      <c r="H796" s="879"/>
      <c r="I796" s="879"/>
      <c r="J796" s="879"/>
      <c r="K796" s="879"/>
      <c r="L796" s="879"/>
      <c r="M796" s="879"/>
      <c r="N796" s="879"/>
      <c r="O796" s="879"/>
      <c r="P796" s="879"/>
      <c r="Q796" s="879"/>
      <c r="R796" s="879"/>
      <c r="S796" s="881"/>
      <c r="T796" s="879"/>
      <c r="U796" s="881"/>
      <c r="V796" s="881"/>
      <c r="W796" s="881"/>
      <c r="X796" s="881"/>
      <c r="Y796" s="881"/>
      <c r="Z796" s="881"/>
      <c r="AA796" s="881"/>
      <c r="AB796" s="881"/>
      <c r="AC796" s="879"/>
      <c r="AD796" s="879"/>
      <c r="AE796" s="879"/>
    </row>
    <row r="797" spans="1:31">
      <c r="A797" s="879"/>
      <c r="B797" s="879"/>
      <c r="C797" s="879"/>
      <c r="D797" s="879"/>
      <c r="E797" s="879"/>
      <c r="F797" s="879"/>
      <c r="G797" s="879"/>
      <c r="H797" s="879"/>
      <c r="I797" s="879"/>
      <c r="J797" s="879"/>
      <c r="K797" s="879"/>
      <c r="L797" s="879"/>
      <c r="M797" s="879"/>
      <c r="N797" s="879"/>
      <c r="O797" s="879"/>
      <c r="P797" s="879"/>
      <c r="Q797" s="879"/>
      <c r="R797" s="879"/>
      <c r="S797" s="881"/>
      <c r="T797" s="879"/>
      <c r="U797" s="881"/>
      <c r="V797" s="881"/>
      <c r="W797" s="881"/>
      <c r="X797" s="881"/>
      <c r="Y797" s="881"/>
      <c r="Z797" s="881"/>
      <c r="AA797" s="881"/>
      <c r="AB797" s="881"/>
      <c r="AC797" s="879"/>
      <c r="AD797" s="879"/>
      <c r="AE797" s="879"/>
    </row>
    <row r="798" spans="1:31">
      <c r="A798" s="879"/>
      <c r="B798" s="879"/>
      <c r="C798" s="879"/>
      <c r="D798" s="879"/>
      <c r="E798" s="879"/>
      <c r="F798" s="879"/>
      <c r="G798" s="879"/>
      <c r="H798" s="879"/>
      <c r="I798" s="879"/>
      <c r="J798" s="879"/>
      <c r="K798" s="879"/>
      <c r="L798" s="879"/>
      <c r="M798" s="879"/>
      <c r="N798" s="879"/>
      <c r="O798" s="879"/>
      <c r="P798" s="879"/>
      <c r="Q798" s="879"/>
      <c r="R798" s="879"/>
      <c r="S798" s="881"/>
      <c r="T798" s="879"/>
      <c r="U798" s="881"/>
      <c r="V798" s="881"/>
      <c r="W798" s="881"/>
      <c r="X798" s="881"/>
      <c r="Y798" s="881"/>
      <c r="Z798" s="881"/>
      <c r="AA798" s="881"/>
      <c r="AB798" s="881"/>
      <c r="AC798" s="879"/>
      <c r="AD798" s="879"/>
      <c r="AE798" s="879"/>
    </row>
    <row r="799" spans="1:31">
      <c r="A799" s="879"/>
      <c r="B799" s="879"/>
      <c r="C799" s="879"/>
      <c r="D799" s="879"/>
      <c r="E799" s="879"/>
      <c r="F799" s="879"/>
      <c r="G799" s="879"/>
      <c r="H799" s="879"/>
      <c r="I799" s="879"/>
      <c r="J799" s="879"/>
      <c r="K799" s="879"/>
      <c r="L799" s="879"/>
      <c r="M799" s="879"/>
      <c r="N799" s="879"/>
      <c r="O799" s="879"/>
      <c r="P799" s="879"/>
      <c r="Q799" s="879"/>
      <c r="R799" s="879"/>
      <c r="S799" s="881"/>
      <c r="T799" s="879"/>
      <c r="U799" s="881"/>
      <c r="V799" s="881"/>
      <c r="W799" s="881"/>
      <c r="X799" s="881"/>
      <c r="Y799" s="881"/>
      <c r="Z799" s="881"/>
      <c r="AA799" s="881"/>
      <c r="AB799" s="881"/>
      <c r="AC799" s="879"/>
      <c r="AD799" s="879"/>
      <c r="AE799" s="879"/>
    </row>
    <row r="800" spans="1:31">
      <c r="A800" s="879"/>
      <c r="B800" s="879"/>
      <c r="C800" s="879"/>
      <c r="D800" s="879"/>
      <c r="E800" s="879"/>
      <c r="F800" s="879"/>
      <c r="G800" s="879"/>
      <c r="H800" s="879"/>
      <c r="I800" s="879"/>
      <c r="J800" s="879"/>
      <c r="K800" s="879"/>
      <c r="L800" s="879"/>
      <c r="M800" s="879"/>
      <c r="N800" s="879"/>
      <c r="O800" s="879"/>
      <c r="P800" s="879"/>
      <c r="Q800" s="879"/>
      <c r="R800" s="879"/>
      <c r="S800" s="881"/>
      <c r="T800" s="879"/>
      <c r="U800" s="881"/>
      <c r="V800" s="881"/>
      <c r="W800" s="881"/>
      <c r="X800" s="881"/>
      <c r="Y800" s="881"/>
      <c r="Z800" s="881"/>
      <c r="AA800" s="881"/>
      <c r="AB800" s="881"/>
      <c r="AC800" s="879"/>
      <c r="AD800" s="879"/>
      <c r="AE800" s="879"/>
    </row>
    <row r="801" spans="1:31">
      <c r="A801" s="879"/>
      <c r="B801" s="879"/>
      <c r="C801" s="879"/>
      <c r="D801" s="879"/>
      <c r="E801" s="879"/>
      <c r="F801" s="879"/>
      <c r="G801" s="879"/>
      <c r="H801" s="879"/>
      <c r="I801" s="879"/>
      <c r="J801" s="879"/>
      <c r="K801" s="879"/>
      <c r="L801" s="879"/>
      <c r="M801" s="879"/>
      <c r="N801" s="879"/>
      <c r="O801" s="879"/>
      <c r="P801" s="879"/>
      <c r="Q801" s="879"/>
      <c r="R801" s="879"/>
      <c r="S801" s="881"/>
      <c r="T801" s="879"/>
      <c r="U801" s="881"/>
      <c r="V801" s="881"/>
      <c r="W801" s="881"/>
      <c r="X801" s="881"/>
      <c r="Y801" s="881"/>
      <c r="Z801" s="881"/>
      <c r="AA801" s="881"/>
      <c r="AB801" s="881"/>
      <c r="AC801" s="879"/>
      <c r="AD801" s="879"/>
      <c r="AE801" s="879"/>
    </row>
    <row r="802" spans="1:31">
      <c r="A802" s="879"/>
      <c r="B802" s="879"/>
      <c r="C802" s="879"/>
      <c r="D802" s="879"/>
      <c r="E802" s="879"/>
      <c r="F802" s="879"/>
      <c r="G802" s="879"/>
      <c r="H802" s="879"/>
      <c r="I802" s="879"/>
      <c r="J802" s="879"/>
      <c r="K802" s="879"/>
      <c r="L802" s="879"/>
      <c r="M802" s="879"/>
      <c r="N802" s="879"/>
      <c r="O802" s="879"/>
      <c r="P802" s="879"/>
      <c r="Q802" s="879"/>
      <c r="R802" s="879"/>
      <c r="S802" s="881"/>
      <c r="T802" s="879"/>
      <c r="U802" s="881"/>
      <c r="V802" s="881"/>
      <c r="W802" s="881"/>
      <c r="X802" s="881"/>
      <c r="Y802" s="881"/>
      <c r="Z802" s="881"/>
      <c r="AA802" s="881"/>
      <c r="AB802" s="881"/>
      <c r="AC802" s="879"/>
      <c r="AD802" s="879"/>
      <c r="AE802" s="879"/>
    </row>
    <row r="803" spans="1:31">
      <c r="A803" s="879"/>
      <c r="B803" s="879"/>
      <c r="C803" s="879"/>
      <c r="D803" s="879"/>
      <c r="E803" s="879"/>
      <c r="F803" s="879"/>
      <c r="G803" s="879"/>
      <c r="H803" s="879"/>
      <c r="I803" s="879"/>
      <c r="J803" s="879"/>
      <c r="K803" s="879"/>
      <c r="L803" s="879"/>
      <c r="M803" s="879"/>
      <c r="N803" s="879"/>
      <c r="O803" s="879"/>
      <c r="P803" s="879"/>
      <c r="Q803" s="879"/>
      <c r="R803" s="879"/>
      <c r="S803" s="881"/>
      <c r="T803" s="879"/>
      <c r="U803" s="881"/>
      <c r="V803" s="881"/>
      <c r="W803" s="881"/>
      <c r="X803" s="881"/>
      <c r="Y803" s="881"/>
      <c r="Z803" s="881"/>
      <c r="AA803" s="881"/>
      <c r="AB803" s="881"/>
      <c r="AC803" s="879"/>
      <c r="AD803" s="879"/>
      <c r="AE803" s="879"/>
    </row>
    <row r="804" spans="1:31">
      <c r="A804" s="879"/>
      <c r="B804" s="879"/>
      <c r="C804" s="879"/>
      <c r="D804" s="879"/>
      <c r="E804" s="879"/>
      <c r="F804" s="879"/>
      <c r="G804" s="879"/>
      <c r="H804" s="879"/>
      <c r="I804" s="879"/>
      <c r="J804" s="879"/>
      <c r="K804" s="879"/>
      <c r="L804" s="879"/>
      <c r="M804" s="879"/>
      <c r="N804" s="879"/>
      <c r="O804" s="879"/>
      <c r="P804" s="879"/>
      <c r="Q804" s="879"/>
      <c r="R804" s="879"/>
      <c r="S804" s="881"/>
      <c r="T804" s="879"/>
      <c r="U804" s="881"/>
      <c r="V804" s="881"/>
      <c r="W804" s="881"/>
      <c r="X804" s="881"/>
      <c r="Y804" s="881"/>
      <c r="Z804" s="881"/>
      <c r="AA804" s="881"/>
      <c r="AB804" s="881"/>
      <c r="AC804" s="879"/>
      <c r="AD804" s="879"/>
      <c r="AE804" s="879"/>
    </row>
    <row r="805" spans="1:31">
      <c r="A805" s="879"/>
      <c r="B805" s="879"/>
      <c r="C805" s="879"/>
      <c r="D805" s="879"/>
      <c r="E805" s="879"/>
      <c r="F805" s="879"/>
      <c r="G805" s="879"/>
      <c r="H805" s="879"/>
      <c r="I805" s="879"/>
      <c r="J805" s="879"/>
      <c r="K805" s="879"/>
      <c r="L805" s="879"/>
      <c r="M805" s="879"/>
      <c r="N805" s="879"/>
      <c r="O805" s="879"/>
      <c r="P805" s="879"/>
      <c r="Q805" s="879"/>
      <c r="R805" s="879"/>
      <c r="S805" s="881"/>
      <c r="T805" s="879"/>
      <c r="U805" s="881"/>
      <c r="V805" s="881"/>
      <c r="W805" s="881"/>
      <c r="X805" s="881"/>
      <c r="Y805" s="881"/>
      <c r="Z805" s="881"/>
      <c r="AA805" s="881"/>
      <c r="AB805" s="881"/>
      <c r="AC805" s="879"/>
      <c r="AD805" s="879"/>
      <c r="AE805" s="879"/>
    </row>
    <row r="806" spans="1:31">
      <c r="A806" s="879"/>
      <c r="B806" s="879"/>
      <c r="C806" s="879"/>
      <c r="D806" s="879"/>
      <c r="E806" s="879"/>
      <c r="F806" s="879"/>
      <c r="G806" s="879"/>
      <c r="H806" s="879"/>
      <c r="I806" s="879"/>
      <c r="J806" s="879"/>
      <c r="K806" s="879"/>
      <c r="L806" s="879"/>
      <c r="M806" s="879"/>
      <c r="N806" s="879"/>
      <c r="O806" s="879"/>
      <c r="P806" s="879"/>
      <c r="Q806" s="879"/>
      <c r="R806" s="879"/>
      <c r="S806" s="881"/>
      <c r="T806" s="879"/>
      <c r="U806" s="881"/>
      <c r="V806" s="881"/>
      <c r="W806" s="881"/>
      <c r="X806" s="881"/>
      <c r="Y806" s="881"/>
      <c r="Z806" s="881"/>
      <c r="AA806" s="881"/>
      <c r="AB806" s="881"/>
      <c r="AC806" s="879"/>
      <c r="AD806" s="879"/>
      <c r="AE806" s="879"/>
    </row>
    <row r="807" spans="1:31">
      <c r="A807" s="879"/>
      <c r="B807" s="879"/>
      <c r="C807" s="879"/>
      <c r="D807" s="879"/>
      <c r="E807" s="879"/>
      <c r="F807" s="879"/>
      <c r="G807" s="879"/>
      <c r="H807" s="879"/>
      <c r="I807" s="879"/>
      <c r="J807" s="879"/>
      <c r="K807" s="879"/>
      <c r="L807" s="879"/>
      <c r="M807" s="879"/>
      <c r="N807" s="879"/>
      <c r="O807" s="879"/>
      <c r="P807" s="879"/>
      <c r="Q807" s="879"/>
      <c r="R807" s="879"/>
      <c r="S807" s="881"/>
      <c r="T807" s="879"/>
      <c r="U807" s="881"/>
      <c r="V807" s="881"/>
      <c r="W807" s="881"/>
      <c r="X807" s="881"/>
      <c r="Y807" s="881"/>
      <c r="Z807" s="881"/>
      <c r="AA807" s="881"/>
      <c r="AB807" s="881"/>
      <c r="AC807" s="879"/>
      <c r="AD807" s="879"/>
      <c r="AE807" s="879"/>
    </row>
  </sheetData>
  <mergeCells count="2">
    <mergeCell ref="B11:B12"/>
    <mergeCell ref="D11:D12"/>
  </mergeCells>
  <pageMargins left="0.7" right="0.7" top="1.25" bottom="0.75" header="0.3" footer="0.3"/>
  <pageSetup scale="49" fitToHeight="0" orientation="portrait" horizontalDpi="1200" verticalDpi="1200" r:id="rId1"/>
  <headerFooter scaleWithDoc="0">
    <oddHeader>&amp;RDocket No. UG-170929
Exhibit______(MPP-14)
Page &amp;P of 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79"/>
  <sheetViews>
    <sheetView view="pageBreakPreview" zoomScale="90" zoomScaleNormal="100" zoomScaleSheetLayoutView="90" workbookViewId="0">
      <selection sqref="A1:B1"/>
    </sheetView>
  </sheetViews>
  <sheetFormatPr defaultRowHeight="15.75"/>
  <cols>
    <col min="1" max="1" width="9.140625" style="8"/>
    <col min="2" max="2" width="99" style="6" customWidth="1"/>
    <col min="3" max="16384" width="9.140625" style="6"/>
  </cols>
  <sheetData>
    <row r="1" spans="1:7">
      <c r="A1" s="1039" t="s">
        <v>1544</v>
      </c>
      <c r="B1" s="1039"/>
      <c r="C1" s="5"/>
      <c r="D1" s="5"/>
    </row>
    <row r="2" spans="1:7">
      <c r="A2" s="1039" t="s">
        <v>1586</v>
      </c>
      <c r="B2" s="1039"/>
      <c r="C2" s="5"/>
      <c r="D2" s="5"/>
    </row>
    <row r="3" spans="1:7">
      <c r="A3" s="1039" t="s">
        <v>911</v>
      </c>
      <c r="B3" s="1039"/>
      <c r="C3" s="5"/>
      <c r="D3" s="5"/>
    </row>
    <row r="4" spans="1:7">
      <c r="A4" s="17"/>
      <c r="B4" s="7"/>
      <c r="C4" s="7"/>
      <c r="D4" s="7"/>
    </row>
    <row r="5" spans="1:7">
      <c r="A5" s="18"/>
      <c r="B5" s="19"/>
    </row>
    <row r="6" spans="1:7">
      <c r="A6" s="15" t="s">
        <v>1508</v>
      </c>
      <c r="B6" s="15" t="s">
        <v>1509</v>
      </c>
    </row>
    <row r="8" spans="1:7" ht="63">
      <c r="A8" s="16" t="s">
        <v>1333</v>
      </c>
      <c r="B8" s="9" t="s">
        <v>1560</v>
      </c>
    </row>
    <row r="9" spans="1:7" ht="31.5">
      <c r="A9" s="16" t="s">
        <v>1346</v>
      </c>
      <c r="B9" s="10" t="s">
        <v>1510</v>
      </c>
    </row>
    <row r="10" spans="1:7" ht="31.5">
      <c r="A10" s="16" t="s">
        <v>1331</v>
      </c>
      <c r="B10" s="10" t="s">
        <v>1511</v>
      </c>
    </row>
    <row r="11" spans="1:7" ht="31.5">
      <c r="A11" s="16" t="s">
        <v>1305</v>
      </c>
      <c r="B11" s="10" t="s">
        <v>1561</v>
      </c>
      <c r="G11" s="19"/>
    </row>
    <row r="12" spans="1:7" ht="31.5">
      <c r="A12" s="16" t="s">
        <v>1349</v>
      </c>
      <c r="B12" s="10" t="s">
        <v>1562</v>
      </c>
    </row>
    <row r="13" spans="1:7" ht="47.25">
      <c r="A13" s="16">
        <v>1</v>
      </c>
      <c r="B13" s="10" t="s">
        <v>1563</v>
      </c>
    </row>
    <row r="14" spans="1:7" ht="31.5">
      <c r="A14" s="16">
        <v>2</v>
      </c>
      <c r="B14" s="11" t="s">
        <v>1512</v>
      </c>
    </row>
    <row r="15" spans="1:7" ht="31.5">
      <c r="A15" s="16">
        <v>3</v>
      </c>
      <c r="B15" s="10" t="s">
        <v>1564</v>
      </c>
    </row>
    <row r="16" spans="1:7">
      <c r="A16" s="16">
        <v>4</v>
      </c>
      <c r="B16" s="6" t="s">
        <v>1587</v>
      </c>
    </row>
    <row r="17" spans="1:2" ht="31.5">
      <c r="A17" s="16">
        <v>5</v>
      </c>
      <c r="B17" s="10" t="s">
        <v>1513</v>
      </c>
    </row>
    <row r="18" spans="1:2" ht="31.5">
      <c r="A18" s="16">
        <v>6</v>
      </c>
      <c r="B18" s="9" t="s">
        <v>1565</v>
      </c>
    </row>
    <row r="19" spans="1:2" ht="220.5">
      <c r="A19" s="16">
        <v>7</v>
      </c>
      <c r="B19" s="12" t="s">
        <v>1566</v>
      </c>
    </row>
    <row r="20" spans="1:2" ht="63">
      <c r="A20" s="16">
        <v>8</v>
      </c>
      <c r="B20" s="10" t="s">
        <v>1567</v>
      </c>
    </row>
    <row r="21" spans="1:2" ht="31.5">
      <c r="A21" s="16">
        <v>9</v>
      </c>
      <c r="B21" s="10" t="s">
        <v>1539</v>
      </c>
    </row>
    <row r="22" spans="1:2">
      <c r="A22" s="16">
        <v>10</v>
      </c>
      <c r="B22" s="13" t="s">
        <v>1515</v>
      </c>
    </row>
    <row r="23" spans="1:2">
      <c r="A23" s="16">
        <v>11</v>
      </c>
      <c r="B23" s="13" t="s">
        <v>1516</v>
      </c>
    </row>
    <row r="24" spans="1:2" ht="31.5">
      <c r="A24" s="16">
        <v>12</v>
      </c>
      <c r="B24" s="9" t="s">
        <v>1514</v>
      </c>
    </row>
    <row r="25" spans="1:2">
      <c r="A25" s="16">
        <v>13</v>
      </c>
      <c r="B25" s="14" t="s">
        <v>1517</v>
      </c>
    </row>
    <row r="26" spans="1:2" ht="47.25">
      <c r="A26" s="16">
        <v>14</v>
      </c>
      <c r="B26" s="10" t="s">
        <v>1568</v>
      </c>
    </row>
    <row r="27" spans="1:2" ht="47.25">
      <c r="A27" s="16">
        <v>15</v>
      </c>
      <c r="B27" s="10" t="s">
        <v>1518</v>
      </c>
    </row>
    <row r="28" spans="1:2" ht="78.75">
      <c r="A28" s="16">
        <v>16</v>
      </c>
      <c r="B28" s="10" t="s">
        <v>1519</v>
      </c>
    </row>
    <row r="29" spans="1:2" ht="63">
      <c r="A29" s="16">
        <v>17</v>
      </c>
      <c r="B29" s="10" t="s">
        <v>1569</v>
      </c>
    </row>
    <row r="30" spans="1:2" ht="63">
      <c r="A30" s="16">
        <v>18</v>
      </c>
      <c r="B30" s="10" t="s">
        <v>1520</v>
      </c>
    </row>
    <row r="31" spans="1:2" ht="63">
      <c r="A31" s="16">
        <v>19</v>
      </c>
      <c r="B31" s="10" t="s">
        <v>1521</v>
      </c>
    </row>
    <row r="32" spans="1:2" ht="47.25">
      <c r="A32" s="16">
        <v>20</v>
      </c>
      <c r="B32" s="10" t="s">
        <v>1570</v>
      </c>
    </row>
    <row r="33" spans="1:2" ht="47.25">
      <c r="A33" s="16">
        <v>21</v>
      </c>
      <c r="B33" s="10" t="s">
        <v>1579</v>
      </c>
    </row>
    <row r="34" spans="1:2" ht="31.5">
      <c r="A34" s="16">
        <v>22</v>
      </c>
      <c r="B34" s="10" t="s">
        <v>1522</v>
      </c>
    </row>
    <row r="35" spans="1:2" ht="47.25">
      <c r="A35" s="16">
        <v>23</v>
      </c>
      <c r="B35" s="10" t="s">
        <v>1523</v>
      </c>
    </row>
    <row r="36" spans="1:2" ht="47.25">
      <c r="A36" s="16">
        <v>24</v>
      </c>
      <c r="B36" s="10" t="s">
        <v>1524</v>
      </c>
    </row>
    <row r="37" spans="1:2" ht="30.75" customHeight="1">
      <c r="A37" s="16">
        <v>25</v>
      </c>
      <c r="B37" s="10" t="s">
        <v>1525</v>
      </c>
    </row>
    <row r="38" spans="1:2" ht="47.25">
      <c r="A38" s="16">
        <v>26</v>
      </c>
      <c r="B38" s="10" t="s">
        <v>1526</v>
      </c>
    </row>
    <row r="39" spans="1:2" ht="47.25">
      <c r="A39" s="16">
        <v>27</v>
      </c>
      <c r="B39" s="10" t="s">
        <v>1527</v>
      </c>
    </row>
    <row r="40" spans="1:2" ht="47.25">
      <c r="A40" s="16">
        <v>28</v>
      </c>
      <c r="B40" s="10" t="s">
        <v>1528</v>
      </c>
    </row>
    <row r="41" spans="1:2" ht="47.25">
      <c r="A41" s="16">
        <v>29</v>
      </c>
      <c r="B41" s="10" t="s">
        <v>1529</v>
      </c>
    </row>
    <row r="42" spans="1:2" ht="47.25">
      <c r="A42" s="16">
        <v>30</v>
      </c>
      <c r="B42" s="10" t="s">
        <v>1530</v>
      </c>
    </row>
    <row r="43" spans="1:2" ht="47.25">
      <c r="A43" s="16">
        <v>31</v>
      </c>
      <c r="B43" s="10" t="s">
        <v>1530</v>
      </c>
    </row>
    <row r="44" spans="1:2">
      <c r="A44" s="16">
        <v>32</v>
      </c>
      <c r="B44" s="10" t="s">
        <v>1531</v>
      </c>
    </row>
    <row r="45" spans="1:2" ht="31.5">
      <c r="A45" s="16">
        <v>33</v>
      </c>
      <c r="B45" s="10" t="s">
        <v>1532</v>
      </c>
    </row>
    <row r="46" spans="1:2" ht="141.75">
      <c r="A46" s="16">
        <v>34</v>
      </c>
      <c r="B46" s="10" t="s">
        <v>1533</v>
      </c>
    </row>
    <row r="47" spans="1:2" ht="267.75">
      <c r="A47" s="16">
        <v>35</v>
      </c>
      <c r="B47" s="12" t="s">
        <v>1571</v>
      </c>
    </row>
    <row r="48" spans="1:2" ht="63">
      <c r="A48" s="16">
        <v>36</v>
      </c>
      <c r="B48" s="10" t="s">
        <v>1534</v>
      </c>
    </row>
    <row r="49" spans="1:2" ht="94.5">
      <c r="A49" s="16">
        <v>37</v>
      </c>
      <c r="B49" s="10" t="s">
        <v>1535</v>
      </c>
    </row>
    <row r="50" spans="1:2">
      <c r="A50" s="16">
        <v>38</v>
      </c>
      <c r="B50" s="10" t="s">
        <v>1536</v>
      </c>
    </row>
    <row r="51" spans="1:2" ht="47.25">
      <c r="A51" s="16">
        <v>39</v>
      </c>
      <c r="B51" s="10" t="s">
        <v>1537</v>
      </c>
    </row>
    <row r="52" spans="1:2">
      <c r="A52" s="16">
        <v>40</v>
      </c>
      <c r="B52" s="10" t="s">
        <v>1538</v>
      </c>
    </row>
    <row r="53" spans="1:2" ht="93.75" customHeight="1">
      <c r="A53" s="16">
        <v>41</v>
      </c>
      <c r="B53" s="12" t="s">
        <v>1552</v>
      </c>
    </row>
    <row r="54" spans="1:2" ht="47.25">
      <c r="A54" s="16">
        <v>42</v>
      </c>
      <c r="B54" s="12" t="s">
        <v>1540</v>
      </c>
    </row>
    <row r="55" spans="1:2" ht="47.25">
      <c r="A55" s="16">
        <v>43</v>
      </c>
      <c r="B55" s="12" t="s">
        <v>1553</v>
      </c>
    </row>
    <row r="56" spans="1:2" ht="47.25">
      <c r="A56" s="16">
        <v>44</v>
      </c>
      <c r="B56" s="12" t="s">
        <v>1554</v>
      </c>
    </row>
    <row r="57" spans="1:2" ht="31.5">
      <c r="A57" s="16">
        <v>45</v>
      </c>
      <c r="B57" s="10" t="s">
        <v>1541</v>
      </c>
    </row>
    <row r="58" spans="1:2" ht="31.5">
      <c r="A58" s="16">
        <v>46</v>
      </c>
      <c r="B58" s="10" t="s">
        <v>1541</v>
      </c>
    </row>
    <row r="59" spans="1:2" ht="47.25">
      <c r="A59" s="16">
        <v>47</v>
      </c>
      <c r="B59" s="12" t="s">
        <v>1555</v>
      </c>
    </row>
    <row r="60" spans="1:2" ht="31.5">
      <c r="A60" s="16">
        <v>48</v>
      </c>
      <c r="B60" s="12" t="s">
        <v>1542</v>
      </c>
    </row>
    <row r="61" spans="1:2" ht="31.5">
      <c r="A61" s="16">
        <v>49</v>
      </c>
      <c r="B61" s="12" t="s">
        <v>1556</v>
      </c>
    </row>
    <row r="62" spans="1:2" ht="94.5">
      <c r="A62" s="16">
        <v>50</v>
      </c>
      <c r="B62" s="12" t="s">
        <v>1557</v>
      </c>
    </row>
    <row r="63" spans="1:2" ht="47.25">
      <c r="A63" s="16">
        <v>51</v>
      </c>
      <c r="B63" s="10" t="s">
        <v>1545</v>
      </c>
    </row>
    <row r="64" spans="1:2">
      <c r="A64" s="16">
        <v>52</v>
      </c>
      <c r="B64" s="10" t="s">
        <v>1578</v>
      </c>
    </row>
    <row r="65" spans="1:2">
      <c r="A65" s="16">
        <v>53</v>
      </c>
      <c r="B65" s="10" t="s">
        <v>1558</v>
      </c>
    </row>
    <row r="66" spans="1:2">
      <c r="A66" s="16">
        <v>54</v>
      </c>
      <c r="B66" s="10" t="s">
        <v>1559</v>
      </c>
    </row>
    <row r="67" spans="1:2">
      <c r="B67" s="10"/>
    </row>
    <row r="68" spans="1:2">
      <c r="B68" s="10"/>
    </row>
    <row r="69" spans="1:2">
      <c r="B69" s="10"/>
    </row>
    <row r="70" spans="1:2">
      <c r="B70" s="10"/>
    </row>
    <row r="71" spans="1:2">
      <c r="B71" s="10"/>
    </row>
    <row r="72" spans="1:2">
      <c r="B72" s="10"/>
    </row>
    <row r="73" spans="1:2">
      <c r="B73" s="10"/>
    </row>
    <row r="74" spans="1:2">
      <c r="B74" s="10"/>
    </row>
    <row r="75" spans="1:2">
      <c r="B75" s="10"/>
    </row>
    <row r="76" spans="1:2">
      <c r="B76" s="10"/>
    </row>
    <row r="77" spans="1:2">
      <c r="B77" s="10"/>
    </row>
    <row r="78" spans="1:2">
      <c r="B78" s="10"/>
    </row>
    <row r="79" spans="1:2">
      <c r="B79" s="10"/>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headerFooter>
  <rowBreaks count="3" manualBreakCount="3">
    <brk id="23" max="16383" man="1"/>
    <brk id="39" max="16383" man="1"/>
    <brk id="48" max="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K11" sqref="K11"/>
    </sheetView>
  </sheetViews>
  <sheetFormatPr defaultRowHeight="15.75"/>
  <cols>
    <col min="1" max="16384" width="9.140625" style="6"/>
  </cols>
  <sheetData>
    <row r="2" spans="1:9">
      <c r="A2" s="1039" t="s">
        <v>60</v>
      </c>
      <c r="B2" s="1039"/>
      <c r="C2" s="1039"/>
      <c r="D2" s="1039"/>
      <c r="E2" s="1039"/>
      <c r="F2" s="1039"/>
      <c r="G2" s="1039"/>
      <c r="H2" s="1039"/>
      <c r="I2" s="1039"/>
    </row>
    <row r="3" spans="1:9">
      <c r="A3" s="1039" t="s">
        <v>1588</v>
      </c>
      <c r="B3" s="1039"/>
      <c r="C3" s="1039"/>
      <c r="D3" s="1039"/>
      <c r="E3" s="1039"/>
      <c r="F3" s="1039"/>
      <c r="G3" s="1039"/>
      <c r="H3" s="1039"/>
      <c r="I3" s="1039"/>
    </row>
    <row r="4" spans="1:9">
      <c r="A4" s="1039" t="s">
        <v>1591</v>
      </c>
      <c r="B4" s="1039"/>
      <c r="C4" s="1039"/>
      <c r="D4" s="1039"/>
      <c r="E4" s="1039"/>
      <c r="F4" s="1039"/>
      <c r="G4" s="1039"/>
      <c r="H4" s="1039"/>
      <c r="I4" s="1039"/>
    </row>
    <row r="5" spans="1:9">
      <c r="A5" s="1039"/>
      <c r="B5" s="1039"/>
      <c r="C5" s="1039"/>
      <c r="D5" s="1039"/>
      <c r="E5" s="1039"/>
      <c r="F5" s="1039"/>
      <c r="G5" s="1039"/>
      <c r="H5" s="1039"/>
      <c r="I5" s="1039"/>
    </row>
    <row r="6" spans="1:9">
      <c r="A6" s="1039"/>
      <c r="B6" s="1039"/>
      <c r="C6" s="1039"/>
      <c r="D6" s="1039"/>
      <c r="E6" s="1039"/>
      <c r="F6" s="1039"/>
      <c r="G6" s="1039"/>
      <c r="H6" s="1039"/>
      <c r="I6" s="1039"/>
    </row>
    <row r="11" spans="1:9">
      <c r="G11" s="19"/>
    </row>
    <row r="14" spans="1:9">
      <c r="A14" s="1045" t="s">
        <v>1611</v>
      </c>
      <c r="B14" s="1045"/>
      <c r="C14" s="1045"/>
      <c r="D14" s="1045"/>
      <c r="E14" s="1045"/>
      <c r="F14" s="1045"/>
      <c r="G14" s="1045"/>
      <c r="H14" s="1045"/>
      <c r="I14" s="1045"/>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2"/>
  <sheetViews>
    <sheetView view="pageBreakPreview" topLeftCell="A9" zoomScaleNormal="100" zoomScaleSheetLayoutView="100" workbookViewId="0">
      <selection activeCell="J20" sqref="J20"/>
    </sheetView>
  </sheetViews>
  <sheetFormatPr defaultRowHeight="15.75"/>
  <cols>
    <col min="1" max="1" width="13" style="6" bestFit="1" customWidth="1"/>
    <col min="2" max="2" width="43.140625" style="6" bestFit="1" customWidth="1"/>
    <col min="3" max="3" width="8.85546875" style="6" customWidth="1"/>
    <col min="4" max="4" width="14.5703125" style="6" bestFit="1" customWidth="1"/>
    <col min="5" max="5" width="4" style="6" customWidth="1"/>
    <col min="6" max="6" width="9.140625" style="499"/>
    <col min="7" max="7" width="9.140625" style="6"/>
    <col min="8" max="8" width="8.140625" style="6" bestFit="1" customWidth="1"/>
    <col min="9" max="16384" width="9.140625" style="6"/>
  </cols>
  <sheetData>
    <row r="1" spans="1:10">
      <c r="A1" s="37"/>
      <c r="B1" s="37"/>
      <c r="C1" s="37"/>
      <c r="D1" s="37"/>
      <c r="E1" s="37"/>
    </row>
    <row r="2" spans="1:10">
      <c r="A2" s="1039" t="s">
        <v>60</v>
      </c>
      <c r="B2" s="1039"/>
      <c r="C2" s="1039"/>
      <c r="D2" s="1039"/>
      <c r="E2" s="1039"/>
      <c r="F2" s="1039"/>
      <c r="G2" s="5"/>
      <c r="H2" s="5"/>
    </row>
    <row r="3" spans="1:10">
      <c r="A3" s="1039" t="s">
        <v>1588</v>
      </c>
      <c r="B3" s="1039"/>
      <c r="C3" s="1039"/>
      <c r="D3" s="1039"/>
      <c r="E3" s="1039"/>
      <c r="F3" s="1039"/>
      <c r="G3" s="5"/>
      <c r="H3" s="5"/>
    </row>
    <row r="4" spans="1:10">
      <c r="A4" s="1039" t="s">
        <v>1589</v>
      </c>
      <c r="B4" s="1039"/>
      <c r="C4" s="1039"/>
      <c r="D4" s="1039"/>
      <c r="E4" s="1039"/>
      <c r="F4" s="1039"/>
      <c r="G4" s="5"/>
      <c r="H4" s="5"/>
    </row>
    <row r="5" spans="1:10">
      <c r="A5" s="1039" t="s">
        <v>1590</v>
      </c>
      <c r="B5" s="1039"/>
      <c r="C5" s="1039"/>
      <c r="D5" s="1039"/>
      <c r="E5" s="1039"/>
      <c r="F5" s="1039"/>
      <c r="G5" s="5"/>
      <c r="H5" s="5"/>
    </row>
    <row r="6" spans="1:10">
      <c r="A6" s="1039" t="s">
        <v>906</v>
      </c>
      <c r="B6" s="1039"/>
      <c r="C6" s="1039"/>
      <c r="D6" s="1039"/>
      <c r="E6" s="1039"/>
      <c r="F6" s="1039"/>
      <c r="G6" s="5"/>
      <c r="H6" s="5"/>
    </row>
    <row r="7" spans="1:10">
      <c r="B7" s="34"/>
      <c r="C7" s="34"/>
      <c r="D7" s="34"/>
      <c r="E7" s="34"/>
      <c r="F7" s="38"/>
      <c r="G7" s="5"/>
      <c r="H7" s="5"/>
    </row>
    <row r="8" spans="1:10">
      <c r="B8" s="8" t="s">
        <v>1626</v>
      </c>
      <c r="C8" s="8"/>
      <c r="D8" s="8" t="s">
        <v>1627</v>
      </c>
      <c r="E8" s="8"/>
      <c r="F8" s="499" t="s">
        <v>1628</v>
      </c>
    </row>
    <row r="9" spans="1:10">
      <c r="B9" s="35"/>
      <c r="C9" s="35"/>
      <c r="D9" s="35"/>
      <c r="E9" s="35"/>
      <c r="F9" s="689"/>
    </row>
    <row r="10" spans="1:10">
      <c r="A10" s="31" t="s">
        <v>1625</v>
      </c>
      <c r="B10" s="27" t="s">
        <v>1958</v>
      </c>
      <c r="D10" s="27" t="s">
        <v>1593</v>
      </c>
      <c r="E10" s="27"/>
      <c r="F10" s="690" t="s">
        <v>1592</v>
      </c>
      <c r="G10" s="27"/>
    </row>
    <row r="11" spans="1:10">
      <c r="A11" s="31"/>
      <c r="B11" s="8" t="s">
        <v>2052</v>
      </c>
      <c r="D11" s="27"/>
      <c r="E11" s="27"/>
      <c r="F11" s="690"/>
      <c r="G11" s="27"/>
    </row>
    <row r="12" spans="1:10">
      <c r="A12" s="8">
        <v>1</v>
      </c>
      <c r="B12" s="6" t="s">
        <v>1590</v>
      </c>
      <c r="D12" s="6" t="s">
        <v>1589</v>
      </c>
      <c r="F12" s="499">
        <v>1</v>
      </c>
    </row>
    <row r="13" spans="1:10">
      <c r="A13" s="8">
        <f>A12+1</f>
        <v>2</v>
      </c>
      <c r="B13" s="6" t="s">
        <v>1285</v>
      </c>
      <c r="D13" s="6" t="s">
        <v>1594</v>
      </c>
      <c r="F13" s="691" t="s">
        <v>1962</v>
      </c>
    </row>
    <row r="14" spans="1:10">
      <c r="A14" s="8">
        <f t="shared" ref="A14:A32" si="0">A13+1</f>
        <v>3</v>
      </c>
      <c r="B14" s="6" t="s">
        <v>41</v>
      </c>
      <c r="D14" s="6" t="s">
        <v>1595</v>
      </c>
      <c r="F14" s="499">
        <v>18</v>
      </c>
    </row>
    <row r="15" spans="1:10">
      <c r="A15" s="8">
        <f t="shared" si="0"/>
        <v>4</v>
      </c>
      <c r="B15" s="6" t="s">
        <v>1937</v>
      </c>
      <c r="D15" s="6" t="s">
        <v>1596</v>
      </c>
      <c r="F15" s="499" t="s">
        <v>1963</v>
      </c>
    </row>
    <row r="16" spans="1:10">
      <c r="A16" s="8">
        <f t="shared" si="0"/>
        <v>5</v>
      </c>
      <c r="B16" s="6" t="s">
        <v>1957</v>
      </c>
      <c r="C16" s="29"/>
      <c r="D16" s="6" t="s">
        <v>1597</v>
      </c>
      <c r="E16" s="29"/>
      <c r="F16" s="692" t="s">
        <v>1964</v>
      </c>
      <c r="G16" s="29"/>
      <c r="H16" s="29"/>
      <c r="I16" s="29"/>
      <c r="J16" s="29"/>
    </row>
    <row r="17" spans="1:6">
      <c r="A17" s="8">
        <f t="shared" si="0"/>
        <v>6</v>
      </c>
      <c r="B17" s="28" t="s">
        <v>1572</v>
      </c>
      <c r="D17" s="6" t="s">
        <v>1598</v>
      </c>
      <c r="F17" s="499">
        <v>44</v>
      </c>
    </row>
    <row r="18" spans="1:6">
      <c r="A18" s="8">
        <f t="shared" si="0"/>
        <v>7</v>
      </c>
      <c r="B18" s="29" t="s">
        <v>900</v>
      </c>
      <c r="D18" s="6" t="s">
        <v>1599</v>
      </c>
      <c r="F18" s="499">
        <v>45</v>
      </c>
    </row>
    <row r="19" spans="1:6">
      <c r="A19" s="8">
        <f t="shared" si="0"/>
        <v>8</v>
      </c>
      <c r="B19" s="29" t="s">
        <v>2019</v>
      </c>
      <c r="D19" s="6" t="s">
        <v>1600</v>
      </c>
      <c r="F19" s="499">
        <v>46</v>
      </c>
    </row>
    <row r="20" spans="1:6">
      <c r="A20" s="8"/>
      <c r="B20" s="8" t="s">
        <v>1612</v>
      </c>
    </row>
    <row r="21" spans="1:6">
      <c r="A21" s="8">
        <v>9</v>
      </c>
      <c r="B21" s="6" t="s">
        <v>1613</v>
      </c>
      <c r="D21" s="6" t="s">
        <v>1601</v>
      </c>
      <c r="F21" s="499">
        <v>48</v>
      </c>
    </row>
    <row r="22" spans="1:6">
      <c r="A22" s="8">
        <f t="shared" si="0"/>
        <v>10</v>
      </c>
      <c r="B22" s="6" t="s">
        <v>1618</v>
      </c>
      <c r="D22" s="6" t="s">
        <v>1602</v>
      </c>
      <c r="F22" s="499" t="s">
        <v>2059</v>
      </c>
    </row>
    <row r="23" spans="1:6">
      <c r="A23" s="8">
        <f t="shared" si="0"/>
        <v>11</v>
      </c>
      <c r="B23" s="6" t="s">
        <v>1614</v>
      </c>
      <c r="D23" s="6" t="s">
        <v>1603</v>
      </c>
      <c r="F23" s="499" t="s">
        <v>2058</v>
      </c>
    </row>
    <row r="24" spans="1:6">
      <c r="A24" s="8">
        <f t="shared" si="0"/>
        <v>12</v>
      </c>
      <c r="B24" s="6" t="s">
        <v>1044</v>
      </c>
      <c r="D24" s="6" t="s">
        <v>1604</v>
      </c>
      <c r="F24" s="499">
        <v>53</v>
      </c>
    </row>
    <row r="25" spans="1:6">
      <c r="A25" s="8">
        <f t="shared" si="0"/>
        <v>13</v>
      </c>
      <c r="B25" s="6" t="s">
        <v>86</v>
      </c>
      <c r="D25" s="6" t="s">
        <v>1605</v>
      </c>
      <c r="F25" s="499">
        <v>54</v>
      </c>
    </row>
    <row r="26" spans="1:6">
      <c r="A26" s="8">
        <f t="shared" si="0"/>
        <v>14</v>
      </c>
      <c r="B26" s="6" t="s">
        <v>901</v>
      </c>
      <c r="D26" s="6" t="s">
        <v>1606</v>
      </c>
      <c r="F26" s="499" t="s">
        <v>2057</v>
      </c>
    </row>
    <row r="27" spans="1:6">
      <c r="A27" s="8">
        <f t="shared" si="0"/>
        <v>15</v>
      </c>
      <c r="B27" s="6" t="s">
        <v>902</v>
      </c>
      <c r="D27" s="6" t="s">
        <v>1607</v>
      </c>
      <c r="F27" s="499">
        <v>58</v>
      </c>
    </row>
    <row r="28" spans="1:6">
      <c r="A28" s="8">
        <f t="shared" si="0"/>
        <v>16</v>
      </c>
      <c r="B28" s="6" t="s">
        <v>903</v>
      </c>
      <c r="D28" s="6" t="s">
        <v>1608</v>
      </c>
      <c r="F28" s="499">
        <v>59</v>
      </c>
    </row>
    <row r="29" spans="1:6">
      <c r="A29" s="8">
        <f t="shared" si="0"/>
        <v>17</v>
      </c>
      <c r="B29" s="6" t="s">
        <v>1615</v>
      </c>
      <c r="D29" s="6" t="s">
        <v>1609</v>
      </c>
      <c r="F29" s="499">
        <v>60</v>
      </c>
    </row>
    <row r="30" spans="1:6">
      <c r="A30" s="8">
        <f t="shared" si="0"/>
        <v>18</v>
      </c>
      <c r="B30" s="6" t="s">
        <v>943</v>
      </c>
      <c r="D30" s="6" t="s">
        <v>1619</v>
      </c>
      <c r="F30" s="499">
        <v>61</v>
      </c>
    </row>
    <row r="31" spans="1:6">
      <c r="A31" s="8">
        <f t="shared" si="0"/>
        <v>19</v>
      </c>
      <c r="B31" s="6" t="s">
        <v>944</v>
      </c>
      <c r="D31" s="6" t="s">
        <v>1620</v>
      </c>
      <c r="F31" s="499">
        <v>62</v>
      </c>
    </row>
    <row r="32" spans="1:6">
      <c r="A32" s="8">
        <f t="shared" si="0"/>
        <v>20</v>
      </c>
      <c r="B32" s="6" t="s">
        <v>1616</v>
      </c>
      <c r="D32" s="6" t="s">
        <v>1621</v>
      </c>
      <c r="F32" s="499">
        <v>63</v>
      </c>
    </row>
    <row r="33" spans="1:6">
      <c r="A33" s="8">
        <v>21</v>
      </c>
      <c r="B33" s="6" t="s">
        <v>1617</v>
      </c>
      <c r="D33" s="6" t="s">
        <v>1938</v>
      </c>
      <c r="F33" s="499" t="s">
        <v>2056</v>
      </c>
    </row>
    <row r="34" spans="1:6">
      <c r="A34" s="8">
        <v>22</v>
      </c>
      <c r="B34" s="6" t="s">
        <v>904</v>
      </c>
      <c r="D34" s="6" t="s">
        <v>1939</v>
      </c>
      <c r="F34" s="499">
        <v>70</v>
      </c>
    </row>
    <row r="35" spans="1:6">
      <c r="A35" s="8">
        <v>23</v>
      </c>
      <c r="B35" s="6" t="s">
        <v>1882</v>
      </c>
      <c r="D35" s="6" t="s">
        <v>2054</v>
      </c>
      <c r="F35" s="499" t="s">
        <v>2055</v>
      </c>
    </row>
    <row r="42" spans="1:6">
      <c r="B42" s="6" t="s">
        <v>1622</v>
      </c>
    </row>
  </sheetData>
  <mergeCells count="5">
    <mergeCell ref="A2:F2"/>
    <mergeCell ref="A3:F3"/>
    <mergeCell ref="A4:F4"/>
    <mergeCell ref="A5:F5"/>
    <mergeCell ref="A6:F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F187"/>
  <sheetViews>
    <sheetView view="pageBreakPreview" topLeftCell="A40" zoomScaleNormal="100" zoomScaleSheetLayoutView="100" workbookViewId="0">
      <selection activeCell="X142" sqref="X142"/>
    </sheetView>
  </sheetViews>
  <sheetFormatPr defaultRowHeight="15.75"/>
  <cols>
    <col min="1" max="1" width="9.28515625" style="35" bestFit="1" customWidth="1"/>
    <col min="2" max="2" width="9.28515625" style="6" bestFit="1" customWidth="1"/>
    <col min="3" max="3" width="44.28515625" style="6" customWidth="1"/>
    <col min="4" max="4" width="2.7109375" style="6" customWidth="1"/>
    <col min="5" max="5" width="17.140625" style="6" bestFit="1" customWidth="1"/>
    <col min="6" max="6" width="16.42578125" style="6" bestFit="1" customWidth="1"/>
    <col min="7" max="7" width="16.85546875" style="6" bestFit="1" customWidth="1"/>
    <col min="8" max="8" width="14.140625" style="6" customWidth="1"/>
    <col min="9" max="9" width="15.7109375" style="91" bestFit="1" customWidth="1"/>
    <col min="10" max="10" width="12.28515625" style="91" bestFit="1" customWidth="1"/>
    <col min="11" max="11" width="14.5703125" style="274" bestFit="1" customWidth="1"/>
    <col min="12" max="12" width="13.85546875" style="91" bestFit="1" customWidth="1"/>
    <col min="13" max="18" width="13.85546875" style="91" customWidth="1"/>
    <col min="19" max="19" width="13.85546875" style="91" bestFit="1" customWidth="1"/>
    <col min="20" max="20" width="15.28515625" style="91" bestFit="1" customWidth="1"/>
    <col min="21" max="21" width="13.5703125" style="91" bestFit="1" customWidth="1"/>
    <col min="22" max="22" width="13.85546875" style="91" bestFit="1" customWidth="1"/>
    <col min="23" max="23" width="13.7109375" style="91" customWidth="1"/>
    <col min="24" max="24" width="15.42578125" style="273" bestFit="1" customWidth="1"/>
    <col min="25" max="25" width="13.5703125" style="91" bestFit="1" customWidth="1"/>
    <col min="26" max="26" width="13" style="91" customWidth="1"/>
    <col min="27" max="27" width="14.5703125" style="91" bestFit="1" customWidth="1"/>
    <col min="28" max="28" width="16.140625" style="91" bestFit="1" customWidth="1"/>
    <col min="29" max="30" width="2.140625" style="6" customWidth="1"/>
    <col min="31" max="31" width="15.7109375" style="6" bestFit="1" customWidth="1"/>
    <col min="32" max="32" width="17" style="6" bestFit="1" customWidth="1"/>
    <col min="33" max="16384" width="9.140625" style="6"/>
  </cols>
  <sheetData>
    <row r="1" spans="1:32">
      <c r="C1" s="1039" t="s">
        <v>60</v>
      </c>
      <c r="D1" s="1039"/>
      <c r="E1" s="1039"/>
      <c r="F1" s="1039"/>
      <c r="G1" s="1039"/>
      <c r="K1" s="1039" t="s">
        <v>60</v>
      </c>
      <c r="L1" s="1039"/>
      <c r="M1" s="1039"/>
      <c r="N1" s="1039"/>
      <c r="O1" s="1039"/>
      <c r="P1" s="1039"/>
      <c r="Q1" s="1039"/>
      <c r="R1" s="1039"/>
      <c r="S1" s="1039"/>
      <c r="T1" s="1039"/>
      <c r="U1" s="1039"/>
      <c r="Y1" s="1039" t="s">
        <v>60</v>
      </c>
      <c r="Z1" s="1039"/>
      <c r="AA1" s="1039"/>
      <c r="AB1" s="1039"/>
      <c r="AC1" s="1039"/>
      <c r="AD1" s="1039"/>
    </row>
    <row r="2" spans="1:32">
      <c r="C2" s="1039" t="s">
        <v>1588</v>
      </c>
      <c r="D2" s="1039"/>
      <c r="E2" s="1039"/>
      <c r="F2" s="1039"/>
      <c r="G2" s="1039"/>
      <c r="K2" s="1039" t="s">
        <v>1588</v>
      </c>
      <c r="L2" s="1039"/>
      <c r="M2" s="1039"/>
      <c r="N2" s="1039"/>
      <c r="O2" s="1039"/>
      <c r="P2" s="1039"/>
      <c r="Q2" s="1039"/>
      <c r="R2" s="1039"/>
      <c r="S2" s="1039"/>
      <c r="T2" s="1039"/>
      <c r="U2" s="1039"/>
      <c r="Y2" s="1039" t="s">
        <v>1588</v>
      </c>
      <c r="Z2" s="1039"/>
      <c r="AA2" s="1039"/>
      <c r="AB2" s="1039"/>
      <c r="AC2" s="1039"/>
      <c r="AD2" s="1039"/>
    </row>
    <row r="3" spans="1:32">
      <c r="C3" s="1039" t="s">
        <v>1594</v>
      </c>
      <c r="D3" s="1039"/>
      <c r="E3" s="1039"/>
      <c r="F3" s="1039"/>
      <c r="G3" s="1039"/>
      <c r="K3" s="1039" t="s">
        <v>1594</v>
      </c>
      <c r="L3" s="1039"/>
      <c r="M3" s="1039"/>
      <c r="N3" s="1039"/>
      <c r="O3" s="1039"/>
      <c r="P3" s="1039"/>
      <c r="Q3" s="1039"/>
      <c r="R3" s="1039"/>
      <c r="S3" s="1039"/>
      <c r="T3" s="1039"/>
      <c r="U3" s="1039"/>
      <c r="Y3" s="1039" t="s">
        <v>1594</v>
      </c>
      <c r="Z3" s="1039"/>
      <c r="AA3" s="1039"/>
      <c r="AB3" s="1039"/>
      <c r="AC3" s="1039"/>
      <c r="AD3" s="1039"/>
    </row>
    <row r="4" spans="1:32">
      <c r="C4" s="1039" t="s">
        <v>2024</v>
      </c>
      <c r="D4" s="1039"/>
      <c r="E4" s="1039"/>
      <c r="F4" s="1039"/>
      <c r="G4" s="1039"/>
      <c r="K4" s="1039" t="s">
        <v>1285</v>
      </c>
      <c r="L4" s="1039"/>
      <c r="M4" s="1039"/>
      <c r="N4" s="1039"/>
      <c r="O4" s="1039"/>
      <c r="P4" s="1039"/>
      <c r="Q4" s="1039"/>
      <c r="R4" s="1039"/>
      <c r="S4" s="1039"/>
      <c r="T4" s="1039"/>
      <c r="U4" s="1039"/>
      <c r="Y4" s="1039" t="s">
        <v>1285</v>
      </c>
      <c r="Z4" s="1039"/>
      <c r="AA4" s="1039"/>
      <c r="AB4" s="1039"/>
      <c r="AC4" s="1039"/>
      <c r="AD4" s="1039"/>
    </row>
    <row r="5" spans="1:32">
      <c r="C5" s="1039" t="s">
        <v>906</v>
      </c>
      <c r="D5" s="1039"/>
      <c r="E5" s="1039"/>
      <c r="F5" s="1039"/>
      <c r="G5" s="1039"/>
      <c r="K5" s="1039" t="s">
        <v>906</v>
      </c>
      <c r="L5" s="1039"/>
      <c r="M5" s="1039"/>
      <c r="N5" s="1039"/>
      <c r="O5" s="1039"/>
      <c r="P5" s="1039"/>
      <c r="Q5" s="1039"/>
      <c r="R5" s="1039"/>
      <c r="S5" s="1039"/>
      <c r="T5" s="1039"/>
      <c r="U5" s="1039"/>
      <c r="Y5" s="1039" t="s">
        <v>906</v>
      </c>
      <c r="Z5" s="1039"/>
      <c r="AA5" s="1039"/>
      <c r="AB5" s="1039"/>
      <c r="AC5" s="1039"/>
      <c r="AD5" s="1039"/>
    </row>
    <row r="7" spans="1:32" s="35" customFormat="1">
      <c r="A7" s="35" t="s">
        <v>1921</v>
      </c>
      <c r="B7" s="35" t="s">
        <v>1629</v>
      </c>
      <c r="C7" s="35" t="s">
        <v>1627</v>
      </c>
      <c r="E7" s="35" t="s">
        <v>1628</v>
      </c>
      <c r="F7" s="35" t="s">
        <v>1631</v>
      </c>
      <c r="G7" s="35" t="s">
        <v>1632</v>
      </c>
      <c r="H7" s="35" t="s">
        <v>1641</v>
      </c>
      <c r="I7" s="275" t="s">
        <v>1642</v>
      </c>
      <c r="J7" s="275" t="s">
        <v>1643</v>
      </c>
      <c r="K7" s="276" t="s">
        <v>1644</v>
      </c>
      <c r="L7" s="275" t="s">
        <v>1645</v>
      </c>
      <c r="M7" s="275"/>
      <c r="N7" s="275"/>
      <c r="O7" s="275"/>
      <c r="P7" s="275"/>
      <c r="Q7" s="275"/>
      <c r="R7" s="275"/>
      <c r="S7" s="275" t="s">
        <v>1646</v>
      </c>
      <c r="T7" s="275" t="s">
        <v>1647</v>
      </c>
      <c r="U7" s="275" t="s">
        <v>1648</v>
      </c>
      <c r="V7" s="275" t="s">
        <v>1649</v>
      </c>
      <c r="W7" s="275" t="s">
        <v>1650</v>
      </c>
      <c r="X7" s="277" t="s">
        <v>1922</v>
      </c>
      <c r="Y7" s="275" t="s">
        <v>1923</v>
      </c>
      <c r="Z7" s="275" t="s">
        <v>1924</v>
      </c>
      <c r="AA7" s="275" t="s">
        <v>1925</v>
      </c>
      <c r="AB7" s="275"/>
      <c r="AE7" s="275" t="s">
        <v>1926</v>
      </c>
      <c r="AF7" s="275" t="s">
        <v>1927</v>
      </c>
    </row>
    <row r="8" spans="1:32" ht="31.5">
      <c r="A8" s="35">
        <v>1</v>
      </c>
      <c r="B8" s="272" t="s">
        <v>1285</v>
      </c>
      <c r="C8" s="278"/>
      <c r="D8" s="279"/>
      <c r="E8" s="280"/>
      <c r="F8" s="281" t="s">
        <v>120</v>
      </c>
      <c r="G8" s="281" t="s">
        <v>121</v>
      </c>
      <c r="H8" s="281" t="s">
        <v>122</v>
      </c>
    </row>
    <row r="9" spans="1:32">
      <c r="A9" s="35">
        <v>2</v>
      </c>
      <c r="B9" s="141" t="s">
        <v>907</v>
      </c>
      <c r="C9" s="139"/>
      <c r="D9" s="279"/>
      <c r="E9" s="282" t="s">
        <v>123</v>
      </c>
      <c r="F9" s="283">
        <f>+'State Allocation Formulas'!C21</f>
        <v>0.75280000000000002</v>
      </c>
      <c r="G9" s="284">
        <f>+'State Allocation Formulas'!C16</f>
        <v>0.74880000000000002</v>
      </c>
      <c r="H9" s="284">
        <f>+'State Allocation Formulas'!T21</f>
        <v>0.76549999999999996</v>
      </c>
    </row>
    <row r="10" spans="1:32">
      <c r="A10" s="35">
        <v>3</v>
      </c>
      <c r="B10" s="141"/>
      <c r="C10" s="139"/>
      <c r="D10" s="279"/>
      <c r="E10" s="282" t="s">
        <v>124</v>
      </c>
      <c r="F10" s="283">
        <f>+'State Allocation Formulas'!D21</f>
        <v>0.2472</v>
      </c>
      <c r="G10" s="284">
        <f>+'State Allocation Formulas'!D16</f>
        <v>0.25119999999999998</v>
      </c>
      <c r="H10" s="284">
        <f>+'State Allocation Formulas'!T22</f>
        <v>0.23450000000000004</v>
      </c>
      <c r="I10" s="285" t="s">
        <v>810</v>
      </c>
      <c r="J10" s="285" t="s">
        <v>61</v>
      </c>
      <c r="K10" s="286" t="s">
        <v>894</v>
      </c>
      <c r="L10" s="285" t="s">
        <v>1041</v>
      </c>
      <c r="M10" s="160" t="s">
        <v>2066</v>
      </c>
      <c r="N10" s="160" t="s">
        <v>2066</v>
      </c>
      <c r="O10" s="160" t="s">
        <v>2060</v>
      </c>
      <c r="P10" s="160" t="s">
        <v>2070</v>
      </c>
      <c r="Q10" s="160" t="s">
        <v>2073</v>
      </c>
      <c r="R10" s="160" t="s">
        <v>2075</v>
      </c>
      <c r="S10" s="285" t="s">
        <v>63</v>
      </c>
      <c r="T10" s="285" t="s">
        <v>851</v>
      </c>
      <c r="U10" s="287" t="s">
        <v>895</v>
      </c>
      <c r="V10" s="287" t="s">
        <v>66</v>
      </c>
      <c r="W10" s="161" t="s">
        <v>851</v>
      </c>
      <c r="X10" s="288" t="s">
        <v>940</v>
      </c>
      <c r="Y10" s="287" t="s">
        <v>1061</v>
      </c>
      <c r="Z10" s="161" t="s">
        <v>1065</v>
      </c>
      <c r="AA10" s="287" t="s">
        <v>851</v>
      </c>
      <c r="AB10" s="154" t="s">
        <v>2062</v>
      </c>
      <c r="AC10" s="161"/>
      <c r="AE10" s="289" t="s">
        <v>58</v>
      </c>
      <c r="AF10" s="289" t="s">
        <v>851</v>
      </c>
    </row>
    <row r="11" spans="1:32">
      <c r="A11" s="290">
        <v>4</v>
      </c>
      <c r="B11" s="1050" t="s">
        <v>125</v>
      </c>
      <c r="C11" s="1051"/>
      <c r="D11" s="279"/>
      <c r="E11" s="1054" t="s">
        <v>126</v>
      </c>
      <c r="F11" s="1055"/>
      <c r="G11" s="1055"/>
      <c r="I11" s="291" t="s">
        <v>811</v>
      </c>
      <c r="J11" s="291" t="s">
        <v>57</v>
      </c>
      <c r="K11" s="292" t="s">
        <v>82</v>
      </c>
      <c r="L11" s="291" t="s">
        <v>1042</v>
      </c>
      <c r="M11" s="160" t="s">
        <v>2067</v>
      </c>
      <c r="N11" s="160" t="s">
        <v>2068</v>
      </c>
      <c r="O11" s="160"/>
      <c r="P11" s="160" t="s">
        <v>2071</v>
      </c>
      <c r="Q11" s="160" t="s">
        <v>2074</v>
      </c>
      <c r="R11" s="167" t="s">
        <v>2076</v>
      </c>
      <c r="S11" s="291" t="s">
        <v>64</v>
      </c>
      <c r="T11" s="291" t="s">
        <v>855</v>
      </c>
      <c r="U11" s="293" t="s">
        <v>65</v>
      </c>
      <c r="V11" s="293" t="s">
        <v>67</v>
      </c>
      <c r="W11" s="168" t="s">
        <v>1063</v>
      </c>
      <c r="X11" s="294" t="s">
        <v>941</v>
      </c>
      <c r="Y11" s="293" t="s">
        <v>1037</v>
      </c>
      <c r="Z11" s="168" t="s">
        <v>62</v>
      </c>
      <c r="AA11" s="293" t="s">
        <v>890</v>
      </c>
      <c r="AB11" s="154" t="s">
        <v>2063</v>
      </c>
      <c r="AC11" s="168"/>
      <c r="AE11" s="289" t="s">
        <v>1</v>
      </c>
      <c r="AF11" s="289" t="s">
        <v>852</v>
      </c>
    </row>
    <row r="12" spans="1:32">
      <c r="A12" s="35">
        <v>5</v>
      </c>
      <c r="B12" s="1052"/>
      <c r="C12" s="1053"/>
      <c r="D12" s="295"/>
      <c r="E12" s="1056" t="s">
        <v>127</v>
      </c>
      <c r="F12" s="1057"/>
      <c r="G12" s="1058"/>
      <c r="I12" s="291" t="s">
        <v>62</v>
      </c>
      <c r="J12" s="291" t="s">
        <v>62</v>
      </c>
      <c r="K12" s="292"/>
      <c r="L12" s="291" t="s">
        <v>1043</v>
      </c>
      <c r="M12" s="167"/>
      <c r="N12" s="160" t="s">
        <v>2069</v>
      </c>
      <c r="O12" s="167"/>
      <c r="P12" s="160" t="s">
        <v>2072</v>
      </c>
      <c r="Q12" s="160" t="s">
        <v>1503</v>
      </c>
      <c r="R12" s="167"/>
      <c r="S12" s="291" t="s">
        <v>62</v>
      </c>
      <c r="T12" s="291" t="s">
        <v>62</v>
      </c>
      <c r="U12" s="293"/>
      <c r="V12" s="293"/>
      <c r="W12" s="168" t="s">
        <v>1064</v>
      </c>
      <c r="X12" s="294" t="s">
        <v>942</v>
      </c>
      <c r="Y12" s="293" t="s">
        <v>1038</v>
      </c>
      <c r="Z12" s="168"/>
      <c r="AA12" s="293"/>
      <c r="AB12" s="154" t="s">
        <v>2064</v>
      </c>
      <c r="AC12" s="168"/>
      <c r="AF12" s="8" t="s">
        <v>853</v>
      </c>
    </row>
    <row r="13" spans="1:32">
      <c r="A13" s="35">
        <v>6</v>
      </c>
      <c r="B13" s="1046" t="s">
        <v>128</v>
      </c>
      <c r="C13" s="1047"/>
      <c r="D13" s="296"/>
      <c r="E13" s="297" t="s">
        <v>129</v>
      </c>
      <c r="F13" s="298" t="s">
        <v>130</v>
      </c>
      <c r="G13" s="299" t="s">
        <v>131</v>
      </c>
      <c r="I13" s="300" t="s">
        <v>843</v>
      </c>
      <c r="J13" s="300" t="s">
        <v>844</v>
      </c>
      <c r="K13" s="301" t="s">
        <v>893</v>
      </c>
      <c r="L13" s="300" t="s">
        <v>1062</v>
      </c>
      <c r="M13" s="300"/>
      <c r="N13" s="300"/>
      <c r="O13" s="300"/>
      <c r="P13" s="300"/>
      <c r="Q13" s="300"/>
      <c r="R13" s="300"/>
      <c r="S13" s="300" t="s">
        <v>845</v>
      </c>
      <c r="T13" s="300" t="s">
        <v>846</v>
      </c>
      <c r="U13" s="300" t="s">
        <v>1066</v>
      </c>
      <c r="V13" s="300" t="s">
        <v>847</v>
      </c>
      <c r="W13" s="300" t="s">
        <v>848</v>
      </c>
      <c r="X13" s="302" t="s">
        <v>849</v>
      </c>
      <c r="Y13" s="300" t="s">
        <v>850</v>
      </c>
      <c r="Z13" s="300" t="s">
        <v>1067</v>
      </c>
      <c r="AA13" s="300" t="s">
        <v>1068</v>
      </c>
      <c r="AB13" s="844"/>
      <c r="AC13" s="303"/>
      <c r="AD13" s="303"/>
    </row>
    <row r="14" spans="1:32">
      <c r="A14" s="290">
        <v>7</v>
      </c>
      <c r="B14" s="304" t="s">
        <v>132</v>
      </c>
      <c r="C14" s="305"/>
      <c r="D14" s="306"/>
      <c r="E14" s="141"/>
      <c r="F14" s="139"/>
      <c r="G14" s="307"/>
    </row>
    <row r="15" spans="1:32">
      <c r="A15" s="35">
        <v>8</v>
      </c>
      <c r="B15" s="308" t="s">
        <v>133</v>
      </c>
      <c r="C15" s="309" t="s">
        <v>134</v>
      </c>
      <c r="D15" s="310"/>
      <c r="E15" s="311">
        <v>100892687.81</v>
      </c>
      <c r="F15" s="312">
        <v>0</v>
      </c>
      <c r="G15" s="313">
        <f>SUM(E15:F15)</f>
        <v>100892687.81</v>
      </c>
      <c r="I15" s="91">
        <f>+'Weather Normalization'!F12+'Weather Normalization'!F18+'Weather Normalization'!F19</f>
        <v>11337843.88446</v>
      </c>
      <c r="K15" s="696">
        <f>+'Restate Revenues'!M28</f>
        <v>-8383168.3755000383</v>
      </c>
      <c r="AA15" s="91">
        <f>'Revenue Adjustment'!G21</f>
        <v>2520322</v>
      </c>
      <c r="AE15" s="314">
        <f>SUM(I15:AD15)</f>
        <v>5474997.5089599621</v>
      </c>
      <c r="AF15" s="314">
        <f>+G15+AE15</f>
        <v>106367685.31895997</v>
      </c>
    </row>
    <row r="16" spans="1:32">
      <c r="A16" s="35">
        <v>9</v>
      </c>
      <c r="B16" s="308" t="s">
        <v>135</v>
      </c>
      <c r="C16" s="309" t="s">
        <v>136</v>
      </c>
      <c r="D16" s="310"/>
      <c r="E16" s="311">
        <v>82010145.060000002</v>
      </c>
      <c r="F16" s="312">
        <v>0</v>
      </c>
      <c r="G16" s="313">
        <f>SUM(E16:F16)</f>
        <v>82010145.060000002</v>
      </c>
      <c r="I16" s="91">
        <f>+'Weather Normalization'!F15</f>
        <v>4134187.9</v>
      </c>
      <c r="K16" s="696">
        <f>+'Restate Revenues'!M29</f>
        <v>-346008.79999999795</v>
      </c>
      <c r="AA16" s="693">
        <f>'Revenue Adjustment'!G22</f>
        <v>766252</v>
      </c>
      <c r="AB16" s="693"/>
      <c r="AE16" s="314">
        <f>SUM(I16:AD16)</f>
        <v>4554431.1000000015</v>
      </c>
      <c r="AF16" s="314">
        <f>+G16+AE16</f>
        <v>86564576.159999996</v>
      </c>
    </row>
    <row r="17" spans="1:32">
      <c r="A17" s="290">
        <v>10</v>
      </c>
      <c r="B17" s="304" t="s">
        <v>137</v>
      </c>
      <c r="C17" s="305"/>
      <c r="D17" s="315"/>
      <c r="E17" s="316">
        <f t="shared" ref="E17:Z17" si="0">SUM(E15:E16)</f>
        <v>182902832.87</v>
      </c>
      <c r="F17" s="317">
        <f t="shared" si="0"/>
        <v>0</v>
      </c>
      <c r="G17" s="318">
        <f t="shared" si="0"/>
        <v>182902832.87</v>
      </c>
      <c r="I17" s="318">
        <f t="shared" si="0"/>
        <v>15472031.784460001</v>
      </c>
      <c r="J17" s="318">
        <f t="shared" si="0"/>
        <v>0</v>
      </c>
      <c r="K17" s="697">
        <f>SUM(K15:K16)</f>
        <v>-8729177.1755000353</v>
      </c>
      <c r="L17" s="318">
        <f t="shared" si="0"/>
        <v>0</v>
      </c>
      <c r="M17" s="318">
        <f t="shared" ref="M17:R17" si="1">SUM(M15:M16)</f>
        <v>0</v>
      </c>
      <c r="N17" s="318">
        <f t="shared" si="1"/>
        <v>0</v>
      </c>
      <c r="O17" s="318">
        <f t="shared" si="1"/>
        <v>0</v>
      </c>
      <c r="P17" s="318">
        <f t="shared" si="1"/>
        <v>0</v>
      </c>
      <c r="Q17" s="318">
        <f t="shared" si="1"/>
        <v>0</v>
      </c>
      <c r="R17" s="318">
        <f t="shared" si="1"/>
        <v>0</v>
      </c>
      <c r="S17" s="318">
        <f t="shared" si="0"/>
        <v>0</v>
      </c>
      <c r="T17" s="318">
        <f t="shared" si="0"/>
        <v>0</v>
      </c>
      <c r="U17" s="318">
        <f t="shared" si="0"/>
        <v>0</v>
      </c>
      <c r="V17" s="318">
        <f t="shared" si="0"/>
        <v>0</v>
      </c>
      <c r="W17" s="318">
        <f t="shared" ref="W17" si="2">SUM(W15:W16)</f>
        <v>0</v>
      </c>
      <c r="X17" s="320">
        <f t="shared" si="0"/>
        <v>0</v>
      </c>
      <c r="Y17" s="318">
        <f t="shared" si="0"/>
        <v>0</v>
      </c>
      <c r="Z17" s="318">
        <f t="shared" si="0"/>
        <v>0</v>
      </c>
      <c r="AA17" s="318">
        <f t="shared" ref="AA17:AF17" si="3">SUM(AA15:AA16)</f>
        <v>3286574</v>
      </c>
      <c r="AB17" s="318">
        <f t="shared" si="3"/>
        <v>0</v>
      </c>
      <c r="AC17" s="318">
        <f t="shared" si="3"/>
        <v>0</v>
      </c>
      <c r="AD17" s="318">
        <f t="shared" si="3"/>
        <v>0</v>
      </c>
      <c r="AE17" s="318">
        <f t="shared" si="3"/>
        <v>10029428.608959964</v>
      </c>
      <c r="AF17" s="318">
        <f t="shared" si="3"/>
        <v>192932261.47895998</v>
      </c>
    </row>
    <row r="18" spans="1:32">
      <c r="A18" s="35">
        <v>11</v>
      </c>
      <c r="B18" s="321"/>
      <c r="C18" s="305"/>
      <c r="D18" s="310"/>
      <c r="E18" s="311"/>
      <c r="F18" s="322"/>
      <c r="G18" s="313"/>
      <c r="K18" s="696"/>
    </row>
    <row r="19" spans="1:32">
      <c r="A19" s="290">
        <v>12</v>
      </c>
      <c r="B19" s="304" t="s">
        <v>138</v>
      </c>
      <c r="C19" s="305"/>
      <c r="D19" s="310"/>
      <c r="E19" s="311"/>
      <c r="F19" s="322"/>
      <c r="G19" s="313"/>
    </row>
    <row r="20" spans="1:32">
      <c r="A20" s="35">
        <v>13</v>
      </c>
      <c r="B20" s="308" t="s">
        <v>139</v>
      </c>
      <c r="C20" s="309" t="s">
        <v>140</v>
      </c>
      <c r="D20" s="310"/>
      <c r="E20" s="311">
        <v>810183.02</v>
      </c>
      <c r="F20" s="322">
        <v>0.01</v>
      </c>
      <c r="G20" s="313">
        <f t="shared" ref="G20:G25" si="4">SUM(E20:F20)</f>
        <v>810183.03</v>
      </c>
      <c r="AE20" s="314">
        <f t="shared" ref="AE20:AE25" si="5">SUM(I20:AD20)</f>
        <v>0</v>
      </c>
      <c r="AF20" s="314">
        <f t="shared" ref="AF20:AF25" si="6">+G20+AE20</f>
        <v>810183.03</v>
      </c>
    </row>
    <row r="21" spans="1:32">
      <c r="A21" s="290">
        <v>14</v>
      </c>
      <c r="B21" s="323" t="s">
        <v>141</v>
      </c>
      <c r="C21" s="309" t="s">
        <v>142</v>
      </c>
      <c r="D21" s="310"/>
      <c r="E21" s="324">
        <v>21216454.399999999</v>
      </c>
      <c r="F21" s="312">
        <v>0</v>
      </c>
      <c r="G21" s="325">
        <f t="shared" si="4"/>
        <v>21216454.399999999</v>
      </c>
      <c r="U21" s="91">
        <f>+'Pro Forma Plant Additions'!E14</f>
        <v>199943.9</v>
      </c>
      <c r="AA21" s="693">
        <f>+'Revenue Adjustment'!G23</f>
        <v>1933517</v>
      </c>
      <c r="AB21" s="693"/>
      <c r="AE21" s="314">
        <f t="shared" si="5"/>
        <v>2133460.9</v>
      </c>
      <c r="AF21" s="314">
        <f t="shared" si="6"/>
        <v>23349915.299999997</v>
      </c>
    </row>
    <row r="22" spans="1:32">
      <c r="A22" s="35">
        <v>15</v>
      </c>
      <c r="B22" s="323" t="s">
        <v>143</v>
      </c>
      <c r="C22" s="309" t="s">
        <v>144</v>
      </c>
      <c r="D22" s="310"/>
      <c r="E22" s="326">
        <v>100</v>
      </c>
      <c r="F22" s="322">
        <v>0</v>
      </c>
      <c r="G22" s="313">
        <f t="shared" si="4"/>
        <v>100</v>
      </c>
      <c r="AE22" s="314">
        <f t="shared" si="5"/>
        <v>0</v>
      </c>
      <c r="AF22" s="314">
        <f t="shared" si="6"/>
        <v>100</v>
      </c>
    </row>
    <row r="23" spans="1:32">
      <c r="A23" s="290">
        <v>16</v>
      </c>
      <c r="B23" s="323" t="s">
        <v>145</v>
      </c>
      <c r="C23" s="309" t="s">
        <v>146</v>
      </c>
      <c r="D23" s="310"/>
      <c r="E23" s="326">
        <v>0</v>
      </c>
      <c r="F23" s="322">
        <v>91471.08</v>
      </c>
      <c r="G23" s="313">
        <f t="shared" si="4"/>
        <v>91471.08</v>
      </c>
      <c r="AE23" s="314">
        <f t="shared" si="5"/>
        <v>0</v>
      </c>
      <c r="AF23" s="314">
        <f t="shared" si="6"/>
        <v>91471.08</v>
      </c>
    </row>
    <row r="24" spans="1:32">
      <c r="A24" s="35">
        <v>17</v>
      </c>
      <c r="B24" s="323" t="s">
        <v>147</v>
      </c>
      <c r="C24" s="309" t="s">
        <v>148</v>
      </c>
      <c r="D24" s="310"/>
      <c r="E24" s="311">
        <v>109620.85</v>
      </c>
      <c r="F24" s="322">
        <v>0</v>
      </c>
      <c r="G24" s="313">
        <f t="shared" si="4"/>
        <v>109620.85</v>
      </c>
      <c r="Y24" s="91">
        <f>'Miscellaneous Charges'!M16</f>
        <v>-101645</v>
      </c>
      <c r="AE24" s="314">
        <f t="shared" si="5"/>
        <v>-101645</v>
      </c>
      <c r="AF24" s="314">
        <f t="shared" si="6"/>
        <v>7975.8500000000058</v>
      </c>
    </row>
    <row r="25" spans="1:32">
      <c r="A25" s="290">
        <v>18</v>
      </c>
      <c r="B25" s="308" t="s">
        <v>149</v>
      </c>
      <c r="C25" s="309" t="s">
        <v>150</v>
      </c>
      <c r="D25" s="327"/>
      <c r="E25" s="326">
        <v>0</v>
      </c>
      <c r="F25" s="312">
        <v>0</v>
      </c>
      <c r="G25" s="328">
        <f t="shared" si="4"/>
        <v>0</v>
      </c>
      <c r="AE25" s="314">
        <f t="shared" si="5"/>
        <v>0</v>
      </c>
      <c r="AF25" s="314">
        <f t="shared" si="6"/>
        <v>0</v>
      </c>
    </row>
    <row r="26" spans="1:32">
      <c r="A26" s="35">
        <v>19</v>
      </c>
      <c r="B26" s="304" t="s">
        <v>151</v>
      </c>
      <c r="C26" s="305"/>
      <c r="D26" s="315"/>
      <c r="E26" s="316">
        <f t="shared" ref="E26:G26" si="7">SUM(E20:E25)</f>
        <v>22136358.27</v>
      </c>
      <c r="F26" s="329">
        <f t="shared" si="7"/>
        <v>91471.09</v>
      </c>
      <c r="G26" s="318">
        <f t="shared" si="7"/>
        <v>22227829.359999999</v>
      </c>
      <c r="I26" s="318">
        <f t="shared" ref="I26:Y26" si="8">SUM(I20:I25)</f>
        <v>0</v>
      </c>
      <c r="J26" s="318">
        <f t="shared" si="8"/>
        <v>0</v>
      </c>
      <c r="K26" s="319">
        <f>SUM(K20:K25)</f>
        <v>0</v>
      </c>
      <c r="L26" s="318">
        <f>SUM(L20:L25)</f>
        <v>0</v>
      </c>
      <c r="M26" s="318">
        <f t="shared" ref="M26:R26" si="9">SUM(M20:M25)</f>
        <v>0</v>
      </c>
      <c r="N26" s="318">
        <f t="shared" si="9"/>
        <v>0</v>
      </c>
      <c r="O26" s="318">
        <f t="shared" si="9"/>
        <v>0</v>
      </c>
      <c r="P26" s="318">
        <f t="shared" si="9"/>
        <v>0</v>
      </c>
      <c r="Q26" s="318">
        <f t="shared" si="9"/>
        <v>0</v>
      </c>
      <c r="R26" s="318">
        <f t="shared" si="9"/>
        <v>0</v>
      </c>
      <c r="S26" s="318">
        <f t="shared" si="8"/>
        <v>0</v>
      </c>
      <c r="T26" s="318">
        <f t="shared" si="8"/>
        <v>0</v>
      </c>
      <c r="U26" s="318">
        <f t="shared" si="8"/>
        <v>199943.9</v>
      </c>
      <c r="V26" s="318">
        <f t="shared" si="8"/>
        <v>0</v>
      </c>
      <c r="W26" s="318">
        <f t="shared" ref="W26" si="10">SUM(W20:W25)</f>
        <v>0</v>
      </c>
      <c r="X26" s="320">
        <f>SUM(X20:X25)</f>
        <v>0</v>
      </c>
      <c r="Y26" s="318">
        <f t="shared" si="8"/>
        <v>-101645</v>
      </c>
      <c r="Z26" s="318">
        <f t="shared" ref="Z26" si="11">SUM(Z20:Z25)</f>
        <v>0</v>
      </c>
      <c r="AA26" s="318">
        <f t="shared" ref="AA26:AF26" si="12">SUM(AA20:AA25)</f>
        <v>1933517</v>
      </c>
      <c r="AB26" s="318">
        <f t="shared" si="12"/>
        <v>0</v>
      </c>
      <c r="AC26" s="318">
        <f t="shared" si="12"/>
        <v>0</v>
      </c>
      <c r="AD26" s="318">
        <f t="shared" si="12"/>
        <v>0</v>
      </c>
      <c r="AE26" s="318">
        <f t="shared" si="12"/>
        <v>2031815.9</v>
      </c>
      <c r="AF26" s="318">
        <f t="shared" si="12"/>
        <v>24259645.259999998</v>
      </c>
    </row>
    <row r="27" spans="1:32" ht="16.5" thickBot="1">
      <c r="A27" s="290">
        <v>20</v>
      </c>
      <c r="B27" s="304" t="s">
        <v>152</v>
      </c>
      <c r="C27" s="305"/>
      <c r="D27" s="330"/>
      <c r="E27" s="331">
        <f t="shared" ref="E27:G27" si="13">E17+E26</f>
        <v>205039191.14000002</v>
      </c>
      <c r="F27" s="332">
        <f t="shared" si="13"/>
        <v>91471.09</v>
      </c>
      <c r="G27" s="333">
        <f t="shared" si="13"/>
        <v>205130662.23000002</v>
      </c>
      <c r="I27" s="333">
        <f t="shared" ref="I27:Y27" si="14">I17+I26</f>
        <v>15472031.784460001</v>
      </c>
      <c r="J27" s="333">
        <f t="shared" si="14"/>
        <v>0</v>
      </c>
      <c r="K27" s="334">
        <f>K17+K26</f>
        <v>-8729177.1755000353</v>
      </c>
      <c r="L27" s="333">
        <f>L17+L26</f>
        <v>0</v>
      </c>
      <c r="M27" s="333">
        <f t="shared" ref="M27:R27" si="15">M17+M26</f>
        <v>0</v>
      </c>
      <c r="N27" s="333">
        <f t="shared" si="15"/>
        <v>0</v>
      </c>
      <c r="O27" s="333">
        <f t="shared" si="15"/>
        <v>0</v>
      </c>
      <c r="P27" s="333">
        <f t="shared" si="15"/>
        <v>0</v>
      </c>
      <c r="Q27" s="333">
        <f t="shared" si="15"/>
        <v>0</v>
      </c>
      <c r="R27" s="333">
        <f t="shared" si="15"/>
        <v>0</v>
      </c>
      <c r="S27" s="333">
        <f t="shared" si="14"/>
        <v>0</v>
      </c>
      <c r="T27" s="333">
        <f t="shared" si="14"/>
        <v>0</v>
      </c>
      <c r="U27" s="333">
        <f t="shared" si="14"/>
        <v>199943.9</v>
      </c>
      <c r="V27" s="333">
        <f t="shared" si="14"/>
        <v>0</v>
      </c>
      <c r="W27" s="333">
        <f t="shared" ref="W27" si="16">W17+W26</f>
        <v>0</v>
      </c>
      <c r="X27" s="335">
        <f>X17+X26</f>
        <v>0</v>
      </c>
      <c r="Y27" s="333">
        <f t="shared" si="14"/>
        <v>-101645</v>
      </c>
      <c r="Z27" s="333">
        <f t="shared" ref="Z27" si="17">Z17+Z26</f>
        <v>0</v>
      </c>
      <c r="AA27" s="333">
        <f t="shared" ref="AA27:AF27" si="18">AA17+AA26</f>
        <v>5220091</v>
      </c>
      <c r="AB27" s="333">
        <f t="shared" si="18"/>
        <v>0</v>
      </c>
      <c r="AC27" s="333">
        <f t="shared" si="18"/>
        <v>0</v>
      </c>
      <c r="AD27" s="333">
        <f t="shared" si="18"/>
        <v>0</v>
      </c>
      <c r="AE27" s="333">
        <f t="shared" si="18"/>
        <v>12061244.508959964</v>
      </c>
      <c r="AF27" s="333">
        <f t="shared" si="18"/>
        <v>217191906.73895997</v>
      </c>
    </row>
    <row r="28" spans="1:32" ht="16.5" thickTop="1">
      <c r="A28" s="35">
        <v>21</v>
      </c>
      <c r="B28" s="336" t="s">
        <v>56</v>
      </c>
      <c r="C28" s="305" t="s">
        <v>56</v>
      </c>
      <c r="D28" s="310"/>
      <c r="E28" s="311"/>
      <c r="F28" s="322"/>
      <c r="G28" s="313"/>
    </row>
    <row r="29" spans="1:32">
      <c r="A29" s="290">
        <v>22</v>
      </c>
      <c r="B29" s="304" t="s">
        <v>153</v>
      </c>
      <c r="C29" s="305"/>
      <c r="D29" s="310"/>
      <c r="E29" s="311"/>
      <c r="F29" s="322"/>
      <c r="G29" s="313"/>
    </row>
    <row r="30" spans="1:32">
      <c r="A30" s="35">
        <v>23</v>
      </c>
      <c r="B30" s="308" t="s">
        <v>154</v>
      </c>
      <c r="C30" s="309" t="s">
        <v>155</v>
      </c>
      <c r="D30" s="310"/>
      <c r="E30" s="311">
        <v>109308158.06</v>
      </c>
      <c r="F30" s="312">
        <v>0</v>
      </c>
      <c r="G30" s="313">
        <f t="shared" ref="G30:G35" si="19">SUM(E30:F30)</f>
        <v>109308158.06</v>
      </c>
      <c r="I30" s="91">
        <f>+'Weather Normalization'!F37</f>
        <v>10051636.126770001</v>
      </c>
      <c r="K30" s="274">
        <f>'Restate Revenues'!M48</f>
        <v>-6033097.8530900329</v>
      </c>
      <c r="AE30" s="314">
        <f t="shared" ref="AE30:AE35" si="20">SUM(I30:AD30)</f>
        <v>4018538.273679968</v>
      </c>
      <c r="AF30" s="314">
        <f t="shared" ref="AF30:AF35" si="21">+G30+AE30</f>
        <v>113326696.33367997</v>
      </c>
    </row>
    <row r="31" spans="1:32">
      <c r="A31" s="290">
        <v>24</v>
      </c>
      <c r="B31" s="308" t="s">
        <v>156</v>
      </c>
      <c r="C31" s="309" t="s">
        <v>157</v>
      </c>
      <c r="D31" s="327"/>
      <c r="E31" s="326">
        <v>0</v>
      </c>
      <c r="F31" s="312">
        <v>0</v>
      </c>
      <c r="G31" s="328">
        <f t="shared" si="19"/>
        <v>0</v>
      </c>
      <c r="AE31" s="314">
        <f t="shared" si="20"/>
        <v>0</v>
      </c>
      <c r="AF31" s="314">
        <f t="shared" si="21"/>
        <v>0</v>
      </c>
    </row>
    <row r="32" spans="1:32">
      <c r="A32" s="35">
        <v>25</v>
      </c>
      <c r="B32" s="308" t="s">
        <v>158</v>
      </c>
      <c r="C32" s="309" t="s">
        <v>159</v>
      </c>
      <c r="D32" s="310"/>
      <c r="E32" s="311">
        <v>-5591759.0499999998</v>
      </c>
      <c r="F32" s="312">
        <v>0</v>
      </c>
      <c r="G32" s="313">
        <f t="shared" si="19"/>
        <v>-5591759.0499999998</v>
      </c>
      <c r="AE32" s="314">
        <f t="shared" si="20"/>
        <v>0</v>
      </c>
      <c r="AF32" s="314">
        <f t="shared" si="21"/>
        <v>-5591759.0499999998</v>
      </c>
    </row>
    <row r="33" spans="1:32">
      <c r="A33" s="290">
        <v>26</v>
      </c>
      <c r="B33" s="308" t="s">
        <v>160</v>
      </c>
      <c r="C33" s="309" t="s">
        <v>161</v>
      </c>
      <c r="D33" s="310"/>
      <c r="E33" s="311">
        <v>4086793.55</v>
      </c>
      <c r="F33" s="312">
        <v>0</v>
      </c>
      <c r="G33" s="313">
        <f t="shared" si="19"/>
        <v>4086793.55</v>
      </c>
      <c r="AE33" s="314">
        <f t="shared" si="20"/>
        <v>0</v>
      </c>
      <c r="AF33" s="314">
        <f t="shared" si="21"/>
        <v>4086793.55</v>
      </c>
    </row>
    <row r="34" spans="1:32">
      <c r="A34" s="35">
        <v>27</v>
      </c>
      <c r="B34" s="308" t="s">
        <v>162</v>
      </c>
      <c r="C34" s="309" t="s">
        <v>163</v>
      </c>
      <c r="D34" s="310"/>
      <c r="E34" s="311">
        <v>-4183654.74</v>
      </c>
      <c r="F34" s="312">
        <v>0</v>
      </c>
      <c r="G34" s="313">
        <f t="shared" si="19"/>
        <v>-4183654.74</v>
      </c>
      <c r="AE34" s="314">
        <f t="shared" si="20"/>
        <v>0</v>
      </c>
      <c r="AF34" s="314">
        <f t="shared" si="21"/>
        <v>-4183654.74</v>
      </c>
    </row>
    <row r="35" spans="1:32">
      <c r="A35" s="290">
        <v>28</v>
      </c>
      <c r="B35" s="308" t="s">
        <v>164</v>
      </c>
      <c r="C35" s="309" t="s">
        <v>165</v>
      </c>
      <c r="D35" s="310"/>
      <c r="E35" s="311">
        <v>-25673.3</v>
      </c>
      <c r="F35" s="312">
        <v>0</v>
      </c>
      <c r="G35" s="313">
        <f t="shared" si="19"/>
        <v>-25673.3</v>
      </c>
      <c r="AE35" s="314">
        <f t="shared" si="20"/>
        <v>0</v>
      </c>
      <c r="AF35" s="314">
        <f t="shared" si="21"/>
        <v>-25673.3</v>
      </c>
    </row>
    <row r="36" spans="1:32">
      <c r="A36" s="35">
        <v>29</v>
      </c>
      <c r="B36" s="304" t="s">
        <v>166</v>
      </c>
      <c r="C36" s="305"/>
      <c r="D36" s="315"/>
      <c r="E36" s="316">
        <f t="shared" ref="E36:Z36" si="22">SUM(E30:E35)</f>
        <v>103593864.52000001</v>
      </c>
      <c r="F36" s="317">
        <f t="shared" si="22"/>
        <v>0</v>
      </c>
      <c r="G36" s="318">
        <f t="shared" si="22"/>
        <v>103593864.52000001</v>
      </c>
      <c r="I36" s="318">
        <f t="shared" si="22"/>
        <v>10051636.126770001</v>
      </c>
      <c r="J36" s="318">
        <f t="shared" si="22"/>
        <v>0</v>
      </c>
      <c r="K36" s="319">
        <f>SUM(K30:K35)</f>
        <v>-6033097.8530900329</v>
      </c>
      <c r="L36" s="318">
        <f t="shared" si="22"/>
        <v>0</v>
      </c>
      <c r="M36" s="318">
        <f t="shared" ref="M36:R36" si="23">SUM(M30:M35)</f>
        <v>0</v>
      </c>
      <c r="N36" s="318">
        <f t="shared" si="23"/>
        <v>0</v>
      </c>
      <c r="O36" s="318">
        <f t="shared" si="23"/>
        <v>0</v>
      </c>
      <c r="P36" s="318">
        <f t="shared" si="23"/>
        <v>0</v>
      </c>
      <c r="Q36" s="318">
        <f t="shared" si="23"/>
        <v>0</v>
      </c>
      <c r="R36" s="318">
        <f t="shared" si="23"/>
        <v>0</v>
      </c>
      <c r="S36" s="318">
        <f t="shared" si="22"/>
        <v>0</v>
      </c>
      <c r="T36" s="318">
        <f t="shared" si="22"/>
        <v>0</v>
      </c>
      <c r="U36" s="318">
        <f t="shared" si="22"/>
        <v>0</v>
      </c>
      <c r="V36" s="318">
        <f t="shared" si="22"/>
        <v>0</v>
      </c>
      <c r="W36" s="318">
        <f t="shared" ref="W36" si="24">SUM(W30:W35)</f>
        <v>0</v>
      </c>
      <c r="X36" s="320">
        <f t="shared" si="22"/>
        <v>0</v>
      </c>
      <c r="Y36" s="318">
        <f t="shared" si="22"/>
        <v>0</v>
      </c>
      <c r="Z36" s="318">
        <f t="shared" si="22"/>
        <v>0</v>
      </c>
      <c r="AA36" s="318">
        <f t="shared" ref="AA36:AF36" si="25">SUM(AA30:AA35)</f>
        <v>0</v>
      </c>
      <c r="AB36" s="318">
        <f t="shared" si="25"/>
        <v>0</v>
      </c>
      <c r="AC36" s="318">
        <f t="shared" si="25"/>
        <v>0</v>
      </c>
      <c r="AD36" s="318">
        <f t="shared" si="25"/>
        <v>0</v>
      </c>
      <c r="AE36" s="318">
        <f t="shared" si="25"/>
        <v>4018538.273679968</v>
      </c>
      <c r="AF36" s="318">
        <f t="shared" si="25"/>
        <v>107612402.79367998</v>
      </c>
    </row>
    <row r="37" spans="1:32">
      <c r="A37" s="290">
        <v>30</v>
      </c>
      <c r="B37" s="336"/>
      <c r="C37" s="305"/>
      <c r="D37" s="310"/>
      <c r="E37" s="311"/>
      <c r="F37" s="322"/>
      <c r="G37" s="313"/>
    </row>
    <row r="38" spans="1:32">
      <c r="A38" s="35">
        <v>31</v>
      </c>
      <c r="B38" s="304" t="s">
        <v>167</v>
      </c>
      <c r="C38" s="305"/>
      <c r="D38" s="310"/>
      <c r="E38" s="311"/>
      <c r="F38" s="322"/>
      <c r="G38" s="313"/>
    </row>
    <row r="39" spans="1:32">
      <c r="A39" s="290">
        <v>32</v>
      </c>
      <c r="B39" s="308" t="s">
        <v>168</v>
      </c>
      <c r="C39" s="309" t="s">
        <v>169</v>
      </c>
      <c r="D39" s="327"/>
      <c r="E39" s="326">
        <v>0</v>
      </c>
      <c r="F39" s="312">
        <v>0</v>
      </c>
      <c r="G39" s="328">
        <v>0</v>
      </c>
      <c r="AE39" s="314">
        <f t="shared" ref="AE39:AE49" si="26">SUM(I39:AD39)</f>
        <v>0</v>
      </c>
      <c r="AF39" s="314">
        <f t="shared" ref="AF39:AF49" si="27">+G39+AE39</f>
        <v>0</v>
      </c>
    </row>
    <row r="40" spans="1:32">
      <c r="A40" s="35">
        <v>33</v>
      </c>
      <c r="B40" s="308" t="s">
        <v>170</v>
      </c>
      <c r="C40" s="309" t="s">
        <v>171</v>
      </c>
      <c r="D40" s="327"/>
      <c r="E40" s="326">
        <v>0</v>
      </c>
      <c r="F40" s="312">
        <v>0</v>
      </c>
      <c r="G40" s="328">
        <v>0</v>
      </c>
      <c r="AE40" s="314">
        <f t="shared" si="26"/>
        <v>0</v>
      </c>
      <c r="AF40" s="314">
        <f t="shared" si="27"/>
        <v>0</v>
      </c>
    </row>
    <row r="41" spans="1:32">
      <c r="A41" s="290">
        <v>34</v>
      </c>
      <c r="B41" s="308" t="s">
        <v>172</v>
      </c>
      <c r="C41" s="309" t="s">
        <v>173</v>
      </c>
      <c r="D41" s="327"/>
      <c r="E41" s="326">
        <v>0</v>
      </c>
      <c r="F41" s="312">
        <v>0</v>
      </c>
      <c r="G41" s="328">
        <v>0</v>
      </c>
      <c r="AE41" s="314">
        <f t="shared" si="26"/>
        <v>0</v>
      </c>
      <c r="AF41" s="314">
        <f t="shared" si="27"/>
        <v>0</v>
      </c>
    </row>
    <row r="42" spans="1:32">
      <c r="A42" s="35">
        <v>35</v>
      </c>
      <c r="B42" s="308" t="s">
        <v>174</v>
      </c>
      <c r="C42" s="309" t="s">
        <v>175</v>
      </c>
      <c r="D42" s="327"/>
      <c r="E42" s="326">
        <v>0</v>
      </c>
      <c r="F42" s="312">
        <v>0</v>
      </c>
      <c r="G42" s="328">
        <v>0</v>
      </c>
      <c r="AE42" s="314">
        <f t="shared" si="26"/>
        <v>0</v>
      </c>
      <c r="AF42" s="314">
        <f t="shared" si="27"/>
        <v>0</v>
      </c>
    </row>
    <row r="43" spans="1:32">
      <c r="A43" s="290">
        <v>36</v>
      </c>
      <c r="B43" s="308" t="s">
        <v>176</v>
      </c>
      <c r="C43" s="309" t="s">
        <v>177</v>
      </c>
      <c r="D43" s="327"/>
      <c r="E43" s="326">
        <v>0</v>
      </c>
      <c r="F43" s="312">
        <v>0</v>
      </c>
      <c r="G43" s="328">
        <v>0</v>
      </c>
      <c r="AE43" s="314">
        <f t="shared" si="26"/>
        <v>0</v>
      </c>
      <c r="AF43" s="314">
        <f t="shared" si="27"/>
        <v>0</v>
      </c>
    </row>
    <row r="44" spans="1:32">
      <c r="A44" s="35">
        <v>37</v>
      </c>
      <c r="B44" s="308" t="s">
        <v>178</v>
      </c>
      <c r="C44" s="309" t="s">
        <v>179</v>
      </c>
      <c r="D44" s="327"/>
      <c r="E44" s="326">
        <v>0</v>
      </c>
      <c r="F44" s="312">
        <v>0</v>
      </c>
      <c r="G44" s="328">
        <v>0</v>
      </c>
      <c r="AE44" s="314">
        <f t="shared" si="26"/>
        <v>0</v>
      </c>
      <c r="AF44" s="314">
        <f t="shared" si="27"/>
        <v>0</v>
      </c>
    </row>
    <row r="45" spans="1:32">
      <c r="A45" s="290">
        <v>38</v>
      </c>
      <c r="B45" s="308" t="s">
        <v>180</v>
      </c>
      <c r="C45" s="309" t="s">
        <v>181</v>
      </c>
      <c r="D45" s="327"/>
      <c r="E45" s="337">
        <v>0</v>
      </c>
      <c r="F45" s="312">
        <v>0</v>
      </c>
      <c r="G45" s="328">
        <v>0</v>
      </c>
      <c r="AE45" s="314">
        <f t="shared" si="26"/>
        <v>0</v>
      </c>
      <c r="AF45" s="314">
        <f t="shared" si="27"/>
        <v>0</v>
      </c>
    </row>
    <row r="46" spans="1:32">
      <c r="A46" s="35">
        <v>39</v>
      </c>
      <c r="B46" s="308" t="s">
        <v>182</v>
      </c>
      <c r="C46" s="309" t="s">
        <v>183</v>
      </c>
      <c r="D46" s="327"/>
      <c r="E46" s="326">
        <v>0</v>
      </c>
      <c r="F46" s="312">
        <v>0</v>
      </c>
      <c r="G46" s="328">
        <v>0</v>
      </c>
      <c r="AE46" s="314">
        <f t="shared" si="26"/>
        <v>0</v>
      </c>
      <c r="AF46" s="314">
        <f t="shared" si="27"/>
        <v>0</v>
      </c>
    </row>
    <row r="47" spans="1:32">
      <c r="A47" s="290">
        <v>40</v>
      </c>
      <c r="B47" s="308" t="s">
        <v>184</v>
      </c>
      <c r="C47" s="309" t="s">
        <v>185</v>
      </c>
      <c r="D47" s="327"/>
      <c r="E47" s="326">
        <v>0</v>
      </c>
      <c r="F47" s="312">
        <v>0</v>
      </c>
      <c r="G47" s="328">
        <v>0</v>
      </c>
      <c r="AE47" s="314">
        <f t="shared" si="26"/>
        <v>0</v>
      </c>
      <c r="AF47" s="314">
        <f t="shared" si="27"/>
        <v>0</v>
      </c>
    </row>
    <row r="48" spans="1:32">
      <c r="A48" s="35">
        <v>41</v>
      </c>
      <c r="B48" s="308" t="s">
        <v>186</v>
      </c>
      <c r="C48" s="309" t="s">
        <v>187</v>
      </c>
      <c r="D48" s="327"/>
      <c r="E48" s="326">
        <v>0</v>
      </c>
      <c r="F48" s="312">
        <v>0</v>
      </c>
      <c r="G48" s="328">
        <v>0</v>
      </c>
      <c r="AE48" s="314">
        <f t="shared" si="26"/>
        <v>0</v>
      </c>
      <c r="AF48" s="314">
        <f t="shared" si="27"/>
        <v>0</v>
      </c>
    </row>
    <row r="49" spans="1:32">
      <c r="A49" s="290">
        <v>42</v>
      </c>
      <c r="B49" s="308" t="s">
        <v>188</v>
      </c>
      <c r="C49" s="309" t="s">
        <v>189</v>
      </c>
      <c r="D49" s="327"/>
      <c r="E49" s="326">
        <v>0</v>
      </c>
      <c r="F49" s="312">
        <v>0</v>
      </c>
      <c r="G49" s="328">
        <v>0</v>
      </c>
      <c r="AE49" s="314">
        <f t="shared" si="26"/>
        <v>0</v>
      </c>
      <c r="AF49" s="314">
        <f t="shared" si="27"/>
        <v>0</v>
      </c>
    </row>
    <row r="50" spans="1:32">
      <c r="A50" s="35">
        <v>43</v>
      </c>
      <c r="B50" s="304" t="s">
        <v>190</v>
      </c>
      <c r="C50" s="338"/>
      <c r="D50" s="339"/>
      <c r="E50" s="340">
        <f t="shared" ref="E50:G50" si="28">SUM(E39:E49)</f>
        <v>0</v>
      </c>
      <c r="F50" s="317">
        <f t="shared" si="28"/>
        <v>0</v>
      </c>
      <c r="G50" s="319">
        <f t="shared" si="28"/>
        <v>0</v>
      </c>
      <c r="I50" s="318">
        <f t="shared" ref="I50:Y50" si="29">SUM(I39:I49)</f>
        <v>0</v>
      </c>
      <c r="J50" s="318">
        <f t="shared" si="29"/>
        <v>0</v>
      </c>
      <c r="K50" s="319">
        <f>SUM(K39:K49)</f>
        <v>0</v>
      </c>
      <c r="L50" s="318">
        <f t="shared" si="29"/>
        <v>0</v>
      </c>
      <c r="M50" s="318">
        <f t="shared" ref="M50:R50" si="30">SUM(M39:M49)</f>
        <v>0</v>
      </c>
      <c r="N50" s="318">
        <f t="shared" si="30"/>
        <v>0</v>
      </c>
      <c r="O50" s="318">
        <f t="shared" si="30"/>
        <v>0</v>
      </c>
      <c r="P50" s="318">
        <f t="shared" si="30"/>
        <v>0</v>
      </c>
      <c r="Q50" s="318">
        <f t="shared" si="30"/>
        <v>0</v>
      </c>
      <c r="R50" s="318">
        <f t="shared" si="30"/>
        <v>0</v>
      </c>
      <c r="S50" s="318">
        <f t="shared" si="29"/>
        <v>0</v>
      </c>
      <c r="T50" s="318">
        <f t="shared" si="29"/>
        <v>0</v>
      </c>
      <c r="U50" s="318">
        <f t="shared" si="29"/>
        <v>0</v>
      </c>
      <c r="V50" s="318">
        <f t="shared" si="29"/>
        <v>0</v>
      </c>
      <c r="W50" s="318">
        <f t="shared" ref="W50" si="31">SUM(W39:W49)</f>
        <v>0</v>
      </c>
      <c r="X50" s="320">
        <f t="shared" si="29"/>
        <v>0</v>
      </c>
      <c r="Y50" s="318">
        <f t="shared" si="29"/>
        <v>0</v>
      </c>
      <c r="Z50" s="318">
        <f t="shared" ref="Z50" si="32">SUM(Z39:Z49)</f>
        <v>0</v>
      </c>
      <c r="AA50" s="318">
        <f t="shared" ref="AA50:AF50" si="33">SUM(AA39:AA49)</f>
        <v>0</v>
      </c>
      <c r="AB50" s="318">
        <f t="shared" si="33"/>
        <v>0</v>
      </c>
      <c r="AC50" s="319">
        <f t="shared" si="33"/>
        <v>0</v>
      </c>
      <c r="AD50" s="319">
        <f t="shared" si="33"/>
        <v>0</v>
      </c>
      <c r="AE50" s="319">
        <f t="shared" si="33"/>
        <v>0</v>
      </c>
      <c r="AF50" s="319">
        <f t="shared" si="33"/>
        <v>0</v>
      </c>
    </row>
    <row r="51" spans="1:32">
      <c r="A51" s="290">
        <v>44</v>
      </c>
      <c r="B51" s="336"/>
      <c r="C51" s="305"/>
      <c r="D51" s="310"/>
      <c r="E51" s="311"/>
      <c r="F51" s="322"/>
      <c r="G51" s="313"/>
      <c r="I51" s="313"/>
      <c r="J51" s="313"/>
      <c r="K51" s="328"/>
      <c r="L51" s="313"/>
      <c r="M51" s="313"/>
      <c r="N51" s="313"/>
      <c r="O51" s="313"/>
      <c r="P51" s="313"/>
      <c r="Q51" s="313"/>
      <c r="R51" s="313"/>
      <c r="S51" s="313"/>
      <c r="T51" s="313"/>
      <c r="U51" s="313"/>
      <c r="V51" s="313"/>
      <c r="W51" s="313"/>
      <c r="X51" s="341"/>
      <c r="Y51" s="313"/>
      <c r="Z51" s="313"/>
      <c r="AA51" s="313"/>
      <c r="AB51" s="313"/>
      <c r="AC51" s="313"/>
      <c r="AD51" s="313"/>
      <c r="AE51" s="313"/>
      <c r="AF51" s="313"/>
    </row>
    <row r="52" spans="1:32">
      <c r="A52" s="35">
        <v>45</v>
      </c>
      <c r="B52" s="308" t="s">
        <v>191</v>
      </c>
      <c r="C52" s="309" t="s">
        <v>33</v>
      </c>
      <c r="D52" s="342"/>
      <c r="E52" s="343">
        <v>16946340.530000001</v>
      </c>
      <c r="F52" s="344">
        <v>0</v>
      </c>
      <c r="G52" s="345">
        <f>SUM(E52:F52)</f>
        <v>16946340.530000001</v>
      </c>
      <c r="I52" s="345">
        <f>+'Exh MPP-11 - Summary of Adj'!G23</f>
        <v>626926.7279063192</v>
      </c>
      <c r="J52" s="345"/>
      <c r="K52" s="346">
        <f>+'Exh MPP-11 - Summary of Adj'!I23</f>
        <v>-353706.25915126142</v>
      </c>
      <c r="L52" s="345">
        <f>+'Exh MPP-11 - Summary of Adj'!J23</f>
        <v>0</v>
      </c>
      <c r="M52" s="345">
        <f>+'Exh MPP-11 - Summary of Adj'!K23</f>
        <v>0</v>
      </c>
      <c r="N52" s="345">
        <f>+'Exh MPP-11 - Summary of Adj'!L23</f>
        <v>0</v>
      </c>
      <c r="O52" s="345">
        <f>+'Exh MPP-11 - Summary of Adj'!M23</f>
        <v>0</v>
      </c>
      <c r="P52" s="345">
        <f>+'Exh MPP-11 - Summary of Adj'!N23</f>
        <v>0</v>
      </c>
      <c r="Q52" s="345">
        <f>+'Exh MPP-11 - Summary of Adj'!O23</f>
        <v>0</v>
      </c>
      <c r="R52" s="345">
        <f>+'Exh MPP-11 - Summary of Adj'!P23</f>
        <v>0</v>
      </c>
      <c r="S52" s="345">
        <f>+'Exh MPP-11 - Summary of Adj'!Q23</f>
        <v>0</v>
      </c>
      <c r="T52" s="345">
        <f>+'Exh MPP-11 - Summary of Adj'!R23</f>
        <v>0</v>
      </c>
      <c r="U52" s="345">
        <f>+'Exh MPP-11 - Summary of Adj'!T23</f>
        <v>8101.7268279999998</v>
      </c>
      <c r="V52" s="345">
        <v>0</v>
      </c>
      <c r="W52" s="345">
        <f>+'Exh MPP-11 - Summary of Adj'!U23</f>
        <v>0</v>
      </c>
      <c r="X52" s="347">
        <f>+'Exh MPP-11 - Summary of Adj'!U23</f>
        <v>0</v>
      </c>
      <c r="Y52" s="345">
        <f>+'Exh MPP-11 - Summary of Adj'!X23</f>
        <v>-4118.6553999999996</v>
      </c>
      <c r="Z52" s="345">
        <f>+'Exh MPP-11 - Summary of Adj'!Y23</f>
        <v>0</v>
      </c>
      <c r="AA52" s="345">
        <f>+'Exh MPP-11 - Summary of Adj'!Z23</f>
        <v>211518.08731999999</v>
      </c>
      <c r="AB52" s="345"/>
      <c r="AC52" s="345"/>
      <c r="AD52" s="345"/>
      <c r="AE52" s="314">
        <f>SUM(I52:AD52)</f>
        <v>488721.62750305777</v>
      </c>
      <c r="AF52" s="314">
        <f>+G52+AE52</f>
        <v>17435062.157503057</v>
      </c>
    </row>
    <row r="53" spans="1:32" ht="16.5" thickBot="1">
      <c r="A53" s="290">
        <v>46</v>
      </c>
      <c r="B53" s="304" t="s">
        <v>192</v>
      </c>
      <c r="C53" s="305"/>
      <c r="D53" s="330"/>
      <c r="E53" s="331">
        <f t="shared" ref="E53:G53" si="34">E27-E36-E52</f>
        <v>84498986.090000004</v>
      </c>
      <c r="F53" s="348">
        <f t="shared" si="34"/>
        <v>91471.09</v>
      </c>
      <c r="G53" s="333">
        <f t="shared" si="34"/>
        <v>84590457.180000007</v>
      </c>
      <c r="I53" s="333">
        <f t="shared" ref="I53:Y53" si="35">I27-I36-I52</f>
        <v>4793468.9297836805</v>
      </c>
      <c r="J53" s="333">
        <f t="shared" si="35"/>
        <v>0</v>
      </c>
      <c r="K53" s="334">
        <f>K27-K36-K52</f>
        <v>-2342373.0632587411</v>
      </c>
      <c r="L53" s="333">
        <f>L27-L36-L52</f>
        <v>0</v>
      </c>
      <c r="M53" s="333">
        <f t="shared" ref="M53:R53" si="36">M27-M36-M52</f>
        <v>0</v>
      </c>
      <c r="N53" s="333">
        <f t="shared" si="36"/>
        <v>0</v>
      </c>
      <c r="O53" s="333">
        <f t="shared" si="36"/>
        <v>0</v>
      </c>
      <c r="P53" s="333">
        <f t="shared" si="36"/>
        <v>0</v>
      </c>
      <c r="Q53" s="333">
        <f t="shared" si="36"/>
        <v>0</v>
      </c>
      <c r="R53" s="333">
        <f t="shared" si="36"/>
        <v>0</v>
      </c>
      <c r="S53" s="333">
        <f t="shared" si="35"/>
        <v>0</v>
      </c>
      <c r="T53" s="333">
        <f t="shared" si="35"/>
        <v>0</v>
      </c>
      <c r="U53" s="333">
        <f t="shared" si="35"/>
        <v>191842.17317199998</v>
      </c>
      <c r="V53" s="333">
        <f t="shared" si="35"/>
        <v>0</v>
      </c>
      <c r="W53" s="333">
        <f t="shared" ref="W53" si="37">W27-W36-W52</f>
        <v>0</v>
      </c>
      <c r="X53" s="335">
        <f t="shared" si="35"/>
        <v>0</v>
      </c>
      <c r="Y53" s="333">
        <f t="shared" si="35"/>
        <v>-97526.344599999997</v>
      </c>
      <c r="Z53" s="333">
        <f t="shared" ref="Z53" si="38">Z27-Z36-Z52</f>
        <v>0</v>
      </c>
      <c r="AA53" s="333">
        <f t="shared" ref="AA53:AF53" si="39">AA27-AA36-AA52</f>
        <v>5008572.9126800001</v>
      </c>
      <c r="AB53" s="333">
        <f t="shared" si="39"/>
        <v>0</v>
      </c>
      <c r="AC53" s="333">
        <f t="shared" si="39"/>
        <v>0</v>
      </c>
      <c r="AD53" s="333">
        <f t="shared" si="39"/>
        <v>0</v>
      </c>
      <c r="AE53" s="333">
        <f t="shared" si="39"/>
        <v>7553984.607776938</v>
      </c>
      <c r="AF53" s="333">
        <f t="shared" si="39"/>
        <v>92144441.787776932</v>
      </c>
    </row>
    <row r="54" spans="1:32" ht="16.5" thickTop="1">
      <c r="A54" s="35">
        <v>47</v>
      </c>
      <c r="B54" s="336"/>
      <c r="C54" s="305"/>
      <c r="D54" s="310"/>
      <c r="E54" s="311"/>
      <c r="F54" s="322"/>
      <c r="G54" s="313"/>
    </row>
    <row r="55" spans="1:32">
      <c r="A55" s="290">
        <v>48</v>
      </c>
      <c r="B55" s="304" t="s">
        <v>193</v>
      </c>
      <c r="C55" s="305"/>
      <c r="D55" s="310"/>
      <c r="E55" s="311"/>
      <c r="F55" s="322"/>
      <c r="G55" s="313"/>
    </row>
    <row r="56" spans="1:32">
      <c r="A56" s="35">
        <v>49</v>
      </c>
      <c r="B56" s="349">
        <v>813</v>
      </c>
      <c r="C56" s="309" t="s">
        <v>194</v>
      </c>
      <c r="D56" s="310"/>
      <c r="E56" s="326">
        <v>698.22</v>
      </c>
      <c r="F56" s="312">
        <v>518290.52</v>
      </c>
      <c r="G56" s="313">
        <f>SUM(E56:F56)</f>
        <v>518988.74</v>
      </c>
      <c r="O56" s="350">
        <f>+'Pro Forma Wage Adjustment'!P20</f>
        <v>0</v>
      </c>
      <c r="P56" s="91">
        <v>-53000</v>
      </c>
      <c r="T56" s="91">
        <f>+'Pro Forma Wage Adjustment'!Q20</f>
        <v>16799.895092504274</v>
      </c>
      <c r="AE56" s="314">
        <f>SUM(I56:AD56)</f>
        <v>-36200.104907495726</v>
      </c>
      <c r="AF56" s="314">
        <f>+G56+AE56</f>
        <v>482788.63509250426</v>
      </c>
    </row>
    <row r="57" spans="1:32">
      <c r="A57" s="290">
        <v>50</v>
      </c>
      <c r="B57" s="349"/>
      <c r="C57" s="309"/>
      <c r="D57" s="310"/>
      <c r="E57" s="326"/>
      <c r="F57" s="312"/>
      <c r="G57" s="313"/>
    </row>
    <row r="58" spans="1:32">
      <c r="A58" s="35">
        <v>51</v>
      </c>
      <c r="B58" s="304" t="s">
        <v>195</v>
      </c>
      <c r="C58" s="305"/>
      <c r="D58" s="310"/>
      <c r="E58" s="311"/>
      <c r="F58" s="322"/>
      <c r="G58" s="313"/>
    </row>
    <row r="59" spans="1:32">
      <c r="A59" s="290">
        <v>52</v>
      </c>
      <c r="B59" s="304" t="s">
        <v>196</v>
      </c>
      <c r="C59" s="305"/>
      <c r="D59" s="310"/>
      <c r="E59" s="311"/>
      <c r="F59" s="322"/>
      <c r="G59" s="313"/>
    </row>
    <row r="60" spans="1:32">
      <c r="A60" s="35">
        <v>53</v>
      </c>
      <c r="B60" s="308" t="s">
        <v>197</v>
      </c>
      <c r="C60" s="309" t="s">
        <v>198</v>
      </c>
      <c r="D60" s="310"/>
      <c r="E60" s="326">
        <v>1265905.44</v>
      </c>
      <c r="F60" s="312">
        <v>182305.89</v>
      </c>
      <c r="G60" s="313">
        <f t="shared" ref="G60:G70" si="40">SUM(E60:F60)</f>
        <v>1448211.33</v>
      </c>
      <c r="O60" s="350">
        <f>+'Pro Forma Wage Adjustment'!P21</f>
        <v>0</v>
      </c>
      <c r="T60" s="91">
        <f>+'Pro Forma Wage Adjustment'!Q21</f>
        <v>105238.80840988997</v>
      </c>
      <c r="W60" s="91">
        <f>+'Pro Forma Compliance Department'!L15</f>
        <v>130503.46816</v>
      </c>
      <c r="X60" s="273">
        <f>'MAOP UG-160787 Deferral'!D13</f>
        <v>603869.44900000002</v>
      </c>
      <c r="AE60" s="314">
        <f t="shared" ref="AE60:AE70" si="41">SUM(I60:AD60)</f>
        <v>839611.72556989</v>
      </c>
      <c r="AF60" s="314">
        <f t="shared" ref="AF60:AF70" si="42">+G60+AE60</f>
        <v>2287823.05556989</v>
      </c>
    </row>
    <row r="61" spans="1:32">
      <c r="A61" s="290">
        <v>54</v>
      </c>
      <c r="B61" s="308" t="s">
        <v>199</v>
      </c>
      <c r="C61" s="309" t="s">
        <v>200</v>
      </c>
      <c r="D61" s="310"/>
      <c r="E61" s="326">
        <v>90246.86</v>
      </c>
      <c r="F61" s="312">
        <v>395274.34</v>
      </c>
      <c r="G61" s="313">
        <f t="shared" si="40"/>
        <v>485521.2</v>
      </c>
      <c r="O61" s="350">
        <f>+'Pro Forma Wage Adjustment'!P22+'Pro Forma Wage Adjustment'!P39</f>
        <v>498.84615315200006</v>
      </c>
      <c r="T61" s="91">
        <f>+'Pro Forma Wage Adjustment'!Q22+'Pro Forma Wage Adjustment'!Q39</f>
        <v>34015.148884555681</v>
      </c>
      <c r="AE61" s="314">
        <f t="shared" si="41"/>
        <v>34513.995037707682</v>
      </c>
      <c r="AF61" s="314">
        <f t="shared" si="42"/>
        <v>520035.19503770769</v>
      </c>
    </row>
    <row r="62" spans="1:32">
      <c r="A62" s="35">
        <v>55</v>
      </c>
      <c r="B62" s="323" t="s">
        <v>201</v>
      </c>
      <c r="C62" s="309" t="s">
        <v>202</v>
      </c>
      <c r="D62" s="327"/>
      <c r="E62" s="326">
        <v>111564.47</v>
      </c>
      <c r="F62" s="312">
        <v>0</v>
      </c>
      <c r="G62" s="313">
        <f t="shared" si="40"/>
        <v>111564.47</v>
      </c>
      <c r="O62" s="350">
        <f>+'Pro Forma Wage Adjustment'!P40</f>
        <v>649.85796000000016</v>
      </c>
      <c r="T62" s="91">
        <f>+'Pro Forma Wage Adjustment'!Q40</f>
        <v>4953.826127629588</v>
      </c>
      <c r="AE62" s="314">
        <f t="shared" si="41"/>
        <v>5603.6840876295882</v>
      </c>
      <c r="AF62" s="314">
        <f t="shared" si="42"/>
        <v>117168.15408762959</v>
      </c>
    </row>
    <row r="63" spans="1:32">
      <c r="A63" s="290">
        <v>56</v>
      </c>
      <c r="B63" s="323" t="s">
        <v>203</v>
      </c>
      <c r="C63" s="309" t="s">
        <v>204</v>
      </c>
      <c r="D63" s="310"/>
      <c r="E63" s="326">
        <v>2941525.26</v>
      </c>
      <c r="F63" s="312">
        <v>570246.49</v>
      </c>
      <c r="G63" s="313">
        <f t="shared" si="40"/>
        <v>3511771.75</v>
      </c>
      <c r="O63" s="350">
        <f>+'Pro Forma Wage Adjustment'!P23+'Pro Forma Wage Adjustment'!P41</f>
        <v>15410.612047180972</v>
      </c>
      <c r="T63" s="91">
        <f>+'Pro Forma Wage Adjustment'!Q23+'Pro Forma Wage Adjustment'!Q41</f>
        <v>161759.55846142085</v>
      </c>
      <c r="AC63" s="350"/>
      <c r="AE63" s="314">
        <f t="shared" si="41"/>
        <v>177170.17050860182</v>
      </c>
      <c r="AF63" s="314">
        <f t="shared" si="42"/>
        <v>3688941.9205086017</v>
      </c>
    </row>
    <row r="64" spans="1:32">
      <c r="A64" s="35">
        <v>57</v>
      </c>
      <c r="B64" s="308" t="s">
        <v>205</v>
      </c>
      <c r="C64" s="309" t="s">
        <v>206</v>
      </c>
      <c r="D64" s="310"/>
      <c r="E64" s="326">
        <v>492860.69</v>
      </c>
      <c r="F64" s="312">
        <v>97091.34</v>
      </c>
      <c r="G64" s="313">
        <f t="shared" si="40"/>
        <v>589952.03</v>
      </c>
      <c r="O64" s="350">
        <f>+'Pro Forma Wage Adjustment'!P42</f>
        <v>2291.2000970810036</v>
      </c>
      <c r="T64" s="91">
        <f>+'Pro Forma Wage Adjustment'!Q42</f>
        <v>19317.146223039468</v>
      </c>
      <c r="AE64" s="314">
        <f t="shared" si="41"/>
        <v>21608.346320120472</v>
      </c>
      <c r="AF64" s="314">
        <f t="shared" si="42"/>
        <v>611560.37632012053</v>
      </c>
    </row>
    <row r="65" spans="1:32">
      <c r="A65" s="290">
        <v>58</v>
      </c>
      <c r="B65" s="308" t="s">
        <v>207</v>
      </c>
      <c r="C65" s="309" t="s">
        <v>208</v>
      </c>
      <c r="D65" s="310"/>
      <c r="E65" s="326">
        <v>111243.52</v>
      </c>
      <c r="F65" s="312">
        <v>40900.660000000003</v>
      </c>
      <c r="G65" s="313">
        <f t="shared" si="40"/>
        <v>152144.18</v>
      </c>
      <c r="O65" s="350">
        <f>+'Pro Forma Wage Adjustment'!P43</f>
        <v>676.14084394600002</v>
      </c>
      <c r="T65" s="91">
        <f>+'Pro Forma Wage Adjustment'!Q43</f>
        <v>4371.0521259772795</v>
      </c>
      <c r="AE65" s="314">
        <f t="shared" si="41"/>
        <v>5047.1929699232796</v>
      </c>
      <c r="AF65" s="314">
        <f t="shared" si="42"/>
        <v>157191.37296992328</v>
      </c>
    </row>
    <row r="66" spans="1:32">
      <c r="A66" s="35">
        <v>59</v>
      </c>
      <c r="B66" s="308" t="s">
        <v>209</v>
      </c>
      <c r="C66" s="309" t="s">
        <v>210</v>
      </c>
      <c r="D66" s="310"/>
      <c r="E66" s="326">
        <v>1321461.1100000001</v>
      </c>
      <c r="F66" s="312">
        <v>0</v>
      </c>
      <c r="G66" s="313">
        <f t="shared" si="40"/>
        <v>1321461.1100000001</v>
      </c>
      <c r="O66" s="350">
        <f>+'Pro Forma Wage Adjustment'!P24+'Pro Forma Wage Adjustment'!P44</f>
        <v>8588.471260000033</v>
      </c>
      <c r="T66" s="91">
        <f>+'Pro Forma Wage Adjustment'!Q24+'Pro Forma Wage Adjustment'!Q44</f>
        <v>73625.733110973815</v>
      </c>
      <c r="AE66" s="314">
        <f t="shared" si="41"/>
        <v>82214.20437097385</v>
      </c>
      <c r="AF66" s="314">
        <f t="shared" si="42"/>
        <v>1403675.314370974</v>
      </c>
    </row>
    <row r="67" spans="1:32">
      <c r="A67" s="290">
        <v>60</v>
      </c>
      <c r="B67" s="308" t="s">
        <v>211</v>
      </c>
      <c r="C67" s="309" t="s">
        <v>212</v>
      </c>
      <c r="D67" s="310"/>
      <c r="E67" s="326">
        <v>1049257.67</v>
      </c>
      <c r="F67" s="312">
        <v>0</v>
      </c>
      <c r="G67" s="313">
        <f t="shared" si="40"/>
        <v>1049257.67</v>
      </c>
      <c r="O67" s="350">
        <f>+'Pro Forma Wage Adjustment'!P45</f>
        <v>7978.8683499999734</v>
      </c>
      <c r="T67" s="91">
        <f>+'Pro Forma Wage Adjustment'!Q45</f>
        <v>60012.659669673536</v>
      </c>
      <c r="AE67" s="314">
        <f t="shared" si="41"/>
        <v>67991.528019673511</v>
      </c>
      <c r="AF67" s="314">
        <f t="shared" si="42"/>
        <v>1117249.1980196733</v>
      </c>
    </row>
    <row r="68" spans="1:32">
      <c r="A68" s="35">
        <v>61</v>
      </c>
      <c r="B68" s="308" t="s">
        <v>213</v>
      </c>
      <c r="C68" s="309" t="s">
        <v>214</v>
      </c>
      <c r="D68" s="310"/>
      <c r="E68" s="326">
        <v>2478406.37</v>
      </c>
      <c r="F68" s="312">
        <v>809791.83</v>
      </c>
      <c r="G68" s="313">
        <f t="shared" si="40"/>
        <v>3288198.2</v>
      </c>
      <c r="O68" s="350">
        <f>+'Pro Forma Wage Adjustment'!P25+'Pro Forma Wage Adjustment'!P46</f>
        <v>10109.027343098976</v>
      </c>
      <c r="T68" s="91">
        <f>+'Pro Forma Wage Adjustment'!Q25+'Pro Forma Wage Adjustment'!Q46</f>
        <v>99080.478313265427</v>
      </c>
      <c r="AE68" s="314">
        <f t="shared" si="41"/>
        <v>109189.5056563644</v>
      </c>
      <c r="AF68" s="314">
        <f t="shared" si="42"/>
        <v>3397387.7056563646</v>
      </c>
    </row>
    <row r="69" spans="1:32">
      <c r="A69" s="290">
        <v>62</v>
      </c>
      <c r="B69" s="308" t="s">
        <v>215</v>
      </c>
      <c r="C69" s="309" t="s">
        <v>216</v>
      </c>
      <c r="D69" s="310"/>
      <c r="E69" s="326">
        <v>148018.69</v>
      </c>
      <c r="F69" s="312">
        <v>1881.99</v>
      </c>
      <c r="G69" s="313">
        <f t="shared" si="40"/>
        <v>149900.68</v>
      </c>
      <c r="AE69" s="314">
        <f t="shared" si="41"/>
        <v>0</v>
      </c>
      <c r="AF69" s="314">
        <f t="shared" si="42"/>
        <v>149900.68</v>
      </c>
    </row>
    <row r="70" spans="1:32">
      <c r="A70" s="35">
        <v>63</v>
      </c>
      <c r="B70" s="308" t="s">
        <v>217</v>
      </c>
      <c r="C70" s="309" t="s">
        <v>218</v>
      </c>
      <c r="D70" s="327"/>
      <c r="E70" s="326">
        <v>0</v>
      </c>
      <c r="F70" s="312">
        <v>0</v>
      </c>
      <c r="G70" s="313">
        <f t="shared" si="40"/>
        <v>0</v>
      </c>
      <c r="AE70" s="314">
        <f t="shared" si="41"/>
        <v>0</v>
      </c>
      <c r="AF70" s="314">
        <f t="shared" si="42"/>
        <v>0</v>
      </c>
    </row>
    <row r="71" spans="1:32">
      <c r="A71" s="290">
        <v>64</v>
      </c>
      <c r="B71" s="336"/>
      <c r="C71" s="351" t="s">
        <v>219</v>
      </c>
      <c r="D71" s="315"/>
      <c r="E71" s="316">
        <f t="shared" ref="E71:Y71" si="43">SUM(E60:E70)</f>
        <v>10010490.08</v>
      </c>
      <c r="F71" s="329">
        <f t="shared" si="43"/>
        <v>2097492.54</v>
      </c>
      <c r="G71" s="318">
        <f t="shared" si="43"/>
        <v>12107982.620000001</v>
      </c>
      <c r="I71" s="318">
        <f t="shared" si="43"/>
        <v>0</v>
      </c>
      <c r="J71" s="318">
        <f t="shared" si="43"/>
        <v>0</v>
      </c>
      <c r="K71" s="319">
        <f>SUM(K60:K70)</f>
        <v>0</v>
      </c>
      <c r="L71" s="318">
        <f t="shared" si="43"/>
        <v>0</v>
      </c>
      <c r="M71" s="318">
        <f t="shared" ref="M71:R71" si="44">SUM(M60:M70)</f>
        <v>0</v>
      </c>
      <c r="N71" s="318">
        <f t="shared" si="44"/>
        <v>0</v>
      </c>
      <c r="O71" s="318">
        <f t="shared" si="44"/>
        <v>46203.024054458961</v>
      </c>
      <c r="P71" s="318">
        <f t="shared" si="44"/>
        <v>0</v>
      </c>
      <c r="Q71" s="318">
        <f t="shared" si="44"/>
        <v>0</v>
      </c>
      <c r="R71" s="318">
        <f t="shared" si="44"/>
        <v>0</v>
      </c>
      <c r="S71" s="318">
        <f t="shared" si="43"/>
        <v>0</v>
      </c>
      <c r="T71" s="318">
        <f t="shared" si="43"/>
        <v>562374.41132642562</v>
      </c>
      <c r="U71" s="318">
        <f t="shared" si="43"/>
        <v>0</v>
      </c>
      <c r="V71" s="318">
        <f t="shared" si="43"/>
        <v>0</v>
      </c>
      <c r="W71" s="318">
        <f t="shared" ref="W71" si="45">SUM(W60:W70)</f>
        <v>130503.46816</v>
      </c>
      <c r="X71" s="320">
        <f t="shared" si="43"/>
        <v>603869.44900000002</v>
      </c>
      <c r="Y71" s="318">
        <f t="shared" si="43"/>
        <v>0</v>
      </c>
      <c r="Z71" s="318">
        <f t="shared" ref="Z71" si="46">SUM(Z60:Z70)</f>
        <v>0</v>
      </c>
      <c r="AA71" s="318">
        <f t="shared" ref="AA71:AF71" si="47">SUM(AA60:AA70)</f>
        <v>0</v>
      </c>
      <c r="AB71" s="318">
        <f t="shared" si="47"/>
        <v>0</v>
      </c>
      <c r="AC71" s="318">
        <f t="shared" si="47"/>
        <v>0</v>
      </c>
      <c r="AD71" s="318">
        <f t="shared" si="47"/>
        <v>0</v>
      </c>
      <c r="AE71" s="318">
        <f t="shared" si="47"/>
        <v>1342950.3525408844</v>
      </c>
      <c r="AF71" s="318">
        <f t="shared" si="47"/>
        <v>13450932.972540885</v>
      </c>
    </row>
    <row r="72" spans="1:32">
      <c r="A72" s="35">
        <v>65</v>
      </c>
      <c r="B72" s="336"/>
      <c r="C72" s="305"/>
      <c r="D72" s="310"/>
      <c r="E72" s="311"/>
      <c r="F72" s="322"/>
      <c r="G72" s="313"/>
    </row>
    <row r="73" spans="1:32">
      <c r="A73" s="290">
        <v>66</v>
      </c>
      <c r="B73" s="304" t="s">
        <v>220</v>
      </c>
      <c r="C73" s="305"/>
      <c r="D73" s="310"/>
      <c r="E73" s="311"/>
      <c r="F73" s="322"/>
      <c r="G73" s="313"/>
    </row>
    <row r="74" spans="1:32">
      <c r="A74" s="35">
        <v>67</v>
      </c>
      <c r="B74" s="308" t="s">
        <v>221</v>
      </c>
      <c r="C74" s="309" t="s">
        <v>222</v>
      </c>
      <c r="D74" s="327"/>
      <c r="E74" s="326">
        <v>113684.28</v>
      </c>
      <c r="F74" s="312">
        <v>20136.150000000001</v>
      </c>
      <c r="G74" s="328">
        <f t="shared" ref="G74:G82" si="48">SUM(E74:F74)</f>
        <v>133820.43</v>
      </c>
      <c r="O74" s="350">
        <f>+'Pro Forma Wage Adjustment'!P26</f>
        <v>0</v>
      </c>
      <c r="T74" s="91">
        <f>+'Pro Forma Wage Adjustment'!Q26</f>
        <v>10229.987999586245</v>
      </c>
      <c r="AE74" s="314">
        <f t="shared" ref="AE74:AE82" si="49">SUM(I74:AD74)</f>
        <v>10229.987999586245</v>
      </c>
      <c r="AF74" s="314">
        <f t="shared" ref="AF74:AF82" si="50">+G74+AE74</f>
        <v>144050.41799958624</v>
      </c>
    </row>
    <row r="75" spans="1:32">
      <c r="A75" s="290">
        <v>68</v>
      </c>
      <c r="B75" s="308" t="s">
        <v>223</v>
      </c>
      <c r="C75" s="309" t="s">
        <v>224</v>
      </c>
      <c r="D75" s="310"/>
      <c r="E75" s="326">
        <v>15119.07</v>
      </c>
      <c r="F75" s="312">
        <v>715.76</v>
      </c>
      <c r="G75" s="325">
        <f t="shared" si="48"/>
        <v>15834.83</v>
      </c>
      <c r="O75" s="350">
        <f>+'Pro Forma Wage Adjustment'!P47</f>
        <v>0</v>
      </c>
      <c r="T75" s="91">
        <f>+'Pro Forma Wage Adjustment'!Q47</f>
        <v>4.6540771200000002</v>
      </c>
      <c r="AE75" s="314">
        <f t="shared" si="49"/>
        <v>4.6540771200000002</v>
      </c>
      <c r="AF75" s="314">
        <f t="shared" si="50"/>
        <v>15839.48407712</v>
      </c>
    </row>
    <row r="76" spans="1:32">
      <c r="A76" s="35">
        <v>69</v>
      </c>
      <c r="B76" s="308" t="s">
        <v>225</v>
      </c>
      <c r="C76" s="309" t="s">
        <v>226</v>
      </c>
      <c r="D76" s="310"/>
      <c r="E76" s="326">
        <v>1231030.56</v>
      </c>
      <c r="F76" s="312">
        <v>23066.04</v>
      </c>
      <c r="G76" s="325">
        <f t="shared" si="48"/>
        <v>1254096.6000000001</v>
      </c>
      <c r="O76" s="350">
        <f>+'Pro Forma Wage Adjustment'!P27+'Pro Forma Wage Adjustment'!P48</f>
        <v>4472.0179525609974</v>
      </c>
      <c r="T76" s="91">
        <f>+'Pro Forma Wage Adjustment'!Q27+'Pro Forma Wage Adjustment'!Q48</f>
        <v>38545.185532388532</v>
      </c>
      <c r="AE76" s="314">
        <f t="shared" si="49"/>
        <v>43017.203484949532</v>
      </c>
      <c r="AF76" s="314">
        <f t="shared" si="50"/>
        <v>1297113.8034849495</v>
      </c>
    </row>
    <row r="77" spans="1:32">
      <c r="A77" s="290">
        <v>70</v>
      </c>
      <c r="B77" s="323" t="s">
        <v>227</v>
      </c>
      <c r="C77" s="309" t="s">
        <v>202</v>
      </c>
      <c r="D77" s="327"/>
      <c r="E77" s="326">
        <v>39409.83</v>
      </c>
      <c r="F77" s="312">
        <v>3825.97</v>
      </c>
      <c r="G77" s="328">
        <f t="shared" si="48"/>
        <v>43235.8</v>
      </c>
      <c r="O77" s="350">
        <f>+'Pro Forma Wage Adjustment'!P49</f>
        <v>106.14089999999997</v>
      </c>
      <c r="T77" s="91">
        <f>+'Pro Forma Wage Adjustment'!Q49</f>
        <v>1173.8978279048995</v>
      </c>
      <c r="AE77" s="314">
        <f t="shared" si="49"/>
        <v>1280.0387279048994</v>
      </c>
      <c r="AF77" s="314">
        <f t="shared" si="50"/>
        <v>44515.838727904906</v>
      </c>
    </row>
    <row r="78" spans="1:32">
      <c r="A78" s="35">
        <v>71</v>
      </c>
      <c r="B78" s="308" t="s">
        <v>228</v>
      </c>
      <c r="C78" s="309" t="s">
        <v>229</v>
      </c>
      <c r="D78" s="310"/>
      <c r="E78" s="326">
        <v>330076.05</v>
      </c>
      <c r="F78" s="352">
        <v>3175.64</v>
      </c>
      <c r="G78" s="325">
        <f t="shared" si="48"/>
        <v>333251.69</v>
      </c>
      <c r="O78" s="350">
        <f>+'Pro Forma Wage Adjustment'!P50</f>
        <v>1828.0325289670018</v>
      </c>
      <c r="T78" s="91">
        <f>+'Pro Forma Wage Adjustment'!Q50</f>
        <v>13728.70139347246</v>
      </c>
      <c r="AE78" s="314">
        <f t="shared" si="49"/>
        <v>15556.733922439462</v>
      </c>
      <c r="AF78" s="314">
        <f t="shared" si="50"/>
        <v>348808.42392243946</v>
      </c>
    </row>
    <row r="79" spans="1:32">
      <c r="A79" s="290">
        <v>72</v>
      </c>
      <c r="B79" s="308" t="s">
        <v>230</v>
      </c>
      <c r="C79" s="309" t="s">
        <v>231</v>
      </c>
      <c r="D79" s="310"/>
      <c r="E79" s="326">
        <v>21279.35</v>
      </c>
      <c r="F79" s="352" t="s">
        <v>908</v>
      </c>
      <c r="G79" s="325">
        <f t="shared" si="48"/>
        <v>21279.35</v>
      </c>
      <c r="O79" s="350">
        <f>+'Pro Forma Wage Adjustment'!P51</f>
        <v>142.27822000000003</v>
      </c>
      <c r="T79" s="91">
        <f>+'Pro Forma Wage Adjustment'!Q51</f>
        <v>596.08000737941961</v>
      </c>
      <c r="AE79" s="314">
        <f t="shared" si="49"/>
        <v>738.35822737941965</v>
      </c>
      <c r="AF79" s="314">
        <f t="shared" si="50"/>
        <v>22017.708227379419</v>
      </c>
    </row>
    <row r="80" spans="1:32">
      <c r="A80" s="35">
        <v>73</v>
      </c>
      <c r="B80" s="308" t="s">
        <v>232</v>
      </c>
      <c r="C80" s="309" t="s">
        <v>112</v>
      </c>
      <c r="D80" s="310"/>
      <c r="E80" s="326">
        <v>1172841.0900000001</v>
      </c>
      <c r="F80" s="352">
        <v>4184.87</v>
      </c>
      <c r="G80" s="325">
        <f t="shared" si="48"/>
        <v>1177025.9600000002</v>
      </c>
      <c r="O80" s="350">
        <f>+'Pro Forma Wage Adjustment'!P28+'Pro Forma Wage Adjustment'!P52</f>
        <v>6301.4470094249982</v>
      </c>
      <c r="T80" s="91">
        <f>+'Pro Forma Wage Adjustment'!Q28+'Pro Forma Wage Adjustment'!Q52</f>
        <v>53866.00188695448</v>
      </c>
      <c r="AE80" s="314">
        <f t="shared" si="49"/>
        <v>60167.448896379479</v>
      </c>
      <c r="AF80" s="314">
        <f t="shared" si="50"/>
        <v>1237193.4088963796</v>
      </c>
    </row>
    <row r="81" spans="1:32">
      <c r="A81" s="290">
        <v>74</v>
      </c>
      <c r="B81" s="308" t="s">
        <v>233</v>
      </c>
      <c r="C81" s="309" t="s">
        <v>234</v>
      </c>
      <c r="D81" s="310"/>
      <c r="E81" s="326">
        <v>888408.89</v>
      </c>
      <c r="F81" s="352">
        <v>204765.56</v>
      </c>
      <c r="G81" s="325">
        <f t="shared" si="48"/>
        <v>1093174.45</v>
      </c>
      <c r="O81" s="350">
        <f>+'Pro Forma Wage Adjustment'!P29+'Pro Forma Wage Adjustment'!P53</f>
        <v>8028.9460292169806</v>
      </c>
      <c r="T81" s="91">
        <f>+'Pro Forma Wage Adjustment'!Q29+'Pro Forma Wage Adjustment'!Q53</f>
        <v>56850.278350993845</v>
      </c>
      <c r="AE81" s="314">
        <f t="shared" si="49"/>
        <v>64879.224380210828</v>
      </c>
      <c r="AF81" s="314">
        <f t="shared" si="50"/>
        <v>1158053.6743802107</v>
      </c>
    </row>
    <row r="82" spans="1:32">
      <c r="A82" s="35">
        <v>75</v>
      </c>
      <c r="B82" s="308" t="s">
        <v>235</v>
      </c>
      <c r="C82" s="309" t="s">
        <v>236</v>
      </c>
      <c r="D82" s="310"/>
      <c r="E82" s="326">
        <v>144620.75</v>
      </c>
      <c r="F82" s="352">
        <v>1954.91</v>
      </c>
      <c r="G82" s="325">
        <f t="shared" si="48"/>
        <v>146575.66</v>
      </c>
      <c r="O82" s="350">
        <f>+'Pro Forma Wage Adjustment'!P54</f>
        <v>604.95724999999891</v>
      </c>
      <c r="T82" s="91">
        <f>+'Pro Forma Wage Adjustment'!Q54</f>
        <v>3892.1909227372616</v>
      </c>
      <c r="AE82" s="314">
        <f t="shared" si="49"/>
        <v>4497.1481727372602</v>
      </c>
      <c r="AF82" s="314">
        <f t="shared" si="50"/>
        <v>151072.80817273728</v>
      </c>
    </row>
    <row r="83" spans="1:32">
      <c r="A83" s="290">
        <v>76</v>
      </c>
      <c r="B83" s="336"/>
      <c r="C83" s="351" t="s">
        <v>237</v>
      </c>
      <c r="D83" s="315"/>
      <c r="E83" s="316">
        <f t="shared" ref="E83:G83" si="51">SUM(E74:E82)</f>
        <v>3956469.8700000006</v>
      </c>
      <c r="F83" s="329">
        <f t="shared" si="51"/>
        <v>261824.9</v>
      </c>
      <c r="G83" s="318">
        <f t="shared" si="51"/>
        <v>4218294.7700000005</v>
      </c>
      <c r="I83" s="318">
        <f t="shared" ref="I83:Y83" si="52">SUM(I74:I82)</f>
        <v>0</v>
      </c>
      <c r="J83" s="318">
        <f t="shared" si="52"/>
        <v>0</v>
      </c>
      <c r="K83" s="319">
        <f>SUM(K74:K82)</f>
        <v>0</v>
      </c>
      <c r="L83" s="318">
        <f>SUM(L74:L82)</f>
        <v>0</v>
      </c>
      <c r="M83" s="318">
        <f t="shared" ref="M83:R83" si="53">SUM(M74:M82)</f>
        <v>0</v>
      </c>
      <c r="N83" s="318">
        <f t="shared" si="53"/>
        <v>0</v>
      </c>
      <c r="O83" s="318">
        <f t="shared" si="53"/>
        <v>21483.81989016998</v>
      </c>
      <c r="P83" s="318">
        <f t="shared" si="53"/>
        <v>0</v>
      </c>
      <c r="Q83" s="318">
        <f t="shared" si="53"/>
        <v>0</v>
      </c>
      <c r="R83" s="318">
        <f t="shared" si="53"/>
        <v>0</v>
      </c>
      <c r="S83" s="318">
        <f t="shared" si="52"/>
        <v>0</v>
      </c>
      <c r="T83" s="318">
        <f t="shared" si="52"/>
        <v>178886.97799853716</v>
      </c>
      <c r="U83" s="318">
        <f t="shared" si="52"/>
        <v>0</v>
      </c>
      <c r="V83" s="318">
        <f t="shared" si="52"/>
        <v>0</v>
      </c>
      <c r="W83" s="318">
        <f t="shared" ref="W83" si="54">SUM(W74:W82)</f>
        <v>0</v>
      </c>
      <c r="X83" s="320">
        <f>SUM(X74:X82)</f>
        <v>0</v>
      </c>
      <c r="Y83" s="318">
        <f t="shared" si="52"/>
        <v>0</v>
      </c>
      <c r="Z83" s="318">
        <f t="shared" ref="Z83" si="55">SUM(Z74:Z82)</f>
        <v>0</v>
      </c>
      <c r="AA83" s="318">
        <f t="shared" ref="AA83:AF83" si="56">SUM(AA74:AA82)</f>
        <v>0</v>
      </c>
      <c r="AB83" s="318">
        <f t="shared" si="56"/>
        <v>0</v>
      </c>
      <c r="AC83" s="318">
        <f t="shared" si="56"/>
        <v>0</v>
      </c>
      <c r="AD83" s="318">
        <f t="shared" si="56"/>
        <v>0</v>
      </c>
      <c r="AE83" s="318">
        <f t="shared" si="56"/>
        <v>200370.79788870714</v>
      </c>
      <c r="AF83" s="318">
        <f t="shared" si="56"/>
        <v>4418665.5678887079</v>
      </c>
    </row>
    <row r="84" spans="1:32">
      <c r="A84" s="35">
        <v>77</v>
      </c>
      <c r="B84" s="304" t="s">
        <v>238</v>
      </c>
      <c r="C84" s="305"/>
      <c r="D84" s="342"/>
      <c r="E84" s="343">
        <f t="shared" ref="E84:G84" si="57">E71+E83</f>
        <v>13966959.950000001</v>
      </c>
      <c r="F84" s="353">
        <f t="shared" si="57"/>
        <v>2359317.44</v>
      </c>
      <c r="G84" s="345">
        <f t="shared" si="57"/>
        <v>16326277.390000001</v>
      </c>
      <c r="I84" s="345">
        <f t="shared" ref="I84:Y84" si="58">I71+I83</f>
        <v>0</v>
      </c>
      <c r="J84" s="345">
        <f t="shared" si="58"/>
        <v>0</v>
      </c>
      <c r="K84" s="346">
        <f>K71+K83</f>
        <v>0</v>
      </c>
      <c r="L84" s="345">
        <f>L71+L83</f>
        <v>0</v>
      </c>
      <c r="M84" s="345">
        <f t="shared" ref="M84:R84" si="59">M71+M83</f>
        <v>0</v>
      </c>
      <c r="N84" s="345">
        <f t="shared" si="59"/>
        <v>0</v>
      </c>
      <c r="O84" s="345">
        <f t="shared" si="59"/>
        <v>67686.843944628941</v>
      </c>
      <c r="P84" s="345">
        <f t="shared" si="59"/>
        <v>0</v>
      </c>
      <c r="Q84" s="345">
        <f t="shared" si="59"/>
        <v>0</v>
      </c>
      <c r="R84" s="345">
        <f t="shared" si="59"/>
        <v>0</v>
      </c>
      <c r="S84" s="345">
        <f t="shared" si="58"/>
        <v>0</v>
      </c>
      <c r="T84" s="345">
        <f t="shared" si="58"/>
        <v>741261.38932496274</v>
      </c>
      <c r="U84" s="345">
        <f t="shared" si="58"/>
        <v>0</v>
      </c>
      <c r="V84" s="345">
        <f t="shared" si="58"/>
        <v>0</v>
      </c>
      <c r="W84" s="345">
        <f t="shared" ref="W84" si="60">W71+W83</f>
        <v>130503.46816</v>
      </c>
      <c r="X84" s="347">
        <f>X71+X83</f>
        <v>603869.44900000002</v>
      </c>
      <c r="Y84" s="345">
        <f t="shared" si="58"/>
        <v>0</v>
      </c>
      <c r="Z84" s="345">
        <f t="shared" ref="Z84" si="61">Z71+Z83</f>
        <v>0</v>
      </c>
      <c r="AA84" s="345">
        <f t="shared" ref="AA84:AF84" si="62">AA71+AA83</f>
        <v>0</v>
      </c>
      <c r="AB84" s="345">
        <f t="shared" si="62"/>
        <v>0</v>
      </c>
      <c r="AC84" s="345">
        <f t="shared" si="62"/>
        <v>0</v>
      </c>
      <c r="AD84" s="345">
        <f t="shared" si="62"/>
        <v>0</v>
      </c>
      <c r="AE84" s="345">
        <f t="shared" si="62"/>
        <v>1543321.1504295915</v>
      </c>
      <c r="AF84" s="345">
        <f t="shared" si="62"/>
        <v>17869598.540429592</v>
      </c>
    </row>
    <row r="85" spans="1:32">
      <c r="A85" s="290">
        <v>78</v>
      </c>
      <c r="B85" s="336"/>
      <c r="C85" s="305"/>
      <c r="D85" s="310"/>
      <c r="E85" s="311"/>
      <c r="F85" s="322"/>
      <c r="G85" s="313"/>
    </row>
    <row r="86" spans="1:32">
      <c r="A86" s="35">
        <v>79</v>
      </c>
      <c r="B86" s="304" t="s">
        <v>239</v>
      </c>
      <c r="C86" s="305"/>
      <c r="D86" s="310"/>
      <c r="E86" s="311"/>
      <c r="F86" s="322"/>
      <c r="G86" s="313"/>
    </row>
    <row r="87" spans="1:32">
      <c r="A87" s="290">
        <v>80</v>
      </c>
      <c r="B87" s="308" t="s">
        <v>240</v>
      </c>
      <c r="C87" s="309" t="s">
        <v>241</v>
      </c>
      <c r="D87" s="310"/>
      <c r="E87" s="326">
        <v>-2718</v>
      </c>
      <c r="F87" s="352">
        <v>-9.7899999999999991</v>
      </c>
      <c r="G87" s="325">
        <f>SUM(E87:F87)</f>
        <v>-2727.79</v>
      </c>
      <c r="AE87" s="314">
        <f>SUM(I87:AD87)</f>
        <v>0</v>
      </c>
      <c r="AF87" s="314">
        <f>+G87+AE87</f>
        <v>-2727.79</v>
      </c>
    </row>
    <row r="88" spans="1:32">
      <c r="A88" s="35">
        <v>81</v>
      </c>
      <c r="B88" s="308" t="s">
        <v>242</v>
      </c>
      <c r="C88" s="309" t="s">
        <v>243</v>
      </c>
      <c r="D88" s="310"/>
      <c r="E88" s="326">
        <v>424648.59</v>
      </c>
      <c r="F88" s="352">
        <v>98249.5</v>
      </c>
      <c r="G88" s="325">
        <f>SUM(E88:F88)</f>
        <v>522898.09</v>
      </c>
      <c r="O88" s="350">
        <f>+'Pro Forma Wage Adjustment'!P55</f>
        <v>3199.1600099999996</v>
      </c>
      <c r="T88" s="91">
        <f>+'Pro Forma Wage Adjustment'!Q55</f>
        <v>22817.28046802976</v>
      </c>
      <c r="AE88" s="314">
        <f>SUM(I88:AD88)</f>
        <v>26016.440478029759</v>
      </c>
      <c r="AF88" s="314">
        <f>+G88+AE88</f>
        <v>548914.53047802974</v>
      </c>
    </row>
    <row r="89" spans="1:32">
      <c r="A89" s="290">
        <v>82</v>
      </c>
      <c r="B89" s="308" t="s">
        <v>244</v>
      </c>
      <c r="C89" s="309" t="s">
        <v>245</v>
      </c>
      <c r="D89" s="310"/>
      <c r="E89" s="326">
        <v>523112.58</v>
      </c>
      <c r="F89" s="352">
        <v>4560961.6900000004</v>
      </c>
      <c r="G89" s="325">
        <f>SUM(E89:F89)</f>
        <v>5084074.2700000005</v>
      </c>
      <c r="O89" s="350">
        <f>+'Pro Forma Wage Adjustment'!P30+'Pro Forma Wage Adjustment'!P56+'Pro Forma Wage Adjustment'!P31</f>
        <v>604.39863000000128</v>
      </c>
      <c r="T89" s="91">
        <f>+'Pro Forma Wage Adjustment'!Q30+'Pro Forma Wage Adjustment'!Q56+'Pro Forma Wage Adjustment'!Q31</f>
        <v>64121.4474540218</v>
      </c>
      <c r="AE89" s="314">
        <f>SUM(I89:AD89)</f>
        <v>64725.846084021803</v>
      </c>
      <c r="AF89" s="314">
        <f>+G89+AE89</f>
        <v>5148800.1160840224</v>
      </c>
    </row>
    <row r="90" spans="1:32">
      <c r="A90" s="35">
        <v>83</v>
      </c>
      <c r="B90" s="308" t="s">
        <v>246</v>
      </c>
      <c r="C90" s="309" t="s">
        <v>23</v>
      </c>
      <c r="D90" s="310"/>
      <c r="E90" s="326">
        <v>765092.15</v>
      </c>
      <c r="F90" s="352">
        <v>12975.59</v>
      </c>
      <c r="G90" s="325">
        <f>SUM(E90:F90)</f>
        <v>778067.74</v>
      </c>
      <c r="I90" s="91">
        <f>+'Exh MPP-11 - Summary of Adj'!G26</f>
        <v>58685.9549560913</v>
      </c>
      <c r="K90" s="274">
        <f>+'Exh MPP-11 - Summary of Adj'!I26</f>
        <v>-33110.072785635421</v>
      </c>
      <c r="U90" s="116">
        <f>+'Exh MPP-11 - Summary of Adj'!T26</f>
        <v>758.39417037203009</v>
      </c>
      <c r="Y90" s="91">
        <f>'Exh MPP-11 - Summary of Adj'!X26</f>
        <v>-385.54302205501142</v>
      </c>
      <c r="AA90" s="91">
        <f>+'Exh MPP-11 - Summary of Adj'!Z26</f>
        <v>19799.986812358373</v>
      </c>
      <c r="AE90" s="314">
        <f>SUM(I90:AD90)</f>
        <v>45748.720131131267</v>
      </c>
      <c r="AF90" s="314">
        <f>+G90+AE90</f>
        <v>823816.46013113123</v>
      </c>
    </row>
    <row r="91" spans="1:32">
      <c r="A91" s="290">
        <v>84</v>
      </c>
      <c r="B91" s="308" t="s">
        <v>247</v>
      </c>
      <c r="C91" s="309" t="s">
        <v>248</v>
      </c>
      <c r="D91" s="310"/>
      <c r="E91" s="326">
        <v>0</v>
      </c>
      <c r="F91" s="352">
        <v>795.98</v>
      </c>
      <c r="G91" s="325">
        <f>SUM(E91:F91)</f>
        <v>795.98</v>
      </c>
      <c r="AE91" s="314">
        <f>SUM(I91:AD91)</f>
        <v>0</v>
      </c>
      <c r="AF91" s="314">
        <f>+G91+AE91</f>
        <v>795.98</v>
      </c>
    </row>
    <row r="92" spans="1:32">
      <c r="A92" s="35">
        <v>85</v>
      </c>
      <c r="B92" s="304" t="s">
        <v>249</v>
      </c>
      <c r="C92" s="305"/>
      <c r="D92" s="315"/>
      <c r="E92" s="316">
        <f t="shared" ref="E92:Y92" si="63">SUM(E87:E91)</f>
        <v>1710135.32</v>
      </c>
      <c r="F92" s="329">
        <f t="shared" si="63"/>
        <v>4672972.9700000007</v>
      </c>
      <c r="G92" s="318">
        <f t="shared" si="63"/>
        <v>6383108.290000001</v>
      </c>
      <c r="I92" s="318">
        <f t="shared" si="63"/>
        <v>58685.9549560913</v>
      </c>
      <c r="J92" s="318">
        <f t="shared" si="63"/>
        <v>0</v>
      </c>
      <c r="K92" s="319">
        <f>SUM(K87:K91)</f>
        <v>-33110.072785635421</v>
      </c>
      <c r="L92" s="318">
        <f t="shared" si="63"/>
        <v>0</v>
      </c>
      <c r="M92" s="318">
        <f t="shared" ref="M92:R92" si="64">SUM(M87:M91)</f>
        <v>0</v>
      </c>
      <c r="N92" s="318">
        <f t="shared" si="64"/>
        <v>0</v>
      </c>
      <c r="O92" s="318">
        <f t="shared" si="64"/>
        <v>3803.5586400000011</v>
      </c>
      <c r="P92" s="318">
        <f t="shared" si="64"/>
        <v>0</v>
      </c>
      <c r="Q92" s="318">
        <f t="shared" si="64"/>
        <v>0</v>
      </c>
      <c r="R92" s="318">
        <f t="shared" si="64"/>
        <v>0</v>
      </c>
      <c r="S92" s="318">
        <f t="shared" si="63"/>
        <v>0</v>
      </c>
      <c r="T92" s="318">
        <f t="shared" si="63"/>
        <v>86938.727922051563</v>
      </c>
      <c r="U92" s="318">
        <f t="shared" si="63"/>
        <v>758.39417037203009</v>
      </c>
      <c r="V92" s="318">
        <f t="shared" si="63"/>
        <v>0</v>
      </c>
      <c r="W92" s="318">
        <f t="shared" ref="W92" si="65">SUM(W87:W91)</f>
        <v>0</v>
      </c>
      <c r="X92" s="320">
        <f t="shared" si="63"/>
        <v>0</v>
      </c>
      <c r="Y92" s="318">
        <f t="shared" si="63"/>
        <v>-385.54302205501142</v>
      </c>
      <c r="Z92" s="318">
        <f t="shared" ref="Z92" si="66">SUM(Z87:Z91)</f>
        <v>0</v>
      </c>
      <c r="AA92" s="318">
        <f t="shared" ref="AA92:AF92" si="67">SUM(AA87:AA91)</f>
        <v>19799.986812358373</v>
      </c>
      <c r="AB92" s="318">
        <f t="shared" si="67"/>
        <v>0</v>
      </c>
      <c r="AC92" s="318">
        <f t="shared" si="67"/>
        <v>0</v>
      </c>
      <c r="AD92" s="318">
        <f t="shared" si="67"/>
        <v>0</v>
      </c>
      <c r="AE92" s="318">
        <f t="shared" si="67"/>
        <v>136491.00669318283</v>
      </c>
      <c r="AF92" s="318">
        <f t="shared" si="67"/>
        <v>6519599.2966931835</v>
      </c>
    </row>
    <row r="93" spans="1:32">
      <c r="A93" s="290">
        <v>86</v>
      </c>
      <c r="B93" s="336"/>
      <c r="C93" s="305"/>
      <c r="D93" s="310"/>
      <c r="E93" s="311"/>
      <c r="F93" s="322"/>
      <c r="G93" s="313"/>
    </row>
    <row r="94" spans="1:32">
      <c r="A94" s="35">
        <v>87</v>
      </c>
      <c r="B94" s="304" t="s">
        <v>250</v>
      </c>
      <c r="C94" s="305"/>
      <c r="D94" s="310"/>
      <c r="E94" s="311"/>
      <c r="F94" s="322"/>
      <c r="G94" s="313"/>
    </row>
    <row r="95" spans="1:32">
      <c r="A95" s="290">
        <v>88</v>
      </c>
      <c r="B95" s="308" t="s">
        <v>251</v>
      </c>
      <c r="C95" s="309" t="s">
        <v>241</v>
      </c>
      <c r="D95" s="310"/>
      <c r="E95" s="326">
        <v>0</v>
      </c>
      <c r="F95" s="352" t="s">
        <v>908</v>
      </c>
      <c r="G95" s="325">
        <f>SUM(E95:F95)</f>
        <v>0</v>
      </c>
      <c r="AE95" s="314">
        <f>SUM(I95:AD95)</f>
        <v>0</v>
      </c>
      <c r="AF95" s="314">
        <f>+G95+AE95</f>
        <v>0</v>
      </c>
    </row>
    <row r="96" spans="1:32">
      <c r="A96" s="35">
        <v>89</v>
      </c>
      <c r="B96" s="308" t="s">
        <v>252</v>
      </c>
      <c r="C96" s="309" t="s">
        <v>253</v>
      </c>
      <c r="D96" s="310"/>
      <c r="E96" s="326">
        <v>533408.34</v>
      </c>
      <c r="F96" s="352">
        <v>250785.94</v>
      </c>
      <c r="G96" s="325">
        <f>SUM(E96:F96)</f>
        <v>784194.28</v>
      </c>
      <c r="L96" s="354">
        <f>-'Low-Income Bill Assistance'!F20</f>
        <v>-533333.36</v>
      </c>
      <c r="M96" s="354"/>
      <c r="N96" s="354"/>
      <c r="O96" s="354"/>
      <c r="P96" s="354"/>
      <c r="Q96" s="354"/>
      <c r="R96" s="354"/>
      <c r="AE96" s="314">
        <f>SUM(I96:AD96)</f>
        <v>-533333.36</v>
      </c>
      <c r="AF96" s="314">
        <f>+G96+AE96</f>
        <v>250860.92000000004</v>
      </c>
    </row>
    <row r="97" spans="1:32">
      <c r="A97" s="290">
        <v>90</v>
      </c>
      <c r="B97" s="308" t="s">
        <v>254</v>
      </c>
      <c r="C97" s="309" t="s">
        <v>255</v>
      </c>
      <c r="D97" s="310"/>
      <c r="E97" s="326">
        <v>9245.2199999999993</v>
      </c>
      <c r="F97" s="352">
        <v>30656.14</v>
      </c>
      <c r="G97" s="325">
        <f>SUM(E97:F97)</f>
        <v>39901.360000000001</v>
      </c>
      <c r="AF97" s="314">
        <f>+G97+AE97</f>
        <v>39901.360000000001</v>
      </c>
    </row>
    <row r="98" spans="1:32">
      <c r="A98" s="35">
        <v>91</v>
      </c>
      <c r="B98" s="355" t="s">
        <v>256</v>
      </c>
      <c r="C98" s="309" t="s">
        <v>257</v>
      </c>
      <c r="D98" s="327"/>
      <c r="E98" s="326">
        <v>0</v>
      </c>
      <c r="F98" s="352" t="s">
        <v>908</v>
      </c>
      <c r="G98" s="328">
        <f>SUM(E98:F98)</f>
        <v>0</v>
      </c>
      <c r="AF98" s="314">
        <f>+G98+AE98</f>
        <v>0</v>
      </c>
    </row>
    <row r="99" spans="1:32">
      <c r="A99" s="290">
        <v>92</v>
      </c>
      <c r="B99" s="321" t="s">
        <v>258</v>
      </c>
      <c r="C99" s="305"/>
      <c r="D99" s="315"/>
      <c r="E99" s="316">
        <f t="shared" ref="E99:Y99" si="68">SUM(E95:E98)</f>
        <v>542653.55999999994</v>
      </c>
      <c r="F99" s="329">
        <f t="shared" si="68"/>
        <v>281442.08</v>
      </c>
      <c r="G99" s="318">
        <f t="shared" si="68"/>
        <v>824095.64</v>
      </c>
      <c r="I99" s="318">
        <f t="shared" si="68"/>
        <v>0</v>
      </c>
      <c r="J99" s="318">
        <f t="shared" si="68"/>
        <v>0</v>
      </c>
      <c r="K99" s="319">
        <f>SUM(K95:K98)</f>
        <v>0</v>
      </c>
      <c r="L99" s="318">
        <f t="shared" si="68"/>
        <v>-533333.36</v>
      </c>
      <c r="M99" s="318">
        <f t="shared" ref="M99:R99" si="69">SUM(M95:M98)</f>
        <v>0</v>
      </c>
      <c r="N99" s="318">
        <f t="shared" si="69"/>
        <v>0</v>
      </c>
      <c r="O99" s="318">
        <f t="shared" si="69"/>
        <v>0</v>
      </c>
      <c r="P99" s="318">
        <f t="shared" si="69"/>
        <v>0</v>
      </c>
      <c r="Q99" s="318">
        <f t="shared" si="69"/>
        <v>0</v>
      </c>
      <c r="R99" s="318">
        <f t="shared" si="69"/>
        <v>0</v>
      </c>
      <c r="S99" s="318">
        <f t="shared" si="68"/>
        <v>0</v>
      </c>
      <c r="T99" s="318">
        <f t="shared" si="68"/>
        <v>0</v>
      </c>
      <c r="U99" s="318">
        <f t="shared" si="68"/>
        <v>0</v>
      </c>
      <c r="V99" s="318">
        <f t="shared" si="68"/>
        <v>0</v>
      </c>
      <c r="W99" s="318">
        <f t="shared" ref="W99" si="70">SUM(W95:W98)</f>
        <v>0</v>
      </c>
      <c r="X99" s="320">
        <f t="shared" si="68"/>
        <v>0</v>
      </c>
      <c r="Y99" s="318">
        <f t="shared" si="68"/>
        <v>0</v>
      </c>
      <c r="Z99" s="318">
        <f t="shared" ref="Z99" si="71">SUM(Z95:Z98)</f>
        <v>0</v>
      </c>
      <c r="AA99" s="318">
        <f t="shared" ref="AA99:AF99" si="72">SUM(AA95:AA98)</f>
        <v>0</v>
      </c>
      <c r="AB99" s="318">
        <f t="shared" si="72"/>
        <v>0</v>
      </c>
      <c r="AC99" s="318">
        <f t="shared" si="72"/>
        <v>0</v>
      </c>
      <c r="AD99" s="318">
        <f t="shared" si="72"/>
        <v>0</v>
      </c>
      <c r="AE99" s="318">
        <f t="shared" si="72"/>
        <v>-533333.36</v>
      </c>
      <c r="AF99" s="318">
        <f t="shared" si="72"/>
        <v>290762.28000000003</v>
      </c>
    </row>
    <row r="100" spans="1:32">
      <c r="A100" s="35">
        <v>93</v>
      </c>
      <c r="B100" s="336"/>
      <c r="C100" s="305"/>
      <c r="D100" s="310"/>
      <c r="E100" s="311"/>
      <c r="F100" s="322"/>
      <c r="G100" s="313"/>
    </row>
    <row r="101" spans="1:32">
      <c r="A101" s="290">
        <v>94</v>
      </c>
      <c r="B101" s="304" t="s">
        <v>259</v>
      </c>
      <c r="C101" s="305"/>
      <c r="D101" s="310"/>
      <c r="E101" s="311"/>
      <c r="F101" s="322"/>
      <c r="G101" s="313"/>
    </row>
    <row r="102" spans="1:32">
      <c r="A102" s="35">
        <v>95</v>
      </c>
      <c r="B102" s="308" t="s">
        <v>260</v>
      </c>
      <c r="C102" s="309" t="s">
        <v>241</v>
      </c>
      <c r="D102" s="327"/>
      <c r="E102" s="326">
        <v>0</v>
      </c>
      <c r="F102" s="312">
        <v>0</v>
      </c>
      <c r="G102" s="328">
        <f>SUM(E102:F102)</f>
        <v>0</v>
      </c>
      <c r="AE102" s="314">
        <f>SUM(I102:AD102)</f>
        <v>0</v>
      </c>
      <c r="AF102" s="314">
        <f>+G102+AE102</f>
        <v>0</v>
      </c>
    </row>
    <row r="103" spans="1:32">
      <c r="A103" s="290">
        <v>96</v>
      </c>
      <c r="B103" s="308" t="s">
        <v>261</v>
      </c>
      <c r="C103" s="309" t="s">
        <v>262</v>
      </c>
      <c r="D103" s="327"/>
      <c r="E103" s="326">
        <v>0</v>
      </c>
      <c r="F103" s="312">
        <v>0</v>
      </c>
      <c r="G103" s="328">
        <f>SUM(E103:F103)</f>
        <v>0</v>
      </c>
      <c r="AE103" s="314">
        <f>SUM(I103:AD103)</f>
        <v>0</v>
      </c>
      <c r="AF103" s="314">
        <f>+G103+AE103</f>
        <v>0</v>
      </c>
    </row>
    <row r="104" spans="1:32">
      <c r="A104" s="35">
        <v>97</v>
      </c>
      <c r="B104" s="308" t="s">
        <v>263</v>
      </c>
      <c r="C104" s="309" t="s">
        <v>57</v>
      </c>
      <c r="D104" s="327"/>
      <c r="E104" s="326">
        <v>20.25</v>
      </c>
      <c r="F104" s="312">
        <v>4896.34</v>
      </c>
      <c r="G104" s="328">
        <f>SUM(E104:F104)</f>
        <v>4916.59</v>
      </c>
      <c r="J104" s="91">
        <f>-'Advertising Adj'!F29</f>
        <v>-4916.5899999999992</v>
      </c>
      <c r="AE104" s="314">
        <f>SUM(I104:AD104)</f>
        <v>-4916.5899999999992</v>
      </c>
      <c r="AF104" s="314">
        <f>+G104+AE104</f>
        <v>0</v>
      </c>
    </row>
    <row r="105" spans="1:32">
      <c r="A105" s="290">
        <v>98</v>
      </c>
      <c r="B105" s="308" t="s">
        <v>264</v>
      </c>
      <c r="C105" s="309" t="s">
        <v>265</v>
      </c>
      <c r="D105" s="327"/>
      <c r="E105" s="326">
        <v>0</v>
      </c>
      <c r="F105" s="312">
        <v>0</v>
      </c>
      <c r="G105" s="328">
        <f>SUM(E105:F105)</f>
        <v>0</v>
      </c>
      <c r="AE105" s="314">
        <f>SUM(I105:AD105)</f>
        <v>0</v>
      </c>
      <c r="AF105" s="314">
        <f>+G105+AE105</f>
        <v>0</v>
      </c>
    </row>
    <row r="106" spans="1:32">
      <c r="A106" s="35">
        <v>99</v>
      </c>
      <c r="B106" s="304" t="s">
        <v>266</v>
      </c>
      <c r="C106" s="305"/>
      <c r="D106" s="339"/>
      <c r="E106" s="340">
        <f t="shared" ref="E106:Y106" si="73">SUM(E102:E105)</f>
        <v>20.25</v>
      </c>
      <c r="F106" s="317">
        <f t="shared" si="73"/>
        <v>4896.34</v>
      </c>
      <c r="G106" s="319">
        <f t="shared" si="73"/>
        <v>4916.59</v>
      </c>
      <c r="I106" s="318">
        <f t="shared" si="73"/>
        <v>0</v>
      </c>
      <c r="J106" s="318">
        <f t="shared" si="73"/>
        <v>-4916.5899999999992</v>
      </c>
      <c r="K106" s="319">
        <f>SUM(K102:K105)</f>
        <v>0</v>
      </c>
      <c r="L106" s="318">
        <f t="shared" si="73"/>
        <v>0</v>
      </c>
      <c r="M106" s="318">
        <f t="shared" ref="M106:R106" si="74">SUM(M102:M105)</f>
        <v>0</v>
      </c>
      <c r="N106" s="318">
        <f t="shared" si="74"/>
        <v>0</v>
      </c>
      <c r="O106" s="318">
        <f t="shared" si="74"/>
        <v>0</v>
      </c>
      <c r="P106" s="318">
        <f t="shared" si="74"/>
        <v>0</v>
      </c>
      <c r="Q106" s="318">
        <f t="shared" si="74"/>
        <v>0</v>
      </c>
      <c r="R106" s="318">
        <f t="shared" si="74"/>
        <v>0</v>
      </c>
      <c r="S106" s="318">
        <f t="shared" si="73"/>
        <v>0</v>
      </c>
      <c r="T106" s="318">
        <f t="shared" si="73"/>
        <v>0</v>
      </c>
      <c r="U106" s="318">
        <f t="shared" si="73"/>
        <v>0</v>
      </c>
      <c r="V106" s="318">
        <f t="shared" si="73"/>
        <v>0</v>
      </c>
      <c r="W106" s="318">
        <f t="shared" ref="W106" si="75">SUM(W102:W105)</f>
        <v>0</v>
      </c>
      <c r="X106" s="320">
        <f t="shared" si="73"/>
        <v>0</v>
      </c>
      <c r="Y106" s="318">
        <f t="shared" si="73"/>
        <v>0</v>
      </c>
      <c r="Z106" s="318">
        <f t="shared" ref="Z106" si="76">SUM(Z102:Z105)</f>
        <v>0</v>
      </c>
      <c r="AA106" s="318">
        <f t="shared" ref="AA106:AF106" si="77">SUM(AA102:AA105)</f>
        <v>0</v>
      </c>
      <c r="AB106" s="318">
        <f t="shared" si="77"/>
        <v>0</v>
      </c>
      <c r="AC106" s="319">
        <f t="shared" si="77"/>
        <v>0</v>
      </c>
      <c r="AD106" s="319">
        <f t="shared" si="77"/>
        <v>0</v>
      </c>
      <c r="AE106" s="319">
        <f t="shared" si="77"/>
        <v>-4916.5899999999992</v>
      </c>
      <c r="AF106" s="319">
        <f t="shared" si="77"/>
        <v>0</v>
      </c>
    </row>
    <row r="107" spans="1:32">
      <c r="A107" s="290">
        <v>100</v>
      </c>
      <c r="B107" s="336"/>
      <c r="C107" s="305"/>
      <c r="D107" s="310"/>
      <c r="E107" s="311"/>
      <c r="F107" s="322"/>
      <c r="G107" s="313"/>
    </row>
    <row r="108" spans="1:32">
      <c r="A108" s="35">
        <v>101</v>
      </c>
      <c r="B108" s="304" t="s">
        <v>267</v>
      </c>
      <c r="C108" s="305"/>
      <c r="D108" s="310"/>
      <c r="E108" s="311"/>
      <c r="F108" s="322"/>
      <c r="G108" s="313"/>
    </row>
    <row r="109" spans="1:32">
      <c r="A109" s="290">
        <v>102</v>
      </c>
      <c r="B109" s="308" t="s">
        <v>268</v>
      </c>
      <c r="C109" s="309" t="s">
        <v>269</v>
      </c>
      <c r="D109" s="310"/>
      <c r="E109" s="324" t="s">
        <v>909</v>
      </c>
      <c r="F109" s="352">
        <v>5584155.7800000003</v>
      </c>
      <c r="G109" s="325">
        <f t="shared" ref="G109:G119" si="78">SUM(E109:F109)</f>
        <v>5584155.7800000003</v>
      </c>
      <c r="O109" s="350">
        <f>+'Pro Forma Wage Adjustment'!P32+'Pro Forma Wage Adjustment'!P57+'Pro Forma Wage Adjustment'!P33+'Pro Forma Wage Adjustment'!P85</f>
        <v>6.8993084160000011</v>
      </c>
      <c r="T109" s="350">
        <f>+'Pro Forma Wage Adjustment'!Q32+'Pro Forma Wage Adjustment'!Q57+'Pro Forma Wage Adjustment'!Q33+'Pro Forma Wage Adjustment'!Q85</f>
        <v>555093.93484737258</v>
      </c>
      <c r="AE109" s="314">
        <f t="shared" ref="AE109:AE119" si="79">SUM(I109:AD109)</f>
        <v>555100.83415578853</v>
      </c>
      <c r="AF109" s="314">
        <f t="shared" ref="AF109:AF119" si="80">+G109+AE109</f>
        <v>6139256.6141557889</v>
      </c>
    </row>
    <row r="110" spans="1:32">
      <c r="A110" s="35">
        <v>103</v>
      </c>
      <c r="B110" s="308" t="s">
        <v>270</v>
      </c>
      <c r="C110" s="309" t="s">
        <v>271</v>
      </c>
      <c r="D110" s="310"/>
      <c r="E110" s="324">
        <v>24131.68</v>
      </c>
      <c r="F110" s="352">
        <v>2433731.15</v>
      </c>
      <c r="G110" s="325">
        <f t="shared" si="78"/>
        <v>2457862.83</v>
      </c>
      <c r="O110" s="350">
        <f>+'Pro Forma Wage Adjustment'!P58</f>
        <v>0</v>
      </c>
      <c r="T110" s="91">
        <f>+'Pro Forma Wage Adjustment'!Q58</f>
        <v>24.404337890712004</v>
      </c>
      <c r="AE110" s="314">
        <f t="shared" si="79"/>
        <v>24.404337890712004</v>
      </c>
      <c r="AF110" s="314">
        <f t="shared" si="80"/>
        <v>2457887.234337891</v>
      </c>
    </row>
    <row r="111" spans="1:32">
      <c r="A111" s="290">
        <v>104</v>
      </c>
      <c r="B111" s="308" t="s">
        <v>272</v>
      </c>
      <c r="C111" s="309" t="s">
        <v>273</v>
      </c>
      <c r="D111" s="310"/>
      <c r="E111" s="324">
        <v>162799.32999999999</v>
      </c>
      <c r="F111" s="352">
        <v>834905.63</v>
      </c>
      <c r="G111" s="325">
        <f t="shared" si="78"/>
        <v>997704.96</v>
      </c>
      <c r="Q111" s="91">
        <v>-52680</v>
      </c>
      <c r="V111" s="91">
        <f>+'Rate Case Costs'!G18</f>
        <v>131397.05000000002</v>
      </c>
      <c r="AE111" s="314">
        <f t="shared" si="79"/>
        <v>78717.050000000017</v>
      </c>
      <c r="AF111" s="314">
        <f t="shared" si="80"/>
        <v>1076422.01</v>
      </c>
    </row>
    <row r="112" spans="1:32">
      <c r="A112" s="35">
        <v>105</v>
      </c>
      <c r="B112" s="308" t="s">
        <v>274</v>
      </c>
      <c r="C112" s="309" t="s">
        <v>275</v>
      </c>
      <c r="D112" s="310"/>
      <c r="E112" s="326">
        <v>0</v>
      </c>
      <c r="F112" s="352">
        <v>60387.9</v>
      </c>
      <c r="G112" s="325">
        <f t="shared" si="78"/>
        <v>60387.9</v>
      </c>
      <c r="AE112" s="314">
        <f t="shared" si="79"/>
        <v>0</v>
      </c>
      <c r="AF112" s="314">
        <f t="shared" si="80"/>
        <v>60387.9</v>
      </c>
    </row>
    <row r="113" spans="1:32">
      <c r="A113" s="290">
        <v>106</v>
      </c>
      <c r="B113" s="308" t="s">
        <v>276</v>
      </c>
      <c r="C113" s="309" t="s">
        <v>277</v>
      </c>
      <c r="D113" s="310"/>
      <c r="E113" s="324">
        <v>59991.79</v>
      </c>
      <c r="F113" s="352">
        <v>1013781.81</v>
      </c>
      <c r="G113" s="325">
        <f t="shared" si="78"/>
        <v>1073773.6000000001</v>
      </c>
      <c r="N113" s="91">
        <v>-210756</v>
      </c>
      <c r="AE113" s="314">
        <f t="shared" si="79"/>
        <v>-210756</v>
      </c>
      <c r="AF113" s="314">
        <f t="shared" si="80"/>
        <v>863017.60000000009</v>
      </c>
    </row>
    <row r="114" spans="1:32">
      <c r="A114" s="35">
        <v>107</v>
      </c>
      <c r="B114" s="308" t="s">
        <v>278</v>
      </c>
      <c r="C114" s="309" t="s">
        <v>279</v>
      </c>
      <c r="D114" s="310"/>
      <c r="E114" s="324">
        <v>2462662.3199999998</v>
      </c>
      <c r="F114" s="352">
        <v>2012160.5</v>
      </c>
      <c r="G114" s="325">
        <f t="shared" si="78"/>
        <v>4474822.82</v>
      </c>
      <c r="M114" s="91">
        <v>-127508</v>
      </c>
      <c r="O114" s="350">
        <f>+'Pro Forma Wage Adjustment'!P59+'Pro Forma Wage Adjustment'!P34</f>
        <v>0</v>
      </c>
      <c r="R114" s="91">
        <v>-818795.82</v>
      </c>
      <c r="T114" s="91">
        <f>+'Pro Forma Wage Adjustment'!Q59+'Pro Forma Wage Adjustment'!Q34</f>
        <v>2921.8329946063163</v>
      </c>
      <c r="W114" s="91">
        <f>+'Pro Forma Compliance Department'!L16</f>
        <v>58726.560672</v>
      </c>
      <c r="AE114" s="314">
        <f t="shared" si="79"/>
        <v>-884655.42633339355</v>
      </c>
      <c r="AF114" s="314">
        <f t="shared" si="80"/>
        <v>3590167.3936666069</v>
      </c>
    </row>
    <row r="115" spans="1:32">
      <c r="A115" s="290">
        <v>108</v>
      </c>
      <c r="B115" s="308" t="s">
        <v>280</v>
      </c>
      <c r="C115" s="309" t="s">
        <v>281</v>
      </c>
      <c r="D115" s="327"/>
      <c r="E115" s="326">
        <v>0</v>
      </c>
      <c r="F115" s="352">
        <v>0</v>
      </c>
      <c r="G115" s="328">
        <f t="shared" si="78"/>
        <v>0</v>
      </c>
      <c r="AE115" s="314">
        <f t="shared" si="79"/>
        <v>0</v>
      </c>
      <c r="AF115" s="314">
        <f t="shared" si="80"/>
        <v>0</v>
      </c>
    </row>
    <row r="116" spans="1:32">
      <c r="A116" s="35">
        <v>109</v>
      </c>
      <c r="B116" s="308" t="s">
        <v>282</v>
      </c>
      <c r="C116" s="309" t="s">
        <v>283</v>
      </c>
      <c r="D116" s="327"/>
      <c r="E116" s="324">
        <v>8395</v>
      </c>
      <c r="F116" s="352">
        <v>41405.449999999997</v>
      </c>
      <c r="G116" s="328">
        <f t="shared" si="78"/>
        <v>49800.45</v>
      </c>
      <c r="J116" s="91">
        <f>-'Advertising Adj'!F75</f>
        <v>-49800.45</v>
      </c>
      <c r="AE116" s="314">
        <f t="shared" si="79"/>
        <v>-49800.45</v>
      </c>
      <c r="AF116" s="314">
        <f t="shared" si="80"/>
        <v>0</v>
      </c>
    </row>
    <row r="117" spans="1:32">
      <c r="A117" s="290">
        <v>110</v>
      </c>
      <c r="B117" s="308" t="s">
        <v>284</v>
      </c>
      <c r="C117" s="309" t="s">
        <v>285</v>
      </c>
      <c r="D117" s="310"/>
      <c r="E117" s="326">
        <v>11518.5</v>
      </c>
      <c r="F117" s="352">
        <v>763380.09</v>
      </c>
      <c r="G117" s="325">
        <f t="shared" si="78"/>
        <v>774898.59</v>
      </c>
      <c r="AE117" s="314">
        <f t="shared" si="79"/>
        <v>0</v>
      </c>
      <c r="AF117" s="314">
        <f t="shared" si="80"/>
        <v>774898.59</v>
      </c>
    </row>
    <row r="118" spans="1:32">
      <c r="A118" s="35">
        <v>111</v>
      </c>
      <c r="B118" s="308" t="s">
        <v>286</v>
      </c>
      <c r="C118" s="309" t="s">
        <v>216</v>
      </c>
      <c r="D118" s="310"/>
      <c r="E118" s="324">
        <v>494.56</v>
      </c>
      <c r="F118" s="352">
        <v>1238178.95</v>
      </c>
      <c r="G118" s="325">
        <f t="shared" si="78"/>
        <v>1238673.51</v>
      </c>
      <c r="AE118" s="314">
        <f t="shared" si="79"/>
        <v>0</v>
      </c>
      <c r="AF118" s="314">
        <f t="shared" si="80"/>
        <v>1238673.51</v>
      </c>
    </row>
    <row r="119" spans="1:32">
      <c r="A119" s="290">
        <v>112</v>
      </c>
      <c r="B119" s="308" t="s">
        <v>287</v>
      </c>
      <c r="C119" s="309" t="s">
        <v>288</v>
      </c>
      <c r="D119" s="342"/>
      <c r="E119" s="356">
        <v>23669.53</v>
      </c>
      <c r="F119" s="357">
        <v>9173.67</v>
      </c>
      <c r="G119" s="358">
        <f t="shared" si="78"/>
        <v>32843.199999999997</v>
      </c>
      <c r="O119" s="350">
        <f>+'Pro Forma Wage Adjustment'!P60</f>
        <v>56.299410000000002</v>
      </c>
      <c r="T119" s="91">
        <f>+'Pro Forma Wage Adjustment'!Q60</f>
        <v>190.27628978300999</v>
      </c>
      <c r="AE119" s="314">
        <f t="shared" si="79"/>
        <v>246.57569978300998</v>
      </c>
      <c r="AF119" s="314">
        <f t="shared" si="80"/>
        <v>33089.775699783007</v>
      </c>
    </row>
    <row r="120" spans="1:32">
      <c r="A120" s="35">
        <v>113</v>
      </c>
      <c r="B120" s="336"/>
      <c r="C120" s="305"/>
      <c r="D120" s="310"/>
      <c r="E120" s="311">
        <f t="shared" ref="E120:Y120" si="81">SUM(E109:E119)</f>
        <v>2753662.7099999995</v>
      </c>
      <c r="F120" s="322">
        <f t="shared" si="81"/>
        <v>13991260.93</v>
      </c>
      <c r="G120" s="313">
        <f t="shared" si="81"/>
        <v>16744923.639999999</v>
      </c>
      <c r="I120" s="313">
        <f t="shared" si="81"/>
        <v>0</v>
      </c>
      <c r="J120" s="313">
        <f t="shared" si="81"/>
        <v>-49800.45</v>
      </c>
      <c r="K120" s="328">
        <f>SUM(K109:K119)</f>
        <v>0</v>
      </c>
      <c r="L120" s="313">
        <f t="shared" si="81"/>
        <v>0</v>
      </c>
      <c r="M120" s="313">
        <f t="shared" ref="M120:R120" si="82">SUM(M109:M119)</f>
        <v>-127508</v>
      </c>
      <c r="N120" s="313">
        <f t="shared" si="82"/>
        <v>-210756</v>
      </c>
      <c r="O120" s="841">
        <f>SUM(O109:O119)</f>
        <v>63.198718416000006</v>
      </c>
      <c r="P120" s="313">
        <f t="shared" si="82"/>
        <v>0</v>
      </c>
      <c r="Q120" s="313">
        <f t="shared" si="82"/>
        <v>-52680</v>
      </c>
      <c r="R120" s="313">
        <f t="shared" si="82"/>
        <v>-818795.82</v>
      </c>
      <c r="S120" s="313">
        <f t="shared" si="81"/>
        <v>0</v>
      </c>
      <c r="T120" s="313">
        <f t="shared" si="81"/>
        <v>558230.44846965256</v>
      </c>
      <c r="U120" s="313">
        <f t="shared" si="81"/>
        <v>0</v>
      </c>
      <c r="V120" s="313">
        <f t="shared" si="81"/>
        <v>131397.05000000002</v>
      </c>
      <c r="W120" s="313">
        <f t="shared" ref="W120" si="83">SUM(W109:W119)</f>
        <v>58726.560672</v>
      </c>
      <c r="X120" s="341"/>
      <c r="Y120" s="313">
        <f t="shared" si="81"/>
        <v>0</v>
      </c>
      <c r="Z120" s="313">
        <f t="shared" ref="Z120" si="84">SUM(Z109:Z119)</f>
        <v>0</v>
      </c>
      <c r="AA120" s="313">
        <f t="shared" ref="AA120:AF120" si="85">SUM(AA109:AA119)</f>
        <v>0</v>
      </c>
      <c r="AB120" s="313">
        <f t="shared" si="85"/>
        <v>0</v>
      </c>
      <c r="AC120" s="313">
        <f t="shared" si="85"/>
        <v>0</v>
      </c>
      <c r="AD120" s="313">
        <f t="shared" si="85"/>
        <v>0</v>
      </c>
      <c r="AE120" s="313">
        <f t="shared" si="85"/>
        <v>-511123.01213993132</v>
      </c>
      <c r="AF120" s="313">
        <f t="shared" si="85"/>
        <v>16233800.627860069</v>
      </c>
    </row>
    <row r="121" spans="1:32">
      <c r="A121" s="290">
        <v>114</v>
      </c>
      <c r="B121" s="308" t="s">
        <v>289</v>
      </c>
      <c r="C121" s="309" t="s">
        <v>290</v>
      </c>
      <c r="D121" s="310"/>
      <c r="E121" s="324">
        <v>-89655.76</v>
      </c>
      <c r="F121" s="352">
        <v>-195309.92</v>
      </c>
      <c r="G121" s="325">
        <f>SUM(E121:F121)</f>
        <v>-284965.68</v>
      </c>
      <c r="AE121" s="314">
        <f>SUM(I121:AD121)</f>
        <v>0</v>
      </c>
      <c r="AF121" s="314">
        <f>+G121+AE121</f>
        <v>-284965.68</v>
      </c>
    </row>
    <row r="122" spans="1:32">
      <c r="A122" s="35">
        <v>115</v>
      </c>
      <c r="B122" s="304" t="s">
        <v>291</v>
      </c>
      <c r="C122" s="305"/>
      <c r="D122" s="315"/>
      <c r="E122" s="316">
        <f t="shared" ref="E122:Y122" si="86">E120+E121</f>
        <v>2664006.9499999997</v>
      </c>
      <c r="F122" s="329">
        <f t="shared" si="86"/>
        <v>13795951.01</v>
      </c>
      <c r="G122" s="318">
        <f t="shared" si="86"/>
        <v>16459957.959999999</v>
      </c>
      <c r="I122" s="318">
        <f t="shared" si="86"/>
        <v>0</v>
      </c>
      <c r="J122" s="318">
        <f t="shared" si="86"/>
        <v>-49800.45</v>
      </c>
      <c r="K122" s="319">
        <f>K120+K121</f>
        <v>0</v>
      </c>
      <c r="L122" s="318">
        <f t="shared" si="86"/>
        <v>0</v>
      </c>
      <c r="M122" s="318">
        <f t="shared" ref="M122:R122" si="87">M120+M121</f>
        <v>-127508</v>
      </c>
      <c r="N122" s="318">
        <f t="shared" si="87"/>
        <v>-210756</v>
      </c>
      <c r="O122" s="318">
        <f t="shared" si="87"/>
        <v>63.198718416000006</v>
      </c>
      <c r="P122" s="318">
        <f t="shared" si="87"/>
        <v>0</v>
      </c>
      <c r="Q122" s="318">
        <f t="shared" si="87"/>
        <v>-52680</v>
      </c>
      <c r="R122" s="318">
        <f t="shared" si="87"/>
        <v>-818795.82</v>
      </c>
      <c r="S122" s="318">
        <f t="shared" si="86"/>
        <v>0</v>
      </c>
      <c r="T122" s="318">
        <f t="shared" si="86"/>
        <v>558230.44846965256</v>
      </c>
      <c r="U122" s="318">
        <f t="shared" si="86"/>
        <v>0</v>
      </c>
      <c r="V122" s="318">
        <f t="shared" si="86"/>
        <v>131397.05000000002</v>
      </c>
      <c r="W122" s="318">
        <f t="shared" ref="W122" si="88">W120+W121</f>
        <v>58726.560672</v>
      </c>
      <c r="X122" s="320"/>
      <c r="Y122" s="318">
        <f t="shared" si="86"/>
        <v>0</v>
      </c>
      <c r="Z122" s="318">
        <f t="shared" ref="Z122" si="89">Z120+Z121</f>
        <v>0</v>
      </c>
      <c r="AA122" s="318">
        <f t="shared" ref="AA122:AF122" si="90">AA120+AA121</f>
        <v>0</v>
      </c>
      <c r="AB122" s="318">
        <f t="shared" si="90"/>
        <v>0</v>
      </c>
      <c r="AC122" s="318">
        <f t="shared" si="90"/>
        <v>0</v>
      </c>
      <c r="AD122" s="318">
        <f t="shared" si="90"/>
        <v>0</v>
      </c>
      <c r="AE122" s="318">
        <f t="shared" si="90"/>
        <v>-511123.01213993132</v>
      </c>
      <c r="AF122" s="318">
        <f t="shared" si="90"/>
        <v>15948834.94786007</v>
      </c>
    </row>
    <row r="123" spans="1:32">
      <c r="A123" s="290">
        <v>116</v>
      </c>
      <c r="B123" s="336"/>
      <c r="C123" s="305"/>
      <c r="D123" s="310"/>
      <c r="E123" s="311"/>
      <c r="F123" s="322"/>
      <c r="G123" s="313"/>
    </row>
    <row r="124" spans="1:32" ht="16.5" thickBot="1">
      <c r="A124" s="35">
        <v>117</v>
      </c>
      <c r="B124" s="1048" t="s">
        <v>292</v>
      </c>
      <c r="C124" s="1049"/>
      <c r="D124" s="330">
        <f t="shared" ref="D124:G124" si="91">D84+D92+D99+D106+D122+D56</f>
        <v>0</v>
      </c>
      <c r="E124" s="331">
        <f t="shared" si="91"/>
        <v>18884474.25</v>
      </c>
      <c r="F124" s="332">
        <f t="shared" si="91"/>
        <v>21632870.359999999</v>
      </c>
      <c r="G124" s="333">
        <f t="shared" si="91"/>
        <v>40517344.609999999</v>
      </c>
    </row>
    <row r="125" spans="1:32" ht="16.5" thickTop="1">
      <c r="A125" s="290">
        <v>118</v>
      </c>
      <c r="B125" s="359"/>
      <c r="C125" s="360"/>
      <c r="D125" s="310"/>
      <c r="E125" s="324"/>
      <c r="F125" s="322"/>
      <c r="G125" s="313"/>
    </row>
    <row r="126" spans="1:32">
      <c r="A126" s="35">
        <v>119</v>
      </c>
      <c r="B126" s="304" t="s">
        <v>293</v>
      </c>
      <c r="C126" s="305"/>
      <c r="D126" s="310"/>
      <c r="E126" s="311"/>
      <c r="F126" s="322"/>
      <c r="G126" s="313"/>
    </row>
    <row r="127" spans="1:32">
      <c r="A127" s="290">
        <v>120</v>
      </c>
      <c r="B127" s="308" t="s">
        <v>294</v>
      </c>
      <c r="C127" s="309" t="s">
        <v>295</v>
      </c>
      <c r="D127" s="310"/>
      <c r="E127" s="324">
        <v>0</v>
      </c>
      <c r="F127" s="352">
        <v>19218442.350000001</v>
      </c>
      <c r="G127" s="325">
        <f t="shared" ref="G127:G133" si="92">SUM(E127:F127)</f>
        <v>19218442.350000001</v>
      </c>
      <c r="U127" s="91">
        <f>+'Pro Forma Plant Additions'!E18</f>
        <v>472868.90784800722</v>
      </c>
      <c r="Z127" s="91">
        <f>+'CRM Adjustment (a)'!E16</f>
        <v>78010.890174750049</v>
      </c>
      <c r="AE127" s="314">
        <f t="shared" ref="AE127:AE133" si="93">SUM(I127:AD127)</f>
        <v>550879.79802275728</v>
      </c>
      <c r="AF127" s="314">
        <f t="shared" ref="AF127:AF133" si="94">+G127+AE127</f>
        <v>19769322.14802276</v>
      </c>
    </row>
    <row r="128" spans="1:32">
      <c r="A128" s="35">
        <v>121</v>
      </c>
      <c r="B128" s="336"/>
      <c r="C128" s="309" t="s">
        <v>296</v>
      </c>
      <c r="D128" s="327"/>
      <c r="E128" s="324">
        <v>0</v>
      </c>
      <c r="F128" s="352">
        <v>0</v>
      </c>
      <c r="G128" s="361">
        <f t="shared" si="92"/>
        <v>0</v>
      </c>
      <c r="AE128" s="314">
        <f t="shared" si="93"/>
        <v>0</v>
      </c>
      <c r="AF128" s="314">
        <f t="shared" si="94"/>
        <v>0</v>
      </c>
    </row>
    <row r="129" spans="1:32">
      <c r="A129" s="290">
        <v>122</v>
      </c>
      <c r="B129" s="336"/>
      <c r="C129" s="309" t="s">
        <v>297</v>
      </c>
      <c r="D129" s="327"/>
      <c r="E129" s="324">
        <v>0</v>
      </c>
      <c r="F129" s="352">
        <v>0</v>
      </c>
      <c r="G129" s="361">
        <f t="shared" si="92"/>
        <v>0</v>
      </c>
      <c r="AE129" s="314">
        <f t="shared" si="93"/>
        <v>0</v>
      </c>
      <c r="AF129" s="314">
        <f t="shared" si="94"/>
        <v>0</v>
      </c>
    </row>
    <row r="130" spans="1:32">
      <c r="A130" s="35">
        <v>123</v>
      </c>
      <c r="B130" s="336"/>
      <c r="C130" s="309" t="s">
        <v>298</v>
      </c>
      <c r="D130" s="310"/>
      <c r="E130" s="362">
        <v>0</v>
      </c>
      <c r="F130" s="352">
        <v>0</v>
      </c>
      <c r="G130" s="325">
        <f t="shared" si="92"/>
        <v>0</v>
      </c>
      <c r="AE130" s="314">
        <f t="shared" si="93"/>
        <v>0</v>
      </c>
      <c r="AF130" s="314">
        <f t="shared" si="94"/>
        <v>0</v>
      </c>
    </row>
    <row r="131" spans="1:32">
      <c r="A131" s="290">
        <v>124</v>
      </c>
      <c r="B131" s="336"/>
      <c r="C131" s="309" t="s">
        <v>299</v>
      </c>
      <c r="D131" s="327"/>
      <c r="E131" s="324">
        <v>0</v>
      </c>
      <c r="F131" s="352">
        <v>0</v>
      </c>
      <c r="G131" s="361">
        <f t="shared" si="92"/>
        <v>0</v>
      </c>
      <c r="AE131" s="314">
        <f t="shared" si="93"/>
        <v>0</v>
      </c>
      <c r="AF131" s="314">
        <f t="shared" si="94"/>
        <v>0</v>
      </c>
    </row>
    <row r="132" spans="1:32">
      <c r="A132" s="35">
        <v>125</v>
      </c>
      <c r="B132" s="336"/>
      <c r="C132" s="309" t="s">
        <v>300</v>
      </c>
      <c r="D132" s="327"/>
      <c r="E132" s="324">
        <v>0</v>
      </c>
      <c r="F132" s="352">
        <v>0</v>
      </c>
      <c r="G132" s="361">
        <f t="shared" si="92"/>
        <v>0</v>
      </c>
      <c r="AE132" s="314">
        <f t="shared" si="93"/>
        <v>0</v>
      </c>
      <c r="AF132" s="314">
        <f t="shared" si="94"/>
        <v>0</v>
      </c>
    </row>
    <row r="133" spans="1:32">
      <c r="A133" s="290">
        <v>126</v>
      </c>
      <c r="B133" s="308" t="s">
        <v>301</v>
      </c>
      <c r="C133" s="309" t="s">
        <v>302</v>
      </c>
      <c r="D133" s="327"/>
      <c r="E133" s="324">
        <v>0</v>
      </c>
      <c r="F133" s="352">
        <v>0</v>
      </c>
      <c r="G133" s="361">
        <f t="shared" si="92"/>
        <v>0</v>
      </c>
      <c r="AE133" s="314">
        <f t="shared" si="93"/>
        <v>0</v>
      </c>
      <c r="AF133" s="314">
        <f t="shared" si="94"/>
        <v>0</v>
      </c>
    </row>
    <row r="134" spans="1:32">
      <c r="A134" s="35">
        <v>127</v>
      </c>
      <c r="B134" s="304" t="s">
        <v>303</v>
      </c>
      <c r="C134" s="305"/>
      <c r="D134" s="315"/>
      <c r="E134" s="316">
        <f t="shared" ref="E134:Z134" si="95">SUM(E127:E133)</f>
        <v>0</v>
      </c>
      <c r="F134" s="329">
        <f t="shared" si="95"/>
        <v>19218442.350000001</v>
      </c>
      <c r="G134" s="318">
        <f t="shared" si="95"/>
        <v>19218442.350000001</v>
      </c>
      <c r="I134" s="318">
        <f t="shared" si="95"/>
        <v>0</v>
      </c>
      <c r="J134" s="318">
        <f t="shared" si="95"/>
        <v>0</v>
      </c>
      <c r="K134" s="319">
        <f>SUM(K127:K133)</f>
        <v>0</v>
      </c>
      <c r="L134" s="318">
        <f t="shared" si="95"/>
        <v>0</v>
      </c>
      <c r="M134" s="318">
        <f t="shared" ref="M134:R134" si="96">SUM(M127:M133)</f>
        <v>0</v>
      </c>
      <c r="N134" s="318">
        <f t="shared" si="96"/>
        <v>0</v>
      </c>
      <c r="O134" s="318">
        <f t="shared" si="96"/>
        <v>0</v>
      </c>
      <c r="P134" s="318">
        <f t="shared" si="96"/>
        <v>0</v>
      </c>
      <c r="Q134" s="318">
        <f t="shared" si="96"/>
        <v>0</v>
      </c>
      <c r="R134" s="318">
        <f t="shared" si="96"/>
        <v>0</v>
      </c>
      <c r="S134" s="318">
        <f t="shared" si="95"/>
        <v>0</v>
      </c>
      <c r="T134" s="318">
        <f t="shared" si="95"/>
        <v>0</v>
      </c>
      <c r="U134" s="318">
        <f t="shared" si="95"/>
        <v>472868.90784800722</v>
      </c>
      <c r="V134" s="318">
        <f t="shared" si="95"/>
        <v>0</v>
      </c>
      <c r="W134" s="318"/>
      <c r="X134" s="320">
        <f t="shared" si="95"/>
        <v>0</v>
      </c>
      <c r="Y134" s="318">
        <f t="shared" si="95"/>
        <v>0</v>
      </c>
      <c r="Z134" s="318">
        <f t="shared" si="95"/>
        <v>78010.890174750049</v>
      </c>
      <c r="AA134" s="318">
        <f t="shared" ref="AA134:AF134" si="97">SUM(AA127:AA133)</f>
        <v>0</v>
      </c>
      <c r="AB134" s="318">
        <f t="shared" si="97"/>
        <v>0</v>
      </c>
      <c r="AC134" s="318">
        <f t="shared" si="97"/>
        <v>0</v>
      </c>
      <c r="AD134" s="318">
        <f t="shared" si="97"/>
        <v>0</v>
      </c>
      <c r="AE134" s="318">
        <f t="shared" si="97"/>
        <v>550879.79802275728</v>
      </c>
      <c r="AF134" s="318">
        <f t="shared" si="97"/>
        <v>19769322.14802276</v>
      </c>
    </row>
    <row r="135" spans="1:32">
      <c r="A135" s="290">
        <v>128</v>
      </c>
      <c r="B135" s="336"/>
      <c r="C135" s="305"/>
      <c r="D135" s="310"/>
      <c r="E135" s="311"/>
      <c r="F135" s="322"/>
      <c r="G135" s="313"/>
    </row>
    <row r="136" spans="1:32">
      <c r="A136" s="35">
        <v>129</v>
      </c>
      <c r="B136" s="323" t="s">
        <v>304</v>
      </c>
      <c r="C136" s="305" t="s">
        <v>37</v>
      </c>
      <c r="D136" s="327"/>
      <c r="E136" s="326">
        <v>0</v>
      </c>
      <c r="F136" s="312">
        <v>0</v>
      </c>
      <c r="G136" s="328">
        <f>SUM(E136:F136)</f>
        <v>0</v>
      </c>
    </row>
    <row r="137" spans="1:32">
      <c r="A137" s="290">
        <v>130</v>
      </c>
      <c r="B137" s="336"/>
      <c r="C137" s="305"/>
      <c r="D137" s="310"/>
      <c r="E137" s="311"/>
      <c r="F137" s="322"/>
      <c r="G137" s="313"/>
      <c r="AE137" s="314">
        <f>SUM(I137:AD137)</f>
        <v>0</v>
      </c>
      <c r="AF137" s="314">
        <f>+G137+AE137</f>
        <v>0</v>
      </c>
    </row>
    <row r="138" spans="1:32">
      <c r="A138" s="35">
        <v>131</v>
      </c>
      <c r="B138" s="304" t="s">
        <v>305</v>
      </c>
      <c r="C138" s="305"/>
      <c r="D138" s="310"/>
      <c r="E138" s="311"/>
      <c r="F138" s="322"/>
      <c r="G138" s="313"/>
    </row>
    <row r="139" spans="1:32">
      <c r="A139" s="290">
        <v>132</v>
      </c>
      <c r="B139" s="308" t="s">
        <v>306</v>
      </c>
      <c r="C139" s="309" t="s">
        <v>307</v>
      </c>
      <c r="D139" s="342"/>
      <c r="E139" s="343">
        <v>3209664.98</v>
      </c>
      <c r="F139" s="353">
        <v>885968.83</v>
      </c>
      <c r="G139" s="345">
        <f>SUM(E139:F139)</f>
        <v>4095633.81</v>
      </c>
      <c r="O139" s="350">
        <f>+'Pro Forma Wage Adjustment'!P17</f>
        <v>5473.850499682937</v>
      </c>
      <c r="T139" s="91">
        <f>+'Pro Forma Wage Adjustment'!Q17</f>
        <v>79079.556487457827</v>
      </c>
      <c r="U139" s="91">
        <f>+'Pro Forma Plant Additions'!E12</f>
        <v>205713.14582312672</v>
      </c>
      <c r="W139" s="91">
        <f>+'Pro Forma Compliance Department'!L17</f>
        <v>9983.5153142399995</v>
      </c>
      <c r="AE139" s="314">
        <f>SUM(I139:AD139)</f>
        <v>300250.0681245075</v>
      </c>
      <c r="AF139" s="314">
        <f>+G139+AE139</f>
        <v>4395883.8781245071</v>
      </c>
    </row>
    <row r="140" spans="1:32">
      <c r="A140" s="35">
        <v>133</v>
      </c>
      <c r="B140" s="336"/>
      <c r="C140" s="305"/>
      <c r="D140" s="310"/>
      <c r="E140" s="311"/>
      <c r="F140" s="322"/>
      <c r="G140" s="313"/>
    </row>
    <row r="141" spans="1:32">
      <c r="A141" s="290">
        <v>134</v>
      </c>
      <c r="B141" s="304" t="s">
        <v>308</v>
      </c>
      <c r="C141" s="305"/>
      <c r="D141" s="310"/>
      <c r="E141" s="311"/>
      <c r="F141" s="322"/>
      <c r="G141" s="313"/>
    </row>
    <row r="142" spans="1:32">
      <c r="A142" s="35">
        <v>135</v>
      </c>
      <c r="B142" s="363" t="s">
        <v>309</v>
      </c>
      <c r="C142" s="364" t="s">
        <v>310</v>
      </c>
      <c r="D142" s="327"/>
      <c r="E142" s="326">
        <v>3159842.45</v>
      </c>
      <c r="F142" s="312">
        <v>0</v>
      </c>
      <c r="G142" s="328">
        <f>SUM(E142:F142)/0.35*0.21</f>
        <v>1895905.4700000002</v>
      </c>
      <c r="I142" s="91">
        <f>+'Exh MPP-11 - Summary of Adj'!G33</f>
        <v>994304.42471379379</v>
      </c>
      <c r="J142" s="91">
        <f>+'Exh MPP-11 - Summary of Adj'!H33</f>
        <v>11491.078399999999</v>
      </c>
      <c r="K142" s="274">
        <f>+'Exh MPP-11 - Summary of Adj'!I33</f>
        <v>-484945.22799935215</v>
      </c>
      <c r="L142" s="91">
        <f>+'Exh MPP-11 - Summary of Adj'!J33</f>
        <v>112000.00559999999</v>
      </c>
      <c r="M142" s="91">
        <f>+'Exh MPP-11 - Summary of Adj'!K33</f>
        <v>26776.68</v>
      </c>
      <c r="N142" s="91">
        <f>+'Exh MPP-11 - Summary of Adj'!L33</f>
        <v>44258.759999999995</v>
      </c>
      <c r="O142" s="91">
        <f>+'Exh MPP-11 - Summary of Adj'!M33</f>
        <v>-16175.764878572854</v>
      </c>
      <c r="P142" s="91">
        <f>+'Exh MPP-11 - Summary of Adj'!N33</f>
        <v>11130</v>
      </c>
      <c r="Q142" s="91">
        <f>+'Exh MPP-11 - Summary of Adj'!O33</f>
        <v>11062.8</v>
      </c>
      <c r="R142" s="91">
        <f>+'Exh MPP-11 - Summary of Adj'!P33</f>
        <v>171947.12219999998</v>
      </c>
      <c r="S142" s="91">
        <f>+'Exh MPP-11 - Summary of Adj'!R33</f>
        <v>106534.04613614621</v>
      </c>
      <c r="T142" s="91">
        <f>+'Exh MPP-11 - Summary of Adj'!S33</f>
        <v>-311285.10363229207</v>
      </c>
      <c r="U142" s="91">
        <f>+'Exh MPP-11 - Summary of Adj'!T33</f>
        <v>-102374.63768059625</v>
      </c>
      <c r="V142" s="91">
        <f>+'Exh MPP-11 - Summary of Adj'!U33</f>
        <v>-27593.380500000003</v>
      </c>
      <c r="W142" s="91">
        <f>+'Exh MPP-11 - Summary of Adj'!V33</f>
        <v>-41834.844270710404</v>
      </c>
      <c r="X142" s="273">
        <f>+'Exh MPP-11 - Summary of Adj'!W33</f>
        <v>-126812.58429</v>
      </c>
      <c r="Y142" s="91">
        <f>+'Exh MPP-11 - Summary of Adj'!X33</f>
        <v>-20399.568331368449</v>
      </c>
      <c r="Z142" s="91">
        <f>+'Exh MPP-11 - Summary of Adj'!Y33</f>
        <v>-16382.28693669751</v>
      </c>
      <c r="AA142" s="91">
        <f>+'Exh MPP-11 - Summary of Adj'!Z33</f>
        <v>1047642.3144322047</v>
      </c>
      <c r="AC142" s="150"/>
      <c r="AE142" s="314">
        <f t="shared" ref="AE142:AE147" si="98">SUM(I142:AD142)</f>
        <v>1389343.8329625551</v>
      </c>
      <c r="AF142" s="314">
        <f t="shared" ref="AF142:AF147" si="99">+G142+AE142</f>
        <v>3285249.3029625556</v>
      </c>
    </row>
    <row r="143" spans="1:32">
      <c r="A143" s="290">
        <v>136</v>
      </c>
      <c r="B143" s="363" t="s">
        <v>309</v>
      </c>
      <c r="C143" s="364" t="s">
        <v>311</v>
      </c>
      <c r="D143" s="327"/>
      <c r="E143" s="326">
        <v>0</v>
      </c>
      <c r="F143" s="312">
        <v>0</v>
      </c>
      <c r="G143" s="328">
        <f t="shared" ref="G143:G147" si="100">SUM(E143:F143)</f>
        <v>0</v>
      </c>
      <c r="AE143" s="314">
        <f t="shared" si="98"/>
        <v>0</v>
      </c>
      <c r="AF143" s="314">
        <f t="shared" si="99"/>
        <v>0</v>
      </c>
    </row>
    <row r="144" spans="1:32">
      <c r="A144" s="35">
        <v>137</v>
      </c>
      <c r="B144" s="363" t="s">
        <v>312</v>
      </c>
      <c r="C144" s="364" t="s">
        <v>313</v>
      </c>
      <c r="D144" s="327"/>
      <c r="E144" s="326">
        <v>1031914.19</v>
      </c>
      <c r="F144" s="312">
        <v>0</v>
      </c>
      <c r="G144" s="328">
        <f>SUM(E144:F144)/0.35*0.21</f>
        <v>619148.51399999997</v>
      </c>
      <c r="AB144" s="187">
        <f>(-1699491.69-789473)*0.7724</f>
        <v>-1922476.3265559999</v>
      </c>
      <c r="AE144" s="314">
        <f t="shared" si="98"/>
        <v>-1922476.3265559999</v>
      </c>
      <c r="AF144" s="314">
        <f t="shared" si="99"/>
        <v>-1303327.812556</v>
      </c>
    </row>
    <row r="145" spans="1:32">
      <c r="A145" s="290">
        <v>138</v>
      </c>
      <c r="B145" s="363" t="s">
        <v>312</v>
      </c>
      <c r="C145" s="364" t="s">
        <v>314</v>
      </c>
      <c r="D145" s="327"/>
      <c r="E145" s="326">
        <v>0</v>
      </c>
      <c r="F145" s="312">
        <v>0</v>
      </c>
      <c r="G145" s="328">
        <f t="shared" si="100"/>
        <v>0</v>
      </c>
      <c r="AE145" s="314">
        <f t="shared" si="98"/>
        <v>0</v>
      </c>
      <c r="AF145" s="314">
        <f t="shared" si="99"/>
        <v>0</v>
      </c>
    </row>
    <row r="146" spans="1:32">
      <c r="A146" s="35">
        <v>139</v>
      </c>
      <c r="B146" s="363" t="s">
        <v>315</v>
      </c>
      <c r="C146" s="364" t="s">
        <v>316</v>
      </c>
      <c r="D146" s="327"/>
      <c r="E146" s="326">
        <v>0</v>
      </c>
      <c r="F146" s="312">
        <v>0</v>
      </c>
      <c r="G146" s="328">
        <f t="shared" si="100"/>
        <v>0</v>
      </c>
      <c r="AE146" s="314">
        <f t="shared" si="98"/>
        <v>0</v>
      </c>
      <c r="AF146" s="314">
        <f t="shared" si="99"/>
        <v>0</v>
      </c>
    </row>
    <row r="147" spans="1:32">
      <c r="A147" s="290">
        <v>140</v>
      </c>
      <c r="B147" s="363" t="s">
        <v>317</v>
      </c>
      <c r="C147" s="364" t="s">
        <v>318</v>
      </c>
      <c r="D147" s="310"/>
      <c r="E147" s="326">
        <v>0</v>
      </c>
      <c r="F147" s="312">
        <v>-37382.410000000003</v>
      </c>
      <c r="G147" s="325">
        <f t="shared" si="100"/>
        <v>-37382.410000000003</v>
      </c>
      <c r="AE147" s="314">
        <f t="shared" si="98"/>
        <v>0</v>
      </c>
      <c r="AF147" s="314">
        <f t="shared" si="99"/>
        <v>-37382.410000000003</v>
      </c>
    </row>
    <row r="148" spans="1:32">
      <c r="A148" s="35">
        <v>141</v>
      </c>
      <c r="B148" s="304" t="s">
        <v>319</v>
      </c>
      <c r="C148" s="305"/>
      <c r="D148" s="315"/>
      <c r="E148" s="316">
        <f t="shared" ref="E148:G148" si="101">SUM(E142:E147)</f>
        <v>4191756.64</v>
      </c>
      <c r="F148" s="329">
        <f t="shared" si="101"/>
        <v>-37382.410000000003</v>
      </c>
      <c r="G148" s="318">
        <f t="shared" si="101"/>
        <v>2477671.574</v>
      </c>
      <c r="I148" s="318">
        <f t="shared" ref="I148:V148" si="102">SUM(I142:I147)</f>
        <v>994304.42471379379</v>
      </c>
      <c r="J148" s="318">
        <f t="shared" si="102"/>
        <v>11491.078399999999</v>
      </c>
      <c r="K148" s="319">
        <f>SUM(K142:K147)</f>
        <v>-484945.22799935215</v>
      </c>
      <c r="L148" s="318">
        <f>SUM(L142:L147)</f>
        <v>112000.00559999999</v>
      </c>
      <c r="M148" s="318">
        <f t="shared" ref="M148:R148" si="103">SUM(M142:M147)</f>
        <v>26776.68</v>
      </c>
      <c r="N148" s="318">
        <f t="shared" si="103"/>
        <v>44258.759999999995</v>
      </c>
      <c r="O148" s="318">
        <f t="shared" si="103"/>
        <v>-16175.764878572854</v>
      </c>
      <c r="P148" s="318">
        <f t="shared" si="103"/>
        <v>11130</v>
      </c>
      <c r="Q148" s="318">
        <f t="shared" si="103"/>
        <v>11062.8</v>
      </c>
      <c r="R148" s="318">
        <f t="shared" si="103"/>
        <v>171947.12219999998</v>
      </c>
      <c r="S148" s="318">
        <f t="shared" si="102"/>
        <v>106534.04613614621</v>
      </c>
      <c r="T148" s="318">
        <f t="shared" si="102"/>
        <v>-311285.10363229207</v>
      </c>
      <c r="U148" s="318">
        <f t="shared" si="102"/>
        <v>-102374.63768059625</v>
      </c>
      <c r="V148" s="318">
        <f t="shared" si="102"/>
        <v>-27593.380500000003</v>
      </c>
      <c r="W148" s="318">
        <f t="shared" ref="W148" si="104">SUM(W142:W147)</f>
        <v>-41834.844270710404</v>
      </c>
      <c r="X148" s="320">
        <f t="shared" ref="X148:AF148" si="105">SUM(X142:X147)</f>
        <v>-126812.58429</v>
      </c>
      <c r="Y148" s="318">
        <f t="shared" si="105"/>
        <v>-20399.568331368449</v>
      </c>
      <c r="Z148" s="318">
        <f t="shared" ref="Z148" si="106">SUM(Z142:Z147)</f>
        <v>-16382.28693669751</v>
      </c>
      <c r="AA148" s="318">
        <f t="shared" si="105"/>
        <v>1047642.3144322047</v>
      </c>
      <c r="AB148" s="318">
        <f t="shared" ref="AB148" si="107">SUM(AB142:AB147)</f>
        <v>-1922476.3265559999</v>
      </c>
      <c r="AC148" s="318">
        <f t="shared" si="105"/>
        <v>0</v>
      </c>
      <c r="AD148" s="318">
        <f t="shared" si="105"/>
        <v>0</v>
      </c>
      <c r="AE148" s="318">
        <f t="shared" si="105"/>
        <v>-533132.49359344481</v>
      </c>
      <c r="AF148" s="318">
        <f t="shared" si="105"/>
        <v>1944539.0804065557</v>
      </c>
    </row>
    <row r="149" spans="1:32">
      <c r="A149" s="290">
        <v>142</v>
      </c>
      <c r="B149" s="304" t="s">
        <v>320</v>
      </c>
      <c r="C149" s="305"/>
      <c r="D149" s="310"/>
      <c r="E149" s="311">
        <f t="shared" ref="E149:G149" si="108">E84+E92+E99+E106+E122+E134+E136+E139+E148+E56</f>
        <v>26285895.870000001</v>
      </c>
      <c r="F149" s="322">
        <f t="shared" si="108"/>
        <v>41699899.130000003</v>
      </c>
      <c r="G149" s="313">
        <f t="shared" si="108"/>
        <v>66309092.344000004</v>
      </c>
      <c r="I149" s="313">
        <f t="shared" ref="I149:V149" si="109">I84+I92+I99+I106+I122+I134+I136+I139+I148+I56</f>
        <v>1052990.3796698852</v>
      </c>
      <c r="J149" s="313">
        <f t="shared" si="109"/>
        <v>-43225.961599999995</v>
      </c>
      <c r="K149" s="328">
        <f>K84+K92+K99+K106+K122+K134+K136+K139+K148+K56</f>
        <v>-518055.30078498757</v>
      </c>
      <c r="L149" s="313">
        <f>L84+L92+L99+L106+L122+L134+L136+L139+L148+L56</f>
        <v>-421333.35440000001</v>
      </c>
      <c r="M149" s="313">
        <f t="shared" ref="M149:R149" si="110">M84+M92+M99+M106+M122+M134+M136+M139+M148+M56</f>
        <v>-100731.32</v>
      </c>
      <c r="N149" s="313">
        <f t="shared" si="110"/>
        <v>-166497.24</v>
      </c>
      <c r="O149" s="313">
        <f t="shared" si="110"/>
        <v>60851.68692415503</v>
      </c>
      <c r="P149" s="313">
        <f t="shared" si="110"/>
        <v>-41870</v>
      </c>
      <c r="Q149" s="313">
        <f t="shared" si="110"/>
        <v>-41617.199999999997</v>
      </c>
      <c r="R149" s="313">
        <f t="shared" si="110"/>
        <v>-646848.69779999997</v>
      </c>
      <c r="S149" s="313">
        <f t="shared" si="109"/>
        <v>106534.04613614621</v>
      </c>
      <c r="T149" s="313">
        <f t="shared" si="109"/>
        <v>1171024.913664337</v>
      </c>
      <c r="U149" s="313">
        <f t="shared" si="109"/>
        <v>576965.81016090978</v>
      </c>
      <c r="V149" s="313">
        <f t="shared" si="109"/>
        <v>103803.66950000002</v>
      </c>
      <c r="W149" s="313">
        <f t="shared" ref="W149" si="111">W84+W92+W99+W106+W122+W134+W136+W139+W148+W56</f>
        <v>157378.69987552962</v>
      </c>
      <c r="X149" s="341">
        <f t="shared" ref="X149:AF149" si="112">X84+X92+X99+X106+X122+X134+X136+X139+X148+X56</f>
        <v>477056.86470999999</v>
      </c>
      <c r="Y149" s="313">
        <f t="shared" si="112"/>
        <v>-20785.111353423461</v>
      </c>
      <c r="Z149" s="313">
        <f t="shared" ref="Z149" si="113">Z84+Z92+Z99+Z106+Z122+Z134+Z136+Z139+Z148+Z56</f>
        <v>61628.603238052543</v>
      </c>
      <c r="AA149" s="313">
        <f t="shared" si="112"/>
        <v>1067442.301244563</v>
      </c>
      <c r="AB149" s="313">
        <f t="shared" ref="AB149" si="114">AB84+AB92+AB99+AB106+AB122+AB134+AB136+AB139+AB148+AB56</f>
        <v>-1922476.3265559999</v>
      </c>
      <c r="AC149" s="313">
        <f t="shared" si="112"/>
        <v>0</v>
      </c>
      <c r="AD149" s="313">
        <f t="shared" si="112"/>
        <v>0</v>
      </c>
      <c r="AE149" s="313">
        <f t="shared" si="112"/>
        <v>912236.46262916713</v>
      </c>
      <c r="AF149" s="313">
        <f t="shared" si="112"/>
        <v>67221328.806629166</v>
      </c>
    </row>
    <row r="150" spans="1:32" ht="16.5" thickBot="1">
      <c r="A150" s="35">
        <v>143</v>
      </c>
      <c r="B150" s="304" t="s">
        <v>321</v>
      </c>
      <c r="C150" s="305"/>
      <c r="D150" s="365">
        <f t="shared" ref="D150:G150" si="115">D53-D149</f>
        <v>0</v>
      </c>
      <c r="E150" s="366">
        <f t="shared" si="115"/>
        <v>58213090.219999999</v>
      </c>
      <c r="F150" s="367">
        <f t="shared" si="115"/>
        <v>-41608428.039999999</v>
      </c>
      <c r="G150" s="368">
        <f t="shared" si="115"/>
        <v>18281364.836000003</v>
      </c>
      <c r="I150" s="368">
        <f t="shared" ref="I150:V150" si="116">I53-I149</f>
        <v>3740478.5501137953</v>
      </c>
      <c r="J150" s="368">
        <f t="shared" si="116"/>
        <v>43225.961599999995</v>
      </c>
      <c r="K150" s="369">
        <f>K53-K149</f>
        <v>-1824317.7624737534</v>
      </c>
      <c r="L150" s="368">
        <f>L53-L149</f>
        <v>421333.35440000001</v>
      </c>
      <c r="M150" s="368">
        <f t="shared" ref="M150:R150" si="117">M53-M149</f>
        <v>100731.32</v>
      </c>
      <c r="N150" s="368">
        <f t="shared" si="117"/>
        <v>166497.24</v>
      </c>
      <c r="O150" s="368">
        <f t="shared" si="117"/>
        <v>-60851.68692415503</v>
      </c>
      <c r="P150" s="368">
        <f t="shared" si="117"/>
        <v>41870</v>
      </c>
      <c r="Q150" s="368">
        <f t="shared" si="117"/>
        <v>41617.199999999997</v>
      </c>
      <c r="R150" s="368">
        <f t="shared" si="117"/>
        <v>646848.69779999997</v>
      </c>
      <c r="S150" s="368">
        <f t="shared" si="116"/>
        <v>-106534.04613614621</v>
      </c>
      <c r="T150" s="368">
        <f t="shared" si="116"/>
        <v>-1171024.913664337</v>
      </c>
      <c r="U150" s="368">
        <f t="shared" si="116"/>
        <v>-385123.6369889098</v>
      </c>
      <c r="V150" s="368">
        <f t="shared" si="116"/>
        <v>-103803.66950000002</v>
      </c>
      <c r="W150" s="368">
        <f t="shared" ref="W150" si="118">W53-W149</f>
        <v>-157378.69987552962</v>
      </c>
      <c r="X150" s="370">
        <f t="shared" ref="X150:AF150" si="119">X53-X149</f>
        <v>-477056.86470999999</v>
      </c>
      <c r="Y150" s="368">
        <f t="shared" si="119"/>
        <v>-76741.233246576536</v>
      </c>
      <c r="Z150" s="368">
        <f t="shared" ref="Z150" si="120">Z53-Z149</f>
        <v>-61628.603238052543</v>
      </c>
      <c r="AA150" s="368">
        <f t="shared" si="119"/>
        <v>3941130.6114354371</v>
      </c>
      <c r="AB150" s="368">
        <f t="shared" ref="AB150" si="121">AB53-AB149</f>
        <v>1922476.3265559999</v>
      </c>
      <c r="AC150" s="368">
        <f t="shared" si="119"/>
        <v>0</v>
      </c>
      <c r="AD150" s="368">
        <f t="shared" si="119"/>
        <v>0</v>
      </c>
      <c r="AE150" s="368">
        <f t="shared" si="119"/>
        <v>6641748.1451477706</v>
      </c>
      <c r="AF150" s="368">
        <f t="shared" si="119"/>
        <v>24923112.981147766</v>
      </c>
    </row>
    <row r="151" spans="1:32" ht="16.5" thickTop="1">
      <c r="A151" s="290">
        <v>144</v>
      </c>
      <c r="B151" s="336"/>
      <c r="C151" s="305"/>
      <c r="D151" s="310"/>
      <c r="E151" s="311"/>
      <c r="F151" s="322"/>
      <c r="G151" s="313"/>
      <c r="AF151" s="371"/>
    </row>
    <row r="152" spans="1:32">
      <c r="A152" s="35">
        <v>145</v>
      </c>
      <c r="B152" s="304" t="s">
        <v>322</v>
      </c>
      <c r="C152" s="305"/>
      <c r="D152" s="310"/>
      <c r="E152" s="311"/>
      <c r="F152" s="322"/>
      <c r="G152" s="313"/>
    </row>
    <row r="153" spans="1:32">
      <c r="A153" s="290">
        <v>146</v>
      </c>
      <c r="B153" s="308" t="s">
        <v>87</v>
      </c>
      <c r="C153" s="309" t="s">
        <v>323</v>
      </c>
      <c r="D153" s="310"/>
      <c r="E153" s="362">
        <v>0</v>
      </c>
      <c r="F153" s="352">
        <v>8531170.2699999996</v>
      </c>
      <c r="G153" s="325">
        <f t="shared" ref="G153:G158" si="122">SUM(E153:F153)</f>
        <v>8531170.2699999996</v>
      </c>
    </row>
    <row r="154" spans="1:32">
      <c r="A154" s="35">
        <v>147</v>
      </c>
      <c r="B154" s="308" t="s">
        <v>88</v>
      </c>
      <c r="C154" s="309" t="s">
        <v>89</v>
      </c>
      <c r="D154" s="310"/>
      <c r="E154" s="362">
        <v>0</v>
      </c>
      <c r="F154" s="352">
        <v>131614.6</v>
      </c>
      <c r="G154" s="325">
        <f t="shared" si="122"/>
        <v>131614.6</v>
      </c>
    </row>
    <row r="155" spans="1:32">
      <c r="A155" s="290">
        <v>148</v>
      </c>
      <c r="B155" s="308" t="s">
        <v>90</v>
      </c>
      <c r="C155" s="309" t="s">
        <v>91</v>
      </c>
      <c r="D155" s="310"/>
      <c r="E155" s="362">
        <v>0</v>
      </c>
      <c r="F155" s="352">
        <v>31363.08</v>
      </c>
      <c r="G155" s="325">
        <f t="shared" si="122"/>
        <v>31363.08</v>
      </c>
    </row>
    <row r="156" spans="1:32">
      <c r="A156" s="35">
        <v>149</v>
      </c>
      <c r="B156" s="308" t="s">
        <v>324</v>
      </c>
      <c r="C156" s="309" t="s">
        <v>325</v>
      </c>
      <c r="D156" s="310"/>
      <c r="E156" s="324">
        <v>228343.44</v>
      </c>
      <c r="F156" s="372">
        <v>0</v>
      </c>
      <c r="G156" s="325">
        <f t="shared" si="122"/>
        <v>228343.44</v>
      </c>
    </row>
    <row r="157" spans="1:32">
      <c r="A157" s="290">
        <v>150</v>
      </c>
      <c r="B157" s="308" t="s">
        <v>326</v>
      </c>
      <c r="C157" s="309" t="s">
        <v>327</v>
      </c>
      <c r="D157" s="310"/>
      <c r="E157" s="362">
        <v>0</v>
      </c>
      <c r="F157" s="352">
        <v>48641.16</v>
      </c>
      <c r="G157" s="325">
        <f t="shared" si="122"/>
        <v>48641.16</v>
      </c>
    </row>
    <row r="158" spans="1:32">
      <c r="A158" s="35">
        <v>151</v>
      </c>
      <c r="B158" s="308" t="s">
        <v>328</v>
      </c>
      <c r="C158" s="309" t="s">
        <v>329</v>
      </c>
      <c r="D158" s="310"/>
      <c r="E158" s="324">
        <v>-170469.52</v>
      </c>
      <c r="F158" s="372">
        <v>-48651.29</v>
      </c>
      <c r="G158" s="325">
        <f t="shared" si="122"/>
        <v>-219120.81</v>
      </c>
    </row>
    <row r="159" spans="1:32">
      <c r="A159" s="290">
        <v>152</v>
      </c>
      <c r="B159" s="304" t="s">
        <v>330</v>
      </c>
      <c r="C159" s="305"/>
      <c r="D159" s="315"/>
      <c r="E159" s="316">
        <f t="shared" ref="E159:G159" si="123">SUM(E153:E158)</f>
        <v>57873.920000000013</v>
      </c>
      <c r="F159" s="329">
        <f t="shared" si="123"/>
        <v>8694137.8200000003</v>
      </c>
      <c r="G159" s="318">
        <f t="shared" si="123"/>
        <v>8752011.7399999984</v>
      </c>
    </row>
    <row r="160" spans="1:32">
      <c r="A160" s="35">
        <v>153</v>
      </c>
      <c r="B160" s="336"/>
      <c r="C160" s="305"/>
      <c r="D160" s="310"/>
      <c r="E160" s="311"/>
      <c r="F160" s="322"/>
      <c r="G160" s="313"/>
    </row>
    <row r="161" spans="1:7">
      <c r="A161" s="290">
        <v>154</v>
      </c>
      <c r="B161" s="304" t="s">
        <v>331</v>
      </c>
      <c r="C161" s="305"/>
      <c r="D161" s="310"/>
      <c r="E161" s="311"/>
      <c r="F161" s="322"/>
      <c r="G161" s="313"/>
    </row>
    <row r="162" spans="1:7">
      <c r="A162" s="35">
        <v>155</v>
      </c>
      <c r="B162" s="308" t="s">
        <v>332</v>
      </c>
      <c r="C162" s="309" t="s">
        <v>333</v>
      </c>
      <c r="D162" s="327"/>
      <c r="E162" s="326">
        <v>0</v>
      </c>
      <c r="F162" s="312">
        <v>0</v>
      </c>
      <c r="G162" s="328">
        <f t="shared" ref="G162:G171" si="124">SUM(E162:F162)</f>
        <v>0</v>
      </c>
    </row>
    <row r="163" spans="1:7">
      <c r="A163" s="290">
        <v>156</v>
      </c>
      <c r="B163" s="308" t="s">
        <v>334</v>
      </c>
      <c r="C163" s="309" t="s">
        <v>335</v>
      </c>
      <c r="D163" s="327"/>
      <c r="E163" s="326">
        <v>0</v>
      </c>
      <c r="F163" s="312">
        <v>0</v>
      </c>
      <c r="G163" s="328">
        <f t="shared" si="124"/>
        <v>0</v>
      </c>
    </row>
    <row r="164" spans="1:7">
      <c r="A164" s="35">
        <v>157</v>
      </c>
      <c r="B164" s="308" t="s">
        <v>336</v>
      </c>
      <c r="C164" s="309" t="s">
        <v>337</v>
      </c>
      <c r="D164" s="310"/>
      <c r="E164" s="326">
        <v>0</v>
      </c>
      <c r="F164" s="312">
        <v>4723.75</v>
      </c>
      <c r="G164" s="325">
        <f t="shared" si="124"/>
        <v>4723.75</v>
      </c>
    </row>
    <row r="165" spans="1:7">
      <c r="A165" s="290">
        <v>158</v>
      </c>
      <c r="B165" s="308" t="s">
        <v>338</v>
      </c>
      <c r="C165" s="309" t="s">
        <v>339</v>
      </c>
      <c r="D165" s="327"/>
      <c r="E165" s="326">
        <v>0</v>
      </c>
      <c r="F165" s="312">
        <v>0</v>
      </c>
      <c r="G165" s="361">
        <f t="shared" si="124"/>
        <v>0</v>
      </c>
    </row>
    <row r="166" spans="1:7">
      <c r="A166" s="35">
        <v>159</v>
      </c>
      <c r="B166" s="308" t="s">
        <v>340</v>
      </c>
      <c r="C166" s="309" t="s">
        <v>341</v>
      </c>
      <c r="D166" s="327"/>
      <c r="E166" s="326">
        <v>0</v>
      </c>
      <c r="F166" s="312">
        <v>0</v>
      </c>
      <c r="G166" s="361">
        <f t="shared" si="124"/>
        <v>0</v>
      </c>
    </row>
    <row r="167" spans="1:7">
      <c r="A167" s="290">
        <v>160</v>
      </c>
      <c r="B167" s="308" t="s">
        <v>342</v>
      </c>
      <c r="C167" s="309" t="s">
        <v>343</v>
      </c>
      <c r="D167" s="310"/>
      <c r="E167" s="326">
        <v>410490.43</v>
      </c>
      <c r="F167" s="312">
        <v>64724.44</v>
      </c>
      <c r="G167" s="325">
        <f t="shared" si="124"/>
        <v>475214.87</v>
      </c>
    </row>
    <row r="168" spans="1:7">
      <c r="A168" s="35">
        <v>161</v>
      </c>
      <c r="B168" s="308" t="s">
        <v>344</v>
      </c>
      <c r="C168" s="309" t="s">
        <v>345</v>
      </c>
      <c r="D168" s="327"/>
      <c r="E168" s="326">
        <v>215722.3</v>
      </c>
      <c r="F168" s="312">
        <v>61602.75</v>
      </c>
      <c r="G168" s="361">
        <f t="shared" si="124"/>
        <v>277325.05</v>
      </c>
    </row>
    <row r="169" spans="1:7">
      <c r="A169" s="290">
        <v>162</v>
      </c>
      <c r="B169" s="373">
        <v>408.2</v>
      </c>
      <c r="C169" s="309" t="s">
        <v>346</v>
      </c>
      <c r="D169" s="327"/>
      <c r="E169" s="326">
        <v>-3164.36</v>
      </c>
      <c r="F169" s="312">
        <v>0</v>
      </c>
      <c r="G169" s="361">
        <f t="shared" si="124"/>
        <v>-3164.36</v>
      </c>
    </row>
    <row r="170" spans="1:7">
      <c r="A170" s="35">
        <v>163</v>
      </c>
      <c r="B170" s="308" t="s">
        <v>347</v>
      </c>
      <c r="C170" s="309" t="s">
        <v>348</v>
      </c>
      <c r="D170" s="310"/>
      <c r="E170" s="326">
        <v>0</v>
      </c>
      <c r="F170" s="312">
        <v>13297.52</v>
      </c>
      <c r="G170" s="325">
        <f t="shared" si="124"/>
        <v>13297.52</v>
      </c>
    </row>
    <row r="171" spans="1:7">
      <c r="A171" s="290">
        <v>164</v>
      </c>
      <c r="B171" s="308" t="s">
        <v>349</v>
      </c>
      <c r="C171" s="309" t="s">
        <v>610</v>
      </c>
      <c r="D171" s="310"/>
      <c r="E171" s="326">
        <v>0</v>
      </c>
      <c r="F171" s="312">
        <v>0</v>
      </c>
      <c r="G171" s="325">
        <f t="shared" si="124"/>
        <v>0</v>
      </c>
    </row>
    <row r="172" spans="1:7">
      <c r="A172" s="35">
        <v>165</v>
      </c>
      <c r="B172" s="304" t="s">
        <v>350</v>
      </c>
      <c r="C172" s="305"/>
      <c r="D172" s="315"/>
      <c r="E172" s="316">
        <f t="shared" ref="E172:G172" si="125">SUM(E162:E171)</f>
        <v>623048.37</v>
      </c>
      <c r="F172" s="329">
        <f t="shared" si="125"/>
        <v>144348.46</v>
      </c>
      <c r="G172" s="318">
        <f t="shared" si="125"/>
        <v>767396.83</v>
      </c>
    </row>
    <row r="173" spans="1:7">
      <c r="A173" s="290">
        <v>166</v>
      </c>
      <c r="B173" s="336"/>
      <c r="C173" s="305"/>
      <c r="D173" s="310"/>
      <c r="E173" s="311"/>
      <c r="F173" s="322"/>
      <c r="G173" s="313"/>
    </row>
    <row r="174" spans="1:7">
      <c r="A174" s="35">
        <v>167</v>
      </c>
      <c r="B174" s="374" t="s">
        <v>351</v>
      </c>
      <c r="C174" s="360"/>
      <c r="D174" s="310"/>
      <c r="E174" s="311"/>
      <c r="F174" s="322"/>
      <c r="G174" s="313"/>
    </row>
    <row r="175" spans="1:7">
      <c r="A175" s="290">
        <v>168</v>
      </c>
      <c r="B175" s="375" t="s">
        <v>352</v>
      </c>
      <c r="C175" s="376" t="s">
        <v>353</v>
      </c>
      <c r="D175" s="310"/>
      <c r="E175" s="324">
        <v>0</v>
      </c>
      <c r="F175" s="352">
        <v>-142375.35</v>
      </c>
      <c r="G175" s="325">
        <f t="shared" ref="G175:G184" si="126">SUM(E175:F175)</f>
        <v>-142375.35</v>
      </c>
    </row>
    <row r="176" spans="1:7">
      <c r="A176" s="35">
        <v>169</v>
      </c>
      <c r="B176" s="375" t="s">
        <v>352</v>
      </c>
      <c r="C176" s="376" t="s">
        <v>354</v>
      </c>
      <c r="D176" s="327"/>
      <c r="E176" s="326">
        <v>0</v>
      </c>
      <c r="F176" s="352">
        <v>0</v>
      </c>
      <c r="G176" s="328">
        <f t="shared" si="126"/>
        <v>0</v>
      </c>
    </row>
    <row r="177" spans="1:7">
      <c r="A177" s="290">
        <v>170</v>
      </c>
      <c r="B177" s="375" t="s">
        <v>355</v>
      </c>
      <c r="C177" s="376" t="s">
        <v>356</v>
      </c>
      <c r="D177" s="327"/>
      <c r="E177" s="326">
        <v>0</v>
      </c>
      <c r="F177" s="352">
        <v>0</v>
      </c>
      <c r="G177" s="328">
        <f t="shared" si="126"/>
        <v>0</v>
      </c>
    </row>
    <row r="178" spans="1:7">
      <c r="A178" s="35">
        <v>171</v>
      </c>
      <c r="B178" s="375" t="s">
        <v>357</v>
      </c>
      <c r="C178" s="376" t="s">
        <v>358</v>
      </c>
      <c r="D178" s="327"/>
      <c r="E178" s="326">
        <v>0</v>
      </c>
      <c r="F178" s="352">
        <v>0</v>
      </c>
      <c r="G178" s="328">
        <f t="shared" si="126"/>
        <v>0</v>
      </c>
    </row>
    <row r="179" spans="1:7">
      <c r="A179" s="290">
        <v>172</v>
      </c>
      <c r="B179" s="308" t="s">
        <v>359</v>
      </c>
      <c r="C179" s="309" t="s">
        <v>360</v>
      </c>
      <c r="D179" s="327"/>
      <c r="E179" s="326">
        <v>0</v>
      </c>
      <c r="F179" s="352">
        <v>0</v>
      </c>
      <c r="G179" s="328">
        <f t="shared" si="126"/>
        <v>0</v>
      </c>
    </row>
    <row r="180" spans="1:7">
      <c r="A180" s="35">
        <v>173</v>
      </c>
      <c r="B180" s="308" t="s">
        <v>361</v>
      </c>
      <c r="C180" s="309" t="s">
        <v>362</v>
      </c>
      <c r="D180" s="310"/>
      <c r="E180" s="324">
        <v>20309.150000000001</v>
      </c>
      <c r="F180" s="352">
        <v>146508.03</v>
      </c>
      <c r="G180" s="325">
        <f t="shared" si="126"/>
        <v>166817.18</v>
      </c>
    </row>
    <row r="181" spans="1:7">
      <c r="A181" s="290">
        <v>174</v>
      </c>
      <c r="B181" s="308" t="s">
        <v>363</v>
      </c>
      <c r="C181" s="309" t="s">
        <v>364</v>
      </c>
      <c r="D181" s="327"/>
      <c r="E181" s="326">
        <v>0</v>
      </c>
      <c r="F181" s="352">
        <v>0</v>
      </c>
      <c r="G181" s="328">
        <f t="shared" si="126"/>
        <v>0</v>
      </c>
    </row>
    <row r="182" spans="1:7">
      <c r="A182" s="35">
        <v>175</v>
      </c>
      <c r="B182" s="308" t="s">
        <v>365</v>
      </c>
      <c r="C182" s="309" t="s">
        <v>366</v>
      </c>
      <c r="D182" s="327"/>
      <c r="E182" s="326">
        <v>1000000</v>
      </c>
      <c r="F182" s="352">
        <v>891.05</v>
      </c>
      <c r="G182" s="328">
        <f t="shared" si="126"/>
        <v>1000891.05</v>
      </c>
    </row>
    <row r="183" spans="1:7">
      <c r="A183" s="290">
        <v>176</v>
      </c>
      <c r="B183" s="308" t="s">
        <v>367</v>
      </c>
      <c r="C183" s="309" t="s">
        <v>368</v>
      </c>
      <c r="D183" s="310"/>
      <c r="E183" s="324">
        <v>0</v>
      </c>
      <c r="F183" s="352">
        <v>96498.880000000005</v>
      </c>
      <c r="G183" s="325">
        <f t="shared" si="126"/>
        <v>96498.880000000005</v>
      </c>
    </row>
    <row r="184" spans="1:7">
      <c r="A184" s="35">
        <v>177</v>
      </c>
      <c r="B184" s="308" t="s">
        <v>369</v>
      </c>
      <c r="C184" s="309" t="s">
        <v>370</v>
      </c>
      <c r="D184" s="327"/>
      <c r="E184" s="326">
        <v>805</v>
      </c>
      <c r="F184" s="352">
        <v>475.5</v>
      </c>
      <c r="G184" s="328">
        <f t="shared" si="126"/>
        <v>1280.5</v>
      </c>
    </row>
    <row r="185" spans="1:7">
      <c r="A185" s="290">
        <v>178</v>
      </c>
      <c r="B185" s="304" t="s">
        <v>371</v>
      </c>
      <c r="C185" s="305"/>
      <c r="D185" s="315"/>
      <c r="E185" s="316">
        <f t="shared" ref="E185:G185" si="127">SUM(E175:E184)</f>
        <v>1021114.15</v>
      </c>
      <c r="F185" s="329">
        <f t="shared" si="127"/>
        <v>101998.11</v>
      </c>
      <c r="G185" s="318">
        <f t="shared" si="127"/>
        <v>1123112.26</v>
      </c>
    </row>
    <row r="186" spans="1:7" ht="16.5" thickBot="1">
      <c r="A186" s="35">
        <v>179</v>
      </c>
      <c r="B186" s="377" t="s">
        <v>372</v>
      </c>
      <c r="C186" s="378"/>
      <c r="D186" s="365">
        <f>D150-D159-D172-D185</f>
        <v>0</v>
      </c>
      <c r="E186" s="366">
        <f>E150-E159+E172-E185</f>
        <v>57757150.519999996</v>
      </c>
      <c r="F186" s="367">
        <f t="shared" ref="F186:G186" si="128">F150-F159+F172-F185</f>
        <v>-50260215.509999998</v>
      </c>
      <c r="G186" s="368">
        <f t="shared" si="128"/>
        <v>9173637.6660000049</v>
      </c>
    </row>
    <row r="187" spans="1:7" ht="16.5" thickTop="1"/>
  </sheetData>
  <mergeCells count="20">
    <mergeCell ref="B13:C13"/>
    <mergeCell ref="B124:C124"/>
    <mergeCell ref="B11:C12"/>
    <mergeCell ref="E11:G11"/>
    <mergeCell ref="E12:G12"/>
    <mergeCell ref="C1:G1"/>
    <mergeCell ref="C2:G2"/>
    <mergeCell ref="C3:G3"/>
    <mergeCell ref="C4:G4"/>
    <mergeCell ref="C5:G5"/>
    <mergeCell ref="K1:U1"/>
    <mergeCell ref="K2:U2"/>
    <mergeCell ref="K3:U3"/>
    <mergeCell ref="K4:U4"/>
    <mergeCell ref="K5:U5"/>
    <mergeCell ref="Y1:AD1"/>
    <mergeCell ref="Y2:AD2"/>
    <mergeCell ref="Y3:AD3"/>
    <mergeCell ref="Y4:AD4"/>
    <mergeCell ref="Y5:AD5"/>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19"/>
  <sheetViews>
    <sheetView workbookViewId="0">
      <selection activeCell="A3" sqref="A3:H3"/>
    </sheetView>
  </sheetViews>
  <sheetFormatPr defaultRowHeight="15.75"/>
  <cols>
    <col min="1" max="1" width="8.42578125" style="6" bestFit="1" customWidth="1"/>
    <col min="2" max="2" width="37.5703125" style="6" bestFit="1" customWidth="1"/>
    <col min="3" max="3" width="3.85546875" style="6" customWidth="1"/>
    <col min="4" max="4" width="17.7109375" style="6" bestFit="1" customWidth="1"/>
    <col min="5" max="6" width="9.140625" style="6"/>
    <col min="7" max="7" width="15.42578125" style="6" customWidth="1"/>
    <col min="8" max="16384" width="9.140625" style="6"/>
  </cols>
  <sheetData>
    <row r="1" spans="1:6">
      <c r="B1" s="1039" t="s">
        <v>60</v>
      </c>
      <c r="C1" s="1039"/>
      <c r="D1" s="1039"/>
      <c r="E1" s="1039"/>
      <c r="F1" s="1039"/>
    </row>
    <row r="2" spans="1:6">
      <c r="B2" s="1039" t="s">
        <v>1588</v>
      </c>
      <c r="C2" s="1039"/>
      <c r="D2" s="1039"/>
      <c r="E2" s="1039"/>
      <c r="F2" s="1039"/>
    </row>
    <row r="3" spans="1:6">
      <c r="B3" s="1039" t="s">
        <v>1595</v>
      </c>
      <c r="C3" s="1039"/>
      <c r="D3" s="1039"/>
      <c r="E3" s="1039"/>
      <c r="F3" s="1039"/>
    </row>
    <row r="4" spans="1:6">
      <c r="B4" s="1039" t="s">
        <v>41</v>
      </c>
      <c r="C4" s="1039"/>
      <c r="D4" s="1039"/>
      <c r="E4" s="1039"/>
      <c r="F4" s="1039"/>
    </row>
    <row r="5" spans="1:6">
      <c r="B5" s="1039" t="s">
        <v>906</v>
      </c>
      <c r="C5" s="1039"/>
      <c r="D5" s="1039"/>
      <c r="E5" s="1039"/>
      <c r="F5" s="1039"/>
    </row>
    <row r="9" spans="1:6">
      <c r="A9" s="15" t="s">
        <v>1625</v>
      </c>
      <c r="B9" s="8" t="s">
        <v>1629</v>
      </c>
      <c r="C9" s="8"/>
      <c r="D9" s="8" t="s">
        <v>1627</v>
      </c>
    </row>
    <row r="10" spans="1:6">
      <c r="A10" s="8">
        <v>1</v>
      </c>
      <c r="D10" s="8" t="s">
        <v>375</v>
      </c>
    </row>
    <row r="11" spans="1:6">
      <c r="A11" s="8">
        <v>2</v>
      </c>
      <c r="D11" s="8" t="s">
        <v>376</v>
      </c>
    </row>
    <row r="12" spans="1:6">
      <c r="A12" s="8">
        <v>3</v>
      </c>
      <c r="D12" s="8" t="s">
        <v>910</v>
      </c>
    </row>
    <row r="13" spans="1:6">
      <c r="A13" s="8">
        <v>4</v>
      </c>
      <c r="B13" s="6" t="s">
        <v>1824</v>
      </c>
      <c r="D13" s="91">
        <f>+'Plant in Serv &amp; Accum Depr'!AF147</f>
        <v>677314165.18981874</v>
      </c>
      <c r="E13" s="6" t="s">
        <v>1876</v>
      </c>
    </row>
    <row r="14" spans="1:6">
      <c r="A14" s="8">
        <v>5</v>
      </c>
      <c r="B14" s="6" t="s">
        <v>1825</v>
      </c>
      <c r="D14" s="379">
        <f>-'Plant in Serv &amp; Accum Depr'!AF153</f>
        <v>-345424354.83661753</v>
      </c>
      <c r="E14" s="6" t="s">
        <v>1876</v>
      </c>
    </row>
    <row r="15" spans="1:6">
      <c r="A15" s="8">
        <v>6</v>
      </c>
      <c r="B15" s="6" t="s">
        <v>373</v>
      </c>
      <c r="D15" s="236">
        <f>+D13+D14</f>
        <v>331889810.35320121</v>
      </c>
    </row>
    <row r="16" spans="1:6">
      <c r="A16" s="8">
        <v>7</v>
      </c>
      <c r="B16" s="6" t="s">
        <v>1826</v>
      </c>
      <c r="D16" s="236">
        <f>+'Adv for Const. &amp; Def Tax'!AX23</f>
        <v>-3771590.387083333</v>
      </c>
      <c r="E16" s="6" t="s">
        <v>1877</v>
      </c>
    </row>
    <row r="17" spans="1:8">
      <c r="A17" s="8">
        <v>8</v>
      </c>
      <c r="B17" s="6" t="s">
        <v>1827</v>
      </c>
      <c r="D17" s="380">
        <f>+'Adv for Const. &amp; Def Tax'!AX30</f>
        <v>-73667038.139583334</v>
      </c>
      <c r="E17" s="6" t="s">
        <v>1877</v>
      </c>
    </row>
    <row r="18" spans="1:8">
      <c r="A18" s="8">
        <v>9</v>
      </c>
      <c r="B18" s="6" t="s">
        <v>1828</v>
      </c>
      <c r="D18" s="381" t="e">
        <f>+#REF!</f>
        <v>#REF!</v>
      </c>
      <c r="E18" s="6" t="s">
        <v>1878</v>
      </c>
    </row>
    <row r="19" spans="1:8">
      <c r="A19" s="8">
        <v>10</v>
      </c>
      <c r="B19" s="6" t="s">
        <v>1829</v>
      </c>
      <c r="D19" s="382" t="e">
        <f>+D15+D16+D17+D18</f>
        <v>#REF!</v>
      </c>
      <c r="H19" s="19"/>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47"/>
  <sheetViews>
    <sheetView zoomScale="80" zoomScaleNormal="80" workbookViewId="0">
      <selection activeCell="A25" sqref="A25"/>
    </sheetView>
  </sheetViews>
  <sheetFormatPr defaultRowHeight="15.75"/>
  <cols>
    <col min="1" max="1" width="3.5703125" style="6" bestFit="1" customWidth="1"/>
    <col min="2" max="2" width="35.140625" style="6" bestFit="1" customWidth="1"/>
    <col min="3" max="3" width="1" style="6" customWidth="1"/>
    <col min="4" max="4" width="14.5703125" style="6" bestFit="1" customWidth="1"/>
    <col min="5" max="5" width="1" style="6" customWidth="1"/>
    <col min="6" max="6" width="0.85546875" style="6" customWidth="1"/>
    <col min="7" max="7" width="12.85546875" style="6" bestFit="1" customWidth="1"/>
    <col min="8" max="9" width="1.28515625" style="6" customWidth="1"/>
    <col min="10" max="10" width="14" style="6" bestFit="1" customWidth="1"/>
    <col min="11" max="11" width="0.85546875" style="6" customWidth="1"/>
    <col min="12" max="12" width="1.42578125" style="6" customWidth="1"/>
    <col min="13" max="13" width="12.85546875" style="6" bestFit="1" customWidth="1"/>
    <col min="14" max="14" width="1" style="6" customWidth="1"/>
    <col min="15" max="15" width="0.85546875" style="6" customWidth="1"/>
    <col min="16" max="16" width="14.7109375" style="6" bestFit="1" customWidth="1"/>
    <col min="17" max="17" width="1.5703125" style="6" customWidth="1"/>
    <col min="18" max="18" width="1.140625" style="6" customWidth="1"/>
    <col min="19" max="19" width="9.140625" style="6"/>
    <col min="20" max="20" width="11.85546875" style="6" customWidth="1"/>
    <col min="21" max="21" width="12.28515625" style="6" bestFit="1" customWidth="1"/>
    <col min="22" max="22" width="10.5703125" style="6" bestFit="1" customWidth="1"/>
    <col min="23" max="16384" width="9.140625" style="6"/>
  </cols>
  <sheetData>
    <row r="1" spans="1:21">
      <c r="A1" s="1026" t="s">
        <v>118</v>
      </c>
      <c r="B1" s="1026"/>
      <c r="C1" s="1026"/>
      <c r="D1" s="1026"/>
      <c r="E1" s="1026"/>
      <c r="F1" s="1026"/>
      <c r="G1" s="1026"/>
      <c r="H1" s="1026"/>
      <c r="I1" s="1026"/>
      <c r="J1" s="1026"/>
      <c r="K1" s="1026"/>
      <c r="L1" s="1026"/>
      <c r="M1" s="1026"/>
      <c r="N1" s="1026"/>
      <c r="O1" s="1026"/>
      <c r="P1" s="1026"/>
      <c r="Q1" s="1026"/>
      <c r="R1" s="19"/>
    </row>
    <row r="2" spans="1:21">
      <c r="A2" s="1026" t="s">
        <v>1577</v>
      </c>
      <c r="B2" s="1026"/>
      <c r="C2" s="1026"/>
      <c r="D2" s="1026"/>
      <c r="E2" s="1026"/>
      <c r="F2" s="1026"/>
      <c r="G2" s="1026"/>
      <c r="H2" s="1026"/>
      <c r="I2" s="1026"/>
      <c r="J2" s="1026"/>
      <c r="K2" s="1026"/>
      <c r="L2" s="1026"/>
      <c r="M2" s="1026"/>
      <c r="N2" s="1026"/>
      <c r="O2" s="1026"/>
      <c r="P2" s="1026"/>
      <c r="Q2" s="1026"/>
      <c r="R2" s="42"/>
    </row>
    <row r="3" spans="1:21">
      <c r="A3" s="1027" t="s">
        <v>906</v>
      </c>
      <c r="B3" s="1027"/>
      <c r="C3" s="1027"/>
      <c r="D3" s="1027"/>
      <c r="E3" s="1027"/>
      <c r="F3" s="1027"/>
      <c r="G3" s="1027"/>
      <c r="H3" s="1027"/>
      <c r="I3" s="1027"/>
      <c r="J3" s="1027"/>
      <c r="K3" s="1027"/>
      <c r="L3" s="1027"/>
      <c r="M3" s="1027"/>
      <c r="N3" s="1027"/>
      <c r="O3" s="1027"/>
      <c r="P3" s="1027"/>
      <c r="Q3" s="1027"/>
      <c r="R3" s="42"/>
    </row>
    <row r="4" spans="1:21">
      <c r="A4" s="43"/>
      <c r="B4" s="43"/>
      <c r="C4" s="43"/>
      <c r="D4" s="43"/>
      <c r="E4" s="43"/>
      <c r="F4" s="43"/>
      <c r="G4" s="43"/>
      <c r="H4" s="43"/>
      <c r="I4" s="43"/>
      <c r="J4" s="43"/>
      <c r="K4" s="43"/>
      <c r="L4" s="43"/>
      <c r="M4" s="43"/>
      <c r="N4" s="43"/>
      <c r="O4" s="43"/>
      <c r="P4" s="43"/>
      <c r="Q4" s="42"/>
      <c r="R4" s="42"/>
    </row>
    <row r="5" spans="1:21">
      <c r="A5" s="44"/>
      <c r="B5" s="44"/>
      <c r="C5" s="45"/>
      <c r="D5" s="46">
        <v>42735</v>
      </c>
      <c r="E5" s="47"/>
      <c r="F5" s="48"/>
      <c r="G5" s="49" t="s">
        <v>79</v>
      </c>
      <c r="H5" s="47"/>
      <c r="I5" s="48"/>
      <c r="J5" s="49" t="s">
        <v>69</v>
      </c>
      <c r="K5" s="47"/>
      <c r="L5" s="48"/>
      <c r="M5" s="49" t="s">
        <v>71</v>
      </c>
      <c r="N5" s="49"/>
      <c r="O5" s="47"/>
      <c r="P5" s="50" t="s">
        <v>2</v>
      </c>
      <c r="Q5" s="51"/>
      <c r="R5" s="42"/>
    </row>
    <row r="6" spans="1:21">
      <c r="A6" s="42"/>
      <c r="B6" s="42"/>
      <c r="C6" s="52"/>
      <c r="D6" s="53" t="s">
        <v>0</v>
      </c>
      <c r="E6" s="52"/>
      <c r="F6" s="42"/>
      <c r="G6" s="54" t="s">
        <v>80</v>
      </c>
      <c r="H6" s="55"/>
      <c r="I6" s="56"/>
      <c r="J6" s="57" t="s">
        <v>70</v>
      </c>
      <c r="K6" s="52"/>
      <c r="L6" s="42"/>
      <c r="M6" s="54" t="s">
        <v>890</v>
      </c>
      <c r="N6" s="54"/>
      <c r="O6" s="52"/>
      <c r="P6" s="58" t="s">
        <v>1548</v>
      </c>
      <c r="Q6" s="52"/>
      <c r="R6" s="42"/>
    </row>
    <row r="7" spans="1:21">
      <c r="A7" s="42"/>
      <c r="B7" s="42"/>
      <c r="C7" s="52"/>
      <c r="D7" s="53" t="s">
        <v>3</v>
      </c>
      <c r="E7" s="52"/>
      <c r="F7" s="42"/>
      <c r="G7" s="54" t="s">
        <v>1</v>
      </c>
      <c r="H7" s="52"/>
      <c r="I7" s="42"/>
      <c r="J7" s="54" t="s">
        <v>58</v>
      </c>
      <c r="K7" s="52"/>
      <c r="L7" s="42"/>
      <c r="M7" s="54" t="s">
        <v>72</v>
      </c>
      <c r="N7" s="54"/>
      <c r="O7" s="52"/>
      <c r="P7" s="59" t="s">
        <v>81</v>
      </c>
      <c r="Q7" s="52"/>
      <c r="R7" s="42"/>
    </row>
    <row r="8" spans="1:21">
      <c r="A8" s="42"/>
      <c r="B8" s="42"/>
      <c r="C8" s="52"/>
      <c r="D8" s="53" t="s">
        <v>4</v>
      </c>
      <c r="E8" s="52"/>
      <c r="F8" s="42"/>
      <c r="G8" s="54"/>
      <c r="H8" s="52"/>
      <c r="I8" s="42"/>
      <c r="J8" s="54"/>
      <c r="K8" s="52"/>
      <c r="L8" s="42"/>
      <c r="M8" s="54"/>
      <c r="N8" s="54"/>
      <c r="O8" s="52"/>
      <c r="P8" s="59" t="s">
        <v>82</v>
      </c>
      <c r="Q8" s="52"/>
      <c r="R8" s="42"/>
    </row>
    <row r="9" spans="1:21">
      <c r="A9" s="42"/>
      <c r="B9" s="42"/>
      <c r="C9" s="52"/>
      <c r="D9" s="53"/>
      <c r="E9" s="52"/>
      <c r="F9" s="42"/>
      <c r="G9" s="54"/>
      <c r="H9" s="52"/>
      <c r="I9" s="42"/>
      <c r="J9" s="54"/>
      <c r="K9" s="52"/>
      <c r="L9" s="42"/>
      <c r="M9" s="57"/>
      <c r="N9" s="57"/>
      <c r="O9" s="52"/>
      <c r="P9" s="59"/>
      <c r="Q9" s="52"/>
      <c r="R9" s="42"/>
    </row>
    <row r="10" spans="1:21">
      <c r="A10" s="42"/>
      <c r="B10" s="41" t="s">
        <v>6</v>
      </c>
      <c r="C10" s="52"/>
      <c r="D10" s="60" t="s">
        <v>5</v>
      </c>
      <c r="E10" s="52"/>
      <c r="F10" s="42"/>
      <c r="G10" s="61" t="s">
        <v>7</v>
      </c>
      <c r="H10" s="52"/>
      <c r="I10" s="42"/>
      <c r="J10" s="57" t="s">
        <v>8</v>
      </c>
      <c r="K10" s="52"/>
      <c r="L10" s="42"/>
      <c r="M10" s="61" t="s">
        <v>9</v>
      </c>
      <c r="N10" s="61"/>
      <c r="O10" s="52"/>
      <c r="P10" s="62" t="s">
        <v>10</v>
      </c>
      <c r="Q10" s="52"/>
      <c r="R10" s="42"/>
    </row>
    <row r="11" spans="1:21">
      <c r="A11" s="42"/>
      <c r="B11" s="42"/>
      <c r="C11" s="52"/>
      <c r="D11" s="63"/>
      <c r="E11" s="64"/>
      <c r="F11" s="65"/>
      <c r="G11" s="65"/>
      <c r="H11" s="64"/>
      <c r="I11" s="65"/>
      <c r="J11" s="65"/>
      <c r="K11" s="64"/>
      <c r="L11" s="65"/>
      <c r="M11" s="65"/>
      <c r="N11" s="65"/>
      <c r="O11" s="64"/>
      <c r="P11" s="64"/>
      <c r="Q11" s="66"/>
      <c r="R11" s="67"/>
    </row>
    <row r="12" spans="1:21">
      <c r="A12" s="42"/>
      <c r="B12" s="41" t="s">
        <v>11</v>
      </c>
      <c r="C12" s="52"/>
      <c r="D12" s="67"/>
      <c r="E12" s="52"/>
      <c r="F12" s="42"/>
      <c r="G12" s="68"/>
      <c r="H12" s="52"/>
      <c r="I12" s="42"/>
      <c r="J12" s="42"/>
      <c r="K12" s="52"/>
      <c r="L12" s="42"/>
      <c r="M12" s="42"/>
      <c r="N12" s="42"/>
      <c r="O12" s="52"/>
      <c r="P12" s="52"/>
      <c r="Q12" s="52"/>
      <c r="R12" s="42"/>
    </row>
    <row r="13" spans="1:21">
      <c r="A13" s="42">
        <v>1</v>
      </c>
      <c r="B13" s="69" t="s">
        <v>30</v>
      </c>
      <c r="C13" s="70"/>
      <c r="D13" s="71">
        <f>+'Operating Report'!G17</f>
        <v>182902832.87</v>
      </c>
      <c r="E13" s="72"/>
      <c r="F13" s="73"/>
      <c r="G13" s="73">
        <f>+'Exh MPP-11 - Summary of Adj'!AC16</f>
        <v>10375437.408959962</v>
      </c>
      <c r="H13" s="72"/>
      <c r="I13" s="73"/>
      <c r="J13" s="74">
        <f>+D13+G13</f>
        <v>193278270.27895996</v>
      </c>
      <c r="K13" s="72"/>
      <c r="L13" s="73"/>
      <c r="M13" s="74">
        <f>+'Exh MPP-9 - Rev Req Calc'!D21-M14</f>
        <v>-1481389.1582985267</v>
      </c>
      <c r="N13" s="74"/>
      <c r="O13" s="72"/>
      <c r="P13" s="75">
        <f>+J13+M13</f>
        <v>191796881.12066144</v>
      </c>
      <c r="Q13" s="72"/>
      <c r="R13" s="76"/>
      <c r="T13" s="77"/>
      <c r="U13" s="77"/>
    </row>
    <row r="14" spans="1:21">
      <c r="A14" s="42">
        <v>2</v>
      </c>
      <c r="B14" s="69" t="s">
        <v>31</v>
      </c>
      <c r="C14" s="70"/>
      <c r="D14" s="78">
        <f>+'Operating Report'!G21</f>
        <v>21216454.399999999</v>
      </c>
      <c r="E14" s="72"/>
      <c r="F14" s="73"/>
      <c r="G14" s="73">
        <f>+'Exh MPP-11 - Summary of Adj'!AC17</f>
        <v>1787452.100000002</v>
      </c>
      <c r="H14" s="72"/>
      <c r="I14" s="73"/>
      <c r="J14" s="74">
        <f>+D14+G14</f>
        <v>23003906.5</v>
      </c>
      <c r="K14" s="72"/>
      <c r="L14" s="73"/>
      <c r="M14" s="73">
        <v>-195825</v>
      </c>
      <c r="N14" s="73"/>
      <c r="O14" s="72"/>
      <c r="P14" s="75">
        <f>+J14+M14</f>
        <v>22808081.5</v>
      </c>
      <c r="Q14" s="72"/>
      <c r="R14" s="79"/>
      <c r="T14" s="77"/>
      <c r="U14" s="77"/>
    </row>
    <row r="15" spans="1:21">
      <c r="A15" s="42">
        <v>3</v>
      </c>
      <c r="B15" s="69" t="s">
        <v>32</v>
      </c>
      <c r="C15" s="80"/>
      <c r="D15" s="81">
        <f>+'Operating Report'!G26-'Operating Report'!G21</f>
        <v>1011374.9600000009</v>
      </c>
      <c r="E15" s="72"/>
      <c r="F15" s="73"/>
      <c r="G15" s="73">
        <f>+'Exh MPP-11 - Summary of Adj'!AC18</f>
        <v>-101645</v>
      </c>
      <c r="H15" s="72"/>
      <c r="I15" s="73"/>
      <c r="J15" s="74">
        <f>+D15+G15</f>
        <v>909729.96000000089</v>
      </c>
      <c r="K15" s="72"/>
      <c r="L15" s="73"/>
      <c r="M15" s="73"/>
      <c r="N15" s="73"/>
      <c r="O15" s="72"/>
      <c r="P15" s="75">
        <f>+J15+M15</f>
        <v>909729.96000000089</v>
      </c>
      <c r="Q15" s="72"/>
      <c r="R15" s="79"/>
      <c r="T15" s="77"/>
      <c r="U15" s="77"/>
    </row>
    <row r="16" spans="1:21">
      <c r="A16" s="42">
        <v>4</v>
      </c>
      <c r="B16" s="82" t="s">
        <v>1286</v>
      </c>
      <c r="C16" s="70"/>
      <c r="D16" s="78">
        <f>SUM(D13:D15)</f>
        <v>205130662.23000002</v>
      </c>
      <c r="E16" s="72"/>
      <c r="F16" s="73"/>
      <c r="G16" s="83">
        <f>SUM(G13:G15)</f>
        <v>12061244.508959964</v>
      </c>
      <c r="H16" s="72"/>
      <c r="I16" s="73"/>
      <c r="J16" s="83">
        <f>SUM(J13:J15)</f>
        <v>217191906.73895997</v>
      </c>
      <c r="K16" s="72"/>
      <c r="L16" s="73"/>
      <c r="M16" s="83">
        <f>SUM(M13:M15)</f>
        <v>-1677214.1582985267</v>
      </c>
      <c r="N16" s="77"/>
      <c r="O16" s="72"/>
      <c r="P16" s="84">
        <f>SUM(P13:P15)</f>
        <v>215514692.58066145</v>
      </c>
      <c r="Q16" s="72"/>
      <c r="R16" s="79"/>
      <c r="T16" s="77"/>
      <c r="U16" s="77"/>
    </row>
    <row r="17" spans="1:22">
      <c r="A17" s="42"/>
      <c r="B17" s="69"/>
      <c r="C17" s="70"/>
      <c r="D17" s="78"/>
      <c r="E17" s="72"/>
      <c r="F17" s="73"/>
      <c r="G17" s="77"/>
      <c r="H17" s="72"/>
      <c r="I17" s="73"/>
      <c r="J17" s="77"/>
      <c r="K17" s="72"/>
      <c r="L17" s="73"/>
      <c r="M17" s="77"/>
      <c r="N17" s="77"/>
      <c r="O17" s="72"/>
      <c r="P17" s="85"/>
      <c r="Q17" s="72"/>
      <c r="R17" s="79"/>
      <c r="T17" s="77"/>
      <c r="U17" s="77"/>
      <c r="V17" s="77"/>
    </row>
    <row r="18" spans="1:22">
      <c r="A18" s="42"/>
      <c r="B18" s="69" t="s">
        <v>12</v>
      </c>
      <c r="C18" s="70"/>
      <c r="D18" s="78"/>
      <c r="E18" s="72"/>
      <c r="F18" s="73"/>
      <c r="G18" s="77"/>
      <c r="H18" s="72"/>
      <c r="I18" s="73"/>
      <c r="J18" s="77"/>
      <c r="K18" s="72"/>
      <c r="L18" s="73"/>
      <c r="M18" s="77"/>
      <c r="N18" s="77"/>
      <c r="O18" s="72"/>
      <c r="P18" s="85"/>
      <c r="Q18" s="72"/>
      <c r="R18" s="79"/>
      <c r="T18" s="77"/>
      <c r="U18" s="77"/>
    </row>
    <row r="19" spans="1:22">
      <c r="A19" s="42">
        <v>5</v>
      </c>
      <c r="B19" s="69" t="s">
        <v>1287</v>
      </c>
      <c r="C19" s="70"/>
      <c r="D19" s="78">
        <f>+'Operating Report'!G36</f>
        <v>103593864.52000001</v>
      </c>
      <c r="E19" s="72"/>
      <c r="F19" s="73"/>
      <c r="G19" s="73">
        <f>+'Exh MPP-11 - Summary of Adj'!AC22</f>
        <v>4018538.273679968</v>
      </c>
      <c r="H19" s="72"/>
      <c r="I19" s="73"/>
      <c r="J19" s="74">
        <f>+D19+G19</f>
        <v>107612402.79367998</v>
      </c>
      <c r="K19" s="72"/>
      <c r="L19" s="73"/>
      <c r="M19" s="73"/>
      <c r="N19" s="73"/>
      <c r="O19" s="72"/>
      <c r="P19" s="75">
        <f>+J19+M19</f>
        <v>107612402.79367998</v>
      </c>
      <c r="Q19" s="72"/>
      <c r="R19" s="79"/>
      <c r="T19" s="77"/>
      <c r="U19" s="86"/>
      <c r="V19" s="77"/>
    </row>
    <row r="20" spans="1:22">
      <c r="A20" s="42">
        <v>6</v>
      </c>
      <c r="B20" s="69" t="s">
        <v>1288</v>
      </c>
      <c r="C20" s="70"/>
      <c r="D20" s="78">
        <f>+'Operating Report'!G52</f>
        <v>16946340.530000001</v>
      </c>
      <c r="E20" s="72"/>
      <c r="F20" s="73"/>
      <c r="G20" s="73">
        <f>+'Exh MPP-11 - Summary of Adj'!AC23</f>
        <v>488721.62750305777</v>
      </c>
      <c r="H20" s="72"/>
      <c r="I20" s="73"/>
      <c r="J20" s="74">
        <f>+D20+G20</f>
        <v>17435062.157503057</v>
      </c>
      <c r="K20" s="72"/>
      <c r="L20" s="73"/>
      <c r="M20" s="73">
        <f>+M16*('Exh MPP-10 - Conversion Factor'!C9+'Exh MPP-10 - Conversion Factor'!C10)</f>
        <v>-67960.717694256295</v>
      </c>
      <c r="N20" s="73"/>
      <c r="O20" s="72"/>
      <c r="P20" s="87">
        <f>+J20+M20</f>
        <v>17367101.439808801</v>
      </c>
      <c r="Q20" s="72"/>
      <c r="R20" s="79"/>
      <c r="T20" s="77"/>
    </row>
    <row r="21" spans="1:22">
      <c r="A21" s="42">
        <v>7</v>
      </c>
      <c r="B21" s="88" t="s">
        <v>34</v>
      </c>
      <c r="C21" s="70"/>
      <c r="D21" s="78">
        <f>+'Operating Report'!G56</f>
        <v>518988.74</v>
      </c>
      <c r="E21" s="72"/>
      <c r="F21" s="73"/>
      <c r="G21" s="73">
        <f>+'Exh MPP-11 - Summary of Adj'!AC24</f>
        <v>-36200.104907495726</v>
      </c>
      <c r="H21" s="72"/>
      <c r="I21" s="73"/>
      <c r="J21" s="74">
        <f t="shared" ref="J21:J30" si="0">+D21+G21</f>
        <v>482788.63509250426</v>
      </c>
      <c r="K21" s="72"/>
      <c r="L21" s="73"/>
      <c r="M21" s="73"/>
      <c r="N21" s="73"/>
      <c r="O21" s="72"/>
      <c r="P21" s="75">
        <f t="shared" ref="P21:P30" si="1">+J21+M21</f>
        <v>482788.63509250426</v>
      </c>
      <c r="Q21" s="72"/>
      <c r="R21" s="89"/>
      <c r="T21" s="90"/>
      <c r="V21" s="90"/>
    </row>
    <row r="22" spans="1:22">
      <c r="A22" s="42">
        <v>8</v>
      </c>
      <c r="B22" s="88" t="s">
        <v>13</v>
      </c>
      <c r="C22" s="70"/>
      <c r="D22" s="78">
        <f>+'Operating Report'!G84</f>
        <v>16326277.390000001</v>
      </c>
      <c r="E22" s="72"/>
      <c r="F22" s="73"/>
      <c r="G22" s="73">
        <f>+'Exh MPP-11 - Summary of Adj'!AC25</f>
        <v>1543321.1504295918</v>
      </c>
      <c r="H22" s="72"/>
      <c r="I22" s="73"/>
      <c r="J22" s="74">
        <f t="shared" si="0"/>
        <v>17869598.540429592</v>
      </c>
      <c r="K22" s="72"/>
      <c r="L22" s="73"/>
      <c r="M22" s="73"/>
      <c r="N22" s="73"/>
      <c r="O22" s="72"/>
      <c r="P22" s="75">
        <f t="shared" si="1"/>
        <v>17869598.540429592</v>
      </c>
      <c r="Q22" s="72"/>
      <c r="R22" s="89"/>
      <c r="T22" s="91"/>
      <c r="V22" s="90"/>
    </row>
    <row r="23" spans="1:22">
      <c r="A23" s="42">
        <v>9</v>
      </c>
      <c r="B23" s="88" t="s">
        <v>35</v>
      </c>
      <c r="C23" s="70"/>
      <c r="D23" s="78">
        <f>+'Operating Report'!G92</f>
        <v>6383108.290000001</v>
      </c>
      <c r="E23" s="72"/>
      <c r="F23" s="73"/>
      <c r="G23" s="73">
        <f>+'Exh MPP-11 - Summary of Adj'!AC26</f>
        <v>136491.00669318286</v>
      </c>
      <c r="H23" s="72"/>
      <c r="I23" s="73"/>
      <c r="J23" s="74">
        <f t="shared" si="0"/>
        <v>6519599.2966931835</v>
      </c>
      <c r="K23" s="72"/>
      <c r="L23" s="73"/>
      <c r="M23" s="73">
        <f>+M16*'Exh MPP-10 - Conversion Factor'!C8</f>
        <v>-6361.7316663275742</v>
      </c>
      <c r="N23" s="73"/>
      <c r="O23" s="72"/>
      <c r="P23" s="75">
        <f t="shared" si="1"/>
        <v>6513237.565026856</v>
      </c>
      <c r="Q23" s="72"/>
      <c r="R23" s="89"/>
      <c r="V23" s="90"/>
    </row>
    <row r="24" spans="1:22">
      <c r="A24" s="42">
        <v>10</v>
      </c>
      <c r="B24" s="88" t="s">
        <v>14</v>
      </c>
      <c r="C24" s="70"/>
      <c r="D24" s="78">
        <f>+'Operating Report'!G99</f>
        <v>824095.64</v>
      </c>
      <c r="E24" s="72"/>
      <c r="F24" s="73"/>
      <c r="G24" s="73">
        <f>+'Exh MPP-11 - Summary of Adj'!AC27</f>
        <v>-533333.36</v>
      </c>
      <c r="H24" s="72"/>
      <c r="I24" s="73"/>
      <c r="J24" s="74">
        <f t="shared" si="0"/>
        <v>290762.28000000003</v>
      </c>
      <c r="K24" s="72"/>
      <c r="L24" s="73"/>
      <c r="M24" s="73"/>
      <c r="N24" s="73"/>
      <c r="O24" s="72"/>
      <c r="P24" s="75">
        <f t="shared" si="1"/>
        <v>290762.28000000003</v>
      </c>
      <c r="Q24" s="72"/>
      <c r="R24" s="89"/>
    </row>
    <row r="25" spans="1:22">
      <c r="A25" s="42">
        <v>11</v>
      </c>
      <c r="B25" s="88" t="s">
        <v>15</v>
      </c>
      <c r="C25" s="70"/>
      <c r="D25" s="78">
        <f>+'Operating Report'!G106</f>
        <v>4916.59</v>
      </c>
      <c r="E25" s="72"/>
      <c r="F25" s="73"/>
      <c r="G25" s="73">
        <f>+'Exh MPP-11 - Summary of Adj'!AC28</f>
        <v>-4916.5899999999992</v>
      </c>
      <c r="H25" s="72"/>
      <c r="I25" s="73"/>
      <c r="J25" s="74">
        <f t="shared" si="0"/>
        <v>0</v>
      </c>
      <c r="K25" s="72"/>
      <c r="L25" s="73"/>
      <c r="M25" s="92"/>
      <c r="N25" s="92"/>
      <c r="O25" s="72"/>
      <c r="P25" s="75">
        <f t="shared" si="1"/>
        <v>0</v>
      </c>
      <c r="Q25" s="72"/>
      <c r="R25" s="89"/>
    </row>
    <row r="26" spans="1:22">
      <c r="A26" s="42">
        <v>12</v>
      </c>
      <c r="B26" s="88" t="s">
        <v>16</v>
      </c>
      <c r="C26" s="80"/>
      <c r="D26" s="78">
        <f>+'Operating Report'!G122</f>
        <v>16459957.959999999</v>
      </c>
      <c r="E26" s="72"/>
      <c r="F26" s="73"/>
      <c r="G26" s="73">
        <f>+'Exh MPP-11 - Summary of Adj'!AC29</f>
        <v>-511123.01213993138</v>
      </c>
      <c r="H26" s="72"/>
      <c r="I26" s="73"/>
      <c r="J26" s="74">
        <f t="shared" si="0"/>
        <v>15948834.947860068</v>
      </c>
      <c r="K26" s="72"/>
      <c r="L26" s="73"/>
      <c r="M26" s="92"/>
      <c r="N26" s="92"/>
      <c r="O26" s="72"/>
      <c r="P26" s="75">
        <f t="shared" si="1"/>
        <v>15948834.947860068</v>
      </c>
      <c r="Q26" s="72"/>
      <c r="R26" s="76"/>
    </row>
    <row r="27" spans="1:22">
      <c r="A27" s="42">
        <v>13</v>
      </c>
      <c r="B27" s="88" t="s">
        <v>36</v>
      </c>
      <c r="C27" s="70"/>
      <c r="D27" s="71">
        <f>+'Operating Report'!G134</f>
        <v>19218442.350000001</v>
      </c>
      <c r="E27" s="72"/>
      <c r="F27" s="73"/>
      <c r="G27" s="73">
        <f>+'Exh MPP-11 - Summary of Adj'!AC30</f>
        <v>550879.79802275728</v>
      </c>
      <c r="H27" s="72"/>
      <c r="I27" s="73"/>
      <c r="J27" s="74">
        <f t="shared" si="0"/>
        <v>19769322.14802276</v>
      </c>
      <c r="K27" s="72"/>
      <c r="L27" s="73"/>
      <c r="M27" s="92"/>
      <c r="N27" s="92"/>
      <c r="O27" s="72"/>
      <c r="P27" s="75">
        <f t="shared" si="1"/>
        <v>19769322.14802276</v>
      </c>
      <c r="Q27" s="72"/>
      <c r="R27" s="79"/>
    </row>
    <row r="28" spans="1:22">
      <c r="A28" s="42">
        <v>14</v>
      </c>
      <c r="B28" s="88" t="s">
        <v>37</v>
      </c>
      <c r="C28" s="70"/>
      <c r="D28" s="93"/>
      <c r="E28" s="72"/>
      <c r="F28" s="73"/>
      <c r="G28" s="73">
        <f>+'Exh MPP-11 - Summary of Adj'!AC31</f>
        <v>0</v>
      </c>
      <c r="H28" s="72"/>
      <c r="I28" s="73"/>
      <c r="J28" s="74">
        <f t="shared" si="0"/>
        <v>0</v>
      </c>
      <c r="K28" s="72"/>
      <c r="L28" s="73"/>
      <c r="M28" s="73"/>
      <c r="N28" s="73"/>
      <c r="O28" s="72"/>
      <c r="P28" s="75">
        <f t="shared" si="1"/>
        <v>0</v>
      </c>
      <c r="Q28" s="72"/>
      <c r="R28" s="79"/>
    </row>
    <row r="29" spans="1:22">
      <c r="A29" s="42">
        <v>15</v>
      </c>
      <c r="B29" s="88" t="s">
        <v>38</v>
      </c>
      <c r="C29" s="70"/>
      <c r="D29" s="78">
        <f>+'Operating Report'!G139</f>
        <v>4095633.81</v>
      </c>
      <c r="E29" s="72"/>
      <c r="F29" s="73"/>
      <c r="G29" s="73">
        <f>+'Exh MPP-11 - Summary of Adj'!AC32</f>
        <v>300250.0681245075</v>
      </c>
      <c r="H29" s="72"/>
      <c r="I29" s="73"/>
      <c r="J29" s="74">
        <f t="shared" si="0"/>
        <v>4395883.8781245071</v>
      </c>
      <c r="K29" s="72"/>
      <c r="L29" s="73"/>
      <c r="M29" s="73"/>
      <c r="N29" s="73"/>
      <c r="O29" s="72"/>
      <c r="P29" s="75">
        <f t="shared" si="1"/>
        <v>4395883.8781245071</v>
      </c>
      <c r="Q29" s="72"/>
      <c r="R29" s="79"/>
    </row>
    <row r="30" spans="1:22">
      <c r="A30" s="1025">
        <v>43182</v>
      </c>
      <c r="B30" s="88" t="s">
        <v>39</v>
      </c>
      <c r="C30" s="70"/>
      <c r="D30" s="78">
        <f>+'Operating Report'!G148</f>
        <v>2477671.574</v>
      </c>
      <c r="E30" s="72"/>
      <c r="F30" s="73"/>
      <c r="G30" s="73">
        <f>+'Exh MPP-11 - Summary of Adj'!AC33</f>
        <v>-533132.49359344481</v>
      </c>
      <c r="H30" s="72"/>
      <c r="I30" s="73"/>
      <c r="J30" s="74">
        <f t="shared" si="0"/>
        <v>1944539.0804065552</v>
      </c>
      <c r="K30" s="72"/>
      <c r="L30" s="73"/>
      <c r="M30" s="73">
        <f>(+M16-M20-M23)*0.21</f>
        <v>-336607.25887696794</v>
      </c>
      <c r="N30" s="73"/>
      <c r="O30" s="72"/>
      <c r="P30" s="75">
        <f t="shared" si="1"/>
        <v>1607931.8215295873</v>
      </c>
      <c r="Q30" s="72"/>
      <c r="R30" s="79"/>
    </row>
    <row r="31" spans="1:22" ht="16.5" thickBot="1">
      <c r="A31" s="42">
        <v>17</v>
      </c>
      <c r="B31" s="94" t="s">
        <v>40</v>
      </c>
      <c r="C31" s="52"/>
      <c r="D31" s="95">
        <f>SUM(D19:D30)</f>
        <v>186849297.39399999</v>
      </c>
      <c r="E31" s="72"/>
      <c r="F31" s="73"/>
      <c r="G31" s="96">
        <f>SUM(G19:G30)</f>
        <v>5419496.3638121923</v>
      </c>
      <c r="H31" s="72"/>
      <c r="I31" s="73"/>
      <c r="J31" s="96">
        <f>SUM(J19:J30)</f>
        <v>192268793.75781217</v>
      </c>
      <c r="K31" s="72"/>
      <c r="L31" s="73"/>
      <c r="M31" s="96">
        <f>SUM(M19:M30)</f>
        <v>-410929.70823755179</v>
      </c>
      <c r="N31" s="97"/>
      <c r="O31" s="72"/>
      <c r="P31" s="98">
        <f>SUM(P19:P30)</f>
        <v>191857864.04957467</v>
      </c>
      <c r="Q31" s="72"/>
      <c r="R31" s="76"/>
    </row>
    <row r="32" spans="1:22" ht="17.25" thickTop="1" thickBot="1">
      <c r="A32" s="42">
        <v>18</v>
      </c>
      <c r="B32" s="94" t="s">
        <v>17</v>
      </c>
      <c r="C32" s="52"/>
      <c r="D32" s="95">
        <f>+D16-D31</f>
        <v>18281364.836000025</v>
      </c>
      <c r="E32" s="72"/>
      <c r="F32" s="73"/>
      <c r="G32" s="96">
        <f>+G16-G31</f>
        <v>6641748.1451477716</v>
      </c>
      <c r="H32" s="96"/>
      <c r="I32" s="73"/>
      <c r="J32" s="96">
        <f>+J16-J31</f>
        <v>24923112.981147796</v>
      </c>
      <c r="K32" s="72"/>
      <c r="L32" s="73"/>
      <c r="M32" s="96">
        <f>+M16-M31</f>
        <v>-1266284.4500609748</v>
      </c>
      <c r="N32" s="97"/>
      <c r="O32" s="72"/>
      <c r="P32" s="98">
        <f>+P16-P31</f>
        <v>23656828.531086773</v>
      </c>
      <c r="Q32" s="72"/>
      <c r="R32" s="76"/>
      <c r="T32" s="99"/>
    </row>
    <row r="33" spans="1:20" ht="16.5" thickTop="1">
      <c r="A33" s="42"/>
      <c r="B33" s="94"/>
      <c r="C33" s="52"/>
      <c r="D33" s="100"/>
      <c r="E33" s="72"/>
      <c r="F33" s="73"/>
      <c r="G33" s="97"/>
      <c r="H33" s="97"/>
      <c r="I33" s="73"/>
      <c r="J33" s="97"/>
      <c r="K33" s="72"/>
      <c r="L33" s="73"/>
      <c r="M33" s="97"/>
      <c r="N33" s="97"/>
      <c r="O33" s="72"/>
      <c r="P33" s="101"/>
      <c r="Q33" s="72"/>
      <c r="R33" s="76"/>
      <c r="T33" s="99"/>
    </row>
    <row r="34" spans="1:20">
      <c r="A34" s="42"/>
      <c r="B34" s="94" t="s">
        <v>41</v>
      </c>
      <c r="C34" s="70"/>
      <c r="D34" s="102"/>
      <c r="E34" s="72"/>
      <c r="F34" s="73"/>
      <c r="G34" s="73"/>
      <c r="H34" s="72"/>
      <c r="I34" s="73"/>
      <c r="J34" s="73"/>
      <c r="K34" s="72"/>
      <c r="L34" s="73"/>
      <c r="M34" s="73"/>
      <c r="N34" s="73"/>
      <c r="O34" s="72"/>
      <c r="P34" s="103"/>
      <c r="Q34" s="72"/>
      <c r="R34" s="89"/>
    </row>
    <row r="35" spans="1:20">
      <c r="A35" s="42">
        <v>19</v>
      </c>
      <c r="B35" s="69" t="s">
        <v>43</v>
      </c>
      <c r="C35" s="70"/>
      <c r="D35" s="71">
        <f>+'Rate Base'!D13</f>
        <v>677314165.18981874</v>
      </c>
      <c r="E35" s="72"/>
      <c r="F35" s="73"/>
      <c r="G35" s="73">
        <f>+'Exh MPP-11 - Summary of Adj'!AC38</f>
        <v>20633574.142318003</v>
      </c>
      <c r="H35" s="72"/>
      <c r="I35" s="73"/>
      <c r="J35" s="74">
        <f t="shared" ref="J35:J39" si="2">+D35+G35</f>
        <v>697947739.33213675</v>
      </c>
      <c r="K35" s="72"/>
      <c r="L35" s="73"/>
      <c r="M35" s="74"/>
      <c r="N35" s="74"/>
      <c r="O35" s="72"/>
      <c r="P35" s="75">
        <f t="shared" ref="P35:P39" si="3">+J35+M35</f>
        <v>697947739.33213675</v>
      </c>
      <c r="Q35" s="72"/>
      <c r="R35" s="76"/>
    </row>
    <row r="36" spans="1:20">
      <c r="A36" s="42">
        <v>20</v>
      </c>
      <c r="B36" s="69" t="s">
        <v>44</v>
      </c>
      <c r="C36" s="70"/>
      <c r="D36" s="78">
        <f>+'Rate Base'!D14</f>
        <v>-345424354.83661753</v>
      </c>
      <c r="E36" s="72"/>
      <c r="F36" s="73"/>
      <c r="G36" s="73">
        <f>+'Exh MPP-11 - Summary of Adj'!AC39</f>
        <v>-275439.89901137864</v>
      </c>
      <c r="H36" s="72"/>
      <c r="I36" s="73"/>
      <c r="J36" s="74">
        <f t="shared" si="2"/>
        <v>-345699794.7356289</v>
      </c>
      <c r="K36" s="72"/>
      <c r="L36" s="73"/>
      <c r="M36" s="74"/>
      <c r="N36" s="74"/>
      <c r="O36" s="72"/>
      <c r="P36" s="75">
        <f t="shared" si="3"/>
        <v>-345699794.7356289</v>
      </c>
      <c r="Q36" s="72"/>
      <c r="R36" s="79"/>
    </row>
    <row r="37" spans="1:20">
      <c r="A37" s="42">
        <v>21</v>
      </c>
      <c r="B37" s="80" t="s">
        <v>18</v>
      </c>
      <c r="C37" s="80"/>
      <c r="D37" s="78">
        <f>+'Rate Base'!D16</f>
        <v>-3771590.387083333</v>
      </c>
      <c r="E37" s="72"/>
      <c r="F37" s="73"/>
      <c r="G37" s="73">
        <f>+'Exh MPP-11 - Summary of Adj'!AC40</f>
        <v>0</v>
      </c>
      <c r="H37" s="72"/>
      <c r="I37" s="73"/>
      <c r="J37" s="74">
        <f t="shared" si="2"/>
        <v>-3771590.387083333</v>
      </c>
      <c r="K37" s="72"/>
      <c r="L37" s="73"/>
      <c r="M37" s="74"/>
      <c r="N37" s="74"/>
      <c r="O37" s="72"/>
      <c r="P37" s="75">
        <f t="shared" si="3"/>
        <v>-3771590.387083333</v>
      </c>
      <c r="Q37" s="72"/>
      <c r="R37" s="79"/>
    </row>
    <row r="38" spans="1:20">
      <c r="A38" s="42">
        <v>22</v>
      </c>
      <c r="B38" s="80" t="s">
        <v>45</v>
      </c>
      <c r="C38" s="70"/>
      <c r="D38" s="78">
        <f>+'Rate Base'!D17</f>
        <v>-73667038.139583334</v>
      </c>
      <c r="E38" s="72"/>
      <c r="F38" s="73"/>
      <c r="G38" s="73">
        <f>+'Exh MPP-11 - Summary of Adj'!AC41</f>
        <v>-39003.865654979374</v>
      </c>
      <c r="H38" s="72"/>
      <c r="I38" s="73"/>
      <c r="J38" s="74">
        <f t="shared" si="2"/>
        <v>-73706042.00523831</v>
      </c>
      <c r="K38" s="72"/>
      <c r="L38" s="73"/>
      <c r="M38" s="74"/>
      <c r="N38" s="74"/>
      <c r="O38" s="72"/>
      <c r="P38" s="75">
        <f t="shared" si="3"/>
        <v>-73706042.00523831</v>
      </c>
      <c r="Q38" s="72"/>
      <c r="R38" s="79"/>
    </row>
    <row r="39" spans="1:20">
      <c r="A39" s="42">
        <v>23</v>
      </c>
      <c r="B39" s="80" t="s">
        <v>46</v>
      </c>
      <c r="C39" s="70"/>
      <c r="D39" s="78">
        <f>+'MPP-14 - Working Capital'!Y616</f>
        <v>36585683.203642413</v>
      </c>
      <c r="E39" s="72"/>
      <c r="F39" s="73"/>
      <c r="G39" s="73">
        <f>+'Exh MPP-11 - Summary of Adj'!AC42</f>
        <v>0</v>
      </c>
      <c r="H39" s="72"/>
      <c r="I39" s="73"/>
      <c r="J39" s="74">
        <f t="shared" si="2"/>
        <v>36585683.203642413</v>
      </c>
      <c r="K39" s="72"/>
      <c r="L39" s="73"/>
      <c r="M39" s="74"/>
      <c r="N39" s="74"/>
      <c r="O39" s="72"/>
      <c r="P39" s="75">
        <f t="shared" si="3"/>
        <v>36585683.203642413</v>
      </c>
      <c r="Q39" s="72"/>
      <c r="R39" s="79"/>
    </row>
    <row r="40" spans="1:20" ht="16.5" thickBot="1">
      <c r="A40" s="42">
        <v>24</v>
      </c>
      <c r="B40" s="94" t="s">
        <v>42</v>
      </c>
      <c r="C40" s="42"/>
      <c r="D40" s="104">
        <f>SUM(D35:D39)</f>
        <v>291036865.03017694</v>
      </c>
      <c r="E40" s="72"/>
      <c r="F40" s="73"/>
      <c r="G40" s="104">
        <f>SUM(G35:G39)</f>
        <v>20319130.377651647</v>
      </c>
      <c r="H40" s="72"/>
      <c r="I40" s="73"/>
      <c r="J40" s="104">
        <f>SUM(J35:J39)</f>
        <v>311355995.40782863</v>
      </c>
      <c r="K40" s="72"/>
      <c r="L40" s="73"/>
      <c r="M40" s="104">
        <f>SUM(M35:M39)</f>
        <v>0</v>
      </c>
      <c r="N40" s="100"/>
      <c r="O40" s="72"/>
      <c r="P40" s="104">
        <f>SUM(P35:P39)</f>
        <v>311355995.40782863</v>
      </c>
      <c r="Q40" s="72"/>
      <c r="R40" s="76"/>
    </row>
    <row r="41" spans="1:20" ht="16.5" thickTop="1">
      <c r="A41" s="42">
        <v>25</v>
      </c>
      <c r="B41" s="94" t="s">
        <v>19</v>
      </c>
      <c r="C41" s="70"/>
      <c r="D41" s="105">
        <f>+D32/D40</f>
        <v>6.2814601971830863E-2</v>
      </c>
      <c r="E41" s="52"/>
      <c r="F41" s="42"/>
      <c r="G41" s="42"/>
      <c r="H41" s="52"/>
      <c r="I41" s="42"/>
      <c r="J41" s="106">
        <f>+J32/J40</f>
        <v>8.0046998769053218E-2</v>
      </c>
      <c r="K41" s="52"/>
      <c r="L41" s="42"/>
      <c r="M41" s="107"/>
      <c r="N41" s="107"/>
      <c r="O41" s="52"/>
      <c r="P41" s="108">
        <f>+P32/P40</f>
        <v>7.5979999999999853E-2</v>
      </c>
      <c r="Q41" s="52"/>
      <c r="R41" s="42"/>
    </row>
    <row r="42" spans="1:20">
      <c r="A42" s="109"/>
      <c r="B42" s="110"/>
      <c r="C42" s="111"/>
      <c r="D42" s="112"/>
      <c r="E42" s="64"/>
      <c r="F42" s="65"/>
      <c r="G42" s="65"/>
      <c r="H42" s="64"/>
      <c r="I42" s="65"/>
      <c r="J42" s="113"/>
      <c r="K42" s="64"/>
      <c r="L42" s="65"/>
      <c r="M42" s="65"/>
      <c r="N42" s="65"/>
      <c r="O42" s="65"/>
      <c r="P42" s="114"/>
      <c r="Q42" s="115"/>
      <c r="R42" s="67"/>
    </row>
    <row r="43" spans="1:20">
      <c r="A43" s="43"/>
      <c r="B43" s="43"/>
      <c r="C43" s="43"/>
      <c r="D43" s="43"/>
      <c r="E43" s="43"/>
      <c r="F43" s="43"/>
      <c r="G43" s="43"/>
      <c r="H43" s="43"/>
      <c r="I43" s="43"/>
      <c r="J43" s="43"/>
      <c r="K43" s="43"/>
      <c r="L43" s="43"/>
      <c r="M43" s="43"/>
      <c r="N43" s="43"/>
      <c r="O43" s="43"/>
      <c r="P43" s="43"/>
      <c r="Q43" s="43"/>
      <c r="R43" s="43"/>
    </row>
    <row r="45" spans="1:20">
      <c r="M45" s="116"/>
    </row>
    <row r="47" spans="1:20">
      <c r="M47" s="91"/>
    </row>
  </sheetData>
  <mergeCells count="3">
    <mergeCell ref="A1:Q1"/>
    <mergeCell ref="A3:Q3"/>
    <mergeCell ref="A2:Q2"/>
  </mergeCells>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53"/>
  <sheetViews>
    <sheetView view="pageBreakPreview" zoomScale="70" zoomScaleNormal="100" zoomScaleSheetLayoutView="70" workbookViewId="0">
      <selection activeCell="A3" sqref="A3:H3"/>
    </sheetView>
  </sheetViews>
  <sheetFormatPr defaultRowHeight="15.75"/>
  <cols>
    <col min="1" max="1" width="9.28515625" style="35" bestFit="1" customWidth="1"/>
    <col min="2" max="2" width="17.7109375" style="6" customWidth="1"/>
    <col min="3" max="3" width="36.7109375" style="6" bestFit="1" customWidth="1"/>
    <col min="4" max="4" width="19.28515625" style="6" customWidth="1"/>
    <col min="5" max="5" width="27" style="6" bestFit="1" customWidth="1"/>
    <col min="6" max="6" width="20.140625" style="6" bestFit="1" customWidth="1"/>
    <col min="7" max="7" width="27.7109375" style="6" bestFit="1" customWidth="1"/>
    <col min="8" max="11" width="28.28515625" style="6" bestFit="1" customWidth="1"/>
    <col min="12" max="12" width="27" style="6" bestFit="1" customWidth="1"/>
    <col min="13" max="13" width="27.7109375" style="6" bestFit="1" customWidth="1"/>
    <col min="14" max="15" width="28.28515625" style="6" bestFit="1" customWidth="1"/>
    <col min="16" max="16" width="27.7109375" style="6" bestFit="1" customWidth="1"/>
    <col min="17" max="18" width="28.28515625" style="6" bestFit="1" customWidth="1"/>
    <col min="19" max="20" width="27.7109375" style="6" bestFit="1" customWidth="1"/>
    <col min="21" max="21" width="28.28515625" style="6" bestFit="1" customWidth="1"/>
    <col min="22" max="22" width="27.7109375" style="6" bestFit="1" customWidth="1"/>
    <col min="23" max="25" width="28.28515625" style="6" bestFit="1" customWidth="1"/>
    <col min="26" max="26" width="27" style="6" bestFit="1" customWidth="1"/>
    <col min="27" max="28" width="28.28515625" style="6" bestFit="1" customWidth="1"/>
    <col min="29" max="29" width="27.7109375" style="6" bestFit="1" customWidth="1"/>
    <col min="30" max="30" width="28.28515625" style="6" bestFit="1" customWidth="1"/>
    <col min="31" max="31" width="28.85546875" style="6" bestFit="1" customWidth="1"/>
    <col min="32" max="32" width="35.85546875" style="6" bestFit="1" customWidth="1"/>
    <col min="33" max="16384" width="9.140625" style="6"/>
  </cols>
  <sheetData>
    <row r="1" spans="1:35">
      <c r="A1" s="1039" t="s">
        <v>60</v>
      </c>
      <c r="B1" s="1039"/>
      <c r="C1" s="1039"/>
      <c r="D1" s="1039"/>
      <c r="E1" s="1039"/>
      <c r="F1" s="1039"/>
      <c r="G1" s="1039"/>
      <c r="J1" s="1039" t="s">
        <v>60</v>
      </c>
      <c r="K1" s="1039"/>
      <c r="L1" s="1039"/>
      <c r="M1" s="5"/>
      <c r="N1" s="5"/>
      <c r="O1" s="5"/>
      <c r="R1" s="1039" t="s">
        <v>60</v>
      </c>
      <c r="S1" s="1039"/>
      <c r="T1" s="5"/>
      <c r="U1" s="5"/>
      <c r="V1" s="5"/>
      <c r="W1" s="5"/>
      <c r="Y1" s="1039" t="s">
        <v>60</v>
      </c>
      <c r="Z1" s="1039"/>
      <c r="AA1" s="1039"/>
      <c r="AB1" s="5"/>
      <c r="AC1" s="5"/>
      <c r="AD1" s="5"/>
      <c r="AE1" s="38" t="s">
        <v>60</v>
      </c>
      <c r="AF1" s="5"/>
      <c r="AG1" s="5"/>
      <c r="AH1" s="5"/>
      <c r="AI1" s="5"/>
    </row>
    <row r="2" spans="1:35">
      <c r="A2" s="1039" t="s">
        <v>1588</v>
      </c>
      <c r="B2" s="1039"/>
      <c r="C2" s="1039"/>
      <c r="D2" s="1039"/>
      <c r="E2" s="1039"/>
      <c r="F2" s="1039"/>
      <c r="G2" s="1039"/>
      <c r="J2" s="1039" t="s">
        <v>1588</v>
      </c>
      <c r="K2" s="1039"/>
      <c r="L2" s="1039"/>
      <c r="M2" s="5"/>
      <c r="N2" s="5"/>
      <c r="O2" s="5"/>
      <c r="R2" s="1039" t="s">
        <v>1588</v>
      </c>
      <c r="S2" s="1039"/>
      <c r="T2" s="5"/>
      <c r="U2" s="5"/>
      <c r="V2" s="5"/>
      <c r="W2" s="5"/>
      <c r="X2" s="8"/>
      <c r="Y2" s="1039" t="s">
        <v>1588</v>
      </c>
      <c r="Z2" s="1039"/>
      <c r="AA2" s="1039"/>
      <c r="AB2" s="5"/>
      <c r="AC2" s="5"/>
      <c r="AD2" s="8"/>
      <c r="AE2" s="38" t="s">
        <v>1588</v>
      </c>
      <c r="AF2" s="5"/>
      <c r="AG2" s="5"/>
      <c r="AH2" s="5"/>
      <c r="AI2" s="5"/>
    </row>
    <row r="3" spans="1:35">
      <c r="A3" s="1039" t="s">
        <v>1596</v>
      </c>
      <c r="B3" s="1039"/>
      <c r="C3" s="1039"/>
      <c r="D3" s="1039"/>
      <c r="E3" s="1039"/>
      <c r="F3" s="1039"/>
      <c r="G3" s="1039"/>
      <c r="J3" s="1039" t="s">
        <v>1596</v>
      </c>
      <c r="K3" s="1039"/>
      <c r="L3" s="1039"/>
      <c r="M3" s="5"/>
      <c r="N3" s="5"/>
      <c r="O3" s="5"/>
      <c r="R3" s="1039" t="s">
        <v>1596</v>
      </c>
      <c r="S3" s="1039"/>
      <c r="T3" s="5"/>
      <c r="U3" s="5"/>
      <c r="V3" s="5"/>
      <c r="W3" s="5"/>
      <c r="X3" s="8"/>
      <c r="Y3" s="1039" t="s">
        <v>1596</v>
      </c>
      <c r="Z3" s="1039"/>
      <c r="AA3" s="1039"/>
      <c r="AB3" s="5"/>
      <c r="AC3" s="5"/>
      <c r="AD3" s="8"/>
      <c r="AE3" s="38" t="s">
        <v>1596</v>
      </c>
      <c r="AF3" s="5"/>
      <c r="AG3" s="5"/>
      <c r="AH3" s="5"/>
      <c r="AI3" s="5"/>
    </row>
    <row r="4" spans="1:35">
      <c r="A4" s="1039" t="s">
        <v>1937</v>
      </c>
      <c r="B4" s="1039"/>
      <c r="C4" s="1039"/>
      <c r="D4" s="1039"/>
      <c r="E4" s="1039"/>
      <c r="F4" s="1039"/>
      <c r="G4" s="1039"/>
      <c r="J4" s="1039" t="s">
        <v>1937</v>
      </c>
      <c r="K4" s="1039"/>
      <c r="L4" s="1039"/>
      <c r="M4" s="5"/>
      <c r="N4" s="5"/>
      <c r="O4" s="5"/>
      <c r="R4" s="1039" t="s">
        <v>1937</v>
      </c>
      <c r="S4" s="1039"/>
      <c r="T4" s="5"/>
      <c r="U4" s="5"/>
      <c r="V4" s="5"/>
      <c r="W4" s="5"/>
      <c r="Y4" s="1039" t="s">
        <v>1937</v>
      </c>
      <c r="Z4" s="1039"/>
      <c r="AA4" s="1039"/>
      <c r="AB4" s="5"/>
      <c r="AC4" s="5"/>
      <c r="AD4" s="5"/>
      <c r="AE4" s="38" t="s">
        <v>1937</v>
      </c>
      <c r="AF4" s="5"/>
      <c r="AG4" s="5"/>
      <c r="AH4" s="5"/>
      <c r="AI4" s="5"/>
    </row>
    <row r="5" spans="1:35">
      <c r="A5" s="1039" t="s">
        <v>906</v>
      </c>
      <c r="B5" s="1039"/>
      <c r="C5" s="1039"/>
      <c r="D5" s="1039"/>
      <c r="E5" s="1039"/>
      <c r="F5" s="1039"/>
      <c r="G5" s="1039"/>
      <c r="J5" s="1039" t="s">
        <v>906</v>
      </c>
      <c r="K5" s="1039"/>
      <c r="L5" s="1039"/>
      <c r="M5" s="5"/>
      <c r="N5" s="5"/>
      <c r="O5" s="5"/>
      <c r="R5" s="1039" t="s">
        <v>906</v>
      </c>
      <c r="S5" s="1039"/>
      <c r="T5" s="5"/>
      <c r="U5" s="5"/>
      <c r="V5" s="5"/>
      <c r="W5" s="5"/>
      <c r="Y5" s="1039" t="s">
        <v>906</v>
      </c>
      <c r="Z5" s="1039"/>
      <c r="AA5" s="1039"/>
      <c r="AB5" s="5"/>
      <c r="AC5" s="5"/>
      <c r="AE5" s="38" t="s">
        <v>906</v>
      </c>
      <c r="AF5" s="5"/>
      <c r="AG5" s="5"/>
      <c r="AH5" s="5"/>
      <c r="AI5" s="5"/>
    </row>
    <row r="7" spans="1:35" s="35" customFormat="1">
      <c r="B7" s="35" t="s">
        <v>1629</v>
      </c>
      <c r="C7" s="35" t="s">
        <v>1627</v>
      </c>
      <c r="D7" s="35" t="s">
        <v>1628</v>
      </c>
      <c r="E7" s="35" t="s">
        <v>1631</v>
      </c>
      <c r="F7" s="35" t="s">
        <v>1632</v>
      </c>
      <c r="G7" s="35" t="s">
        <v>1641</v>
      </c>
      <c r="H7" s="35" t="s">
        <v>1642</v>
      </c>
      <c r="I7" s="35" t="s">
        <v>1643</v>
      </c>
      <c r="J7" s="35" t="s">
        <v>1644</v>
      </c>
      <c r="K7" s="35" t="s">
        <v>1645</v>
      </c>
      <c r="L7" s="35" t="s">
        <v>1646</v>
      </c>
      <c r="M7" s="35" t="s">
        <v>1647</v>
      </c>
      <c r="N7" s="35" t="s">
        <v>1648</v>
      </c>
      <c r="O7" s="35" t="s">
        <v>1649</v>
      </c>
      <c r="P7" s="35" t="s">
        <v>1650</v>
      </c>
      <c r="Q7" s="35" t="s">
        <v>1922</v>
      </c>
      <c r="R7" s="35" t="s">
        <v>1923</v>
      </c>
      <c r="S7" s="35" t="s">
        <v>1924</v>
      </c>
      <c r="T7" s="35" t="s">
        <v>1925</v>
      </c>
      <c r="U7" s="35" t="s">
        <v>1926</v>
      </c>
      <c r="V7" s="35" t="s">
        <v>1927</v>
      </c>
      <c r="W7" s="35" t="s">
        <v>1928</v>
      </c>
      <c r="X7" s="35" t="s">
        <v>1929</v>
      </c>
      <c r="Y7" s="35" t="s">
        <v>1930</v>
      </c>
      <c r="Z7" s="35" t="s">
        <v>1931</v>
      </c>
      <c r="AA7" s="35" t="s">
        <v>1932</v>
      </c>
      <c r="AB7" s="35" t="s">
        <v>1099</v>
      </c>
      <c r="AC7" s="35" t="s">
        <v>1933</v>
      </c>
      <c r="AD7" s="35" t="s">
        <v>1934</v>
      </c>
      <c r="AE7" s="35" t="s">
        <v>1935</v>
      </c>
      <c r="AF7" s="35" t="s">
        <v>1936</v>
      </c>
    </row>
    <row r="8" spans="1:35">
      <c r="A8" s="35" t="s">
        <v>812</v>
      </c>
      <c r="B8" s="383" t="s">
        <v>1660</v>
      </c>
      <c r="C8" s="383" t="s">
        <v>1661</v>
      </c>
      <c r="D8" s="383" t="s">
        <v>79</v>
      </c>
      <c r="E8" s="383" t="s">
        <v>1662</v>
      </c>
      <c r="F8" s="383" t="s">
        <v>1663</v>
      </c>
      <c r="G8" s="383" t="s">
        <v>1664</v>
      </c>
      <c r="H8" s="383" t="s">
        <v>1665</v>
      </c>
      <c r="I8" s="383" t="s">
        <v>1666</v>
      </c>
      <c r="J8" s="383" t="s">
        <v>1667</v>
      </c>
      <c r="K8" s="383" t="s">
        <v>1668</v>
      </c>
      <c r="L8" s="383" t="s">
        <v>1669</v>
      </c>
      <c r="M8" s="383" t="s">
        <v>1670</v>
      </c>
      <c r="N8" s="383" t="s">
        <v>1671</v>
      </c>
      <c r="O8" s="383" t="s">
        <v>1672</v>
      </c>
      <c r="P8" s="383" t="s">
        <v>1673</v>
      </c>
      <c r="Q8" s="383" t="s">
        <v>1674</v>
      </c>
      <c r="R8" s="383" t="s">
        <v>1675</v>
      </c>
      <c r="S8" s="383" t="s">
        <v>1676</v>
      </c>
      <c r="T8" s="383" t="s">
        <v>1677</v>
      </c>
      <c r="U8" s="383" t="s">
        <v>1678</v>
      </c>
      <c r="V8" s="383" t="s">
        <v>1679</v>
      </c>
      <c r="W8" s="383" t="s">
        <v>1680</v>
      </c>
      <c r="X8" s="383" t="s">
        <v>1681</v>
      </c>
      <c r="Y8" s="383" t="s">
        <v>1682</v>
      </c>
      <c r="Z8" s="383" t="s">
        <v>1683</v>
      </c>
      <c r="AA8" s="383" t="s">
        <v>1684</v>
      </c>
      <c r="AB8" s="383" t="s">
        <v>1685</v>
      </c>
      <c r="AC8" s="383" t="s">
        <v>1686</v>
      </c>
      <c r="AD8" s="383" t="s">
        <v>1687</v>
      </c>
      <c r="AE8" s="383" t="s">
        <v>1688</v>
      </c>
      <c r="AF8" s="383" t="s">
        <v>1689</v>
      </c>
    </row>
    <row r="9" spans="1:35">
      <c r="A9" s="35">
        <v>1</v>
      </c>
      <c r="B9" s="384" t="s">
        <v>85</v>
      </c>
      <c r="C9" s="384" t="s">
        <v>937</v>
      </c>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row>
    <row r="10" spans="1:35">
      <c r="A10" s="35">
        <v>2</v>
      </c>
      <c r="C10" s="6" t="s">
        <v>1690</v>
      </c>
      <c r="D10" s="6" t="str">
        <f>RIGHT(C10,5)</f>
        <v>00038</v>
      </c>
      <c r="E10" s="386">
        <v>73666.720000000001</v>
      </c>
      <c r="F10" s="386">
        <v>73666.820000000007</v>
      </c>
      <c r="G10" s="386">
        <v>73666.720000000001</v>
      </c>
      <c r="H10" s="386">
        <v>73666.820000000007</v>
      </c>
      <c r="I10" s="386">
        <v>73666.720000000001</v>
      </c>
      <c r="J10" s="386">
        <v>73666.820000000007</v>
      </c>
      <c r="K10" s="386">
        <v>73666.720000000001</v>
      </c>
      <c r="L10" s="386">
        <v>73666.820000000007</v>
      </c>
      <c r="M10" s="386">
        <v>73666.720000000001</v>
      </c>
      <c r="N10" s="386">
        <v>73666.820000000007</v>
      </c>
      <c r="O10" s="386">
        <v>73666.720000000001</v>
      </c>
      <c r="P10" s="386">
        <v>73666.820000000007</v>
      </c>
      <c r="Q10" s="386">
        <v>73666.720000000001</v>
      </c>
      <c r="R10" s="386">
        <v>73666.820000000007</v>
      </c>
      <c r="S10" s="386">
        <v>73666.720000000001</v>
      </c>
      <c r="T10" s="386">
        <v>73666.820000000007</v>
      </c>
      <c r="U10" s="386">
        <v>73666.720000000001</v>
      </c>
      <c r="V10" s="386">
        <v>73666.820000000007</v>
      </c>
      <c r="W10" s="386">
        <v>73666.720000000001</v>
      </c>
      <c r="X10" s="386">
        <v>73666.820000000007</v>
      </c>
      <c r="Y10" s="386">
        <v>73666.720000000001</v>
      </c>
      <c r="Z10" s="386">
        <v>73666.820000000007</v>
      </c>
      <c r="AA10" s="386">
        <v>73666.720000000001</v>
      </c>
      <c r="AB10" s="386">
        <v>73666.820000000007</v>
      </c>
      <c r="AC10" s="386">
        <v>73666.720000000001</v>
      </c>
      <c r="AD10" s="386">
        <v>73666.820000000007</v>
      </c>
      <c r="AE10" s="386">
        <f>+(E10+AC10+(+G10+I10+K10+M10+O10+Q10+S10+U10+W10+Y10+AA10)*2)/24</f>
        <v>73666.719999999987</v>
      </c>
      <c r="AF10" s="386">
        <f>+(F10+AD10+(+H10+J10+L10+N10+P10+R10+T10+V10+X10+Z10+AB10)*2)/24</f>
        <v>73666.820000000022</v>
      </c>
    </row>
    <row r="11" spans="1:35">
      <c r="A11" s="35">
        <v>3</v>
      </c>
      <c r="C11" s="6" t="s">
        <v>1691</v>
      </c>
      <c r="D11" s="387" t="s">
        <v>1692</v>
      </c>
      <c r="E11" s="386">
        <v>0</v>
      </c>
      <c r="F11" s="386">
        <v>0</v>
      </c>
      <c r="G11" s="386">
        <v>0</v>
      </c>
      <c r="H11" s="386">
        <v>0</v>
      </c>
      <c r="I11" s="386">
        <v>0</v>
      </c>
      <c r="J11" s="386">
        <v>0</v>
      </c>
      <c r="K11" s="386">
        <v>0</v>
      </c>
      <c r="L11" s="386">
        <v>0</v>
      </c>
      <c r="M11" s="386">
        <v>0</v>
      </c>
      <c r="N11" s="386">
        <v>0</v>
      </c>
      <c r="O11" s="386">
        <v>0</v>
      </c>
      <c r="P11" s="386">
        <v>0</v>
      </c>
      <c r="Q11" s="386">
        <v>0</v>
      </c>
      <c r="R11" s="386">
        <v>0</v>
      </c>
      <c r="S11" s="386">
        <v>113374.44</v>
      </c>
      <c r="T11" s="386">
        <v>6007.91</v>
      </c>
      <c r="U11" s="386">
        <v>113374.44</v>
      </c>
      <c r="V11" s="386">
        <v>6244.1100000000006</v>
      </c>
      <c r="W11" s="386">
        <v>113374.44</v>
      </c>
      <c r="X11" s="386">
        <v>6480.31</v>
      </c>
      <c r="Y11" s="386">
        <v>113374.44</v>
      </c>
      <c r="Z11" s="386">
        <v>6716.51</v>
      </c>
      <c r="AA11" s="386">
        <v>113374.44</v>
      </c>
      <c r="AB11" s="386">
        <v>6952.71</v>
      </c>
      <c r="AC11" s="386">
        <v>113374.44</v>
      </c>
      <c r="AD11" s="386">
        <v>7188.91</v>
      </c>
      <c r="AE11" s="386">
        <f>+(E11+AC11+(+G11+I11+K11+M11+O11+Q11+S11+U11+W11+Y11+AA11)*2)/24</f>
        <v>51963.284999999996</v>
      </c>
      <c r="AF11" s="386">
        <f t="shared" ref="AF11:AF45" si="0">+(F11+AD11+(+H11+J11+L11+N11+P11+R11+T11+V11+X11+Z11+AB11)*2)/24</f>
        <v>2999.6670833333337</v>
      </c>
    </row>
    <row r="12" spans="1:35">
      <c r="A12" s="35">
        <v>4</v>
      </c>
      <c r="C12" s="6" t="s">
        <v>1693</v>
      </c>
      <c r="D12" s="6" t="str">
        <f t="shared" ref="D12:D45" si="1">RIGHT(C12,5)</f>
        <v>00038</v>
      </c>
      <c r="E12" s="386">
        <v>113374.44</v>
      </c>
      <c r="F12" s="386">
        <v>4371.25</v>
      </c>
      <c r="G12" s="386">
        <v>113374.44</v>
      </c>
      <c r="H12" s="386">
        <v>4604.66</v>
      </c>
      <c r="I12" s="386">
        <v>113374.44</v>
      </c>
      <c r="J12" s="386">
        <v>4838.07</v>
      </c>
      <c r="K12" s="386">
        <v>113374.44</v>
      </c>
      <c r="L12" s="386">
        <v>5071.4800000000005</v>
      </c>
      <c r="M12" s="386">
        <v>113374.44</v>
      </c>
      <c r="N12" s="386">
        <v>5304.89</v>
      </c>
      <c r="O12" s="386">
        <v>113374.44</v>
      </c>
      <c r="P12" s="386">
        <v>5538.3</v>
      </c>
      <c r="Q12" s="386">
        <v>113374.44</v>
      </c>
      <c r="R12" s="386">
        <v>5771.71</v>
      </c>
      <c r="S12" s="386">
        <v>0</v>
      </c>
      <c r="T12" s="386">
        <v>0</v>
      </c>
      <c r="U12" s="386">
        <v>0</v>
      </c>
      <c r="V12" s="386">
        <v>0</v>
      </c>
      <c r="W12" s="386">
        <v>0</v>
      </c>
      <c r="X12" s="386">
        <v>0</v>
      </c>
      <c r="Y12" s="386">
        <v>0</v>
      </c>
      <c r="Z12" s="386">
        <v>0</v>
      </c>
      <c r="AA12" s="386">
        <v>0</v>
      </c>
      <c r="AB12" s="386">
        <v>0</v>
      </c>
      <c r="AC12" s="386">
        <v>0</v>
      </c>
      <c r="AD12" s="386">
        <v>0</v>
      </c>
      <c r="AE12" s="386">
        <f t="shared" ref="AE12:AE45" si="2">+(E12+AC12+(+G12+I12+K12+M12+O12+Q12+S12+U12+W12+Y12+AA12)*2)/24</f>
        <v>61411.154999999992</v>
      </c>
      <c r="AF12" s="386">
        <f t="shared" si="0"/>
        <v>2776.2279166666667</v>
      </c>
    </row>
    <row r="13" spans="1:35">
      <c r="A13" s="35">
        <v>5</v>
      </c>
      <c r="C13" s="6" t="s">
        <v>1694</v>
      </c>
      <c r="D13" s="6" t="str">
        <f t="shared" si="1"/>
        <v>00038</v>
      </c>
      <c r="E13" s="386">
        <v>13130.54</v>
      </c>
      <c r="F13" s="386">
        <v>0</v>
      </c>
      <c r="G13" s="386">
        <v>13130.54</v>
      </c>
      <c r="H13" s="386">
        <v>0</v>
      </c>
      <c r="I13" s="386">
        <v>13130.54</v>
      </c>
      <c r="J13" s="386">
        <v>0</v>
      </c>
      <c r="K13" s="386">
        <v>13130.54</v>
      </c>
      <c r="L13" s="386">
        <v>0</v>
      </c>
      <c r="M13" s="386">
        <v>13130.54</v>
      </c>
      <c r="N13" s="386">
        <v>0</v>
      </c>
      <c r="O13" s="386">
        <v>13130.54</v>
      </c>
      <c r="P13" s="386">
        <v>0</v>
      </c>
      <c r="Q13" s="386">
        <v>13130.54</v>
      </c>
      <c r="R13" s="386">
        <v>0</v>
      </c>
      <c r="S13" s="386">
        <v>13130.54</v>
      </c>
      <c r="T13" s="386">
        <v>0</v>
      </c>
      <c r="U13" s="386">
        <v>13130.54</v>
      </c>
      <c r="V13" s="386">
        <v>0</v>
      </c>
      <c r="W13" s="386">
        <v>13130.54</v>
      </c>
      <c r="X13" s="386">
        <v>0</v>
      </c>
      <c r="Y13" s="386">
        <v>13130.54</v>
      </c>
      <c r="Z13" s="386">
        <v>0</v>
      </c>
      <c r="AA13" s="386">
        <v>13130.54</v>
      </c>
      <c r="AB13" s="386">
        <v>0</v>
      </c>
      <c r="AC13" s="386">
        <v>13130.54</v>
      </c>
      <c r="AD13" s="386">
        <v>0</v>
      </c>
      <c r="AE13" s="386">
        <f t="shared" si="2"/>
        <v>13130.540000000006</v>
      </c>
      <c r="AF13" s="386">
        <f t="shared" si="0"/>
        <v>0</v>
      </c>
    </row>
    <row r="14" spans="1:35">
      <c r="A14" s="35">
        <v>6</v>
      </c>
      <c r="C14" s="6" t="s">
        <v>1695</v>
      </c>
      <c r="D14" s="6" t="str">
        <f t="shared" si="1"/>
        <v>00038</v>
      </c>
      <c r="E14" s="386">
        <v>7692.66</v>
      </c>
      <c r="F14" s="386">
        <v>6205.68</v>
      </c>
      <c r="G14" s="386">
        <v>7692.66</v>
      </c>
      <c r="H14" s="386">
        <v>6215.81</v>
      </c>
      <c r="I14" s="386">
        <v>7692.66</v>
      </c>
      <c r="J14" s="386">
        <v>6225.9400000000005</v>
      </c>
      <c r="K14" s="386">
        <v>7692.66</v>
      </c>
      <c r="L14" s="386">
        <v>6236.07</v>
      </c>
      <c r="M14" s="386">
        <v>7692.66</v>
      </c>
      <c r="N14" s="386">
        <v>6246.2</v>
      </c>
      <c r="O14" s="386">
        <v>7692.66</v>
      </c>
      <c r="P14" s="386">
        <v>6256.33</v>
      </c>
      <c r="Q14" s="386">
        <v>7692.66</v>
      </c>
      <c r="R14" s="386">
        <v>6266.46</v>
      </c>
      <c r="S14" s="386">
        <v>7692.66</v>
      </c>
      <c r="T14" s="386">
        <v>6276.59</v>
      </c>
      <c r="U14" s="386">
        <v>7692.66</v>
      </c>
      <c r="V14" s="386">
        <v>6286.72</v>
      </c>
      <c r="W14" s="386">
        <v>7692.66</v>
      </c>
      <c r="X14" s="386">
        <v>6296.85</v>
      </c>
      <c r="Y14" s="386">
        <v>7692.66</v>
      </c>
      <c r="Z14" s="386">
        <v>6306.9800000000005</v>
      </c>
      <c r="AA14" s="386">
        <v>7692.66</v>
      </c>
      <c r="AB14" s="386">
        <v>6317.1100000000006</v>
      </c>
      <c r="AC14" s="386">
        <v>7692.66</v>
      </c>
      <c r="AD14" s="386">
        <v>6327.24</v>
      </c>
      <c r="AE14" s="386">
        <f t="shared" si="2"/>
        <v>7692.6600000000026</v>
      </c>
      <c r="AF14" s="386">
        <f t="shared" si="0"/>
        <v>6266.46</v>
      </c>
    </row>
    <row r="15" spans="1:35">
      <c r="A15" s="35">
        <v>7</v>
      </c>
      <c r="C15" s="6" t="s">
        <v>1696</v>
      </c>
      <c r="D15" s="6" t="str">
        <f t="shared" si="1"/>
        <v>00038</v>
      </c>
      <c r="E15" s="386">
        <v>6203474.7999999998</v>
      </c>
      <c r="F15" s="386">
        <v>3278641.73</v>
      </c>
      <c r="G15" s="386">
        <v>6203474.7999999998</v>
      </c>
      <c r="H15" s="386">
        <v>3288050.33</v>
      </c>
      <c r="I15" s="386">
        <v>6203474.7999999998</v>
      </c>
      <c r="J15" s="386">
        <v>3297458.93</v>
      </c>
      <c r="K15" s="386">
        <v>6203474.7999999998</v>
      </c>
      <c r="L15" s="386">
        <v>3306867.5300000003</v>
      </c>
      <c r="M15" s="386">
        <v>6203474.7999999998</v>
      </c>
      <c r="N15" s="386">
        <v>3316276.13</v>
      </c>
      <c r="O15" s="386">
        <v>6203474.7999999998</v>
      </c>
      <c r="P15" s="386">
        <v>3325684.73</v>
      </c>
      <c r="Q15" s="386">
        <v>6203474.7999999998</v>
      </c>
      <c r="R15" s="386">
        <v>3335093.33</v>
      </c>
      <c r="S15" s="386">
        <v>6203474.7999999998</v>
      </c>
      <c r="T15" s="386">
        <v>3344501.93</v>
      </c>
      <c r="U15" s="386">
        <v>6203474.7999999998</v>
      </c>
      <c r="V15" s="386">
        <v>3353910.5300000003</v>
      </c>
      <c r="W15" s="386">
        <v>6203474.7999999998</v>
      </c>
      <c r="X15" s="386">
        <v>3363319.13</v>
      </c>
      <c r="Y15" s="386">
        <v>6203474.7999999998</v>
      </c>
      <c r="Z15" s="386">
        <v>3372727.73</v>
      </c>
      <c r="AA15" s="386">
        <v>6203474.7999999998</v>
      </c>
      <c r="AB15" s="386">
        <v>3382136.33</v>
      </c>
      <c r="AC15" s="386">
        <v>6203474.7999999998</v>
      </c>
      <c r="AD15" s="386">
        <v>3391544.93</v>
      </c>
      <c r="AE15" s="386">
        <f t="shared" si="2"/>
        <v>6203474.799999998</v>
      </c>
      <c r="AF15" s="386">
        <f t="shared" si="0"/>
        <v>3335093.3299999996</v>
      </c>
    </row>
    <row r="16" spans="1:35">
      <c r="A16" s="35">
        <v>8</v>
      </c>
      <c r="C16" s="6" t="s">
        <v>1697</v>
      </c>
      <c r="D16" s="6" t="str">
        <f t="shared" si="1"/>
        <v>00038</v>
      </c>
      <c r="E16" s="386">
        <v>36161.700000000004</v>
      </c>
      <c r="F16" s="386">
        <v>-4564.4000000000005</v>
      </c>
      <c r="G16" s="386">
        <v>36161.700000000004</v>
      </c>
      <c r="H16" s="386">
        <v>-4552.05</v>
      </c>
      <c r="I16" s="386">
        <v>36161.700000000004</v>
      </c>
      <c r="J16" s="386">
        <v>-4539.7</v>
      </c>
      <c r="K16" s="386">
        <v>36161.700000000004</v>
      </c>
      <c r="L16" s="386">
        <v>-4527.3500000000004</v>
      </c>
      <c r="M16" s="386">
        <v>36161.700000000004</v>
      </c>
      <c r="N16" s="386">
        <v>-4515</v>
      </c>
      <c r="O16" s="386">
        <v>36161.700000000004</v>
      </c>
      <c r="P16" s="386">
        <v>-4502.6500000000005</v>
      </c>
      <c r="Q16" s="386">
        <v>36161.700000000004</v>
      </c>
      <c r="R16" s="386">
        <v>-4490.3</v>
      </c>
      <c r="S16" s="386">
        <v>36161.700000000004</v>
      </c>
      <c r="T16" s="386">
        <v>-4477.95</v>
      </c>
      <c r="U16" s="386">
        <v>36161.700000000004</v>
      </c>
      <c r="V16" s="386">
        <v>-4465.6000000000004</v>
      </c>
      <c r="W16" s="386">
        <v>36161.700000000004</v>
      </c>
      <c r="X16" s="386">
        <v>-4453.25</v>
      </c>
      <c r="Y16" s="386">
        <v>36161.700000000004</v>
      </c>
      <c r="Z16" s="386">
        <v>-4440.9000000000005</v>
      </c>
      <c r="AA16" s="386">
        <v>36161.700000000004</v>
      </c>
      <c r="AB16" s="386">
        <v>-4428.55</v>
      </c>
      <c r="AC16" s="386">
        <v>36161.700000000004</v>
      </c>
      <c r="AD16" s="386">
        <v>-4416.2</v>
      </c>
      <c r="AE16" s="386">
        <f t="shared" si="2"/>
        <v>36161.700000000004</v>
      </c>
      <c r="AF16" s="386">
        <f t="shared" si="0"/>
        <v>-4490.3</v>
      </c>
    </row>
    <row r="17" spans="1:32">
      <c r="A17" s="35">
        <v>9</v>
      </c>
      <c r="C17" s="6" t="s">
        <v>1698</v>
      </c>
      <c r="D17" s="6" t="str">
        <f t="shared" si="1"/>
        <v>00038</v>
      </c>
      <c r="E17" s="386">
        <v>81176.350000000006</v>
      </c>
      <c r="F17" s="386">
        <v>-2885.31</v>
      </c>
      <c r="G17" s="386">
        <v>81176.350000000006</v>
      </c>
      <c r="H17" s="386">
        <v>-2758.13</v>
      </c>
      <c r="I17" s="386">
        <v>81176.350000000006</v>
      </c>
      <c r="J17" s="386">
        <v>-2630.9500000000003</v>
      </c>
      <c r="K17" s="386">
        <v>81176.350000000006</v>
      </c>
      <c r="L17" s="386">
        <v>-2503.77</v>
      </c>
      <c r="M17" s="386">
        <v>81176.350000000006</v>
      </c>
      <c r="N17" s="386">
        <v>-2376.59</v>
      </c>
      <c r="O17" s="386">
        <v>81176.350000000006</v>
      </c>
      <c r="P17" s="386">
        <v>-2249.41</v>
      </c>
      <c r="Q17" s="386">
        <v>81176.350000000006</v>
      </c>
      <c r="R17" s="386">
        <v>-2122.23</v>
      </c>
      <c r="S17" s="386">
        <v>81176.350000000006</v>
      </c>
      <c r="T17" s="386">
        <v>-1995.05</v>
      </c>
      <c r="U17" s="386">
        <v>81176.350000000006</v>
      </c>
      <c r="V17" s="386">
        <v>-1867.8700000000001</v>
      </c>
      <c r="W17" s="386">
        <v>79051.19</v>
      </c>
      <c r="X17" s="386">
        <v>-1740.69</v>
      </c>
      <c r="Y17" s="386">
        <v>79051.19</v>
      </c>
      <c r="Z17" s="386">
        <v>-1616.8400000000001</v>
      </c>
      <c r="AA17" s="386">
        <v>79051.19</v>
      </c>
      <c r="AB17" s="386">
        <v>-1492.99</v>
      </c>
      <c r="AC17" s="386">
        <v>79051.19</v>
      </c>
      <c r="AD17" s="386">
        <v>-1369.14</v>
      </c>
      <c r="AE17" s="386">
        <f t="shared" si="2"/>
        <v>80556.511666666658</v>
      </c>
      <c r="AF17" s="386">
        <f t="shared" si="0"/>
        <v>-2123.4787499999998</v>
      </c>
    </row>
    <row r="18" spans="1:32">
      <c r="A18" s="35">
        <v>10</v>
      </c>
      <c r="C18" s="6" t="s">
        <v>1699</v>
      </c>
      <c r="D18" s="6" t="str">
        <f t="shared" si="1"/>
        <v>00038</v>
      </c>
      <c r="E18" s="386">
        <v>141860.15</v>
      </c>
      <c r="F18" s="386">
        <v>0</v>
      </c>
      <c r="G18" s="386">
        <v>141860.15</v>
      </c>
      <c r="H18" s="386">
        <v>0</v>
      </c>
      <c r="I18" s="386">
        <v>141860.15</v>
      </c>
      <c r="J18" s="386">
        <v>0</v>
      </c>
      <c r="K18" s="386">
        <v>141860.15</v>
      </c>
      <c r="L18" s="386">
        <v>0</v>
      </c>
      <c r="M18" s="386">
        <v>141860.15</v>
      </c>
      <c r="N18" s="386">
        <v>0</v>
      </c>
      <c r="O18" s="386">
        <v>141860.15</v>
      </c>
      <c r="P18" s="386">
        <v>0</v>
      </c>
      <c r="Q18" s="386">
        <v>141860.15</v>
      </c>
      <c r="R18" s="386">
        <v>0</v>
      </c>
      <c r="S18" s="386">
        <v>141860.15</v>
      </c>
      <c r="T18" s="386">
        <v>0</v>
      </c>
      <c r="U18" s="386">
        <v>141860.15</v>
      </c>
      <c r="V18" s="386">
        <v>0</v>
      </c>
      <c r="W18" s="386">
        <v>141860.15</v>
      </c>
      <c r="X18" s="386">
        <v>0</v>
      </c>
      <c r="Y18" s="386">
        <v>141860.15</v>
      </c>
      <c r="Z18" s="386">
        <v>0</v>
      </c>
      <c r="AA18" s="386">
        <v>141860.15</v>
      </c>
      <c r="AB18" s="386">
        <v>0</v>
      </c>
      <c r="AC18" s="386">
        <v>141860.15</v>
      </c>
      <c r="AD18" s="386">
        <v>0</v>
      </c>
      <c r="AE18" s="386">
        <f t="shared" si="2"/>
        <v>141860.14999999997</v>
      </c>
      <c r="AF18" s="386">
        <f t="shared" si="0"/>
        <v>0</v>
      </c>
    </row>
    <row r="19" spans="1:32">
      <c r="A19" s="35">
        <v>11</v>
      </c>
      <c r="C19" s="6" t="s">
        <v>1700</v>
      </c>
      <c r="D19" s="6" t="str">
        <f t="shared" si="1"/>
        <v>00038</v>
      </c>
      <c r="E19" s="386">
        <v>0</v>
      </c>
      <c r="F19" s="386">
        <v>-655.47</v>
      </c>
      <c r="G19" s="386">
        <v>0</v>
      </c>
      <c r="H19" s="386">
        <v>-655.47</v>
      </c>
      <c r="I19" s="386">
        <v>0</v>
      </c>
      <c r="J19" s="386">
        <v>-655.47</v>
      </c>
      <c r="K19" s="386">
        <v>0</v>
      </c>
      <c r="L19" s="386">
        <v>-655.47</v>
      </c>
      <c r="M19" s="386">
        <v>0</v>
      </c>
      <c r="N19" s="386">
        <v>-655.47</v>
      </c>
      <c r="O19" s="386">
        <v>0</v>
      </c>
      <c r="P19" s="386">
        <v>-655.47</v>
      </c>
      <c r="Q19" s="386">
        <v>0</v>
      </c>
      <c r="R19" s="386">
        <v>-655.47</v>
      </c>
      <c r="S19" s="386">
        <v>0</v>
      </c>
      <c r="T19" s="386">
        <v>-655.47</v>
      </c>
      <c r="U19" s="386">
        <v>0</v>
      </c>
      <c r="V19" s="386">
        <v>-655.47</v>
      </c>
      <c r="W19" s="386">
        <v>0</v>
      </c>
      <c r="X19" s="386">
        <v>-655.47</v>
      </c>
      <c r="Y19" s="386">
        <v>0</v>
      </c>
      <c r="Z19" s="386">
        <v>-655.47</v>
      </c>
      <c r="AA19" s="386">
        <v>0</v>
      </c>
      <c r="AB19" s="386">
        <v>-655.47</v>
      </c>
      <c r="AC19" s="386">
        <v>0</v>
      </c>
      <c r="AD19" s="386">
        <v>-655.47</v>
      </c>
      <c r="AE19" s="386">
        <f t="shared" si="2"/>
        <v>0</v>
      </c>
      <c r="AF19" s="386">
        <f t="shared" si="0"/>
        <v>-655.47000000000014</v>
      </c>
    </row>
    <row r="20" spans="1:32">
      <c r="A20" s="35">
        <v>12</v>
      </c>
      <c r="C20" s="6" t="s">
        <v>1701</v>
      </c>
      <c r="D20" s="6" t="str">
        <f t="shared" si="1"/>
        <v>00038</v>
      </c>
      <c r="E20" s="386">
        <v>363784.97000000003</v>
      </c>
      <c r="F20" s="386">
        <v>246406.96</v>
      </c>
      <c r="G20" s="386">
        <v>363784.97000000003</v>
      </c>
      <c r="H20" s="386">
        <v>246776.81</v>
      </c>
      <c r="I20" s="386">
        <v>363784.97000000003</v>
      </c>
      <c r="J20" s="386">
        <v>247146.66</v>
      </c>
      <c r="K20" s="386">
        <v>363784.97000000003</v>
      </c>
      <c r="L20" s="386">
        <v>247516.51</v>
      </c>
      <c r="M20" s="386">
        <v>363784.97000000003</v>
      </c>
      <c r="N20" s="386">
        <v>247886.36000000002</v>
      </c>
      <c r="O20" s="386">
        <v>363784.97000000003</v>
      </c>
      <c r="P20" s="386">
        <v>248256.21</v>
      </c>
      <c r="Q20" s="386">
        <v>363784.97000000003</v>
      </c>
      <c r="R20" s="386">
        <v>248626.06</v>
      </c>
      <c r="S20" s="386">
        <v>363784.97000000003</v>
      </c>
      <c r="T20" s="386">
        <v>248995.91</v>
      </c>
      <c r="U20" s="386">
        <v>363784.97000000003</v>
      </c>
      <c r="V20" s="386">
        <v>249365.76000000001</v>
      </c>
      <c r="W20" s="386">
        <v>363784.97000000003</v>
      </c>
      <c r="X20" s="386">
        <v>249735.61000000002</v>
      </c>
      <c r="Y20" s="386">
        <v>363784.97000000003</v>
      </c>
      <c r="Z20" s="386">
        <v>250105.46</v>
      </c>
      <c r="AA20" s="386">
        <v>363784.97000000003</v>
      </c>
      <c r="AB20" s="386">
        <v>250475.31</v>
      </c>
      <c r="AC20" s="386">
        <v>363784.97000000003</v>
      </c>
      <c r="AD20" s="386">
        <v>250845.16</v>
      </c>
      <c r="AE20" s="386">
        <f t="shared" si="2"/>
        <v>363784.97000000015</v>
      </c>
      <c r="AF20" s="386">
        <f t="shared" si="0"/>
        <v>248626.06000000003</v>
      </c>
    </row>
    <row r="21" spans="1:32">
      <c r="A21" s="35">
        <v>13</v>
      </c>
      <c r="C21" s="6" t="s">
        <v>1702</v>
      </c>
      <c r="D21" s="6" t="str">
        <f t="shared" si="1"/>
        <v>00038</v>
      </c>
      <c r="E21" s="386">
        <v>15085668.380000001</v>
      </c>
      <c r="F21" s="386">
        <v>4897183.96</v>
      </c>
      <c r="G21" s="386">
        <v>15104874.25</v>
      </c>
      <c r="H21" s="386">
        <v>4979920</v>
      </c>
      <c r="I21" s="386">
        <v>15106654.83</v>
      </c>
      <c r="J21" s="386">
        <v>4995654.25</v>
      </c>
      <c r="K21" s="386">
        <v>15110550.34</v>
      </c>
      <c r="L21" s="386">
        <v>5010120.05</v>
      </c>
      <c r="M21" s="386">
        <v>15151477.460000001</v>
      </c>
      <c r="N21" s="386">
        <v>5025860.2</v>
      </c>
      <c r="O21" s="386">
        <v>15151477.449999999</v>
      </c>
      <c r="P21" s="386">
        <v>5041642.99</v>
      </c>
      <c r="Q21" s="386">
        <v>15348974.75</v>
      </c>
      <c r="R21" s="386">
        <v>5057241.3600000003</v>
      </c>
      <c r="S21" s="386">
        <v>15334956.33</v>
      </c>
      <c r="T21" s="386">
        <v>5073229.87</v>
      </c>
      <c r="U21" s="386">
        <v>15761109.73</v>
      </c>
      <c r="V21" s="386">
        <v>5089203.78</v>
      </c>
      <c r="W21" s="386">
        <v>15761109.73</v>
      </c>
      <c r="X21" s="386">
        <v>5079247.0199999996</v>
      </c>
      <c r="Y21" s="386">
        <v>15761109.73</v>
      </c>
      <c r="Z21" s="386">
        <v>5095664.84</v>
      </c>
      <c r="AA21" s="386">
        <v>15761109.73</v>
      </c>
      <c r="AB21" s="386">
        <v>5112082.66</v>
      </c>
      <c r="AC21" s="386">
        <v>16263434.68</v>
      </c>
      <c r="AD21" s="386">
        <v>5121531.34</v>
      </c>
      <c r="AE21" s="386">
        <f t="shared" si="2"/>
        <v>15418996.321666665</v>
      </c>
      <c r="AF21" s="386">
        <f t="shared" si="0"/>
        <v>5047435.3891666662</v>
      </c>
    </row>
    <row r="22" spans="1:32">
      <c r="A22" s="35">
        <v>14</v>
      </c>
      <c r="C22" s="6" t="s">
        <v>1703</v>
      </c>
      <c r="D22" s="6" t="str">
        <f t="shared" si="1"/>
        <v>00038</v>
      </c>
      <c r="E22" s="386">
        <v>36326710.43</v>
      </c>
      <c r="F22" s="386">
        <v>8318908.7199999997</v>
      </c>
      <c r="G22" s="386">
        <v>36319962.240000002</v>
      </c>
      <c r="H22" s="386">
        <v>8984426.3599999994</v>
      </c>
      <c r="I22" s="386">
        <v>36351504.299999997</v>
      </c>
      <c r="J22" s="386">
        <v>9109427.5600000005</v>
      </c>
      <c r="K22" s="386">
        <v>36365688.93</v>
      </c>
      <c r="L22" s="386">
        <v>9230380.75</v>
      </c>
      <c r="M22" s="386">
        <v>36940084.009999998</v>
      </c>
      <c r="N22" s="386">
        <v>9355539.3300000001</v>
      </c>
      <c r="O22" s="386">
        <v>37012259.280000001</v>
      </c>
      <c r="P22" s="386">
        <v>9482674.7799999993</v>
      </c>
      <c r="Q22" s="386">
        <v>37067628.990000002</v>
      </c>
      <c r="R22" s="386">
        <v>9609877.5199999996</v>
      </c>
      <c r="S22" s="386">
        <v>37103980.909999996</v>
      </c>
      <c r="T22" s="386">
        <v>9737451.9499999993</v>
      </c>
      <c r="U22" s="386">
        <v>37779712.049999997</v>
      </c>
      <c r="V22" s="386">
        <v>9863497.3000000007</v>
      </c>
      <c r="W22" s="386">
        <v>38035887.810000002</v>
      </c>
      <c r="X22" s="386">
        <v>9992056.8499999996</v>
      </c>
      <c r="Y22" s="386">
        <v>38377685.039999999</v>
      </c>
      <c r="Z22" s="386">
        <v>10122963.699999999</v>
      </c>
      <c r="AA22" s="386">
        <v>38613862.909999996</v>
      </c>
      <c r="AB22" s="386">
        <v>10254363.810000001</v>
      </c>
      <c r="AC22" s="386">
        <v>38985326.240000002</v>
      </c>
      <c r="AD22" s="386">
        <v>10387259.859999999</v>
      </c>
      <c r="AE22" s="386">
        <f t="shared" si="2"/>
        <v>37302022.900416665</v>
      </c>
      <c r="AF22" s="386">
        <f t="shared" si="0"/>
        <v>9591312.0166666657</v>
      </c>
    </row>
    <row r="23" spans="1:32">
      <c r="A23" s="35">
        <v>15</v>
      </c>
      <c r="C23" s="6" t="s">
        <v>1704</v>
      </c>
      <c r="D23" s="6" t="str">
        <f t="shared" si="1"/>
        <v>00038</v>
      </c>
      <c r="E23" s="386">
        <v>31021437.920000002</v>
      </c>
      <c r="F23" s="386">
        <v>22938009.989999998</v>
      </c>
      <c r="G23" s="386">
        <v>31038899.719999999</v>
      </c>
      <c r="H23" s="386">
        <v>22991192.850000001</v>
      </c>
      <c r="I23" s="386">
        <v>31046740.219999999</v>
      </c>
      <c r="J23" s="386">
        <v>23004209.059999999</v>
      </c>
      <c r="K23" s="386">
        <v>31199451.789999999</v>
      </c>
      <c r="L23" s="386">
        <v>23048829.640000001</v>
      </c>
      <c r="M23" s="386">
        <v>31254403.899999999</v>
      </c>
      <c r="N23" s="386">
        <v>23087875.199999999</v>
      </c>
      <c r="O23" s="386">
        <v>31253245.510000002</v>
      </c>
      <c r="P23" s="386">
        <v>23143836.149999999</v>
      </c>
      <c r="Q23" s="386">
        <v>31454455.699999999</v>
      </c>
      <c r="R23" s="386">
        <v>23201133.760000002</v>
      </c>
      <c r="S23" s="386">
        <v>31547721.050000001</v>
      </c>
      <c r="T23" s="386">
        <v>23258634.899999999</v>
      </c>
      <c r="U23" s="386">
        <v>31552793.73</v>
      </c>
      <c r="V23" s="386">
        <v>23312037.420000002</v>
      </c>
      <c r="W23" s="386">
        <v>31570517.539999999</v>
      </c>
      <c r="X23" s="386">
        <v>23369884.199999999</v>
      </c>
      <c r="Y23" s="386">
        <v>31579299.510000002</v>
      </c>
      <c r="Z23" s="386">
        <v>23426957.690000001</v>
      </c>
      <c r="AA23" s="386">
        <v>31630260</v>
      </c>
      <c r="AB23" s="386">
        <v>23478212.280000001</v>
      </c>
      <c r="AC23" s="386">
        <v>31764135.859999999</v>
      </c>
      <c r="AD23" s="386">
        <v>23534532.66</v>
      </c>
      <c r="AE23" s="386">
        <f t="shared" si="2"/>
        <v>31376714.629999995</v>
      </c>
      <c r="AF23" s="386">
        <f t="shared" si="0"/>
        <v>23213256.206250001</v>
      </c>
    </row>
    <row r="24" spans="1:32">
      <c r="A24" s="35">
        <v>16</v>
      </c>
      <c r="C24" s="6" t="s">
        <v>1705</v>
      </c>
      <c r="D24" s="6" t="str">
        <f t="shared" si="1"/>
        <v>00038</v>
      </c>
      <c r="E24" s="386">
        <v>7895829.7400000002</v>
      </c>
      <c r="F24" s="386">
        <v>2875066.34</v>
      </c>
      <c r="G24" s="386">
        <v>7921283.5999999996</v>
      </c>
      <c r="H24" s="386">
        <v>2887699.67</v>
      </c>
      <c r="I24" s="386">
        <v>7942537.4500000002</v>
      </c>
      <c r="J24" s="386">
        <v>2900373.7199999997</v>
      </c>
      <c r="K24" s="386">
        <v>8012268.1900000004</v>
      </c>
      <c r="L24" s="386">
        <v>2904989.02</v>
      </c>
      <c r="M24" s="386">
        <v>8029887.7400000002</v>
      </c>
      <c r="N24" s="386">
        <v>2917808.65</v>
      </c>
      <c r="O24" s="386">
        <v>8029887.7400000002</v>
      </c>
      <c r="P24" s="386">
        <v>2930656.4699999997</v>
      </c>
      <c r="Q24" s="386">
        <v>8142370.3600000003</v>
      </c>
      <c r="R24" s="386">
        <v>2942067.37</v>
      </c>
      <c r="S24" s="386">
        <v>8142931.5599999996</v>
      </c>
      <c r="T24" s="386">
        <v>2953661.59</v>
      </c>
      <c r="U24" s="386">
        <v>8143368.9199999999</v>
      </c>
      <c r="V24" s="386">
        <v>2966690.2800000003</v>
      </c>
      <c r="W24" s="386">
        <v>8146052.8200000003</v>
      </c>
      <c r="X24" s="386">
        <v>2979162.77</v>
      </c>
      <c r="Y24" s="386">
        <v>8167832.2000000002</v>
      </c>
      <c r="Z24" s="386">
        <v>2992196.45</v>
      </c>
      <c r="AA24" s="386">
        <v>8168799.6500000004</v>
      </c>
      <c r="AB24" s="386">
        <v>3005264.98</v>
      </c>
      <c r="AC24" s="386">
        <v>8710463.1500000004</v>
      </c>
      <c r="AD24" s="386">
        <v>3016966.62</v>
      </c>
      <c r="AE24" s="386">
        <f t="shared" si="2"/>
        <v>8095863.8895833343</v>
      </c>
      <c r="AF24" s="386">
        <f t="shared" si="0"/>
        <v>2943882.2875000001</v>
      </c>
    </row>
    <row r="25" spans="1:32">
      <c r="A25" s="35">
        <v>17</v>
      </c>
      <c r="C25" s="6" t="s">
        <v>1706</v>
      </c>
      <c r="D25" s="6" t="str">
        <f t="shared" si="1"/>
        <v>00038</v>
      </c>
      <c r="E25" s="386">
        <v>33686399.469999999</v>
      </c>
      <c r="F25" s="386">
        <v>11533257.710000001</v>
      </c>
      <c r="G25" s="386">
        <v>33614058.350000001</v>
      </c>
      <c r="H25" s="386">
        <v>11952752.060000001</v>
      </c>
      <c r="I25" s="386">
        <v>33706884.939999998</v>
      </c>
      <c r="J25" s="386">
        <v>12056509.779999999</v>
      </c>
      <c r="K25" s="386">
        <v>33922787.780000001</v>
      </c>
      <c r="L25" s="386">
        <v>12163405.59</v>
      </c>
      <c r="M25" s="386">
        <v>33628845.560000002</v>
      </c>
      <c r="N25" s="386">
        <v>12271600.630000001</v>
      </c>
      <c r="O25" s="386">
        <v>33876412.810000002</v>
      </c>
      <c r="P25" s="386">
        <v>12378954.49</v>
      </c>
      <c r="Q25" s="386">
        <v>34036179.149999999</v>
      </c>
      <c r="R25" s="386">
        <v>12485497.289999999</v>
      </c>
      <c r="S25" s="386">
        <v>34216383.450000003</v>
      </c>
      <c r="T25" s="386">
        <v>12594736.720000001</v>
      </c>
      <c r="U25" s="386">
        <v>34531469.799999997</v>
      </c>
      <c r="V25" s="386">
        <v>12703589.76</v>
      </c>
      <c r="W25" s="386">
        <v>34648005.299999997</v>
      </c>
      <c r="X25" s="386">
        <v>12814756.890000001</v>
      </c>
      <c r="Y25" s="386">
        <v>34809170.100000001</v>
      </c>
      <c r="Z25" s="386">
        <v>12926143.59</v>
      </c>
      <c r="AA25" s="386">
        <v>34925807.119999997</v>
      </c>
      <c r="AB25" s="386">
        <v>13037817.550000001</v>
      </c>
      <c r="AC25" s="386">
        <v>35450283.200000003</v>
      </c>
      <c r="AD25" s="386">
        <v>13149746.33</v>
      </c>
      <c r="AE25" s="386">
        <f t="shared" si="2"/>
        <v>34207028.807916671</v>
      </c>
      <c r="AF25" s="386">
        <f t="shared" si="0"/>
        <v>12477272.197500004</v>
      </c>
    </row>
    <row r="26" spans="1:32">
      <c r="A26" s="35">
        <v>18</v>
      </c>
      <c r="C26" s="6" t="s">
        <v>1707</v>
      </c>
      <c r="D26" s="6" t="str">
        <f t="shared" si="1"/>
        <v>00038</v>
      </c>
      <c r="E26" s="386">
        <v>13055611.970000001</v>
      </c>
      <c r="F26" s="386">
        <v>19024335.030000001</v>
      </c>
      <c r="G26" s="386">
        <v>13056123.84</v>
      </c>
      <c r="H26" s="386">
        <v>19050574.940000001</v>
      </c>
      <c r="I26" s="386">
        <v>13056069.41</v>
      </c>
      <c r="J26" s="386">
        <v>19066831.210000001</v>
      </c>
      <c r="K26" s="386">
        <v>13055702.51</v>
      </c>
      <c r="L26" s="386">
        <v>19085787</v>
      </c>
      <c r="M26" s="386">
        <v>13054970.4</v>
      </c>
      <c r="N26" s="386">
        <v>19118747.829999998</v>
      </c>
      <c r="O26" s="386">
        <v>13053900.07</v>
      </c>
      <c r="P26" s="386">
        <v>19153496.52</v>
      </c>
      <c r="Q26" s="386">
        <v>13051661.68</v>
      </c>
      <c r="R26" s="386">
        <v>19181442.25</v>
      </c>
      <c r="S26" s="386">
        <v>13050987.859999999</v>
      </c>
      <c r="T26" s="386">
        <v>19213941.760000002</v>
      </c>
      <c r="U26" s="386">
        <v>13049850.09</v>
      </c>
      <c r="V26" s="386">
        <v>19238161.149999999</v>
      </c>
      <c r="W26" s="386">
        <v>13049170.619999999</v>
      </c>
      <c r="X26" s="386">
        <v>19265905.129999999</v>
      </c>
      <c r="Y26" s="386">
        <v>13026986.630000001</v>
      </c>
      <c r="Z26" s="386">
        <v>19294246.84</v>
      </c>
      <c r="AA26" s="386">
        <v>13026707.18</v>
      </c>
      <c r="AB26" s="386">
        <v>19323220.690000001</v>
      </c>
      <c r="AC26" s="386">
        <v>13026506.49</v>
      </c>
      <c r="AD26" s="386">
        <v>19356328.68</v>
      </c>
      <c r="AE26" s="386">
        <f t="shared" si="2"/>
        <v>13047765.793333331</v>
      </c>
      <c r="AF26" s="386">
        <f t="shared" si="0"/>
        <v>19181890.597916666</v>
      </c>
    </row>
    <row r="27" spans="1:32">
      <c r="A27" s="35">
        <v>19</v>
      </c>
      <c r="C27" s="6" t="s">
        <v>1708</v>
      </c>
      <c r="D27" s="6" t="str">
        <f t="shared" si="1"/>
        <v>00038</v>
      </c>
      <c r="E27" s="386">
        <v>8242824.79</v>
      </c>
      <c r="F27" s="386">
        <v>3356811.97</v>
      </c>
      <c r="G27" s="386">
        <v>8260321.46</v>
      </c>
      <c r="H27" s="386">
        <v>3369498.74</v>
      </c>
      <c r="I27" s="386">
        <v>8280203.46</v>
      </c>
      <c r="J27" s="386">
        <v>3382302.23</v>
      </c>
      <c r="K27" s="386">
        <v>8307075.9299999997</v>
      </c>
      <c r="L27" s="386">
        <v>3394658.36</v>
      </c>
      <c r="M27" s="386">
        <v>8324970.5300000003</v>
      </c>
      <c r="N27" s="386">
        <v>3407280.62</v>
      </c>
      <c r="O27" s="386">
        <v>8343035.1200000001</v>
      </c>
      <c r="P27" s="386">
        <v>3420184.32</v>
      </c>
      <c r="Q27" s="386">
        <v>8361379.8799999999</v>
      </c>
      <c r="R27" s="386">
        <v>3433113.42</v>
      </c>
      <c r="S27" s="386">
        <v>8378389.4000000004</v>
      </c>
      <c r="T27" s="386">
        <v>3445002.36</v>
      </c>
      <c r="U27" s="386">
        <v>8376949.3700000001</v>
      </c>
      <c r="V27" s="386">
        <v>3450401.25</v>
      </c>
      <c r="W27" s="386">
        <v>8384162.5599999996</v>
      </c>
      <c r="X27" s="386">
        <v>3463087.87</v>
      </c>
      <c r="Y27" s="386">
        <v>8395362.3300000001</v>
      </c>
      <c r="Z27" s="386">
        <v>3474665.14</v>
      </c>
      <c r="AA27" s="386">
        <v>8420057.2799999993</v>
      </c>
      <c r="AB27" s="386">
        <v>3487645.61</v>
      </c>
      <c r="AC27" s="386">
        <v>8433778.1199999992</v>
      </c>
      <c r="AD27" s="386">
        <v>3500679.52</v>
      </c>
      <c r="AE27" s="386">
        <f t="shared" si="2"/>
        <v>8347517.3979166662</v>
      </c>
      <c r="AF27" s="386">
        <f t="shared" si="0"/>
        <v>3429715.4720833325</v>
      </c>
    </row>
    <row r="28" spans="1:32">
      <c r="A28" s="35">
        <v>20</v>
      </c>
      <c r="C28" s="6" t="s">
        <v>1709</v>
      </c>
      <c r="D28" s="6" t="str">
        <f t="shared" si="1"/>
        <v>00038</v>
      </c>
      <c r="E28" s="386">
        <v>1670380.77</v>
      </c>
      <c r="F28" s="386">
        <v>680211.56</v>
      </c>
      <c r="G28" s="386">
        <v>1671090.47</v>
      </c>
      <c r="H28" s="386">
        <v>683246.09</v>
      </c>
      <c r="I28" s="386">
        <v>1671090.47</v>
      </c>
      <c r="J28" s="386">
        <v>686281.9</v>
      </c>
      <c r="K28" s="386">
        <v>1673664.92</v>
      </c>
      <c r="L28" s="386">
        <v>689317.71</v>
      </c>
      <c r="M28" s="386">
        <v>1675639.27</v>
      </c>
      <c r="N28" s="386">
        <v>692358.20000000007</v>
      </c>
      <c r="O28" s="386">
        <v>1675639.27</v>
      </c>
      <c r="P28" s="386">
        <v>695402.28</v>
      </c>
      <c r="Q28" s="386">
        <v>1696382.46</v>
      </c>
      <c r="R28" s="386">
        <v>698446.36</v>
      </c>
      <c r="S28" s="386">
        <v>1702358.19</v>
      </c>
      <c r="T28" s="386">
        <v>701528.12</v>
      </c>
      <c r="U28" s="386">
        <v>1710451.51</v>
      </c>
      <c r="V28" s="386">
        <v>712208.36</v>
      </c>
      <c r="W28" s="386">
        <v>1713381.5899999999</v>
      </c>
      <c r="X28" s="386">
        <v>715315.68</v>
      </c>
      <c r="Y28" s="386">
        <v>1719312.94</v>
      </c>
      <c r="Z28" s="386">
        <v>718428.32000000007</v>
      </c>
      <c r="AA28" s="386">
        <v>1721031</v>
      </c>
      <c r="AB28" s="386">
        <v>721551.74</v>
      </c>
      <c r="AC28" s="386">
        <v>1828166.3</v>
      </c>
      <c r="AD28" s="386">
        <v>712745.85</v>
      </c>
      <c r="AE28" s="386">
        <f t="shared" si="2"/>
        <v>1698276.3020833333</v>
      </c>
      <c r="AF28" s="386">
        <f t="shared" si="0"/>
        <v>700880.28874999995</v>
      </c>
    </row>
    <row r="29" spans="1:32">
      <c r="A29" s="35">
        <v>21</v>
      </c>
      <c r="C29" s="6" t="s">
        <v>1710</v>
      </c>
      <c r="D29" s="6" t="str">
        <f t="shared" si="1"/>
        <v>00038</v>
      </c>
      <c r="E29" s="386">
        <v>0</v>
      </c>
      <c r="F29" s="386">
        <v>-256.08</v>
      </c>
      <c r="G29" s="386">
        <v>0</v>
      </c>
      <c r="H29" s="386">
        <v>-256.08</v>
      </c>
      <c r="I29" s="386">
        <v>0</v>
      </c>
      <c r="J29" s="386">
        <v>-256.08</v>
      </c>
      <c r="K29" s="386">
        <v>0</v>
      </c>
      <c r="L29" s="386">
        <v>-256.08</v>
      </c>
      <c r="M29" s="386">
        <v>0</v>
      </c>
      <c r="N29" s="386">
        <v>-256.08</v>
      </c>
      <c r="O29" s="386">
        <v>0</v>
      </c>
      <c r="P29" s="386">
        <v>-256.08</v>
      </c>
      <c r="Q29" s="386">
        <v>0</v>
      </c>
      <c r="R29" s="386">
        <v>-256.08</v>
      </c>
      <c r="S29" s="386">
        <v>0</v>
      </c>
      <c r="T29" s="386">
        <v>-256.08</v>
      </c>
      <c r="U29" s="386">
        <v>0</v>
      </c>
      <c r="V29" s="386">
        <v>-256.08</v>
      </c>
      <c r="W29" s="386">
        <v>0</v>
      </c>
      <c r="X29" s="386">
        <v>-256.08</v>
      </c>
      <c r="Y29" s="386">
        <v>0</v>
      </c>
      <c r="Z29" s="386">
        <v>-256.08</v>
      </c>
      <c r="AA29" s="386">
        <v>0</v>
      </c>
      <c r="AB29" s="386">
        <v>-256.08</v>
      </c>
      <c r="AC29" s="386">
        <v>0</v>
      </c>
      <c r="AD29" s="386">
        <v>-256.08</v>
      </c>
      <c r="AE29" s="386">
        <f t="shared" si="2"/>
        <v>0</v>
      </c>
      <c r="AF29" s="386">
        <f t="shared" si="0"/>
        <v>-256.08</v>
      </c>
    </row>
    <row r="30" spans="1:32">
      <c r="A30" s="35">
        <v>22</v>
      </c>
      <c r="C30" s="6" t="s">
        <v>1711</v>
      </c>
      <c r="D30" s="6" t="str">
        <f t="shared" si="1"/>
        <v>00038</v>
      </c>
      <c r="E30" s="386">
        <v>302126.86</v>
      </c>
      <c r="F30" s="386">
        <v>250563.73</v>
      </c>
      <c r="G30" s="386">
        <v>302126.86</v>
      </c>
      <c r="H30" s="386">
        <v>250563.73</v>
      </c>
      <c r="I30" s="386">
        <v>302126.86</v>
      </c>
      <c r="J30" s="386">
        <v>250563.73</v>
      </c>
      <c r="K30" s="386">
        <v>493301.43</v>
      </c>
      <c r="L30" s="386">
        <v>250563.73</v>
      </c>
      <c r="M30" s="386">
        <v>493301.43</v>
      </c>
      <c r="N30" s="386">
        <v>309237.99</v>
      </c>
      <c r="O30" s="386">
        <v>493301.43</v>
      </c>
      <c r="P30" s="386">
        <v>309237.99</v>
      </c>
      <c r="Q30" s="386">
        <v>493301.43</v>
      </c>
      <c r="R30" s="386">
        <v>309237.99</v>
      </c>
      <c r="S30" s="386">
        <v>493301.43</v>
      </c>
      <c r="T30" s="386">
        <v>309237.99</v>
      </c>
      <c r="U30" s="386">
        <v>493301.43</v>
      </c>
      <c r="V30" s="386">
        <v>309237.99</v>
      </c>
      <c r="W30" s="386">
        <v>493301.43</v>
      </c>
      <c r="X30" s="386">
        <v>309237.99</v>
      </c>
      <c r="Y30" s="386">
        <v>493301.43</v>
      </c>
      <c r="Z30" s="386">
        <v>309237.99</v>
      </c>
      <c r="AA30" s="386">
        <v>493301.43</v>
      </c>
      <c r="AB30" s="386">
        <v>309237.99</v>
      </c>
      <c r="AC30" s="386">
        <v>493301.43</v>
      </c>
      <c r="AD30" s="386">
        <v>309237.99</v>
      </c>
      <c r="AE30" s="386">
        <f t="shared" si="2"/>
        <v>453473.39458333328</v>
      </c>
      <c r="AF30" s="386">
        <f t="shared" si="0"/>
        <v>292124.66416666668</v>
      </c>
    </row>
    <row r="31" spans="1:32">
      <c r="A31" s="35">
        <v>23</v>
      </c>
      <c r="C31" s="6" t="s">
        <v>1712</v>
      </c>
      <c r="D31" s="6" t="str">
        <f t="shared" si="1"/>
        <v>00038</v>
      </c>
      <c r="E31" s="386">
        <v>0</v>
      </c>
      <c r="F31" s="386">
        <v>11145.130000000001</v>
      </c>
      <c r="G31" s="386">
        <v>0</v>
      </c>
      <c r="H31" s="386">
        <v>11145.130000000001</v>
      </c>
      <c r="I31" s="386">
        <v>0</v>
      </c>
      <c r="J31" s="386">
        <v>11145.130000000001</v>
      </c>
      <c r="K31" s="386">
        <v>0</v>
      </c>
      <c r="L31" s="386">
        <v>11145.130000000001</v>
      </c>
      <c r="M31" s="386">
        <v>0</v>
      </c>
      <c r="N31" s="386">
        <v>11145.130000000001</v>
      </c>
      <c r="O31" s="386">
        <v>0</v>
      </c>
      <c r="P31" s="386">
        <v>11145.130000000001</v>
      </c>
      <c r="Q31" s="386">
        <v>0</v>
      </c>
      <c r="R31" s="386">
        <v>11145.130000000001</v>
      </c>
      <c r="S31" s="386">
        <v>0</v>
      </c>
      <c r="T31" s="386">
        <v>11145.130000000001</v>
      </c>
      <c r="U31" s="386">
        <v>0</v>
      </c>
      <c r="V31" s="386">
        <v>11145.130000000001</v>
      </c>
      <c r="W31" s="386">
        <v>0</v>
      </c>
      <c r="X31" s="386">
        <v>11145.130000000001</v>
      </c>
      <c r="Y31" s="386">
        <v>0</v>
      </c>
      <c r="Z31" s="386">
        <v>11145.130000000001</v>
      </c>
      <c r="AA31" s="386">
        <v>0</v>
      </c>
      <c r="AB31" s="386">
        <v>11145.130000000001</v>
      </c>
      <c r="AC31" s="386">
        <v>0</v>
      </c>
      <c r="AD31" s="386">
        <v>11145.130000000001</v>
      </c>
      <c r="AE31" s="386">
        <f t="shared" si="2"/>
        <v>0</v>
      </c>
      <c r="AF31" s="386">
        <f t="shared" si="0"/>
        <v>11145.130000000003</v>
      </c>
    </row>
    <row r="32" spans="1:32">
      <c r="A32" s="35">
        <v>24</v>
      </c>
      <c r="C32" s="6" t="s">
        <v>1713</v>
      </c>
      <c r="D32" s="6" t="str">
        <f t="shared" si="1"/>
        <v>00038</v>
      </c>
      <c r="E32" s="386">
        <v>4663838.87</v>
      </c>
      <c r="F32" s="386">
        <v>953510.37</v>
      </c>
      <c r="G32" s="386">
        <v>4663838.87</v>
      </c>
      <c r="H32" s="386">
        <v>956157.87</v>
      </c>
      <c r="I32" s="386">
        <v>4663838.87</v>
      </c>
      <c r="J32" s="386">
        <v>960977.17</v>
      </c>
      <c r="K32" s="386">
        <v>4472664.3</v>
      </c>
      <c r="L32" s="386">
        <v>965796.47</v>
      </c>
      <c r="M32" s="386">
        <v>4472664.3</v>
      </c>
      <c r="N32" s="386">
        <v>1023293.96</v>
      </c>
      <c r="O32" s="386">
        <v>4472664.3</v>
      </c>
      <c r="P32" s="386">
        <v>1027915.71</v>
      </c>
      <c r="Q32" s="386">
        <v>4503031.37</v>
      </c>
      <c r="R32" s="386">
        <v>1032537.46</v>
      </c>
      <c r="S32" s="386">
        <v>4503031.37</v>
      </c>
      <c r="T32" s="386">
        <v>1037190.59</v>
      </c>
      <c r="U32" s="386">
        <v>4503031.37</v>
      </c>
      <c r="V32" s="386">
        <v>1041843.72</v>
      </c>
      <c r="W32" s="386">
        <v>4503031.37</v>
      </c>
      <c r="X32" s="386">
        <v>1046496.85</v>
      </c>
      <c r="Y32" s="386">
        <v>4503031.37</v>
      </c>
      <c r="Z32" s="386">
        <v>1051149.98</v>
      </c>
      <c r="AA32" s="386">
        <v>4503031.37</v>
      </c>
      <c r="AB32" s="386">
        <v>1055803.1100000001</v>
      </c>
      <c r="AC32" s="386">
        <v>4503031.37</v>
      </c>
      <c r="AD32" s="386">
        <v>1060456.24</v>
      </c>
      <c r="AE32" s="386">
        <f t="shared" si="2"/>
        <v>4528941.1649999991</v>
      </c>
      <c r="AF32" s="386">
        <f t="shared" si="0"/>
        <v>1017178.8495833332</v>
      </c>
    </row>
    <row r="33" spans="1:32">
      <c r="A33" s="35">
        <v>25</v>
      </c>
      <c r="C33" s="6" t="s">
        <v>1714</v>
      </c>
      <c r="D33" s="6" t="str">
        <f t="shared" si="1"/>
        <v>00038</v>
      </c>
      <c r="E33" s="386">
        <v>95752.02</v>
      </c>
      <c r="F33" s="386">
        <v>19866.060000000001</v>
      </c>
      <c r="G33" s="386">
        <v>76479.02</v>
      </c>
      <c r="H33" s="386">
        <v>1979.07</v>
      </c>
      <c r="I33" s="386">
        <v>76479.02</v>
      </c>
      <c r="J33" s="386">
        <v>3086.1</v>
      </c>
      <c r="K33" s="386">
        <v>76479.02</v>
      </c>
      <c r="L33" s="386">
        <v>4193.13</v>
      </c>
      <c r="M33" s="386">
        <v>76479.02</v>
      </c>
      <c r="N33" s="386">
        <v>5300.16</v>
      </c>
      <c r="O33" s="386">
        <v>76479.02</v>
      </c>
      <c r="P33" s="386">
        <v>6407.1900000000005</v>
      </c>
      <c r="Q33" s="386">
        <v>76479.02</v>
      </c>
      <c r="R33" s="386">
        <v>7514.22</v>
      </c>
      <c r="S33" s="386">
        <v>76479.02</v>
      </c>
      <c r="T33" s="386">
        <v>8621.25</v>
      </c>
      <c r="U33" s="386">
        <v>76479.02</v>
      </c>
      <c r="V33" s="386">
        <v>9728.2800000000007</v>
      </c>
      <c r="W33" s="386">
        <v>76479.02</v>
      </c>
      <c r="X33" s="386">
        <v>10835.31</v>
      </c>
      <c r="Y33" s="386">
        <v>76479.02</v>
      </c>
      <c r="Z33" s="386">
        <v>11942.34</v>
      </c>
      <c r="AA33" s="386">
        <v>76479.02</v>
      </c>
      <c r="AB33" s="386">
        <v>13049.37</v>
      </c>
      <c r="AC33" s="386">
        <v>76479.02</v>
      </c>
      <c r="AD33" s="386">
        <v>14156.4</v>
      </c>
      <c r="AE33" s="386">
        <f t="shared" si="2"/>
        <v>77282.061666666676</v>
      </c>
      <c r="AF33" s="386">
        <f t="shared" si="0"/>
        <v>8305.6374999999989</v>
      </c>
    </row>
    <row r="34" spans="1:32">
      <c r="A34" s="35">
        <v>26</v>
      </c>
      <c r="C34" s="6" t="s">
        <v>1715</v>
      </c>
      <c r="D34" s="6" t="str">
        <f t="shared" si="1"/>
        <v>00038</v>
      </c>
      <c r="E34" s="386">
        <v>109816.96000000001</v>
      </c>
      <c r="F34" s="386">
        <v>18119.98</v>
      </c>
      <c r="G34" s="386">
        <v>106237.48</v>
      </c>
      <c r="H34" s="386">
        <v>14996.24</v>
      </c>
      <c r="I34" s="386">
        <v>106237.48</v>
      </c>
      <c r="J34" s="386">
        <v>15437.130000000001</v>
      </c>
      <c r="K34" s="386">
        <v>106237.48</v>
      </c>
      <c r="L34" s="386">
        <v>15878.02</v>
      </c>
      <c r="M34" s="386">
        <v>106237.48</v>
      </c>
      <c r="N34" s="386">
        <v>16318.91</v>
      </c>
      <c r="O34" s="386">
        <v>106237.48</v>
      </c>
      <c r="P34" s="386">
        <v>16759.8</v>
      </c>
      <c r="Q34" s="386">
        <v>106237.48</v>
      </c>
      <c r="R34" s="386">
        <v>17200.689999999999</v>
      </c>
      <c r="S34" s="386">
        <v>106237.48</v>
      </c>
      <c r="T34" s="386">
        <v>17641.580000000002</v>
      </c>
      <c r="U34" s="386">
        <v>106237.48</v>
      </c>
      <c r="V34" s="386">
        <v>18082.47</v>
      </c>
      <c r="W34" s="386">
        <v>106237.48</v>
      </c>
      <c r="X34" s="386">
        <v>18523.36</v>
      </c>
      <c r="Y34" s="386">
        <v>106237.48</v>
      </c>
      <c r="Z34" s="386">
        <v>18964.25</v>
      </c>
      <c r="AA34" s="386">
        <v>106237.48</v>
      </c>
      <c r="AB34" s="386">
        <v>19405.14</v>
      </c>
      <c r="AC34" s="386">
        <v>106237.48</v>
      </c>
      <c r="AD34" s="386">
        <v>19846.03</v>
      </c>
      <c r="AE34" s="386">
        <f t="shared" si="2"/>
        <v>106386.625</v>
      </c>
      <c r="AF34" s="386">
        <f t="shared" si="0"/>
        <v>17349.216250000001</v>
      </c>
    </row>
    <row r="35" spans="1:32">
      <c r="A35" s="35">
        <v>27</v>
      </c>
      <c r="C35" s="6" t="s">
        <v>1716</v>
      </c>
      <c r="D35" s="6" t="str">
        <f t="shared" si="1"/>
        <v>00038</v>
      </c>
      <c r="E35" s="386">
        <v>134180.20000000001</v>
      </c>
      <c r="F35" s="386">
        <v>94636.51</v>
      </c>
      <c r="G35" s="386">
        <v>134180.20000000001</v>
      </c>
      <c r="H35" s="386">
        <v>94988.73</v>
      </c>
      <c r="I35" s="386">
        <v>134180.20000000001</v>
      </c>
      <c r="J35" s="386">
        <v>95340.95</v>
      </c>
      <c r="K35" s="386">
        <v>134180.20000000001</v>
      </c>
      <c r="L35" s="386">
        <v>95693.17</v>
      </c>
      <c r="M35" s="386">
        <v>134180.20000000001</v>
      </c>
      <c r="N35" s="386">
        <v>96045.39</v>
      </c>
      <c r="O35" s="386">
        <v>134180.20000000001</v>
      </c>
      <c r="P35" s="386">
        <v>96397.61</v>
      </c>
      <c r="Q35" s="386">
        <v>134180.20000000001</v>
      </c>
      <c r="R35" s="386">
        <v>97449.83</v>
      </c>
      <c r="S35" s="386">
        <v>134180.20000000001</v>
      </c>
      <c r="T35" s="386">
        <v>97802.05</v>
      </c>
      <c r="U35" s="386">
        <v>134180.20000000001</v>
      </c>
      <c r="V35" s="386">
        <v>98154.27</v>
      </c>
      <c r="W35" s="386">
        <v>134180.20000000001</v>
      </c>
      <c r="X35" s="386">
        <v>98506.49</v>
      </c>
      <c r="Y35" s="386">
        <v>129342.7</v>
      </c>
      <c r="Z35" s="386">
        <v>94021.21</v>
      </c>
      <c r="AA35" s="386">
        <v>129342.7</v>
      </c>
      <c r="AB35" s="386">
        <v>94360.73</v>
      </c>
      <c r="AC35" s="386">
        <v>129342.7</v>
      </c>
      <c r="AD35" s="386">
        <v>94700.25</v>
      </c>
      <c r="AE35" s="386">
        <f t="shared" si="2"/>
        <v>133172.38749999998</v>
      </c>
      <c r="AF35" s="386">
        <f t="shared" si="0"/>
        <v>96119.067500000005</v>
      </c>
    </row>
    <row r="36" spans="1:32">
      <c r="A36" s="35">
        <v>28</v>
      </c>
      <c r="C36" s="6" t="s">
        <v>1717</v>
      </c>
      <c r="D36" s="6" t="str">
        <f t="shared" si="1"/>
        <v>00038</v>
      </c>
      <c r="E36" s="386">
        <v>3269505.08</v>
      </c>
      <c r="F36" s="386">
        <v>1139452.31</v>
      </c>
      <c r="G36" s="386">
        <v>3268747.02</v>
      </c>
      <c r="H36" s="386">
        <v>1156208.53</v>
      </c>
      <c r="I36" s="386">
        <v>3264607.26</v>
      </c>
      <c r="J36" s="386">
        <v>1172960.8600000001</v>
      </c>
      <c r="K36" s="386">
        <v>3264177.16</v>
      </c>
      <c r="L36" s="386">
        <v>1189691.98</v>
      </c>
      <c r="M36" s="386">
        <v>3171083.53</v>
      </c>
      <c r="N36" s="386">
        <v>1118467.5</v>
      </c>
      <c r="O36" s="386">
        <v>3276918.55</v>
      </c>
      <c r="P36" s="386">
        <v>1145419.3</v>
      </c>
      <c r="Q36" s="386">
        <v>3308036.71</v>
      </c>
      <c r="R36" s="386">
        <v>1162213.51</v>
      </c>
      <c r="S36" s="386">
        <v>3336005.32</v>
      </c>
      <c r="T36" s="386">
        <v>1179167.2</v>
      </c>
      <c r="U36" s="386">
        <v>3401129.25</v>
      </c>
      <c r="V36" s="386">
        <v>1165480.1200000001</v>
      </c>
      <c r="W36" s="386">
        <v>3436589.67</v>
      </c>
      <c r="X36" s="386">
        <v>1180410.9099999999</v>
      </c>
      <c r="Y36" s="386">
        <v>3434686.6</v>
      </c>
      <c r="Z36" s="386">
        <v>1198023.44</v>
      </c>
      <c r="AA36" s="386">
        <v>3311139.81</v>
      </c>
      <c r="AB36" s="386">
        <v>1134439.42</v>
      </c>
      <c r="AC36" s="386">
        <v>3417540.39</v>
      </c>
      <c r="AD36" s="386">
        <v>1151409.01</v>
      </c>
      <c r="AE36" s="386">
        <f t="shared" si="2"/>
        <v>3318053.6345833335</v>
      </c>
      <c r="AF36" s="386">
        <f t="shared" si="0"/>
        <v>1162326.1191666666</v>
      </c>
    </row>
    <row r="37" spans="1:32">
      <c r="A37" s="35">
        <v>29</v>
      </c>
      <c r="C37" s="6" t="s">
        <v>1718</v>
      </c>
      <c r="D37" s="6" t="str">
        <f t="shared" si="1"/>
        <v>00038</v>
      </c>
      <c r="E37" s="386">
        <v>0</v>
      </c>
      <c r="F37" s="386">
        <v>0</v>
      </c>
      <c r="G37" s="386">
        <v>0</v>
      </c>
      <c r="H37" s="386">
        <v>0</v>
      </c>
      <c r="I37" s="386">
        <v>0</v>
      </c>
      <c r="J37" s="386">
        <v>0</v>
      </c>
      <c r="K37" s="386">
        <v>0</v>
      </c>
      <c r="L37" s="386">
        <v>0</v>
      </c>
      <c r="M37" s="386">
        <v>0</v>
      </c>
      <c r="N37" s="386">
        <v>0</v>
      </c>
      <c r="O37" s="386">
        <v>0</v>
      </c>
      <c r="P37" s="386">
        <v>0</v>
      </c>
      <c r="Q37" s="386">
        <v>0</v>
      </c>
      <c r="R37" s="386">
        <v>0</v>
      </c>
      <c r="S37" s="386">
        <v>0</v>
      </c>
      <c r="T37" s="386">
        <v>0</v>
      </c>
      <c r="U37" s="386">
        <v>0</v>
      </c>
      <c r="V37" s="386">
        <v>0</v>
      </c>
      <c r="W37" s="386">
        <v>0</v>
      </c>
      <c r="X37" s="386">
        <v>0</v>
      </c>
      <c r="Y37" s="386">
        <v>0</v>
      </c>
      <c r="Z37" s="386">
        <v>0</v>
      </c>
      <c r="AA37" s="386">
        <v>0</v>
      </c>
      <c r="AB37" s="386">
        <v>0</v>
      </c>
      <c r="AC37" s="386">
        <v>0</v>
      </c>
      <c r="AD37" s="386">
        <v>0</v>
      </c>
      <c r="AE37" s="386">
        <f t="shared" si="2"/>
        <v>0</v>
      </c>
      <c r="AF37" s="386">
        <f t="shared" si="0"/>
        <v>0</v>
      </c>
    </row>
    <row r="38" spans="1:32">
      <c r="A38" s="35">
        <v>30</v>
      </c>
      <c r="C38" s="6" t="s">
        <v>1719</v>
      </c>
      <c r="D38" s="6" t="str">
        <f t="shared" si="1"/>
        <v>00038</v>
      </c>
      <c r="E38" s="386">
        <v>1249569.52</v>
      </c>
      <c r="F38" s="386">
        <v>351955.78</v>
      </c>
      <c r="G38" s="386">
        <v>1235682.6299999999</v>
      </c>
      <c r="H38" s="386">
        <v>341775.95</v>
      </c>
      <c r="I38" s="386">
        <v>1235682.6299999999</v>
      </c>
      <c r="J38" s="386">
        <v>345441.81</v>
      </c>
      <c r="K38" s="386">
        <v>1191740.79</v>
      </c>
      <c r="L38" s="386">
        <v>305165.83</v>
      </c>
      <c r="M38" s="386">
        <v>1191740.79</v>
      </c>
      <c r="N38" s="386">
        <v>308701.33</v>
      </c>
      <c r="O38" s="386">
        <v>1191740.79</v>
      </c>
      <c r="P38" s="386">
        <v>312236.83</v>
      </c>
      <c r="Q38" s="386">
        <v>1242502.31</v>
      </c>
      <c r="R38" s="386">
        <v>315772.33</v>
      </c>
      <c r="S38" s="386">
        <v>1242502.31</v>
      </c>
      <c r="T38" s="386">
        <v>319458.42</v>
      </c>
      <c r="U38" s="386">
        <v>1243203.67</v>
      </c>
      <c r="V38" s="386">
        <v>323144.51</v>
      </c>
      <c r="W38" s="386">
        <v>1245869.3900000001</v>
      </c>
      <c r="X38" s="386">
        <v>326832.68</v>
      </c>
      <c r="Y38" s="386">
        <v>1258973.99</v>
      </c>
      <c r="Z38" s="386">
        <v>330528.76</v>
      </c>
      <c r="AA38" s="386">
        <v>1258973.99</v>
      </c>
      <c r="AB38" s="386">
        <v>334263.72000000003</v>
      </c>
      <c r="AC38" s="386">
        <v>1274963.3900000001</v>
      </c>
      <c r="AD38" s="386">
        <v>337998.68</v>
      </c>
      <c r="AE38" s="386">
        <f t="shared" si="2"/>
        <v>1233406.6454166668</v>
      </c>
      <c r="AF38" s="386">
        <f t="shared" si="0"/>
        <v>325691.61666666676</v>
      </c>
    </row>
    <row r="39" spans="1:32">
      <c r="A39" s="35">
        <v>31</v>
      </c>
      <c r="C39" s="6" t="s">
        <v>1720</v>
      </c>
      <c r="D39" s="6" t="str">
        <f t="shared" si="1"/>
        <v>00038</v>
      </c>
      <c r="E39" s="386">
        <v>762893.03</v>
      </c>
      <c r="F39" s="386">
        <v>-192533.71</v>
      </c>
      <c r="G39" s="386">
        <v>751342.85</v>
      </c>
      <c r="H39" s="386">
        <v>-219726.51</v>
      </c>
      <c r="I39" s="386">
        <v>751342.85</v>
      </c>
      <c r="J39" s="386">
        <v>-216483.21</v>
      </c>
      <c r="K39" s="386">
        <v>751342.85</v>
      </c>
      <c r="L39" s="386">
        <v>-213239.91</v>
      </c>
      <c r="M39" s="386">
        <v>751342.85</v>
      </c>
      <c r="N39" s="386">
        <v>-209996.61000000002</v>
      </c>
      <c r="O39" s="386">
        <v>751342.85</v>
      </c>
      <c r="P39" s="386">
        <v>-206753.31</v>
      </c>
      <c r="Q39" s="386">
        <v>701039.87</v>
      </c>
      <c r="R39" s="386">
        <v>-202135.01</v>
      </c>
      <c r="S39" s="386">
        <v>701039.87</v>
      </c>
      <c r="T39" s="386">
        <v>-199108.85</v>
      </c>
      <c r="U39" s="386">
        <v>682167.97</v>
      </c>
      <c r="V39" s="386">
        <v>-289476.39</v>
      </c>
      <c r="W39" s="386">
        <v>682167.97</v>
      </c>
      <c r="X39" s="386">
        <v>-286531.7</v>
      </c>
      <c r="Y39" s="386">
        <v>668987.59</v>
      </c>
      <c r="Z39" s="386">
        <v>-295567.39</v>
      </c>
      <c r="AA39" s="386">
        <v>668987.59</v>
      </c>
      <c r="AB39" s="386">
        <v>-292679.60000000003</v>
      </c>
      <c r="AC39" s="386">
        <v>668987.59</v>
      </c>
      <c r="AD39" s="386">
        <v>-289041.81</v>
      </c>
      <c r="AE39" s="386">
        <f t="shared" si="2"/>
        <v>714753.78500000003</v>
      </c>
      <c r="AF39" s="386">
        <f t="shared" si="0"/>
        <v>-239373.85416666666</v>
      </c>
    </row>
    <row r="40" spans="1:32">
      <c r="A40" s="35">
        <v>32</v>
      </c>
      <c r="C40" s="6" t="s">
        <v>1721</v>
      </c>
      <c r="D40" s="6" t="str">
        <f t="shared" si="1"/>
        <v>00038</v>
      </c>
      <c r="E40" s="386">
        <v>282215.55</v>
      </c>
      <c r="F40" s="386">
        <v>54221.94</v>
      </c>
      <c r="G40" s="386">
        <v>282215.55</v>
      </c>
      <c r="H40" s="386">
        <v>54955.700000000004</v>
      </c>
      <c r="I40" s="386">
        <v>295144.49</v>
      </c>
      <c r="J40" s="386">
        <v>55689.46</v>
      </c>
      <c r="K40" s="386">
        <v>295264.92</v>
      </c>
      <c r="L40" s="386">
        <v>56456.840000000004</v>
      </c>
      <c r="M40" s="386">
        <v>295264.92</v>
      </c>
      <c r="N40" s="386">
        <v>57224.53</v>
      </c>
      <c r="O40" s="386">
        <v>295264.92</v>
      </c>
      <c r="P40" s="386">
        <v>57992.22</v>
      </c>
      <c r="Q40" s="386">
        <v>295264.92</v>
      </c>
      <c r="R40" s="386">
        <v>58759.91</v>
      </c>
      <c r="S40" s="386">
        <v>295264.92</v>
      </c>
      <c r="T40" s="386">
        <v>59527.6</v>
      </c>
      <c r="U40" s="386">
        <v>295264.92</v>
      </c>
      <c r="V40" s="386">
        <v>60295.29</v>
      </c>
      <c r="W40" s="386">
        <v>278979.77</v>
      </c>
      <c r="X40" s="386">
        <v>50427.83</v>
      </c>
      <c r="Y40" s="386">
        <v>278979.77</v>
      </c>
      <c r="Z40" s="386">
        <v>51153.18</v>
      </c>
      <c r="AA40" s="386">
        <v>278979.77</v>
      </c>
      <c r="AB40" s="386">
        <v>51878.53</v>
      </c>
      <c r="AC40" s="386">
        <v>278979.77</v>
      </c>
      <c r="AD40" s="386">
        <v>52603.880000000005</v>
      </c>
      <c r="AE40" s="386">
        <f t="shared" si="2"/>
        <v>288873.8775</v>
      </c>
      <c r="AF40" s="386">
        <f t="shared" si="0"/>
        <v>55647.833333333343</v>
      </c>
    </row>
    <row r="41" spans="1:32">
      <c r="A41" s="35">
        <v>33</v>
      </c>
      <c r="C41" s="6" t="s">
        <v>1722</v>
      </c>
      <c r="D41" s="6" t="str">
        <f t="shared" si="1"/>
        <v>00038</v>
      </c>
      <c r="E41" s="386">
        <v>190417.76</v>
      </c>
      <c r="F41" s="386">
        <v>88118.38</v>
      </c>
      <c r="G41" s="386">
        <v>190417.76</v>
      </c>
      <c r="H41" s="386">
        <v>88841.97</v>
      </c>
      <c r="I41" s="386">
        <v>190417.76</v>
      </c>
      <c r="J41" s="386">
        <v>89565.56</v>
      </c>
      <c r="K41" s="386">
        <v>190417.76</v>
      </c>
      <c r="L41" s="386">
        <v>90289.150000000009</v>
      </c>
      <c r="M41" s="386">
        <v>190417.76</v>
      </c>
      <c r="N41" s="386">
        <v>91012.74</v>
      </c>
      <c r="O41" s="386">
        <v>190417.76</v>
      </c>
      <c r="P41" s="386">
        <v>91736.33</v>
      </c>
      <c r="Q41" s="386">
        <v>190417.76</v>
      </c>
      <c r="R41" s="386">
        <v>92459.92</v>
      </c>
      <c r="S41" s="386">
        <v>190417.76</v>
      </c>
      <c r="T41" s="386">
        <v>93183.51</v>
      </c>
      <c r="U41" s="386">
        <v>190417.76</v>
      </c>
      <c r="V41" s="386">
        <v>93907.1</v>
      </c>
      <c r="W41" s="386">
        <v>190417.76</v>
      </c>
      <c r="X41" s="386">
        <v>94630.69</v>
      </c>
      <c r="Y41" s="386">
        <v>190417.76</v>
      </c>
      <c r="Z41" s="386">
        <v>95354.28</v>
      </c>
      <c r="AA41" s="386">
        <v>190417.76</v>
      </c>
      <c r="AB41" s="386">
        <v>96077.87</v>
      </c>
      <c r="AC41" s="386">
        <v>190417.76</v>
      </c>
      <c r="AD41" s="386">
        <v>96801.46</v>
      </c>
      <c r="AE41" s="386">
        <f t="shared" si="2"/>
        <v>190417.76</v>
      </c>
      <c r="AF41" s="386">
        <f t="shared" si="0"/>
        <v>92459.92</v>
      </c>
    </row>
    <row r="42" spans="1:32">
      <c r="A42" s="35">
        <v>34</v>
      </c>
      <c r="C42" s="6" t="s">
        <v>1723</v>
      </c>
      <c r="D42" s="6" t="str">
        <f t="shared" si="1"/>
        <v>00038</v>
      </c>
      <c r="E42" s="386">
        <v>277306.52</v>
      </c>
      <c r="F42" s="386">
        <v>16909.22</v>
      </c>
      <c r="G42" s="386">
        <v>275688.77</v>
      </c>
      <c r="H42" s="386">
        <v>17456.77</v>
      </c>
      <c r="I42" s="386">
        <v>275688.77</v>
      </c>
      <c r="J42" s="386">
        <v>19609.439999999999</v>
      </c>
      <c r="K42" s="386">
        <v>275688.77</v>
      </c>
      <c r="L42" s="386">
        <v>21762.11</v>
      </c>
      <c r="M42" s="386">
        <v>275688.77</v>
      </c>
      <c r="N42" s="386">
        <v>23914.78</v>
      </c>
      <c r="O42" s="386">
        <v>275688.77</v>
      </c>
      <c r="P42" s="386">
        <v>26067.45</v>
      </c>
      <c r="Q42" s="386">
        <v>275688.77</v>
      </c>
      <c r="R42" s="386">
        <v>28220.12</v>
      </c>
      <c r="S42" s="386">
        <v>275688.77</v>
      </c>
      <c r="T42" s="386">
        <v>30372.79</v>
      </c>
      <c r="U42" s="386">
        <v>275688.77</v>
      </c>
      <c r="V42" s="386">
        <v>32525.46</v>
      </c>
      <c r="W42" s="386">
        <v>275688.77</v>
      </c>
      <c r="X42" s="386">
        <v>34678.129999999997</v>
      </c>
      <c r="Y42" s="386">
        <v>275688.77</v>
      </c>
      <c r="Z42" s="386">
        <v>36830.800000000003</v>
      </c>
      <c r="AA42" s="386">
        <v>275688.77</v>
      </c>
      <c r="AB42" s="386">
        <v>38983.47</v>
      </c>
      <c r="AC42" s="386">
        <v>295285.8</v>
      </c>
      <c r="AD42" s="386">
        <v>41136.14</v>
      </c>
      <c r="AE42" s="386">
        <f t="shared" si="2"/>
        <v>276572.71916666668</v>
      </c>
      <c r="AF42" s="386">
        <f t="shared" si="0"/>
        <v>28287.000000000004</v>
      </c>
    </row>
    <row r="43" spans="1:32">
      <c r="A43" s="35">
        <v>35</v>
      </c>
      <c r="C43" s="6" t="s">
        <v>1724</v>
      </c>
      <c r="D43" s="6" t="str">
        <f t="shared" si="1"/>
        <v>00038</v>
      </c>
      <c r="E43" s="386">
        <v>739181.59</v>
      </c>
      <c r="F43" s="386">
        <v>610711.89</v>
      </c>
      <c r="G43" s="386">
        <v>739181.59</v>
      </c>
      <c r="H43" s="386">
        <v>610791.97</v>
      </c>
      <c r="I43" s="386">
        <v>739181.59</v>
      </c>
      <c r="J43" s="386">
        <v>610872.05000000005</v>
      </c>
      <c r="K43" s="386">
        <v>742560.91</v>
      </c>
      <c r="L43" s="386">
        <v>610952.13</v>
      </c>
      <c r="M43" s="386">
        <v>742560.91</v>
      </c>
      <c r="N43" s="386">
        <v>611032.57000000007</v>
      </c>
      <c r="O43" s="386">
        <v>742560.91</v>
      </c>
      <c r="P43" s="386">
        <v>611113.01</v>
      </c>
      <c r="Q43" s="386">
        <v>742560.91</v>
      </c>
      <c r="R43" s="386">
        <v>611193.45000000007</v>
      </c>
      <c r="S43" s="386">
        <v>742560.91</v>
      </c>
      <c r="T43" s="386">
        <v>611273.89</v>
      </c>
      <c r="U43" s="386">
        <v>742560.91</v>
      </c>
      <c r="V43" s="386">
        <v>611354.32999999996</v>
      </c>
      <c r="W43" s="386">
        <v>742560.91</v>
      </c>
      <c r="X43" s="386">
        <v>611434.77</v>
      </c>
      <c r="Y43" s="386">
        <v>742560.91</v>
      </c>
      <c r="Z43" s="386">
        <v>611515.21</v>
      </c>
      <c r="AA43" s="386">
        <v>742560.91</v>
      </c>
      <c r="AB43" s="386">
        <v>611595.65</v>
      </c>
      <c r="AC43" s="386">
        <v>742560.91</v>
      </c>
      <c r="AD43" s="386">
        <v>611676.09</v>
      </c>
      <c r="AE43" s="386">
        <f t="shared" si="2"/>
        <v>741856.88500000013</v>
      </c>
      <c r="AF43" s="386">
        <f t="shared" si="0"/>
        <v>611193.58500000008</v>
      </c>
    </row>
    <row r="44" spans="1:32">
      <c r="A44" s="35">
        <v>36</v>
      </c>
      <c r="C44" s="6" t="s">
        <v>1725</v>
      </c>
      <c r="D44" s="6" t="str">
        <f t="shared" si="1"/>
        <v>00038</v>
      </c>
      <c r="E44" s="386">
        <v>116694.26000000001</v>
      </c>
      <c r="F44" s="386">
        <v>67489.430000000008</v>
      </c>
      <c r="G44" s="386">
        <v>116694.26000000001</v>
      </c>
      <c r="H44" s="386">
        <v>68382.14</v>
      </c>
      <c r="I44" s="386">
        <v>116694.26000000001</v>
      </c>
      <c r="J44" s="386">
        <v>69274.850000000006</v>
      </c>
      <c r="K44" s="386">
        <v>116694.26000000001</v>
      </c>
      <c r="L44" s="386">
        <v>70167.56</v>
      </c>
      <c r="M44" s="386">
        <v>116694.26000000001</v>
      </c>
      <c r="N44" s="386">
        <v>71060.27</v>
      </c>
      <c r="O44" s="386">
        <v>116694.26000000001</v>
      </c>
      <c r="P44" s="386">
        <v>71952.98</v>
      </c>
      <c r="Q44" s="386">
        <v>116694.26000000001</v>
      </c>
      <c r="R44" s="386">
        <v>72845.69</v>
      </c>
      <c r="S44" s="386">
        <v>116694.26000000001</v>
      </c>
      <c r="T44" s="386">
        <v>73738.400000000009</v>
      </c>
      <c r="U44" s="386">
        <v>116694.26000000001</v>
      </c>
      <c r="V44" s="386">
        <v>74631.11</v>
      </c>
      <c r="W44" s="386">
        <v>116694.26000000001</v>
      </c>
      <c r="X44" s="386">
        <v>75523.820000000007</v>
      </c>
      <c r="Y44" s="386">
        <v>116694.26000000001</v>
      </c>
      <c r="Z44" s="386">
        <v>76416.53</v>
      </c>
      <c r="AA44" s="386">
        <v>116694.26000000001</v>
      </c>
      <c r="AB44" s="386">
        <v>77309.240000000005</v>
      </c>
      <c r="AC44" s="386">
        <v>116694.26000000001</v>
      </c>
      <c r="AD44" s="386">
        <v>78201.95</v>
      </c>
      <c r="AE44" s="386">
        <f t="shared" si="2"/>
        <v>116694.26000000001</v>
      </c>
      <c r="AF44" s="386">
        <f t="shared" si="0"/>
        <v>72845.69</v>
      </c>
    </row>
    <row r="45" spans="1:32">
      <c r="A45" s="35">
        <v>37</v>
      </c>
      <c r="C45" s="6" t="s">
        <v>1726</v>
      </c>
      <c r="D45" s="6" t="str">
        <f t="shared" si="1"/>
        <v>00038</v>
      </c>
      <c r="E45" s="386">
        <v>7208.81</v>
      </c>
      <c r="F45" s="386">
        <v>-2917.36</v>
      </c>
      <c r="G45" s="386">
        <v>7208.81</v>
      </c>
      <c r="H45" s="386">
        <v>-2854.2200000000003</v>
      </c>
      <c r="I45" s="386">
        <v>7208.81</v>
      </c>
      <c r="J45" s="386">
        <v>-2791.08</v>
      </c>
      <c r="K45" s="386">
        <v>7208.81</v>
      </c>
      <c r="L45" s="386">
        <v>-2727.94</v>
      </c>
      <c r="M45" s="386">
        <v>7208.81</v>
      </c>
      <c r="N45" s="386">
        <v>-2664.8</v>
      </c>
      <c r="O45" s="386">
        <v>7208.81</v>
      </c>
      <c r="P45" s="386">
        <v>-2601.66</v>
      </c>
      <c r="Q45" s="386">
        <v>7208.81</v>
      </c>
      <c r="R45" s="386">
        <v>-2538.52</v>
      </c>
      <c r="S45" s="386">
        <v>7208.81</v>
      </c>
      <c r="T45" s="386">
        <v>-2475.38</v>
      </c>
      <c r="U45" s="386">
        <v>7208.81</v>
      </c>
      <c r="V45" s="386">
        <v>-2412.2400000000002</v>
      </c>
      <c r="W45" s="386">
        <v>7208.81</v>
      </c>
      <c r="X45" s="386">
        <v>-2349.1</v>
      </c>
      <c r="Y45" s="386">
        <v>7208.81</v>
      </c>
      <c r="Z45" s="386">
        <v>-2285.96</v>
      </c>
      <c r="AA45" s="386">
        <v>7208.81</v>
      </c>
      <c r="AB45" s="386">
        <v>-2222.8200000000002</v>
      </c>
      <c r="AC45" s="386">
        <v>7208.81</v>
      </c>
      <c r="AD45" s="386">
        <v>-2159.6799999999998</v>
      </c>
      <c r="AE45" s="386">
        <f t="shared" si="2"/>
        <v>7208.8099999999986</v>
      </c>
      <c r="AF45" s="386">
        <f t="shared" si="0"/>
        <v>-2538.52</v>
      </c>
    </row>
    <row r="46" spans="1:32">
      <c r="A46" s="35">
        <v>38</v>
      </c>
      <c r="B46" s="388" t="s">
        <v>85</v>
      </c>
      <c r="C46" s="389"/>
      <c r="D46" s="388" t="s">
        <v>1727</v>
      </c>
      <c r="E46" s="390">
        <f t="shared" ref="E46:AF46" si="3">SUBTOTAL(9,E10:E45)</f>
        <v>166219892.83000007</v>
      </c>
      <c r="F46" s="390">
        <f t="shared" si="3"/>
        <v>80705966.12000002</v>
      </c>
      <c r="G46" s="390">
        <f t="shared" si="3"/>
        <v>166170977.93000001</v>
      </c>
      <c r="H46" s="390">
        <f t="shared" si="3"/>
        <v>81956066.480000004</v>
      </c>
      <c r="I46" s="390">
        <f t="shared" si="3"/>
        <v>166354838.25999999</v>
      </c>
      <c r="J46" s="390">
        <f t="shared" si="3"/>
        <v>82303533.879999995</v>
      </c>
      <c r="K46" s="390">
        <f t="shared" si="3"/>
        <v>166799471.37999997</v>
      </c>
      <c r="L46" s="390">
        <f t="shared" si="3"/>
        <v>82630691.260000005</v>
      </c>
      <c r="M46" s="390">
        <f t="shared" si="3"/>
        <v>167119466.22999996</v>
      </c>
      <c r="N46" s="390">
        <f t="shared" si="3"/>
        <v>83048741.769999966</v>
      </c>
      <c r="O46" s="390">
        <f t="shared" si="3"/>
        <v>167560879.63</v>
      </c>
      <c r="P46" s="390">
        <f t="shared" si="3"/>
        <v>83473613.359999985</v>
      </c>
      <c r="Q46" s="390">
        <f t="shared" si="3"/>
        <v>168385999.12</v>
      </c>
      <c r="R46" s="390">
        <f t="shared" si="3"/>
        <v>83882596.349999979</v>
      </c>
      <c r="S46" s="390">
        <f t="shared" si="3"/>
        <v>168732643.50999999</v>
      </c>
      <c r="T46" s="390">
        <f t="shared" si="3"/>
        <v>84297028.050000027</v>
      </c>
      <c r="U46" s="390">
        <f t="shared" si="3"/>
        <v>170207593.34999996</v>
      </c>
      <c r="V46" s="390">
        <f t="shared" si="3"/>
        <v>84575659.36999999</v>
      </c>
      <c r="W46" s="390">
        <f t="shared" si="3"/>
        <v>170629891.94999999</v>
      </c>
      <c r="X46" s="390">
        <f t="shared" si="3"/>
        <v>84951612.799999982</v>
      </c>
      <c r="Y46" s="390">
        <f t="shared" si="3"/>
        <v>171151546.11000001</v>
      </c>
      <c r="Z46" s="390">
        <f t="shared" si="3"/>
        <v>85352250.530000001</v>
      </c>
      <c r="AA46" s="390">
        <f t="shared" si="3"/>
        <v>171458875.71000004</v>
      </c>
      <c r="AB46" s="390">
        <f t="shared" si="3"/>
        <v>85685521.460000008</v>
      </c>
      <c r="AC46" s="390">
        <f t="shared" si="3"/>
        <v>173795321.89000002</v>
      </c>
      <c r="AD46" s="390">
        <f t="shared" si="3"/>
        <v>86090834.789999977</v>
      </c>
      <c r="AE46" s="390">
        <f t="shared" si="3"/>
        <v>168714982.54499999</v>
      </c>
      <c r="AF46" s="390">
        <f t="shared" si="3"/>
        <v>83796309.647083312</v>
      </c>
    </row>
    <row r="47" spans="1:32">
      <c r="A47" s="35">
        <v>39</v>
      </c>
      <c r="B47" s="384" t="s">
        <v>111</v>
      </c>
      <c r="C47" s="384" t="s">
        <v>379</v>
      </c>
      <c r="D47" s="391"/>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row>
    <row r="48" spans="1:32">
      <c r="A48" s="35">
        <v>40</v>
      </c>
      <c r="C48" s="6" t="s">
        <v>1728</v>
      </c>
      <c r="D48" s="6" t="str">
        <f>RIGHT(C48,5)</f>
        <v>00048</v>
      </c>
      <c r="E48" s="386">
        <v>138157.95000000001</v>
      </c>
      <c r="F48" s="386">
        <v>138157.97</v>
      </c>
      <c r="G48" s="386">
        <v>138157.95000000001</v>
      </c>
      <c r="H48" s="386">
        <v>138157.97</v>
      </c>
      <c r="I48" s="386">
        <v>138157.95000000001</v>
      </c>
      <c r="J48" s="386">
        <v>138157.97</v>
      </c>
      <c r="K48" s="386">
        <v>138157.95000000001</v>
      </c>
      <c r="L48" s="386">
        <v>138157.97</v>
      </c>
      <c r="M48" s="386">
        <v>138157.95000000001</v>
      </c>
      <c r="N48" s="386">
        <v>138157.97</v>
      </c>
      <c r="O48" s="386">
        <v>138157.95000000001</v>
      </c>
      <c r="P48" s="386">
        <v>138157.97</v>
      </c>
      <c r="Q48" s="386">
        <v>138157.95000000001</v>
      </c>
      <c r="R48" s="386">
        <v>138157.97</v>
      </c>
      <c r="S48" s="386">
        <v>138157.95000000001</v>
      </c>
      <c r="T48" s="386">
        <v>138157.97</v>
      </c>
      <c r="U48" s="386">
        <v>138157.95000000001</v>
      </c>
      <c r="V48" s="386">
        <v>138157.97</v>
      </c>
      <c r="W48" s="386">
        <v>138157.95000000001</v>
      </c>
      <c r="X48" s="386">
        <v>138157.97</v>
      </c>
      <c r="Y48" s="386">
        <v>138157.95000000001</v>
      </c>
      <c r="Z48" s="386">
        <v>138157.97</v>
      </c>
      <c r="AA48" s="386">
        <v>138157.95000000001</v>
      </c>
      <c r="AB48" s="386">
        <v>138157.97</v>
      </c>
      <c r="AC48" s="386">
        <v>138157.95000000001</v>
      </c>
      <c r="AD48" s="386">
        <v>138157.97</v>
      </c>
      <c r="AE48" s="386">
        <f t="shared" ref="AE48:AF88" si="4">+(E48+AC48+(+G48+I48+K48+M48+O48+Q48+S48+U48+W48+Y48+AA48)*2)/24</f>
        <v>138157.94999999998</v>
      </c>
      <c r="AF48" s="386">
        <f t="shared" si="4"/>
        <v>138157.97</v>
      </c>
    </row>
    <row r="49" spans="1:32">
      <c r="A49" s="35">
        <v>41</v>
      </c>
      <c r="C49" s="6" t="s">
        <v>1729</v>
      </c>
      <c r="D49" s="387" t="s">
        <v>1730</v>
      </c>
      <c r="E49" s="386">
        <v>0</v>
      </c>
      <c r="F49" s="386">
        <v>0</v>
      </c>
      <c r="G49" s="386">
        <v>0</v>
      </c>
      <c r="H49" s="386">
        <v>0</v>
      </c>
      <c r="I49" s="386">
        <v>0</v>
      </c>
      <c r="J49" s="386">
        <v>0</v>
      </c>
      <c r="K49" s="386">
        <v>0</v>
      </c>
      <c r="L49" s="386">
        <v>0</v>
      </c>
      <c r="M49" s="386">
        <v>0</v>
      </c>
      <c r="N49" s="386">
        <v>0</v>
      </c>
      <c r="O49" s="386">
        <v>0</v>
      </c>
      <c r="P49" s="386">
        <v>0</v>
      </c>
      <c r="Q49" s="386">
        <v>0</v>
      </c>
      <c r="R49" s="386">
        <v>0</v>
      </c>
      <c r="S49" s="386">
        <v>0</v>
      </c>
      <c r="T49" s="386">
        <v>0</v>
      </c>
      <c r="U49" s="386">
        <v>0</v>
      </c>
      <c r="V49" s="386">
        <v>0</v>
      </c>
      <c r="W49" s="386">
        <v>0</v>
      </c>
      <c r="X49" s="386">
        <v>0</v>
      </c>
      <c r="Y49" s="386">
        <v>0</v>
      </c>
      <c r="Z49" s="386">
        <v>0</v>
      </c>
      <c r="AA49" s="386">
        <v>0</v>
      </c>
      <c r="AB49" s="386">
        <v>0</v>
      </c>
      <c r="AC49" s="386">
        <v>0</v>
      </c>
      <c r="AD49" s="386">
        <v>0</v>
      </c>
      <c r="AE49" s="386">
        <f t="shared" si="4"/>
        <v>0</v>
      </c>
      <c r="AF49" s="386">
        <f t="shared" si="4"/>
        <v>0</v>
      </c>
    </row>
    <row r="50" spans="1:32">
      <c r="A50" s="35">
        <v>42</v>
      </c>
      <c r="C50" s="6" t="s">
        <v>1731</v>
      </c>
      <c r="D50" s="387" t="s">
        <v>1730</v>
      </c>
      <c r="E50" s="386">
        <v>0</v>
      </c>
      <c r="F50" s="386">
        <v>0</v>
      </c>
      <c r="G50" s="386">
        <v>0</v>
      </c>
      <c r="H50" s="386">
        <v>0</v>
      </c>
      <c r="I50" s="386">
        <v>0</v>
      </c>
      <c r="J50" s="386">
        <v>0</v>
      </c>
      <c r="K50" s="386">
        <v>0</v>
      </c>
      <c r="L50" s="386">
        <v>0</v>
      </c>
      <c r="M50" s="386">
        <v>0</v>
      </c>
      <c r="N50" s="386">
        <v>0</v>
      </c>
      <c r="O50" s="386">
        <v>0</v>
      </c>
      <c r="P50" s="386">
        <v>0</v>
      </c>
      <c r="Q50" s="386">
        <v>0</v>
      </c>
      <c r="R50" s="386">
        <v>0</v>
      </c>
      <c r="S50" s="386">
        <v>45037.37</v>
      </c>
      <c r="T50" s="386">
        <v>1876.6000000000001</v>
      </c>
      <c r="U50" s="386">
        <v>45037.37</v>
      </c>
      <c r="V50" s="386">
        <v>1970.43</v>
      </c>
      <c r="W50" s="386">
        <v>45037.37</v>
      </c>
      <c r="X50" s="386">
        <v>2064.2600000000002</v>
      </c>
      <c r="Y50" s="386">
        <v>45037.37</v>
      </c>
      <c r="Z50" s="386">
        <v>2158.09</v>
      </c>
      <c r="AA50" s="386">
        <v>45037.37</v>
      </c>
      <c r="AB50" s="386">
        <v>2251.92</v>
      </c>
      <c r="AC50" s="386">
        <v>45037.37</v>
      </c>
      <c r="AD50" s="386">
        <v>2345.75</v>
      </c>
      <c r="AE50" s="386">
        <f t="shared" si="4"/>
        <v>20642.127916666668</v>
      </c>
      <c r="AF50" s="386">
        <f t="shared" si="4"/>
        <v>957.84791666666672</v>
      </c>
    </row>
    <row r="51" spans="1:32">
      <c r="A51" s="35">
        <v>43</v>
      </c>
      <c r="C51" s="6" t="s">
        <v>1732</v>
      </c>
      <c r="D51" s="387" t="s">
        <v>1730</v>
      </c>
      <c r="E51" s="386">
        <v>0</v>
      </c>
      <c r="F51" s="386">
        <v>0</v>
      </c>
      <c r="G51" s="386">
        <v>0</v>
      </c>
      <c r="H51" s="386">
        <v>0</v>
      </c>
      <c r="I51" s="386">
        <v>0</v>
      </c>
      <c r="J51" s="386">
        <v>0</v>
      </c>
      <c r="K51" s="386">
        <v>0</v>
      </c>
      <c r="L51" s="386">
        <v>0</v>
      </c>
      <c r="M51" s="386">
        <v>0</v>
      </c>
      <c r="N51" s="386">
        <v>0</v>
      </c>
      <c r="O51" s="386">
        <v>0</v>
      </c>
      <c r="P51" s="386">
        <v>0</v>
      </c>
      <c r="Q51" s="386">
        <v>0</v>
      </c>
      <c r="R51" s="386">
        <v>0</v>
      </c>
      <c r="S51" s="386">
        <v>1218966.19</v>
      </c>
      <c r="T51" s="386">
        <v>22371.94</v>
      </c>
      <c r="U51" s="386">
        <v>1218966.19</v>
      </c>
      <c r="V51" s="386">
        <v>24856.100000000002</v>
      </c>
      <c r="W51" s="386">
        <v>1218966.19</v>
      </c>
      <c r="X51" s="386">
        <v>27395.61</v>
      </c>
      <c r="Y51" s="386">
        <v>1218966.19</v>
      </c>
      <c r="Z51" s="386">
        <v>29935.119999999999</v>
      </c>
      <c r="AA51" s="386">
        <v>1218966.19</v>
      </c>
      <c r="AB51" s="386">
        <v>32474.63</v>
      </c>
      <c r="AC51" s="386">
        <v>1218966.19</v>
      </c>
      <c r="AD51" s="386">
        <v>35014.14</v>
      </c>
      <c r="AE51" s="386">
        <f t="shared" si="4"/>
        <v>558692.83708333329</v>
      </c>
      <c r="AF51" s="386">
        <f t="shared" si="4"/>
        <v>12878.372499999999</v>
      </c>
    </row>
    <row r="52" spans="1:32">
      <c r="A52" s="35">
        <v>44</v>
      </c>
      <c r="C52" s="6" t="s">
        <v>1733</v>
      </c>
      <c r="D52" s="6" t="str">
        <f t="shared" ref="D52:D88" si="5">RIGHT(C52,5)</f>
        <v>00048</v>
      </c>
      <c r="E52" s="386">
        <v>1462199.5</v>
      </c>
      <c r="F52" s="386">
        <v>13029.470000000001</v>
      </c>
      <c r="G52" s="386">
        <v>1462199.5</v>
      </c>
      <c r="H52" s="386">
        <v>24932.98</v>
      </c>
      <c r="I52" s="386">
        <v>1462199.5</v>
      </c>
      <c r="J52" s="386">
        <v>36836.5</v>
      </c>
      <c r="K52" s="386">
        <v>1462199.5</v>
      </c>
      <c r="L52" s="386">
        <v>13255.26</v>
      </c>
      <c r="M52" s="386">
        <v>1264003.56</v>
      </c>
      <c r="N52" s="386">
        <v>16301.630000000001</v>
      </c>
      <c r="O52" s="386">
        <v>1264003.56</v>
      </c>
      <c r="P52" s="386">
        <v>18930.740000000002</v>
      </c>
      <c r="Q52" s="386">
        <v>1264003.56</v>
      </c>
      <c r="R52" s="386">
        <v>21559.850000000002</v>
      </c>
      <c r="S52" s="386">
        <v>0</v>
      </c>
      <c r="T52" s="386">
        <v>-55.35</v>
      </c>
      <c r="U52" s="386">
        <v>0</v>
      </c>
      <c r="V52" s="386">
        <v>-55.35</v>
      </c>
      <c r="W52" s="386">
        <v>0</v>
      </c>
      <c r="X52" s="386">
        <v>-55.35</v>
      </c>
      <c r="Y52" s="386">
        <v>0</v>
      </c>
      <c r="Z52" s="386">
        <v>0</v>
      </c>
      <c r="AA52" s="386">
        <v>0</v>
      </c>
      <c r="AB52" s="386">
        <v>0</v>
      </c>
      <c r="AC52" s="386">
        <v>0</v>
      </c>
      <c r="AD52" s="386">
        <v>0</v>
      </c>
      <c r="AE52" s="386">
        <f t="shared" si="4"/>
        <v>742475.74416666676</v>
      </c>
      <c r="AF52" s="386">
        <f t="shared" si="4"/>
        <v>11513.803749999997</v>
      </c>
    </row>
    <row r="53" spans="1:32">
      <c r="A53" s="35">
        <v>45</v>
      </c>
      <c r="C53" s="6" t="s">
        <v>1734</v>
      </c>
      <c r="D53" s="6" t="str">
        <f t="shared" si="5"/>
        <v>00048</v>
      </c>
      <c r="E53" s="386">
        <v>211404.97</v>
      </c>
      <c r="F53" s="386">
        <v>0</v>
      </c>
      <c r="G53" s="386">
        <v>211404.97</v>
      </c>
      <c r="H53" s="386">
        <v>0</v>
      </c>
      <c r="I53" s="386">
        <v>211404.97</v>
      </c>
      <c r="J53" s="386">
        <v>0</v>
      </c>
      <c r="K53" s="386">
        <v>211404.97</v>
      </c>
      <c r="L53" s="386">
        <v>0</v>
      </c>
      <c r="M53" s="386">
        <v>211404.97</v>
      </c>
      <c r="N53" s="386">
        <v>0</v>
      </c>
      <c r="O53" s="386">
        <v>211404.97</v>
      </c>
      <c r="P53" s="386">
        <v>0</v>
      </c>
      <c r="Q53" s="386">
        <v>211404.97</v>
      </c>
      <c r="R53" s="386">
        <v>0</v>
      </c>
      <c r="S53" s="386">
        <v>211404.97</v>
      </c>
      <c r="T53" s="386">
        <v>0</v>
      </c>
      <c r="U53" s="386">
        <v>211404.97</v>
      </c>
      <c r="V53" s="386">
        <v>0</v>
      </c>
      <c r="W53" s="386">
        <v>211404.97</v>
      </c>
      <c r="X53" s="386">
        <v>0</v>
      </c>
      <c r="Y53" s="386">
        <v>211404.97</v>
      </c>
      <c r="Z53" s="386">
        <v>0</v>
      </c>
      <c r="AA53" s="386">
        <v>211404.97</v>
      </c>
      <c r="AB53" s="386">
        <v>0</v>
      </c>
      <c r="AC53" s="386">
        <v>211404.97</v>
      </c>
      <c r="AD53" s="386">
        <v>0</v>
      </c>
      <c r="AE53" s="386">
        <f t="shared" si="4"/>
        <v>211404.97000000006</v>
      </c>
      <c r="AF53" s="386">
        <f t="shared" si="4"/>
        <v>0</v>
      </c>
    </row>
    <row r="54" spans="1:32">
      <c r="A54" s="35">
        <v>46</v>
      </c>
      <c r="C54" s="6" t="s">
        <v>1735</v>
      </c>
      <c r="D54" s="6" t="str">
        <f t="shared" si="5"/>
        <v>00048</v>
      </c>
      <c r="E54" s="386">
        <v>1018396.75</v>
      </c>
      <c r="F54" s="386">
        <v>744741.84</v>
      </c>
      <c r="G54" s="386">
        <v>1018396.75</v>
      </c>
      <c r="H54" s="386">
        <v>746082.73</v>
      </c>
      <c r="I54" s="386">
        <v>1018396.75</v>
      </c>
      <c r="J54" s="386">
        <v>747423.62</v>
      </c>
      <c r="K54" s="386">
        <v>1018396.75</v>
      </c>
      <c r="L54" s="386">
        <v>748764.51</v>
      </c>
      <c r="M54" s="386">
        <v>1018396.75</v>
      </c>
      <c r="N54" s="386">
        <v>750105.4</v>
      </c>
      <c r="O54" s="386">
        <v>1018396.75</v>
      </c>
      <c r="P54" s="386">
        <v>751446.29</v>
      </c>
      <c r="Q54" s="386">
        <v>1018396.75</v>
      </c>
      <c r="R54" s="386">
        <v>752787.18</v>
      </c>
      <c r="S54" s="386">
        <v>1018396.75</v>
      </c>
      <c r="T54" s="386">
        <v>754128.07000000007</v>
      </c>
      <c r="U54" s="386">
        <v>1018396.75</v>
      </c>
      <c r="V54" s="386">
        <v>755468.96</v>
      </c>
      <c r="W54" s="386">
        <v>1018396.75</v>
      </c>
      <c r="X54" s="386">
        <v>756809.85</v>
      </c>
      <c r="Y54" s="386">
        <v>1018396.75</v>
      </c>
      <c r="Z54" s="386">
        <v>758150.74</v>
      </c>
      <c r="AA54" s="386">
        <v>1018396.75</v>
      </c>
      <c r="AB54" s="386">
        <v>759491.63</v>
      </c>
      <c r="AC54" s="386">
        <v>1018396.75</v>
      </c>
      <c r="AD54" s="386">
        <v>760832.52</v>
      </c>
      <c r="AE54" s="386">
        <f t="shared" si="4"/>
        <v>1018396.75</v>
      </c>
      <c r="AF54" s="386">
        <f t="shared" si="4"/>
        <v>752787.18</v>
      </c>
    </row>
    <row r="55" spans="1:32">
      <c r="A55" s="35">
        <v>47</v>
      </c>
      <c r="C55" s="6" t="s">
        <v>1736</v>
      </c>
      <c r="D55" s="6" t="str">
        <f t="shared" si="5"/>
        <v>00048</v>
      </c>
      <c r="E55" s="386">
        <v>15654814.939999999</v>
      </c>
      <c r="F55" s="386">
        <v>10457877.060000001</v>
      </c>
      <c r="G55" s="386">
        <v>15654814.939999999</v>
      </c>
      <c r="H55" s="386">
        <v>10481620.199999999</v>
      </c>
      <c r="I55" s="386">
        <v>15654814.939999999</v>
      </c>
      <c r="J55" s="386">
        <v>10505363.34</v>
      </c>
      <c r="K55" s="386">
        <v>15654814.939999999</v>
      </c>
      <c r="L55" s="386">
        <v>10529106.48</v>
      </c>
      <c r="M55" s="386">
        <v>15655125.16</v>
      </c>
      <c r="N55" s="386">
        <v>10552849.619999999</v>
      </c>
      <c r="O55" s="386">
        <v>15655125.16</v>
      </c>
      <c r="P55" s="386">
        <v>10576593.23</v>
      </c>
      <c r="Q55" s="386">
        <v>15655125.16</v>
      </c>
      <c r="R55" s="386">
        <v>10600336.84</v>
      </c>
      <c r="S55" s="386">
        <v>15655125.16</v>
      </c>
      <c r="T55" s="386">
        <v>10624080.449999999</v>
      </c>
      <c r="U55" s="386">
        <v>15655125.16</v>
      </c>
      <c r="V55" s="386">
        <v>10647824.060000001</v>
      </c>
      <c r="W55" s="386">
        <v>15655125.16</v>
      </c>
      <c r="X55" s="386">
        <v>10671567.67</v>
      </c>
      <c r="Y55" s="386">
        <v>15655125.16</v>
      </c>
      <c r="Z55" s="386">
        <v>10695311.279999999</v>
      </c>
      <c r="AA55" s="386">
        <v>15655125.16</v>
      </c>
      <c r="AB55" s="386">
        <v>10719054.890000001</v>
      </c>
      <c r="AC55" s="386">
        <v>15655125.16</v>
      </c>
      <c r="AD55" s="386">
        <v>10742798.5</v>
      </c>
      <c r="AE55" s="386">
        <f t="shared" si="4"/>
        <v>15655034.679166667</v>
      </c>
      <c r="AF55" s="386">
        <f t="shared" si="4"/>
        <v>10600337.153333334</v>
      </c>
    </row>
    <row r="56" spans="1:32">
      <c r="A56" s="35">
        <v>48</v>
      </c>
      <c r="C56" s="6" t="s">
        <v>1737</v>
      </c>
      <c r="D56" s="6" t="str">
        <f t="shared" si="5"/>
        <v>00048</v>
      </c>
      <c r="E56" s="386">
        <v>156138.81</v>
      </c>
      <c r="F56" s="386">
        <v>164120.37</v>
      </c>
      <c r="G56" s="386">
        <v>156138.81</v>
      </c>
      <c r="H56" s="386">
        <v>164173.71</v>
      </c>
      <c r="I56" s="386">
        <v>156138.81</v>
      </c>
      <c r="J56" s="386">
        <v>164227.05000000002</v>
      </c>
      <c r="K56" s="386">
        <v>156138.81</v>
      </c>
      <c r="L56" s="386">
        <v>164280.39000000001</v>
      </c>
      <c r="M56" s="386">
        <v>156138.81</v>
      </c>
      <c r="N56" s="386">
        <v>164333.73000000001</v>
      </c>
      <c r="O56" s="386">
        <v>156138.81</v>
      </c>
      <c r="P56" s="386">
        <v>164387.07</v>
      </c>
      <c r="Q56" s="386">
        <v>156138.81</v>
      </c>
      <c r="R56" s="386">
        <v>164440.41</v>
      </c>
      <c r="S56" s="386">
        <v>156138.81</v>
      </c>
      <c r="T56" s="386">
        <v>164493.75</v>
      </c>
      <c r="U56" s="386">
        <v>156138.81</v>
      </c>
      <c r="V56" s="386">
        <v>164547.09</v>
      </c>
      <c r="W56" s="386">
        <v>156138.81</v>
      </c>
      <c r="X56" s="386">
        <v>164600.43</v>
      </c>
      <c r="Y56" s="386">
        <v>156138.81</v>
      </c>
      <c r="Z56" s="386">
        <v>164653.76999999999</v>
      </c>
      <c r="AA56" s="386">
        <v>156138.81</v>
      </c>
      <c r="AB56" s="386">
        <v>164707.11000000002</v>
      </c>
      <c r="AC56" s="386">
        <v>156138.81</v>
      </c>
      <c r="AD56" s="386">
        <v>164760.45000000001</v>
      </c>
      <c r="AE56" s="386">
        <f t="shared" si="4"/>
        <v>156138.81000000003</v>
      </c>
      <c r="AF56" s="386">
        <f t="shared" si="4"/>
        <v>164440.41</v>
      </c>
    </row>
    <row r="57" spans="1:32">
      <c r="A57" s="35">
        <v>49</v>
      </c>
      <c r="C57" s="6" t="s">
        <v>1738</v>
      </c>
      <c r="D57" s="6" t="str">
        <f t="shared" si="5"/>
        <v>00048</v>
      </c>
      <c r="E57" s="386">
        <v>1922322.92</v>
      </c>
      <c r="F57" s="386">
        <v>603821.39</v>
      </c>
      <c r="G57" s="386">
        <v>1922322.92</v>
      </c>
      <c r="H57" s="386">
        <v>606833.03</v>
      </c>
      <c r="I57" s="386">
        <v>1922322.92</v>
      </c>
      <c r="J57" s="386">
        <v>609844.67000000004</v>
      </c>
      <c r="K57" s="386">
        <v>1922322.92</v>
      </c>
      <c r="L57" s="386">
        <v>612856.31000000006</v>
      </c>
      <c r="M57" s="386">
        <v>1922322.92</v>
      </c>
      <c r="N57" s="386">
        <v>615867.95000000007</v>
      </c>
      <c r="O57" s="386">
        <v>1922322.92</v>
      </c>
      <c r="P57" s="386">
        <v>618879.59</v>
      </c>
      <c r="Q57" s="386">
        <v>1922322.92</v>
      </c>
      <c r="R57" s="386">
        <v>621891.23</v>
      </c>
      <c r="S57" s="386">
        <v>1922322.92</v>
      </c>
      <c r="T57" s="386">
        <v>624902.87</v>
      </c>
      <c r="U57" s="386">
        <v>1922322.92</v>
      </c>
      <c r="V57" s="386">
        <v>627914.51</v>
      </c>
      <c r="W57" s="386">
        <v>1922322.92</v>
      </c>
      <c r="X57" s="386">
        <v>630926.15</v>
      </c>
      <c r="Y57" s="386">
        <v>1922322.92</v>
      </c>
      <c r="Z57" s="386">
        <v>633937.79</v>
      </c>
      <c r="AA57" s="386">
        <v>1922322.92</v>
      </c>
      <c r="AB57" s="386">
        <v>636949.43000000005</v>
      </c>
      <c r="AC57" s="386">
        <v>1922322.92</v>
      </c>
      <c r="AD57" s="386">
        <v>639961.07000000007</v>
      </c>
      <c r="AE57" s="386">
        <f t="shared" si="4"/>
        <v>1922322.9200000006</v>
      </c>
      <c r="AF57" s="386">
        <f t="shared" si="4"/>
        <v>621891.23</v>
      </c>
    </row>
    <row r="58" spans="1:32">
      <c r="A58" s="35">
        <v>50</v>
      </c>
      <c r="C58" s="6" t="s">
        <v>1739</v>
      </c>
      <c r="D58" s="6" t="str">
        <f t="shared" si="5"/>
        <v>00048</v>
      </c>
      <c r="E58" s="386">
        <v>248393.9</v>
      </c>
      <c r="F58" s="386">
        <v>0</v>
      </c>
      <c r="G58" s="386">
        <v>248393.9</v>
      </c>
      <c r="H58" s="386">
        <v>0</v>
      </c>
      <c r="I58" s="386">
        <v>248393.9</v>
      </c>
      <c r="J58" s="386">
        <v>0</v>
      </c>
      <c r="K58" s="386">
        <v>248393.9</v>
      </c>
      <c r="L58" s="386">
        <v>0</v>
      </c>
      <c r="M58" s="386">
        <v>248393.9</v>
      </c>
      <c r="N58" s="386">
        <v>0</v>
      </c>
      <c r="O58" s="386">
        <v>248393.9</v>
      </c>
      <c r="P58" s="386">
        <v>0</v>
      </c>
      <c r="Q58" s="386">
        <v>248393.9</v>
      </c>
      <c r="R58" s="386">
        <v>0</v>
      </c>
      <c r="S58" s="386">
        <v>248393.9</v>
      </c>
      <c r="T58" s="386">
        <v>0</v>
      </c>
      <c r="U58" s="386">
        <v>248393.9</v>
      </c>
      <c r="V58" s="386">
        <v>0</v>
      </c>
      <c r="W58" s="386">
        <v>248393.9</v>
      </c>
      <c r="X58" s="386">
        <v>0</v>
      </c>
      <c r="Y58" s="386">
        <v>248393.9</v>
      </c>
      <c r="Z58" s="386">
        <v>0</v>
      </c>
      <c r="AA58" s="386">
        <v>248393.9</v>
      </c>
      <c r="AB58" s="386">
        <v>0</v>
      </c>
      <c r="AC58" s="386">
        <v>248393.9</v>
      </c>
      <c r="AD58" s="386">
        <v>0</v>
      </c>
      <c r="AE58" s="386">
        <f t="shared" si="4"/>
        <v>248393.89999999994</v>
      </c>
      <c r="AF58" s="386">
        <f t="shared" si="4"/>
        <v>0</v>
      </c>
    </row>
    <row r="59" spans="1:32">
      <c r="A59" s="35">
        <v>51</v>
      </c>
      <c r="C59" s="6" t="s">
        <v>1740</v>
      </c>
      <c r="D59" s="6" t="str">
        <f t="shared" si="5"/>
        <v>00048</v>
      </c>
      <c r="E59" s="386">
        <v>694595.46</v>
      </c>
      <c r="F59" s="386">
        <v>650729.32000000007</v>
      </c>
      <c r="G59" s="386">
        <v>694595.46</v>
      </c>
      <c r="H59" s="386">
        <v>651435.49</v>
      </c>
      <c r="I59" s="386">
        <v>694595.46</v>
      </c>
      <c r="J59" s="386">
        <v>652141.66</v>
      </c>
      <c r="K59" s="386">
        <v>694595.46</v>
      </c>
      <c r="L59" s="386">
        <v>652847.82999999996</v>
      </c>
      <c r="M59" s="386">
        <v>694595.46</v>
      </c>
      <c r="N59" s="386">
        <v>653554</v>
      </c>
      <c r="O59" s="386">
        <v>694595.46</v>
      </c>
      <c r="P59" s="386">
        <v>654260.17000000004</v>
      </c>
      <c r="Q59" s="386">
        <v>694595.46</v>
      </c>
      <c r="R59" s="386">
        <v>654966.34</v>
      </c>
      <c r="S59" s="386">
        <v>694595.46</v>
      </c>
      <c r="T59" s="386">
        <v>655672.51</v>
      </c>
      <c r="U59" s="386">
        <v>694595.46</v>
      </c>
      <c r="V59" s="386">
        <v>656378.68000000005</v>
      </c>
      <c r="W59" s="386">
        <v>696354.23</v>
      </c>
      <c r="X59" s="386">
        <v>657084.85</v>
      </c>
      <c r="Y59" s="386">
        <v>696354.23</v>
      </c>
      <c r="Z59" s="386">
        <v>657792.81000000006</v>
      </c>
      <c r="AA59" s="386">
        <v>696354.23</v>
      </c>
      <c r="AB59" s="386">
        <v>658500.77</v>
      </c>
      <c r="AC59" s="386">
        <v>696354.23</v>
      </c>
      <c r="AD59" s="386">
        <v>659208.73</v>
      </c>
      <c r="AE59" s="386">
        <f t="shared" si="4"/>
        <v>695108.43458333344</v>
      </c>
      <c r="AF59" s="386">
        <f t="shared" si="4"/>
        <v>654967.01124999998</v>
      </c>
    </row>
    <row r="60" spans="1:32">
      <c r="A60" s="35">
        <v>52</v>
      </c>
      <c r="C60" s="6" t="s">
        <v>1741</v>
      </c>
      <c r="D60" s="6" t="str">
        <f t="shared" si="5"/>
        <v>00048</v>
      </c>
      <c r="E60" s="386">
        <v>116215505.77</v>
      </c>
      <c r="F60" s="386">
        <v>32094891.120000001</v>
      </c>
      <c r="G60" s="386">
        <v>116259430.98999999</v>
      </c>
      <c r="H60" s="386">
        <v>32222265.420000002</v>
      </c>
      <c r="I60" s="386">
        <v>116277062.5</v>
      </c>
      <c r="J60" s="386">
        <v>32333674.149999999</v>
      </c>
      <c r="K60" s="386">
        <v>116554207.98</v>
      </c>
      <c r="L60" s="386">
        <v>32396381.260000002</v>
      </c>
      <c r="M60" s="386">
        <v>116665372.44</v>
      </c>
      <c r="N60" s="386">
        <v>32517791.899999999</v>
      </c>
      <c r="O60" s="386">
        <v>116702608.93000001</v>
      </c>
      <c r="P60" s="386">
        <v>32638396.640000001</v>
      </c>
      <c r="Q60" s="386">
        <v>116465551.87</v>
      </c>
      <c r="R60" s="386">
        <v>32732611.809999999</v>
      </c>
      <c r="S60" s="386">
        <v>118516927.93000001</v>
      </c>
      <c r="T60" s="386">
        <v>32828802.34</v>
      </c>
      <c r="U60" s="386">
        <v>124516793.95</v>
      </c>
      <c r="V60" s="386">
        <v>32952257.469999999</v>
      </c>
      <c r="W60" s="386">
        <v>124078296.61</v>
      </c>
      <c r="X60" s="386">
        <v>33080472.940000001</v>
      </c>
      <c r="Y60" s="386">
        <v>126451082.04000001</v>
      </c>
      <c r="Z60" s="386">
        <v>33178731.600000001</v>
      </c>
      <c r="AA60" s="386">
        <v>126324857.81</v>
      </c>
      <c r="AB60" s="386">
        <v>33300964.210000001</v>
      </c>
      <c r="AC60" s="386">
        <v>126326841.52</v>
      </c>
      <c r="AD60" s="386">
        <v>33409444.109999999</v>
      </c>
      <c r="AE60" s="386">
        <f t="shared" si="4"/>
        <v>120006947.22458334</v>
      </c>
      <c r="AF60" s="386">
        <f t="shared" si="4"/>
        <v>32744543.112916667</v>
      </c>
    </row>
    <row r="61" spans="1:32">
      <c r="A61" s="35">
        <v>53</v>
      </c>
      <c r="C61" s="6" t="s">
        <v>1742</v>
      </c>
      <c r="D61" s="6" t="str">
        <f t="shared" si="5"/>
        <v>00048</v>
      </c>
      <c r="E61" s="386">
        <v>92694639.489999995</v>
      </c>
      <c r="F61" s="386">
        <v>23090891.559999999</v>
      </c>
      <c r="G61" s="386">
        <v>93505603.920000002</v>
      </c>
      <c r="H61" s="386">
        <v>25316342.140000001</v>
      </c>
      <c r="I61" s="386">
        <v>93924843.650000006</v>
      </c>
      <c r="J61" s="386">
        <v>25638157.260000002</v>
      </c>
      <c r="K61" s="386">
        <v>94583057.189999998</v>
      </c>
      <c r="L61" s="386">
        <v>25948415.870000001</v>
      </c>
      <c r="M61" s="386">
        <v>94966403.109999999</v>
      </c>
      <c r="N61" s="386">
        <v>26273333.899999999</v>
      </c>
      <c r="O61" s="386">
        <v>95322795.450000003</v>
      </c>
      <c r="P61" s="386">
        <v>26598699.530000001</v>
      </c>
      <c r="Q61" s="386">
        <v>95672199.230000004</v>
      </c>
      <c r="R61" s="386">
        <v>26918136.309999999</v>
      </c>
      <c r="S61" s="386">
        <v>95834826.640000001</v>
      </c>
      <c r="T61" s="386">
        <v>27245880.219999999</v>
      </c>
      <c r="U61" s="386">
        <v>98464943.840000004</v>
      </c>
      <c r="V61" s="386">
        <v>27557739.870000001</v>
      </c>
      <c r="W61" s="386">
        <v>100022193.33</v>
      </c>
      <c r="X61" s="386">
        <v>27895510.469999999</v>
      </c>
      <c r="Y61" s="386">
        <v>101207971.86</v>
      </c>
      <c r="Z61" s="386">
        <v>28236406.899999999</v>
      </c>
      <c r="AA61" s="386">
        <v>101647106.15000001</v>
      </c>
      <c r="AB61" s="386">
        <v>28577764.199999999</v>
      </c>
      <c r="AC61" s="386">
        <v>104034895.53</v>
      </c>
      <c r="AD61" s="386">
        <v>28925627.489999998</v>
      </c>
      <c r="AE61" s="386">
        <f t="shared" si="4"/>
        <v>96959725.99000001</v>
      </c>
      <c r="AF61" s="386">
        <f t="shared" si="4"/>
        <v>26851220.516249999</v>
      </c>
    </row>
    <row r="62" spans="1:32">
      <c r="A62" s="35">
        <v>54</v>
      </c>
      <c r="C62" s="6" t="s">
        <v>1743</v>
      </c>
      <c r="D62" s="6" t="str">
        <f t="shared" si="5"/>
        <v>00048</v>
      </c>
      <c r="E62" s="386">
        <v>104619049.14</v>
      </c>
      <c r="F62" s="386">
        <v>77976433.870000005</v>
      </c>
      <c r="G62" s="386">
        <v>104881883.69</v>
      </c>
      <c r="H62" s="386">
        <v>78141018.370000005</v>
      </c>
      <c r="I62" s="386">
        <v>104901019.84999999</v>
      </c>
      <c r="J62" s="386">
        <v>78311095.030000001</v>
      </c>
      <c r="K62" s="386">
        <v>105286077.40000001</v>
      </c>
      <c r="L62" s="386">
        <v>78288688.239999995</v>
      </c>
      <c r="M62" s="386">
        <v>105312542.72</v>
      </c>
      <c r="N62" s="386">
        <v>78478882.959999993</v>
      </c>
      <c r="O62" s="386">
        <v>105514592.22</v>
      </c>
      <c r="P62" s="386">
        <v>78646841.200000003</v>
      </c>
      <c r="Q62" s="386">
        <v>106209913.69</v>
      </c>
      <c r="R62" s="386">
        <v>78604607.079999998</v>
      </c>
      <c r="S62" s="386">
        <v>106513976.93000001</v>
      </c>
      <c r="T62" s="386">
        <v>78786803.459999993</v>
      </c>
      <c r="U62" s="386">
        <v>106817882.7</v>
      </c>
      <c r="V62" s="386">
        <v>78940495.859999999</v>
      </c>
      <c r="W62" s="386">
        <v>108232058.02</v>
      </c>
      <c r="X62" s="386">
        <v>79115075.980000004</v>
      </c>
      <c r="Y62" s="386">
        <v>109521330.18000001</v>
      </c>
      <c r="Z62" s="386">
        <v>79301282.829999998</v>
      </c>
      <c r="AA62" s="386">
        <v>109710368.93000001</v>
      </c>
      <c r="AB62" s="386">
        <v>79470161.739999995</v>
      </c>
      <c r="AC62" s="386">
        <v>111111541.59</v>
      </c>
      <c r="AD62" s="386">
        <v>79550518.760000005</v>
      </c>
      <c r="AE62" s="386">
        <f t="shared" si="4"/>
        <v>106730578.47458334</v>
      </c>
      <c r="AF62" s="386">
        <f t="shared" si="4"/>
        <v>78737369.088750005</v>
      </c>
    </row>
    <row r="63" spans="1:32">
      <c r="A63" s="35">
        <v>55</v>
      </c>
      <c r="C63" s="6" t="s">
        <v>1744</v>
      </c>
      <c r="D63" s="6" t="str">
        <f t="shared" si="5"/>
        <v>00048</v>
      </c>
      <c r="E63" s="386">
        <v>2097766.77</v>
      </c>
      <c r="F63" s="386">
        <v>1351826.1</v>
      </c>
      <c r="G63" s="386">
        <v>2097766.77</v>
      </c>
      <c r="H63" s="386">
        <v>1354937.79</v>
      </c>
      <c r="I63" s="386">
        <v>2097766.77</v>
      </c>
      <c r="J63" s="386">
        <v>1358049.48</v>
      </c>
      <c r="K63" s="386">
        <v>2097766.77</v>
      </c>
      <c r="L63" s="386">
        <v>1361161.17</v>
      </c>
      <c r="M63" s="386">
        <v>2097766.77</v>
      </c>
      <c r="N63" s="386">
        <v>1364272.8599999999</v>
      </c>
      <c r="O63" s="386">
        <v>2097766.77</v>
      </c>
      <c r="P63" s="386">
        <v>1367384.55</v>
      </c>
      <c r="Q63" s="386">
        <v>2097766.77</v>
      </c>
      <c r="R63" s="386">
        <v>1370496.24</v>
      </c>
      <c r="S63" s="386">
        <v>2097766.77</v>
      </c>
      <c r="T63" s="386">
        <v>1373607.93</v>
      </c>
      <c r="U63" s="386">
        <v>2097766.77</v>
      </c>
      <c r="V63" s="386">
        <v>1376719.62</v>
      </c>
      <c r="W63" s="386">
        <v>2097766.77</v>
      </c>
      <c r="X63" s="386">
        <v>1379831.31</v>
      </c>
      <c r="Y63" s="386">
        <v>2097766.77</v>
      </c>
      <c r="Z63" s="386">
        <v>1382943</v>
      </c>
      <c r="AA63" s="386">
        <v>2097766.77</v>
      </c>
      <c r="AB63" s="386">
        <v>1386054.69</v>
      </c>
      <c r="AC63" s="386">
        <v>2097766.77</v>
      </c>
      <c r="AD63" s="386">
        <v>1389166.38</v>
      </c>
      <c r="AE63" s="386">
        <f t="shared" si="4"/>
        <v>2097766.77</v>
      </c>
      <c r="AF63" s="386">
        <f t="shared" si="4"/>
        <v>1370496.24</v>
      </c>
    </row>
    <row r="64" spans="1:32">
      <c r="A64" s="35">
        <v>56</v>
      </c>
      <c r="C64" s="6" t="s">
        <v>1745</v>
      </c>
      <c r="D64" s="6" t="str">
        <f t="shared" si="5"/>
        <v>00048</v>
      </c>
      <c r="E64" s="386">
        <v>17272773.109999999</v>
      </c>
      <c r="F64" s="386">
        <v>5498340.7800000003</v>
      </c>
      <c r="G64" s="386">
        <v>17266225.050000001</v>
      </c>
      <c r="H64" s="386">
        <v>5498798.8300000001</v>
      </c>
      <c r="I64" s="386">
        <v>17285504.41</v>
      </c>
      <c r="J64" s="386">
        <v>5526293.1600000001</v>
      </c>
      <c r="K64" s="386">
        <v>17593191.02</v>
      </c>
      <c r="L64" s="386">
        <v>5528884.4400000004</v>
      </c>
      <c r="M64" s="386">
        <v>19002153.670000002</v>
      </c>
      <c r="N64" s="386">
        <v>5550117.21</v>
      </c>
      <c r="O64" s="386">
        <v>18627223.870000001</v>
      </c>
      <c r="P64" s="386">
        <v>5600586.04</v>
      </c>
      <c r="Q64" s="386">
        <v>18642629.920000002</v>
      </c>
      <c r="R64" s="386">
        <v>5608774.54</v>
      </c>
      <c r="S64" s="386">
        <v>18649072.68</v>
      </c>
      <c r="T64" s="386">
        <v>5587676.0600000005</v>
      </c>
      <c r="U64" s="386">
        <v>18939081.23</v>
      </c>
      <c r="V64" s="386">
        <v>5608120.0999999996</v>
      </c>
      <c r="W64" s="386">
        <v>19089181.18</v>
      </c>
      <c r="X64" s="386">
        <v>5633017.4299999997</v>
      </c>
      <c r="Y64" s="386">
        <v>19094039.09</v>
      </c>
      <c r="Z64" s="386">
        <v>5646871.7699999996</v>
      </c>
      <c r="AA64" s="386">
        <v>19160722.449999999</v>
      </c>
      <c r="AB64" s="386">
        <v>5668925.6799999997</v>
      </c>
      <c r="AC64" s="386">
        <v>19408480.73</v>
      </c>
      <c r="AD64" s="386">
        <v>5699582.8399999999</v>
      </c>
      <c r="AE64" s="386">
        <f t="shared" si="4"/>
        <v>18474137.624166667</v>
      </c>
      <c r="AF64" s="386">
        <f t="shared" si="4"/>
        <v>5588085.5891666664</v>
      </c>
    </row>
    <row r="65" spans="1:32">
      <c r="A65" s="35">
        <v>57</v>
      </c>
      <c r="C65" s="6" t="s">
        <v>1746</v>
      </c>
      <c r="D65" s="6" t="str">
        <f t="shared" si="5"/>
        <v>00048</v>
      </c>
      <c r="E65" s="386">
        <v>96653910.25</v>
      </c>
      <c r="F65" s="386">
        <v>35585124.18</v>
      </c>
      <c r="G65" s="386">
        <v>97100135.989999995</v>
      </c>
      <c r="H65" s="386">
        <v>37759252.689999998</v>
      </c>
      <c r="I65" s="386">
        <v>97678453.129999995</v>
      </c>
      <c r="J65" s="386">
        <v>38068092.109999999</v>
      </c>
      <c r="K65" s="386">
        <v>98245523.709999993</v>
      </c>
      <c r="L65" s="386">
        <v>38332157.579999998</v>
      </c>
      <c r="M65" s="386">
        <v>98572544.659999996</v>
      </c>
      <c r="N65" s="386">
        <v>38643447.859999999</v>
      </c>
      <c r="O65" s="386">
        <v>99114618.930000007</v>
      </c>
      <c r="P65" s="386">
        <v>38954957.719999999</v>
      </c>
      <c r="Q65" s="386">
        <v>99721922.590000004</v>
      </c>
      <c r="R65" s="386">
        <v>39261725.060000002</v>
      </c>
      <c r="S65" s="386">
        <v>100039472.84999999</v>
      </c>
      <c r="T65" s="386">
        <v>39572790.329999998</v>
      </c>
      <c r="U65" s="386">
        <v>100674248.29000001</v>
      </c>
      <c r="V65" s="386">
        <v>39876481.789999999</v>
      </c>
      <c r="W65" s="386">
        <v>101124838.45</v>
      </c>
      <c r="X65" s="386">
        <v>40196912.469999999</v>
      </c>
      <c r="Y65" s="386">
        <v>101601738.56</v>
      </c>
      <c r="Z65" s="386">
        <v>40518400.5</v>
      </c>
      <c r="AA65" s="386">
        <v>102045253.23999999</v>
      </c>
      <c r="AB65" s="386">
        <v>40834111.810000002</v>
      </c>
      <c r="AC65" s="386">
        <v>103118408.27</v>
      </c>
      <c r="AD65" s="386">
        <v>41126803.579999998</v>
      </c>
      <c r="AE65" s="386">
        <f t="shared" si="4"/>
        <v>99650409.138333336</v>
      </c>
      <c r="AF65" s="386">
        <f t="shared" si="4"/>
        <v>39197857.81666667</v>
      </c>
    </row>
    <row r="66" spans="1:32">
      <c r="A66" s="35">
        <v>58</v>
      </c>
      <c r="C66" s="6" t="s">
        <v>1747</v>
      </c>
      <c r="D66" s="6" t="str">
        <f t="shared" si="5"/>
        <v>00048</v>
      </c>
      <c r="E66" s="386">
        <v>62682144.079999998</v>
      </c>
      <c r="F66" s="386">
        <v>90197398.549999997</v>
      </c>
      <c r="G66" s="386">
        <v>62676251.93</v>
      </c>
      <c r="H66" s="386">
        <v>90308243.879999995</v>
      </c>
      <c r="I66" s="386">
        <v>62671819.130000003</v>
      </c>
      <c r="J66" s="386">
        <v>90424601.980000004</v>
      </c>
      <c r="K66" s="386">
        <v>62631056.32</v>
      </c>
      <c r="L66" s="386">
        <v>90416027.969999999</v>
      </c>
      <c r="M66" s="386">
        <v>62635881.340000004</v>
      </c>
      <c r="N66" s="386">
        <v>90550565.489999995</v>
      </c>
      <c r="O66" s="386">
        <v>62655086.25</v>
      </c>
      <c r="P66" s="386">
        <v>90682565.650000006</v>
      </c>
      <c r="Q66" s="386">
        <v>62601366.740000002</v>
      </c>
      <c r="R66" s="386">
        <v>90751438.930000007</v>
      </c>
      <c r="S66" s="386">
        <v>62593850.630000003</v>
      </c>
      <c r="T66" s="386">
        <v>90867785.560000002</v>
      </c>
      <c r="U66" s="386">
        <v>62579065.420000002</v>
      </c>
      <c r="V66" s="386">
        <v>90958949.069999993</v>
      </c>
      <c r="W66" s="386">
        <v>62517414.43</v>
      </c>
      <c r="X66" s="386">
        <v>90893055.010000005</v>
      </c>
      <c r="Y66" s="386">
        <v>62498182.07</v>
      </c>
      <c r="Z66" s="386">
        <v>91001452.140000001</v>
      </c>
      <c r="AA66" s="386">
        <v>62511307.030000001</v>
      </c>
      <c r="AB66" s="386">
        <v>91089817.930000007</v>
      </c>
      <c r="AC66" s="386">
        <v>62481619.82</v>
      </c>
      <c r="AD66" s="386">
        <v>91189844.709999993</v>
      </c>
      <c r="AE66" s="386">
        <f t="shared" si="4"/>
        <v>62596096.936666675</v>
      </c>
      <c r="AF66" s="386">
        <f t="shared" si="4"/>
        <v>90719843.769999981</v>
      </c>
    </row>
    <row r="67" spans="1:32">
      <c r="A67" s="35">
        <v>59</v>
      </c>
      <c r="C67" s="6" t="s">
        <v>1748</v>
      </c>
      <c r="D67" s="6" t="str">
        <f t="shared" si="5"/>
        <v>00048</v>
      </c>
      <c r="E67" s="386">
        <v>0</v>
      </c>
      <c r="F67" s="386">
        <v>0.01</v>
      </c>
      <c r="G67" s="386">
        <v>0</v>
      </c>
      <c r="H67" s="386">
        <v>0</v>
      </c>
      <c r="I67" s="386">
        <v>0</v>
      </c>
      <c r="J67" s="386">
        <v>0</v>
      </c>
      <c r="K67" s="386">
        <v>0</v>
      </c>
      <c r="L67" s="386">
        <v>0</v>
      </c>
      <c r="M67" s="386">
        <v>84.22</v>
      </c>
      <c r="N67" s="386">
        <v>0</v>
      </c>
      <c r="O67" s="386">
        <v>266.74</v>
      </c>
      <c r="P67" s="386">
        <v>0</v>
      </c>
      <c r="Q67" s="386">
        <v>8.2900000000000009</v>
      </c>
      <c r="R67" s="386">
        <v>0</v>
      </c>
      <c r="S67" s="386">
        <v>8.2900000000000009</v>
      </c>
      <c r="T67" s="386">
        <v>0</v>
      </c>
      <c r="U67" s="386">
        <v>8.2900000000000009</v>
      </c>
      <c r="V67" s="386">
        <v>0</v>
      </c>
      <c r="W67" s="386">
        <v>0</v>
      </c>
      <c r="X67" s="386">
        <v>0</v>
      </c>
      <c r="Y67" s="386">
        <v>0</v>
      </c>
      <c r="Z67" s="386">
        <v>0</v>
      </c>
      <c r="AA67" s="386">
        <v>0</v>
      </c>
      <c r="AB67" s="386">
        <v>0</v>
      </c>
      <c r="AC67" s="386">
        <v>0</v>
      </c>
      <c r="AD67" s="386">
        <v>0</v>
      </c>
      <c r="AE67" s="386">
        <f t="shared" si="4"/>
        <v>31.319166666666675</v>
      </c>
      <c r="AF67" s="386">
        <f t="shared" si="4"/>
        <v>4.1666666666666669E-4</v>
      </c>
    </row>
    <row r="68" spans="1:32">
      <c r="A68" s="35">
        <v>60</v>
      </c>
      <c r="C68" s="6" t="s">
        <v>1749</v>
      </c>
      <c r="D68" s="6" t="str">
        <f t="shared" si="5"/>
        <v>00048</v>
      </c>
      <c r="E68" s="386">
        <v>22396766.760000002</v>
      </c>
      <c r="F68" s="386">
        <v>10064163.189999999</v>
      </c>
      <c r="G68" s="386">
        <v>22422726.420000002</v>
      </c>
      <c r="H68" s="386">
        <v>10089605.369999999</v>
      </c>
      <c r="I68" s="386">
        <v>22477744.91</v>
      </c>
      <c r="J68" s="386">
        <v>10123556.560000001</v>
      </c>
      <c r="K68" s="386">
        <v>22505631.300000001</v>
      </c>
      <c r="L68" s="386">
        <v>10156190.449999999</v>
      </c>
      <c r="M68" s="386">
        <v>22545845.949999999</v>
      </c>
      <c r="N68" s="386">
        <v>10188689.130000001</v>
      </c>
      <c r="O68" s="386">
        <v>22563095.640000001</v>
      </c>
      <c r="P68" s="386">
        <v>10216471.189999999</v>
      </c>
      <c r="Q68" s="386">
        <v>22573355.190000001</v>
      </c>
      <c r="R68" s="386">
        <v>10242765.01</v>
      </c>
      <c r="S68" s="386">
        <v>22601346.260000002</v>
      </c>
      <c r="T68" s="386">
        <v>10271850.640000001</v>
      </c>
      <c r="U68" s="386">
        <v>22639692.629999999</v>
      </c>
      <c r="V68" s="386">
        <v>10303384.59</v>
      </c>
      <c r="W68" s="386">
        <v>22684900.82</v>
      </c>
      <c r="X68" s="386">
        <v>10337027.880000001</v>
      </c>
      <c r="Y68" s="386">
        <v>22735612.050000001</v>
      </c>
      <c r="Z68" s="386">
        <v>10371238.060000001</v>
      </c>
      <c r="AA68" s="386">
        <v>22771682.199999999</v>
      </c>
      <c r="AB68" s="386">
        <v>10392819.869999999</v>
      </c>
      <c r="AC68" s="386">
        <v>22894603.239999998</v>
      </c>
      <c r="AD68" s="386">
        <v>10424710.199999999</v>
      </c>
      <c r="AE68" s="386">
        <f t="shared" si="4"/>
        <v>22597276.530833334</v>
      </c>
      <c r="AF68" s="386">
        <f t="shared" si="4"/>
        <v>10244836.287083333</v>
      </c>
    </row>
    <row r="69" spans="1:32">
      <c r="A69" s="35">
        <v>61</v>
      </c>
      <c r="C69" s="6" t="s">
        <v>1750</v>
      </c>
      <c r="D69" s="6" t="str">
        <f t="shared" si="5"/>
        <v>00048</v>
      </c>
      <c r="E69" s="386">
        <v>7893079.4900000002</v>
      </c>
      <c r="F69" s="386">
        <v>3461142.49</v>
      </c>
      <c r="G69" s="386">
        <v>7898819.6699999999</v>
      </c>
      <c r="H69" s="386">
        <v>3475341.77</v>
      </c>
      <c r="I69" s="386">
        <v>7906988.7000000002</v>
      </c>
      <c r="J69" s="386">
        <v>3489691.29</v>
      </c>
      <c r="K69" s="386">
        <v>7906423.9800000004</v>
      </c>
      <c r="L69" s="386">
        <v>3501688.89</v>
      </c>
      <c r="M69" s="386">
        <v>7952697.8499999996</v>
      </c>
      <c r="N69" s="386">
        <v>3516639.6</v>
      </c>
      <c r="O69" s="386">
        <v>7955859.4000000004</v>
      </c>
      <c r="P69" s="386">
        <v>3531263.85</v>
      </c>
      <c r="Q69" s="386">
        <v>7970526.0099999998</v>
      </c>
      <c r="R69" s="386">
        <v>3546255.4</v>
      </c>
      <c r="S69" s="386">
        <v>7983826.5</v>
      </c>
      <c r="T69" s="386">
        <v>3564945.13</v>
      </c>
      <c r="U69" s="386">
        <v>7993577.25</v>
      </c>
      <c r="V69" s="386">
        <v>3563768.7199999997</v>
      </c>
      <c r="W69" s="386">
        <v>8053174.6200000001</v>
      </c>
      <c r="X69" s="386">
        <v>3570588.37</v>
      </c>
      <c r="Y69" s="386">
        <v>8107872.7300000004</v>
      </c>
      <c r="Z69" s="386">
        <v>3585218.3</v>
      </c>
      <c r="AA69" s="386">
        <v>8155184.9199999999</v>
      </c>
      <c r="AB69" s="386">
        <v>3608551.79</v>
      </c>
      <c r="AC69" s="386">
        <v>8205835.1900000004</v>
      </c>
      <c r="AD69" s="386">
        <v>3618348.63</v>
      </c>
      <c r="AE69" s="386">
        <f t="shared" si="4"/>
        <v>7994534.0808333345</v>
      </c>
      <c r="AF69" s="386">
        <f t="shared" si="4"/>
        <v>3541141.5558333336</v>
      </c>
    </row>
    <row r="70" spans="1:32">
      <c r="A70" s="35">
        <v>62</v>
      </c>
      <c r="C70" s="6" t="s">
        <v>1751</v>
      </c>
      <c r="D70" s="6" t="str">
        <f t="shared" si="5"/>
        <v>00048</v>
      </c>
      <c r="E70" s="386">
        <v>0</v>
      </c>
      <c r="F70" s="386">
        <v>-305.76</v>
      </c>
      <c r="G70" s="386">
        <v>0</v>
      </c>
      <c r="H70" s="386">
        <v>-305.76</v>
      </c>
      <c r="I70" s="386">
        <v>0</v>
      </c>
      <c r="J70" s="386">
        <v>-305.76</v>
      </c>
      <c r="K70" s="386">
        <v>0</v>
      </c>
      <c r="L70" s="386">
        <v>-305.76</v>
      </c>
      <c r="M70" s="386">
        <v>0</v>
      </c>
      <c r="N70" s="386">
        <v>-305.76</v>
      </c>
      <c r="O70" s="386">
        <v>0</v>
      </c>
      <c r="P70" s="386">
        <v>-305.76</v>
      </c>
      <c r="Q70" s="386">
        <v>0</v>
      </c>
      <c r="R70" s="386">
        <v>-305.76</v>
      </c>
      <c r="S70" s="386">
        <v>0</v>
      </c>
      <c r="T70" s="386">
        <v>-305.76</v>
      </c>
      <c r="U70" s="386">
        <v>0</v>
      </c>
      <c r="V70" s="386">
        <v>-305.76</v>
      </c>
      <c r="W70" s="386">
        <v>0</v>
      </c>
      <c r="X70" s="386">
        <v>-305.76</v>
      </c>
      <c r="Y70" s="386">
        <v>0</v>
      </c>
      <c r="Z70" s="386">
        <v>-305.76</v>
      </c>
      <c r="AA70" s="386">
        <v>0</v>
      </c>
      <c r="AB70" s="386">
        <v>-305.76</v>
      </c>
      <c r="AC70" s="386">
        <v>0</v>
      </c>
      <c r="AD70" s="386">
        <v>-305.76</v>
      </c>
      <c r="AE70" s="386">
        <f t="shared" si="4"/>
        <v>0</v>
      </c>
      <c r="AF70" s="386">
        <f t="shared" si="4"/>
        <v>-305.76000000000005</v>
      </c>
    </row>
    <row r="71" spans="1:32">
      <c r="A71" s="35">
        <v>63</v>
      </c>
      <c r="C71" s="6" t="s">
        <v>1752</v>
      </c>
      <c r="D71" s="6" t="str">
        <f t="shared" si="5"/>
        <v>00048</v>
      </c>
      <c r="E71" s="386">
        <v>2020069.02</v>
      </c>
      <c r="F71" s="386">
        <v>0</v>
      </c>
      <c r="G71" s="386">
        <v>2020069.02</v>
      </c>
      <c r="H71" s="386">
        <v>0</v>
      </c>
      <c r="I71" s="386">
        <v>2020069.02</v>
      </c>
      <c r="J71" s="386">
        <v>0</v>
      </c>
      <c r="K71" s="386">
        <v>2020069.02</v>
      </c>
      <c r="L71" s="386">
        <v>0</v>
      </c>
      <c r="M71" s="386">
        <v>2020069.02</v>
      </c>
      <c r="N71" s="386">
        <v>0</v>
      </c>
      <c r="O71" s="386">
        <v>2020069.02</v>
      </c>
      <c r="P71" s="386">
        <v>0</v>
      </c>
      <c r="Q71" s="386">
        <v>2020069.02</v>
      </c>
      <c r="R71" s="386">
        <v>0</v>
      </c>
      <c r="S71" s="386">
        <v>2020069.02</v>
      </c>
      <c r="T71" s="386">
        <v>0</v>
      </c>
      <c r="U71" s="386">
        <v>2020069.02</v>
      </c>
      <c r="V71" s="386">
        <v>0</v>
      </c>
      <c r="W71" s="386">
        <v>2020069.02</v>
      </c>
      <c r="X71" s="386">
        <v>0</v>
      </c>
      <c r="Y71" s="386">
        <v>2020069.02</v>
      </c>
      <c r="Z71" s="386">
        <v>0</v>
      </c>
      <c r="AA71" s="386">
        <v>2020069.02</v>
      </c>
      <c r="AB71" s="386">
        <v>0</v>
      </c>
      <c r="AC71" s="386">
        <v>2020069.02</v>
      </c>
      <c r="AD71" s="386">
        <v>0</v>
      </c>
      <c r="AE71" s="386">
        <f t="shared" si="4"/>
        <v>2020069.0199999998</v>
      </c>
      <c r="AF71" s="386">
        <f t="shared" si="4"/>
        <v>0</v>
      </c>
    </row>
    <row r="72" spans="1:32">
      <c r="A72" s="35">
        <v>64</v>
      </c>
      <c r="C72" s="6" t="s">
        <v>1753</v>
      </c>
      <c r="D72" s="6" t="str">
        <f t="shared" si="5"/>
        <v>00048</v>
      </c>
      <c r="E72" s="386">
        <v>0</v>
      </c>
      <c r="F72" s="386">
        <v>4703.88</v>
      </c>
      <c r="G72" s="386">
        <v>0</v>
      </c>
      <c r="H72" s="386">
        <v>4703.88</v>
      </c>
      <c r="I72" s="386">
        <v>0</v>
      </c>
      <c r="J72" s="386">
        <v>4703.88</v>
      </c>
      <c r="K72" s="386">
        <v>0</v>
      </c>
      <c r="L72" s="386">
        <v>4703.88</v>
      </c>
      <c r="M72" s="386">
        <v>0</v>
      </c>
      <c r="N72" s="386">
        <v>4703.88</v>
      </c>
      <c r="O72" s="386">
        <v>0</v>
      </c>
      <c r="P72" s="386">
        <v>4703.88</v>
      </c>
      <c r="Q72" s="386">
        <v>7933.28</v>
      </c>
      <c r="R72" s="386">
        <v>4703.88</v>
      </c>
      <c r="S72" s="386">
        <v>7933.28</v>
      </c>
      <c r="T72" s="386">
        <v>4703.88</v>
      </c>
      <c r="U72" s="386">
        <v>7933.28</v>
      </c>
      <c r="V72" s="386">
        <v>4703.88</v>
      </c>
      <c r="W72" s="386">
        <v>7933.28</v>
      </c>
      <c r="X72" s="386">
        <v>4703.88</v>
      </c>
      <c r="Y72" s="386">
        <v>7933.28</v>
      </c>
      <c r="Z72" s="386">
        <v>4703.88</v>
      </c>
      <c r="AA72" s="386">
        <v>7933.28</v>
      </c>
      <c r="AB72" s="386">
        <v>4703.88</v>
      </c>
      <c r="AC72" s="386">
        <v>7933.28</v>
      </c>
      <c r="AD72" s="386">
        <v>4703.88</v>
      </c>
      <c r="AE72" s="386">
        <f t="shared" si="4"/>
        <v>4297.1933333333336</v>
      </c>
      <c r="AF72" s="386">
        <f t="shared" si="4"/>
        <v>4703.8799999999992</v>
      </c>
    </row>
    <row r="73" spans="1:32">
      <c r="A73" s="35">
        <v>65</v>
      </c>
      <c r="C73" s="6" t="s">
        <v>1754</v>
      </c>
      <c r="D73" s="6" t="str">
        <f t="shared" si="5"/>
        <v>00048</v>
      </c>
      <c r="E73" s="386">
        <v>9058502.9499999993</v>
      </c>
      <c r="F73" s="386">
        <v>4768990.34</v>
      </c>
      <c r="G73" s="386">
        <v>9061443.8399999999</v>
      </c>
      <c r="H73" s="386">
        <v>4778350.79</v>
      </c>
      <c r="I73" s="386">
        <v>9088752.9399999995</v>
      </c>
      <c r="J73" s="386">
        <v>4787714.28</v>
      </c>
      <c r="K73" s="386">
        <v>9088752.9399999995</v>
      </c>
      <c r="L73" s="386">
        <v>4797105.99</v>
      </c>
      <c r="M73" s="386">
        <v>9089973.9100000001</v>
      </c>
      <c r="N73" s="386">
        <v>4806497.7</v>
      </c>
      <c r="O73" s="386">
        <v>9089973.9100000001</v>
      </c>
      <c r="P73" s="386">
        <v>4815890.67</v>
      </c>
      <c r="Q73" s="386">
        <v>9089973.9100000001</v>
      </c>
      <c r="R73" s="386">
        <v>4825283.6399999997</v>
      </c>
      <c r="S73" s="386">
        <v>9089973.9100000001</v>
      </c>
      <c r="T73" s="386">
        <v>4834676.6100000003</v>
      </c>
      <c r="U73" s="386">
        <v>9089973.9100000001</v>
      </c>
      <c r="V73" s="386">
        <v>4844069.58</v>
      </c>
      <c r="W73" s="386">
        <v>9089973.9100000001</v>
      </c>
      <c r="X73" s="386">
        <v>4853462.55</v>
      </c>
      <c r="Y73" s="386">
        <v>9114642.0399999991</v>
      </c>
      <c r="Z73" s="386">
        <v>4862855.5199999996</v>
      </c>
      <c r="AA73" s="386">
        <v>9114642.0399999991</v>
      </c>
      <c r="AB73" s="386">
        <v>4872273.9800000004</v>
      </c>
      <c r="AC73" s="386">
        <v>9154112.3399999999</v>
      </c>
      <c r="AD73" s="386">
        <v>4881692.4400000004</v>
      </c>
      <c r="AE73" s="386">
        <f t="shared" si="4"/>
        <v>9092865.4087499958</v>
      </c>
      <c r="AF73" s="386">
        <f t="shared" si="4"/>
        <v>4825293.5583333336</v>
      </c>
    </row>
    <row r="74" spans="1:32">
      <c r="A74" s="35">
        <v>66</v>
      </c>
      <c r="C74" s="6" t="s">
        <v>1755</v>
      </c>
      <c r="D74" s="6" t="str">
        <f t="shared" si="5"/>
        <v>00048</v>
      </c>
      <c r="E74" s="386">
        <v>156603.45000000001</v>
      </c>
      <c r="F74" s="386">
        <v>49359.15</v>
      </c>
      <c r="G74" s="386">
        <v>111436.64</v>
      </c>
      <c r="H74" s="386">
        <v>6459.17</v>
      </c>
      <c r="I74" s="386">
        <v>111436.64</v>
      </c>
      <c r="J74" s="386">
        <v>8072.22</v>
      </c>
      <c r="K74" s="386">
        <v>108088.64</v>
      </c>
      <c r="L74" s="386">
        <v>6337.27</v>
      </c>
      <c r="M74" s="386">
        <v>108088.64</v>
      </c>
      <c r="N74" s="386">
        <v>7901.85</v>
      </c>
      <c r="O74" s="386">
        <v>109957.52</v>
      </c>
      <c r="P74" s="386">
        <v>9466.43</v>
      </c>
      <c r="Q74" s="386">
        <v>98185.52</v>
      </c>
      <c r="R74" s="386">
        <v>-713.93000000000006</v>
      </c>
      <c r="S74" s="386">
        <v>98185.52</v>
      </c>
      <c r="T74" s="386">
        <v>707.31000000000006</v>
      </c>
      <c r="U74" s="386">
        <v>98185.52</v>
      </c>
      <c r="V74" s="386">
        <v>2128.5500000000002</v>
      </c>
      <c r="W74" s="386">
        <v>98185.52</v>
      </c>
      <c r="X74" s="386">
        <v>3549.79</v>
      </c>
      <c r="Y74" s="386">
        <v>98185.52</v>
      </c>
      <c r="Z74" s="386">
        <v>4971.03</v>
      </c>
      <c r="AA74" s="386">
        <v>98185.52</v>
      </c>
      <c r="AB74" s="386">
        <v>6392.27</v>
      </c>
      <c r="AC74" s="386">
        <v>98185.52</v>
      </c>
      <c r="AD74" s="386">
        <v>7813.51</v>
      </c>
      <c r="AE74" s="386">
        <f t="shared" si="4"/>
        <v>105459.64041666668</v>
      </c>
      <c r="AF74" s="386">
        <f t="shared" si="4"/>
        <v>6988.190833333334</v>
      </c>
    </row>
    <row r="75" spans="1:32">
      <c r="A75" s="35">
        <v>67</v>
      </c>
      <c r="C75" s="6" t="s">
        <v>1756</v>
      </c>
      <c r="D75" s="6" t="str">
        <f t="shared" si="5"/>
        <v>00048</v>
      </c>
      <c r="E75" s="386">
        <v>405458.97000000003</v>
      </c>
      <c r="F75" s="386">
        <v>78546.759999999995</v>
      </c>
      <c r="G75" s="386">
        <v>390507.36</v>
      </c>
      <c r="H75" s="386">
        <v>65277.8</v>
      </c>
      <c r="I75" s="386">
        <v>390507.36</v>
      </c>
      <c r="J75" s="386">
        <v>66898.41</v>
      </c>
      <c r="K75" s="386">
        <v>390507.36</v>
      </c>
      <c r="L75" s="386">
        <v>68519.02</v>
      </c>
      <c r="M75" s="386">
        <v>390507.36</v>
      </c>
      <c r="N75" s="386">
        <v>70139.63</v>
      </c>
      <c r="O75" s="386">
        <v>390507.36</v>
      </c>
      <c r="P75" s="386">
        <v>71760.240000000005</v>
      </c>
      <c r="Q75" s="386">
        <v>416985.31</v>
      </c>
      <c r="R75" s="386">
        <v>73078.86</v>
      </c>
      <c r="S75" s="386">
        <v>416985.31</v>
      </c>
      <c r="T75" s="386">
        <v>74809.350000000006</v>
      </c>
      <c r="U75" s="386">
        <v>416985.31</v>
      </c>
      <c r="V75" s="386">
        <v>76539.839999999997</v>
      </c>
      <c r="W75" s="386">
        <v>416985.31</v>
      </c>
      <c r="X75" s="386">
        <v>78270.33</v>
      </c>
      <c r="Y75" s="386">
        <v>416985.31</v>
      </c>
      <c r="Z75" s="386">
        <v>80000.820000000007</v>
      </c>
      <c r="AA75" s="386">
        <v>416985.31</v>
      </c>
      <c r="AB75" s="386">
        <v>81731.31</v>
      </c>
      <c r="AC75" s="386">
        <v>416985.31</v>
      </c>
      <c r="AD75" s="386">
        <v>83461.8</v>
      </c>
      <c r="AE75" s="386">
        <f t="shared" si="4"/>
        <v>405472.56666666665</v>
      </c>
      <c r="AF75" s="386">
        <f t="shared" si="4"/>
        <v>74002.490833333344</v>
      </c>
    </row>
    <row r="76" spans="1:32">
      <c r="A76" s="35">
        <v>68</v>
      </c>
      <c r="C76" s="6" t="s">
        <v>1757</v>
      </c>
      <c r="D76" s="6" t="str">
        <f t="shared" si="5"/>
        <v>00048</v>
      </c>
      <c r="E76" s="386">
        <v>229070.62</v>
      </c>
      <c r="F76" s="386">
        <v>97535.14</v>
      </c>
      <c r="G76" s="386">
        <v>229070.62</v>
      </c>
      <c r="H76" s="386">
        <v>98136.45</v>
      </c>
      <c r="I76" s="386">
        <v>229070.62</v>
      </c>
      <c r="J76" s="386">
        <v>98737.760000000009</v>
      </c>
      <c r="K76" s="386">
        <v>229070.62</v>
      </c>
      <c r="L76" s="386">
        <v>99339.07</v>
      </c>
      <c r="M76" s="386">
        <v>229070.62</v>
      </c>
      <c r="N76" s="386">
        <v>99940.38</v>
      </c>
      <c r="O76" s="386">
        <v>229070.62</v>
      </c>
      <c r="P76" s="386">
        <v>100541.69</v>
      </c>
      <c r="Q76" s="386">
        <v>229070.62</v>
      </c>
      <c r="R76" s="386">
        <v>101143</v>
      </c>
      <c r="S76" s="386">
        <v>229070.62</v>
      </c>
      <c r="T76" s="386">
        <v>101744.31</v>
      </c>
      <c r="U76" s="386">
        <v>229070.62</v>
      </c>
      <c r="V76" s="386">
        <v>102345.62</v>
      </c>
      <c r="W76" s="386">
        <v>213725.31</v>
      </c>
      <c r="X76" s="386">
        <v>87601.62</v>
      </c>
      <c r="Y76" s="386">
        <v>213725.31</v>
      </c>
      <c r="Z76" s="386">
        <v>88162.650000000009</v>
      </c>
      <c r="AA76" s="386">
        <v>213725.31</v>
      </c>
      <c r="AB76" s="386">
        <v>88723.680000000008</v>
      </c>
      <c r="AC76" s="386">
        <v>213725.31</v>
      </c>
      <c r="AD76" s="386">
        <v>89284.71</v>
      </c>
      <c r="AE76" s="386">
        <f t="shared" si="4"/>
        <v>224594.90458333338</v>
      </c>
      <c r="AF76" s="386">
        <f t="shared" si="4"/>
        <v>96652.17958333336</v>
      </c>
    </row>
    <row r="77" spans="1:32">
      <c r="A77" s="35">
        <v>69</v>
      </c>
      <c r="C77" s="6" t="s">
        <v>1758</v>
      </c>
      <c r="D77" s="6" t="str">
        <f t="shared" si="5"/>
        <v>00048</v>
      </c>
      <c r="E77" s="386">
        <v>8760593.6600000001</v>
      </c>
      <c r="F77" s="386">
        <v>3138126.48</v>
      </c>
      <c r="G77" s="386">
        <v>8818649.2400000002</v>
      </c>
      <c r="H77" s="386">
        <v>3183024.52</v>
      </c>
      <c r="I77" s="386">
        <v>8868940.7200000007</v>
      </c>
      <c r="J77" s="386">
        <v>3211362</v>
      </c>
      <c r="K77" s="386">
        <v>8750125.9000000004</v>
      </c>
      <c r="L77" s="386">
        <v>3113550.25</v>
      </c>
      <c r="M77" s="386">
        <v>8805451.2899999991</v>
      </c>
      <c r="N77" s="386">
        <v>3111198.95</v>
      </c>
      <c r="O77" s="386">
        <v>8921776.3699999992</v>
      </c>
      <c r="P77" s="386">
        <v>3166426.89</v>
      </c>
      <c r="Q77" s="386">
        <v>9083479.9000000004</v>
      </c>
      <c r="R77" s="386">
        <v>3212503.31</v>
      </c>
      <c r="S77" s="386">
        <v>9223031.8399999999</v>
      </c>
      <c r="T77" s="386">
        <v>3242782.82</v>
      </c>
      <c r="U77" s="386">
        <v>9494482.4299999997</v>
      </c>
      <c r="V77" s="386">
        <v>3270750.74</v>
      </c>
      <c r="W77" s="386">
        <v>9417208.1799999997</v>
      </c>
      <c r="X77" s="386">
        <v>3263819.7800000003</v>
      </c>
      <c r="Y77" s="386">
        <v>9352511.5899999999</v>
      </c>
      <c r="Z77" s="386">
        <v>3274068.69</v>
      </c>
      <c r="AA77" s="386">
        <v>9460510.1699999999</v>
      </c>
      <c r="AB77" s="386">
        <v>3314102.13</v>
      </c>
      <c r="AC77" s="386">
        <v>9743723.7799999993</v>
      </c>
      <c r="AD77" s="386">
        <v>3362587.25</v>
      </c>
      <c r="AE77" s="386">
        <f t="shared" si="4"/>
        <v>9120693.8625000007</v>
      </c>
      <c r="AF77" s="386">
        <f t="shared" si="4"/>
        <v>3217828.9120833334</v>
      </c>
    </row>
    <row r="78" spans="1:32">
      <c r="A78" s="35">
        <v>70</v>
      </c>
      <c r="C78" s="6" t="s">
        <v>1759</v>
      </c>
      <c r="D78" s="6" t="str">
        <f t="shared" si="5"/>
        <v>00048</v>
      </c>
      <c r="E78" s="386">
        <v>23837.02</v>
      </c>
      <c r="F78" s="386">
        <v>7873.37</v>
      </c>
      <c r="G78" s="386">
        <v>23837.02</v>
      </c>
      <c r="H78" s="386">
        <v>7979.4400000000005</v>
      </c>
      <c r="I78" s="386">
        <v>23837.02</v>
      </c>
      <c r="J78" s="386">
        <v>8085.51</v>
      </c>
      <c r="K78" s="386">
        <v>23837.02</v>
      </c>
      <c r="L78" s="386">
        <v>8191.58</v>
      </c>
      <c r="M78" s="386">
        <v>23837.02</v>
      </c>
      <c r="N78" s="386">
        <v>8297.65</v>
      </c>
      <c r="O78" s="386">
        <v>23837.02</v>
      </c>
      <c r="P78" s="386">
        <v>8403.7199999999993</v>
      </c>
      <c r="Q78" s="386">
        <v>23837.02</v>
      </c>
      <c r="R78" s="386">
        <v>8509.7900000000009</v>
      </c>
      <c r="S78" s="386">
        <v>23837.02</v>
      </c>
      <c r="T78" s="386">
        <v>8615.86</v>
      </c>
      <c r="U78" s="386">
        <v>23837.02</v>
      </c>
      <c r="V78" s="386">
        <v>8721.93</v>
      </c>
      <c r="W78" s="386">
        <v>23837.02</v>
      </c>
      <c r="X78" s="386">
        <v>8828</v>
      </c>
      <c r="Y78" s="386">
        <v>23837.02</v>
      </c>
      <c r="Z78" s="386">
        <v>8934.07</v>
      </c>
      <c r="AA78" s="386">
        <v>23837.02</v>
      </c>
      <c r="AB78" s="386">
        <v>9040.14</v>
      </c>
      <c r="AC78" s="386">
        <v>23837.02</v>
      </c>
      <c r="AD78" s="386">
        <v>9146.2100000000009</v>
      </c>
      <c r="AE78" s="386">
        <f t="shared" si="4"/>
        <v>23837.02</v>
      </c>
      <c r="AF78" s="386">
        <f t="shared" si="4"/>
        <v>8509.7900000000009</v>
      </c>
    </row>
    <row r="79" spans="1:32">
      <c r="A79" s="35">
        <v>71</v>
      </c>
      <c r="C79" s="6" t="s">
        <v>1760</v>
      </c>
      <c r="D79" s="6" t="str">
        <f t="shared" si="5"/>
        <v>00048</v>
      </c>
      <c r="E79" s="386">
        <v>3971799.3200000003</v>
      </c>
      <c r="F79" s="386">
        <v>1312806.96</v>
      </c>
      <c r="G79" s="386">
        <v>3863493.63</v>
      </c>
      <c r="H79" s="386">
        <v>1194522.3</v>
      </c>
      <c r="I79" s="386">
        <v>3878926.6</v>
      </c>
      <c r="J79" s="386">
        <v>1205984</v>
      </c>
      <c r="K79" s="386">
        <v>3849269.2199999997</v>
      </c>
      <c r="L79" s="386">
        <v>1142869.51</v>
      </c>
      <c r="M79" s="386">
        <v>3872066.56</v>
      </c>
      <c r="N79" s="386">
        <v>1154589.01</v>
      </c>
      <c r="O79" s="386">
        <v>3874271.3</v>
      </c>
      <c r="P79" s="386">
        <v>1166076.1400000001</v>
      </c>
      <c r="Q79" s="386">
        <v>3850816.8</v>
      </c>
      <c r="R79" s="386">
        <v>1141452.55</v>
      </c>
      <c r="S79" s="386">
        <v>3849567.26</v>
      </c>
      <c r="T79" s="386">
        <v>1152876.6400000001</v>
      </c>
      <c r="U79" s="386">
        <v>3894827.79</v>
      </c>
      <c r="V79" s="386">
        <v>1164297.02</v>
      </c>
      <c r="W79" s="386">
        <v>3936679.34</v>
      </c>
      <c r="X79" s="386">
        <v>1175851.68</v>
      </c>
      <c r="Y79" s="386">
        <v>4028179.52</v>
      </c>
      <c r="Z79" s="386">
        <v>1187530.5</v>
      </c>
      <c r="AA79" s="386">
        <v>4030331.48</v>
      </c>
      <c r="AB79" s="386">
        <v>1199480.77</v>
      </c>
      <c r="AC79" s="386">
        <v>4107335.77</v>
      </c>
      <c r="AD79" s="386">
        <v>1211437.42</v>
      </c>
      <c r="AE79" s="386">
        <f t="shared" si="4"/>
        <v>3913999.7537500001</v>
      </c>
      <c r="AF79" s="386">
        <f t="shared" si="4"/>
        <v>1178971.0258333331</v>
      </c>
    </row>
    <row r="80" spans="1:32">
      <c r="A80" s="35">
        <v>72</v>
      </c>
      <c r="C80" s="6" t="s">
        <v>1761</v>
      </c>
      <c r="D80" s="6" t="str">
        <f t="shared" si="5"/>
        <v>00048</v>
      </c>
      <c r="E80" s="386">
        <v>127444.74</v>
      </c>
      <c r="F80" s="386">
        <v>113108.3</v>
      </c>
      <c r="G80" s="386">
        <v>127444.74</v>
      </c>
      <c r="H80" s="386">
        <v>113303.72</v>
      </c>
      <c r="I80" s="386">
        <v>127444.74</v>
      </c>
      <c r="J80" s="386">
        <v>113499.14</v>
      </c>
      <c r="K80" s="386">
        <v>127444.74</v>
      </c>
      <c r="L80" s="386">
        <v>113694.56</v>
      </c>
      <c r="M80" s="386">
        <v>127444.74</v>
      </c>
      <c r="N80" s="386">
        <v>113889.98</v>
      </c>
      <c r="O80" s="386">
        <v>127444.74</v>
      </c>
      <c r="P80" s="386">
        <v>114085.40000000001</v>
      </c>
      <c r="Q80" s="386">
        <v>127444.74</v>
      </c>
      <c r="R80" s="386">
        <v>114280.82</v>
      </c>
      <c r="S80" s="386">
        <v>127444.74</v>
      </c>
      <c r="T80" s="386">
        <v>114476.24</v>
      </c>
      <c r="U80" s="386">
        <v>127444.74</v>
      </c>
      <c r="V80" s="386">
        <v>114671.66</v>
      </c>
      <c r="W80" s="386">
        <v>127444.74</v>
      </c>
      <c r="X80" s="386">
        <v>114867.08</v>
      </c>
      <c r="Y80" s="386">
        <v>127444.74</v>
      </c>
      <c r="Z80" s="386">
        <v>115062.5</v>
      </c>
      <c r="AA80" s="386">
        <v>131231.01999999999</v>
      </c>
      <c r="AB80" s="386">
        <v>115257.92</v>
      </c>
      <c r="AC80" s="386">
        <v>131231.01999999999</v>
      </c>
      <c r="AD80" s="386">
        <v>115459.14</v>
      </c>
      <c r="AE80" s="386">
        <f t="shared" si="4"/>
        <v>127918.02500000002</v>
      </c>
      <c r="AF80" s="386">
        <f t="shared" si="4"/>
        <v>114281.06166666665</v>
      </c>
    </row>
    <row r="81" spans="1:32">
      <c r="A81" s="35">
        <v>73</v>
      </c>
      <c r="C81" s="6" t="s">
        <v>1762</v>
      </c>
      <c r="D81" s="6" t="str">
        <f t="shared" si="5"/>
        <v>00048</v>
      </c>
      <c r="E81" s="386">
        <v>29277.34</v>
      </c>
      <c r="F81" s="386">
        <v>17773.5</v>
      </c>
      <c r="G81" s="386">
        <v>29277.34</v>
      </c>
      <c r="H81" s="386">
        <v>17885.73</v>
      </c>
      <c r="I81" s="386">
        <v>29277.34</v>
      </c>
      <c r="J81" s="386">
        <v>17997.96</v>
      </c>
      <c r="K81" s="386">
        <v>29277.34</v>
      </c>
      <c r="L81" s="386">
        <v>18110.189999999999</v>
      </c>
      <c r="M81" s="386">
        <v>29277.34</v>
      </c>
      <c r="N81" s="386">
        <v>18222.420000000002</v>
      </c>
      <c r="O81" s="386">
        <v>29277.34</v>
      </c>
      <c r="P81" s="386">
        <v>18334.650000000001</v>
      </c>
      <c r="Q81" s="386">
        <v>29277.34</v>
      </c>
      <c r="R81" s="386">
        <v>18446.88</v>
      </c>
      <c r="S81" s="386">
        <v>29277.34</v>
      </c>
      <c r="T81" s="386">
        <v>18559.11</v>
      </c>
      <c r="U81" s="386">
        <v>29277.34</v>
      </c>
      <c r="V81" s="386">
        <v>18671.34</v>
      </c>
      <c r="W81" s="386">
        <v>29277.34</v>
      </c>
      <c r="X81" s="386">
        <v>18783.57</v>
      </c>
      <c r="Y81" s="386">
        <v>29277.34</v>
      </c>
      <c r="Z81" s="386">
        <v>18895.8</v>
      </c>
      <c r="AA81" s="386">
        <v>29277.34</v>
      </c>
      <c r="AB81" s="386">
        <v>19008.03</v>
      </c>
      <c r="AC81" s="386">
        <v>29277.34</v>
      </c>
      <c r="AD81" s="386">
        <v>19120.260000000002</v>
      </c>
      <c r="AE81" s="386">
        <f t="shared" si="4"/>
        <v>29277.340000000007</v>
      </c>
      <c r="AF81" s="386">
        <f t="shared" si="4"/>
        <v>18446.88</v>
      </c>
    </row>
    <row r="82" spans="1:32">
      <c r="A82" s="35">
        <v>74</v>
      </c>
      <c r="C82" s="6" t="s">
        <v>1763</v>
      </c>
      <c r="D82" s="6" t="str">
        <f t="shared" si="5"/>
        <v>00048</v>
      </c>
      <c r="E82" s="386">
        <v>2049363.37</v>
      </c>
      <c r="F82" s="386">
        <v>-57559.61</v>
      </c>
      <c r="G82" s="386">
        <v>2046909.69</v>
      </c>
      <c r="H82" s="386">
        <v>-47789.93</v>
      </c>
      <c r="I82" s="386">
        <v>2046909.69</v>
      </c>
      <c r="J82" s="386">
        <v>-38954.1</v>
      </c>
      <c r="K82" s="386">
        <v>2049564.57</v>
      </c>
      <c r="L82" s="386">
        <v>-30118.27</v>
      </c>
      <c r="M82" s="386">
        <v>2171182.4</v>
      </c>
      <c r="N82" s="386">
        <v>-20938.61</v>
      </c>
      <c r="O82" s="386">
        <v>2157237.2999999998</v>
      </c>
      <c r="P82" s="386">
        <v>-21649.010000000002</v>
      </c>
      <c r="Q82" s="386">
        <v>2009336.78</v>
      </c>
      <c r="R82" s="386">
        <v>-12336.94</v>
      </c>
      <c r="S82" s="386">
        <v>2013824.82</v>
      </c>
      <c r="T82" s="386">
        <v>-3663.3</v>
      </c>
      <c r="U82" s="386">
        <v>2013673.54</v>
      </c>
      <c r="V82" s="386">
        <v>-32883.51</v>
      </c>
      <c r="W82" s="386">
        <v>2013673.54</v>
      </c>
      <c r="X82" s="386">
        <v>-24191.16</v>
      </c>
      <c r="Y82" s="386">
        <v>2025302.52</v>
      </c>
      <c r="Z82" s="386">
        <v>-15498.81</v>
      </c>
      <c r="AA82" s="386">
        <v>2050850.76</v>
      </c>
      <c r="AB82" s="386">
        <v>-51808.15</v>
      </c>
      <c r="AC82" s="386">
        <v>2034522.57</v>
      </c>
      <c r="AD82" s="386">
        <v>-169172.19</v>
      </c>
      <c r="AE82" s="386">
        <f t="shared" si="4"/>
        <v>2053367.3816666666</v>
      </c>
      <c r="AF82" s="386">
        <f t="shared" si="4"/>
        <v>-34433.140833333338</v>
      </c>
    </row>
    <row r="83" spans="1:32">
      <c r="A83" s="35">
        <v>75</v>
      </c>
      <c r="C83" s="6" t="s">
        <v>1764</v>
      </c>
      <c r="D83" s="6" t="str">
        <f t="shared" si="5"/>
        <v>00048</v>
      </c>
      <c r="E83" s="386">
        <v>545338.96</v>
      </c>
      <c r="F83" s="386">
        <v>127285.94</v>
      </c>
      <c r="G83" s="386">
        <v>546461.77</v>
      </c>
      <c r="H83" s="386">
        <v>128703.82</v>
      </c>
      <c r="I83" s="386">
        <v>546461.77</v>
      </c>
      <c r="J83" s="386">
        <v>130124.62000000001</v>
      </c>
      <c r="K83" s="386">
        <v>546461.77</v>
      </c>
      <c r="L83" s="386">
        <v>131545.42000000001</v>
      </c>
      <c r="M83" s="386">
        <v>546461.77</v>
      </c>
      <c r="N83" s="386">
        <v>132966.22</v>
      </c>
      <c r="O83" s="386">
        <v>579833.59</v>
      </c>
      <c r="P83" s="386">
        <v>134387.01999999999</v>
      </c>
      <c r="Q83" s="386">
        <v>579833.59</v>
      </c>
      <c r="R83" s="386">
        <v>135894.59</v>
      </c>
      <c r="S83" s="386">
        <v>579833.59</v>
      </c>
      <c r="T83" s="386">
        <v>137402.16</v>
      </c>
      <c r="U83" s="386">
        <v>579833.59</v>
      </c>
      <c r="V83" s="386">
        <v>138909.73000000001</v>
      </c>
      <c r="W83" s="386">
        <v>579833.59</v>
      </c>
      <c r="X83" s="386">
        <v>141167.30000000002</v>
      </c>
      <c r="Y83" s="386">
        <v>579833.59</v>
      </c>
      <c r="Z83" s="386">
        <v>142674.87</v>
      </c>
      <c r="AA83" s="386">
        <v>579833.59</v>
      </c>
      <c r="AB83" s="386">
        <v>144182.44</v>
      </c>
      <c r="AC83" s="386">
        <v>579833.59</v>
      </c>
      <c r="AD83" s="386">
        <v>145690.01</v>
      </c>
      <c r="AE83" s="386">
        <f t="shared" si="4"/>
        <v>567272.37374999991</v>
      </c>
      <c r="AF83" s="386">
        <f t="shared" si="4"/>
        <v>136203.84708333333</v>
      </c>
    </row>
    <row r="84" spans="1:32">
      <c r="A84" s="35">
        <v>76</v>
      </c>
      <c r="C84" s="6" t="s">
        <v>1765</v>
      </c>
      <c r="D84" s="6" t="str">
        <f t="shared" si="5"/>
        <v>00048</v>
      </c>
      <c r="E84" s="386">
        <v>201807.75</v>
      </c>
      <c r="F84" s="386">
        <v>102554</v>
      </c>
      <c r="G84" s="386">
        <v>201807.75</v>
      </c>
      <c r="H84" s="386">
        <v>103320.87</v>
      </c>
      <c r="I84" s="386">
        <v>201807.75</v>
      </c>
      <c r="J84" s="386">
        <v>104087.74</v>
      </c>
      <c r="K84" s="386">
        <v>201807.75</v>
      </c>
      <c r="L84" s="386">
        <v>104854.61</v>
      </c>
      <c r="M84" s="386">
        <v>201807.75</v>
      </c>
      <c r="N84" s="386">
        <v>105621.48</v>
      </c>
      <c r="O84" s="386">
        <v>201807.75</v>
      </c>
      <c r="P84" s="386">
        <v>106388.35</v>
      </c>
      <c r="Q84" s="386">
        <v>194646.76</v>
      </c>
      <c r="R84" s="386">
        <v>99994.23</v>
      </c>
      <c r="S84" s="386">
        <v>194646.76</v>
      </c>
      <c r="T84" s="386">
        <v>100733.89</v>
      </c>
      <c r="U84" s="386">
        <v>194646.76</v>
      </c>
      <c r="V84" s="386">
        <v>101473.55</v>
      </c>
      <c r="W84" s="386">
        <v>194646.76</v>
      </c>
      <c r="X84" s="386">
        <v>102213.21</v>
      </c>
      <c r="Y84" s="386">
        <v>194646.76</v>
      </c>
      <c r="Z84" s="386">
        <v>102952.87</v>
      </c>
      <c r="AA84" s="386">
        <v>194646.76</v>
      </c>
      <c r="AB84" s="386">
        <v>103692.53</v>
      </c>
      <c r="AC84" s="386">
        <v>194646.76</v>
      </c>
      <c r="AD84" s="386">
        <v>104432.19</v>
      </c>
      <c r="AE84" s="386">
        <f t="shared" si="4"/>
        <v>197928.88041666665</v>
      </c>
      <c r="AF84" s="386">
        <f t="shared" si="4"/>
        <v>103235.53541666665</v>
      </c>
    </row>
    <row r="85" spans="1:32">
      <c r="A85" s="35">
        <v>77</v>
      </c>
      <c r="C85" s="6" t="s">
        <v>1766</v>
      </c>
      <c r="D85" s="6" t="str">
        <f t="shared" si="5"/>
        <v>00048</v>
      </c>
      <c r="E85" s="386">
        <v>927395.86</v>
      </c>
      <c r="F85" s="386">
        <v>47660.840000000004</v>
      </c>
      <c r="G85" s="386">
        <v>924527.73</v>
      </c>
      <c r="H85" s="386">
        <v>52034.130000000005</v>
      </c>
      <c r="I85" s="386">
        <v>924527.73</v>
      </c>
      <c r="J85" s="386">
        <v>59253.15</v>
      </c>
      <c r="K85" s="386">
        <v>924527.73</v>
      </c>
      <c r="L85" s="386">
        <v>66472.17</v>
      </c>
      <c r="M85" s="386">
        <v>924527.73</v>
      </c>
      <c r="N85" s="386">
        <v>73691.19</v>
      </c>
      <c r="O85" s="386">
        <v>924527.73</v>
      </c>
      <c r="P85" s="386">
        <v>80910.210000000006</v>
      </c>
      <c r="Q85" s="386">
        <v>924527.73</v>
      </c>
      <c r="R85" s="386">
        <v>88129.23</v>
      </c>
      <c r="S85" s="386">
        <v>924527.73</v>
      </c>
      <c r="T85" s="386">
        <v>95348.25</v>
      </c>
      <c r="U85" s="386">
        <v>924527.73</v>
      </c>
      <c r="V85" s="386">
        <v>102567.27</v>
      </c>
      <c r="W85" s="386">
        <v>927875.3</v>
      </c>
      <c r="X85" s="386">
        <v>109786.29000000001</v>
      </c>
      <c r="Y85" s="386">
        <v>927875.3</v>
      </c>
      <c r="Z85" s="386">
        <v>117031.45</v>
      </c>
      <c r="AA85" s="386">
        <v>934040.91</v>
      </c>
      <c r="AB85" s="386">
        <v>124276.61</v>
      </c>
      <c r="AC85" s="386">
        <v>934040.91</v>
      </c>
      <c r="AD85" s="386">
        <v>131569.91</v>
      </c>
      <c r="AE85" s="386">
        <f t="shared" si="4"/>
        <v>926394.31125000014</v>
      </c>
      <c r="AF85" s="386">
        <f t="shared" si="4"/>
        <v>88259.610416666663</v>
      </c>
    </row>
    <row r="86" spans="1:32">
      <c r="A86" s="35">
        <v>78</v>
      </c>
      <c r="C86" s="6" t="s">
        <v>1767</v>
      </c>
      <c r="D86" s="6" t="str">
        <f t="shared" si="5"/>
        <v>00048</v>
      </c>
      <c r="E86" s="386">
        <v>3110302.22</v>
      </c>
      <c r="F86" s="386">
        <v>2475171.79</v>
      </c>
      <c r="G86" s="386">
        <v>3110302.22</v>
      </c>
      <c r="H86" s="386">
        <v>2475508.7400000002</v>
      </c>
      <c r="I86" s="386">
        <v>3110436.9</v>
      </c>
      <c r="J86" s="386">
        <v>2475845.69</v>
      </c>
      <c r="K86" s="386">
        <v>3111725.53</v>
      </c>
      <c r="L86" s="386">
        <v>2476182.65</v>
      </c>
      <c r="M86" s="386">
        <v>3111725.53</v>
      </c>
      <c r="N86" s="386">
        <v>2476519.75</v>
      </c>
      <c r="O86" s="386">
        <v>3111603.35</v>
      </c>
      <c r="P86" s="386">
        <v>2476856.85</v>
      </c>
      <c r="Q86" s="386">
        <v>3111603.35</v>
      </c>
      <c r="R86" s="386">
        <v>2477193.94</v>
      </c>
      <c r="S86" s="386">
        <v>3111603.35</v>
      </c>
      <c r="T86" s="386">
        <v>2477531.0300000003</v>
      </c>
      <c r="U86" s="386">
        <v>3117022.37</v>
      </c>
      <c r="V86" s="386">
        <v>2477868.12</v>
      </c>
      <c r="W86" s="386">
        <v>3121124.58</v>
      </c>
      <c r="X86" s="386">
        <v>2478205.7999999998</v>
      </c>
      <c r="Y86" s="386">
        <v>3121124.58</v>
      </c>
      <c r="Z86" s="386">
        <v>2478543.92</v>
      </c>
      <c r="AA86" s="386">
        <v>3121124.58</v>
      </c>
      <c r="AB86" s="386">
        <v>2478882.04</v>
      </c>
      <c r="AC86" s="386">
        <v>3154329.2</v>
      </c>
      <c r="AD86" s="386">
        <v>2479220.16</v>
      </c>
      <c r="AE86" s="386">
        <f t="shared" si="4"/>
        <v>3115976.0041666664</v>
      </c>
      <c r="AF86" s="386">
        <f t="shared" si="4"/>
        <v>2477194.5420833337</v>
      </c>
    </row>
    <row r="87" spans="1:32">
      <c r="A87" s="35">
        <v>79</v>
      </c>
      <c r="C87" s="6" t="s">
        <v>1768</v>
      </c>
      <c r="D87" s="6" t="str">
        <f t="shared" si="5"/>
        <v>00048</v>
      </c>
      <c r="E87" s="386">
        <v>550206.34</v>
      </c>
      <c r="F87" s="386">
        <v>320770.28000000003</v>
      </c>
      <c r="G87" s="386">
        <v>550206.34</v>
      </c>
      <c r="H87" s="386">
        <v>324979.36</v>
      </c>
      <c r="I87" s="386">
        <v>550206.34</v>
      </c>
      <c r="J87" s="386">
        <v>329188.44</v>
      </c>
      <c r="K87" s="386">
        <v>550206.34</v>
      </c>
      <c r="L87" s="386">
        <v>333397.52</v>
      </c>
      <c r="M87" s="386">
        <v>550206.34</v>
      </c>
      <c r="N87" s="386">
        <v>337606.60000000003</v>
      </c>
      <c r="O87" s="386">
        <v>550206.34</v>
      </c>
      <c r="P87" s="386">
        <v>341815.68</v>
      </c>
      <c r="Q87" s="386">
        <v>525951.92000000004</v>
      </c>
      <c r="R87" s="386">
        <v>321770.34000000003</v>
      </c>
      <c r="S87" s="386">
        <v>525951.92000000004</v>
      </c>
      <c r="T87" s="386">
        <v>325793.87</v>
      </c>
      <c r="U87" s="386">
        <v>525951.92000000004</v>
      </c>
      <c r="V87" s="386">
        <v>329817.40000000002</v>
      </c>
      <c r="W87" s="386">
        <v>525951.92000000004</v>
      </c>
      <c r="X87" s="386">
        <v>333840.93</v>
      </c>
      <c r="Y87" s="386">
        <v>525951.92000000004</v>
      </c>
      <c r="Z87" s="386">
        <v>337864.46</v>
      </c>
      <c r="AA87" s="386">
        <v>525951.92000000004</v>
      </c>
      <c r="AB87" s="386">
        <v>341887.99</v>
      </c>
      <c r="AC87" s="386">
        <v>525951.92000000004</v>
      </c>
      <c r="AD87" s="386">
        <v>345911.52</v>
      </c>
      <c r="AE87" s="386">
        <f t="shared" si="4"/>
        <v>537068.52916666667</v>
      </c>
      <c r="AF87" s="386">
        <f t="shared" si="4"/>
        <v>332608.62416666665</v>
      </c>
    </row>
    <row r="88" spans="1:32">
      <c r="A88" s="35">
        <v>80</v>
      </c>
      <c r="C88" s="6" t="s">
        <v>1769</v>
      </c>
      <c r="D88" s="6" t="str">
        <f t="shared" si="5"/>
        <v>00048</v>
      </c>
      <c r="E88" s="386">
        <v>10888.06</v>
      </c>
      <c r="F88" s="386">
        <v>-4395.76</v>
      </c>
      <c r="G88" s="386">
        <v>10888.06</v>
      </c>
      <c r="H88" s="386">
        <v>-4300.3999999999996</v>
      </c>
      <c r="I88" s="386">
        <v>10888.06</v>
      </c>
      <c r="J88" s="386">
        <v>-4205.04</v>
      </c>
      <c r="K88" s="386">
        <v>10888.06</v>
      </c>
      <c r="L88" s="386">
        <v>-4109.68</v>
      </c>
      <c r="M88" s="386">
        <v>10888.06</v>
      </c>
      <c r="N88" s="386">
        <v>-4014.32</v>
      </c>
      <c r="O88" s="386">
        <v>12985.710000000001</v>
      </c>
      <c r="P88" s="386">
        <v>-3918.96</v>
      </c>
      <c r="Q88" s="386">
        <v>12985.710000000001</v>
      </c>
      <c r="R88" s="386">
        <v>-3805.23</v>
      </c>
      <c r="S88" s="386">
        <v>12985.710000000001</v>
      </c>
      <c r="T88" s="386">
        <v>-3691.5</v>
      </c>
      <c r="U88" s="386">
        <v>12985.710000000001</v>
      </c>
      <c r="V88" s="386">
        <v>-3577.77</v>
      </c>
      <c r="W88" s="386">
        <v>12985.710000000001</v>
      </c>
      <c r="X88" s="386">
        <v>-3464.04</v>
      </c>
      <c r="Y88" s="386">
        <v>12985.710000000001</v>
      </c>
      <c r="Z88" s="386">
        <v>-3350.31</v>
      </c>
      <c r="AA88" s="386">
        <v>12985.710000000001</v>
      </c>
      <c r="AB88" s="386">
        <v>-3236.58</v>
      </c>
      <c r="AC88" s="386">
        <v>12985.710000000001</v>
      </c>
      <c r="AD88" s="386">
        <v>-3122.85</v>
      </c>
      <c r="AE88" s="386">
        <f t="shared" si="4"/>
        <v>12199.091250000003</v>
      </c>
      <c r="AF88" s="386">
        <f t="shared" si="4"/>
        <v>-3786.094583333333</v>
      </c>
    </row>
    <row r="89" spans="1:32">
      <c r="A89" s="35">
        <v>81</v>
      </c>
      <c r="B89" s="388" t="s">
        <v>111</v>
      </c>
      <c r="C89" s="389"/>
      <c r="D89" s="388" t="s">
        <v>1770</v>
      </c>
      <c r="E89" s="390">
        <f t="shared" ref="E89:AF89" si="6">SUBTOTAL(9,E48:E88)</f>
        <v>576210019.71000016</v>
      </c>
      <c r="F89" s="390">
        <f t="shared" si="6"/>
        <v>304692694.86999989</v>
      </c>
      <c r="G89" s="390">
        <f t="shared" si="6"/>
        <v>577681602.6400001</v>
      </c>
      <c r="H89" s="390">
        <f t="shared" si="6"/>
        <v>309480837.00000012</v>
      </c>
      <c r="I89" s="390">
        <f t="shared" si="6"/>
        <v>578887129.49000013</v>
      </c>
      <c r="J89" s="390">
        <f t="shared" si="6"/>
        <v>310705295.72999996</v>
      </c>
      <c r="K89" s="390">
        <f t="shared" si="6"/>
        <v>580920985.41999996</v>
      </c>
      <c r="L89" s="390">
        <f t="shared" si="6"/>
        <v>311239204.5999999</v>
      </c>
      <c r="M89" s="390">
        <f t="shared" si="6"/>
        <v>583272418.28999996</v>
      </c>
      <c r="N89" s="390">
        <f t="shared" si="6"/>
        <v>312471439.2100001</v>
      </c>
      <c r="O89" s="390">
        <f t="shared" si="6"/>
        <v>584216840.6500001</v>
      </c>
      <c r="P89" s="390">
        <f t="shared" si="6"/>
        <v>313749995.52000004</v>
      </c>
      <c r="Q89" s="390">
        <f t="shared" si="6"/>
        <v>585599739.0799998</v>
      </c>
      <c r="R89" s="390">
        <f t="shared" si="6"/>
        <v>314596173.39999992</v>
      </c>
      <c r="S89" s="390">
        <f t="shared" si="6"/>
        <v>588618364.70000005</v>
      </c>
      <c r="T89" s="390">
        <f t="shared" si="6"/>
        <v>315768871.25</v>
      </c>
      <c r="U89" s="390">
        <f t="shared" si="6"/>
        <v>598832328.44999993</v>
      </c>
      <c r="V89" s="390">
        <f t="shared" si="6"/>
        <v>316875748.73000002</v>
      </c>
      <c r="W89" s="390">
        <f t="shared" si="6"/>
        <v>601967532.84999979</v>
      </c>
      <c r="X89" s="390">
        <f t="shared" si="6"/>
        <v>317897034.14999998</v>
      </c>
      <c r="Y89" s="390">
        <f t="shared" si="6"/>
        <v>607446404.66999972</v>
      </c>
      <c r="Z89" s="390">
        <f t="shared" si="6"/>
        <v>319107740.81999993</v>
      </c>
      <c r="AA89" s="390">
        <f t="shared" si="6"/>
        <v>608700709.48999977</v>
      </c>
      <c r="AB89" s="390">
        <f t="shared" si="6"/>
        <v>320289045.50000006</v>
      </c>
      <c r="AC89" s="390">
        <f t="shared" si="6"/>
        <v>614373017.27999997</v>
      </c>
      <c r="AD89" s="390">
        <f t="shared" si="6"/>
        <v>321296055.43999994</v>
      </c>
      <c r="AE89" s="390">
        <f t="shared" si="6"/>
        <v>590952964.51874983</v>
      </c>
      <c r="AF89" s="390">
        <f t="shared" si="6"/>
        <v>314597980.08874995</v>
      </c>
    </row>
    <row r="90" spans="1:32">
      <c r="A90" s="35">
        <v>82</v>
      </c>
      <c r="B90" s="384" t="s">
        <v>1771</v>
      </c>
      <c r="C90" s="384" t="s">
        <v>1772</v>
      </c>
      <c r="D90" s="391"/>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row>
    <row r="91" spans="1:32">
      <c r="A91" s="35">
        <v>83</v>
      </c>
      <c r="C91" s="6" t="s">
        <v>1773</v>
      </c>
      <c r="D91" s="6" t="str">
        <f>RIGHT(C91,5)</f>
        <v>00100</v>
      </c>
      <c r="E91" s="386">
        <v>152066.08000000002</v>
      </c>
      <c r="F91" s="386">
        <v>0</v>
      </c>
      <c r="G91" s="386">
        <v>152066.08000000002</v>
      </c>
      <c r="H91" s="386">
        <v>0</v>
      </c>
      <c r="I91" s="386">
        <v>152066.08000000002</v>
      </c>
      <c r="J91" s="386">
        <v>0</v>
      </c>
      <c r="K91" s="386">
        <v>152066.08000000002</v>
      </c>
      <c r="L91" s="386">
        <v>0</v>
      </c>
      <c r="M91" s="386">
        <v>152066.08000000002</v>
      </c>
      <c r="N91" s="386">
        <v>0</v>
      </c>
      <c r="O91" s="386">
        <v>152066.08000000002</v>
      </c>
      <c r="P91" s="386">
        <v>0</v>
      </c>
      <c r="Q91" s="386">
        <v>152066.08000000002</v>
      </c>
      <c r="R91" s="386">
        <v>0</v>
      </c>
      <c r="S91" s="386">
        <v>152066.08000000002</v>
      </c>
      <c r="T91" s="386">
        <v>0</v>
      </c>
      <c r="U91" s="386">
        <v>152066.08000000002</v>
      </c>
      <c r="V91" s="386">
        <v>0</v>
      </c>
      <c r="W91" s="386">
        <v>152066.08000000002</v>
      </c>
      <c r="X91" s="386">
        <v>0</v>
      </c>
      <c r="Y91" s="386">
        <v>152066.08000000002</v>
      </c>
      <c r="Z91" s="386">
        <v>0</v>
      </c>
      <c r="AA91" s="386">
        <v>152066.08000000002</v>
      </c>
      <c r="AB91" s="386">
        <v>0</v>
      </c>
      <c r="AC91" s="386">
        <v>152066.08000000002</v>
      </c>
      <c r="AD91" s="386">
        <v>0</v>
      </c>
      <c r="AE91" s="386">
        <f t="shared" ref="AE91:AF129" si="7">+(E91+AC91+(+G91+I91+K91+M91+O91+Q91+S91+U91+W91+Y91+AA91)*2)/24</f>
        <v>152066.08000000005</v>
      </c>
      <c r="AF91" s="386">
        <f t="shared" si="7"/>
        <v>0</v>
      </c>
    </row>
    <row r="92" spans="1:32">
      <c r="A92" s="35">
        <v>84</v>
      </c>
      <c r="C92" s="6" t="s">
        <v>1774</v>
      </c>
      <c r="D92" s="387" t="s">
        <v>1775</v>
      </c>
      <c r="E92" s="386">
        <v>0</v>
      </c>
      <c r="F92" s="386">
        <v>0</v>
      </c>
      <c r="G92" s="386">
        <v>0</v>
      </c>
      <c r="H92" s="386">
        <v>0</v>
      </c>
      <c r="I92" s="386">
        <v>0</v>
      </c>
      <c r="J92" s="386">
        <v>0</v>
      </c>
      <c r="K92" s="386">
        <v>0</v>
      </c>
      <c r="L92" s="386">
        <v>0</v>
      </c>
      <c r="M92" s="386">
        <v>0</v>
      </c>
      <c r="N92" s="386">
        <v>0</v>
      </c>
      <c r="O92" s="386">
        <v>0</v>
      </c>
      <c r="P92" s="386">
        <v>0</v>
      </c>
      <c r="Q92" s="386">
        <v>0</v>
      </c>
      <c r="R92" s="386">
        <v>0</v>
      </c>
      <c r="S92" s="386">
        <v>1826757.9</v>
      </c>
      <c r="T92" s="386">
        <v>578418.15</v>
      </c>
      <c r="U92" s="386">
        <v>1826757.9</v>
      </c>
      <c r="V92" s="386">
        <v>593641.13</v>
      </c>
      <c r="W92" s="386">
        <v>1826757.9</v>
      </c>
      <c r="X92" s="386">
        <v>608864.11</v>
      </c>
      <c r="Y92" s="386">
        <v>1826757.9</v>
      </c>
      <c r="Z92" s="386">
        <v>624087.09</v>
      </c>
      <c r="AA92" s="386">
        <v>1826757.9</v>
      </c>
      <c r="AB92" s="386">
        <v>639310.07000000007</v>
      </c>
      <c r="AC92" s="386">
        <v>1826757.9</v>
      </c>
      <c r="AD92" s="386">
        <v>654533.05000000005</v>
      </c>
      <c r="AE92" s="386">
        <f t="shared" si="7"/>
        <v>837264.03749999998</v>
      </c>
      <c r="AF92" s="386">
        <f t="shared" si="7"/>
        <v>280965.58958333329</v>
      </c>
    </row>
    <row r="93" spans="1:32">
      <c r="A93" s="35">
        <v>85</v>
      </c>
      <c r="C93" s="6" t="s">
        <v>1776</v>
      </c>
      <c r="D93" s="387" t="s">
        <v>1775</v>
      </c>
      <c r="E93" s="386">
        <v>0</v>
      </c>
      <c r="F93" s="386">
        <v>0</v>
      </c>
      <c r="G93" s="386">
        <v>0</v>
      </c>
      <c r="H93" s="386">
        <v>0</v>
      </c>
      <c r="I93" s="386">
        <v>0</v>
      </c>
      <c r="J93" s="386">
        <v>0</v>
      </c>
      <c r="K93" s="386">
        <v>0</v>
      </c>
      <c r="L93" s="386">
        <v>0</v>
      </c>
      <c r="M93" s="386">
        <v>0</v>
      </c>
      <c r="N93" s="386">
        <v>0</v>
      </c>
      <c r="O93" s="386">
        <v>0</v>
      </c>
      <c r="P93" s="386">
        <v>0</v>
      </c>
      <c r="Q93" s="386">
        <v>0</v>
      </c>
      <c r="R93" s="386">
        <v>0</v>
      </c>
      <c r="S93" s="386">
        <v>2070368.79</v>
      </c>
      <c r="T93" s="386">
        <v>183036.69</v>
      </c>
      <c r="U93" s="386">
        <v>2070368.79</v>
      </c>
      <c r="V93" s="386">
        <v>200289.76</v>
      </c>
      <c r="W93" s="386">
        <v>2070368.79</v>
      </c>
      <c r="X93" s="386">
        <v>217542.83000000002</v>
      </c>
      <c r="Y93" s="386">
        <v>2070368.79</v>
      </c>
      <c r="Z93" s="386">
        <v>234795.9</v>
      </c>
      <c r="AA93" s="386">
        <v>2076102.74</v>
      </c>
      <c r="AB93" s="386">
        <v>252611.99000000002</v>
      </c>
      <c r="AC93" s="386">
        <v>2077384.42</v>
      </c>
      <c r="AD93" s="386">
        <v>269912.84999999998</v>
      </c>
      <c r="AE93" s="386">
        <f t="shared" si="7"/>
        <v>949689.17583333328</v>
      </c>
      <c r="AF93" s="386">
        <f t="shared" si="7"/>
        <v>101936.13291666668</v>
      </c>
    </row>
    <row r="94" spans="1:32">
      <c r="A94" s="35">
        <v>86</v>
      </c>
      <c r="C94" s="6" t="s">
        <v>1777</v>
      </c>
      <c r="D94" s="387" t="s">
        <v>1775</v>
      </c>
      <c r="E94" s="386">
        <v>0</v>
      </c>
      <c r="F94" s="386">
        <v>0</v>
      </c>
      <c r="G94" s="386">
        <v>0</v>
      </c>
      <c r="H94" s="386">
        <v>0</v>
      </c>
      <c r="I94" s="386">
        <v>0</v>
      </c>
      <c r="J94" s="386">
        <v>0</v>
      </c>
      <c r="K94" s="386">
        <v>0</v>
      </c>
      <c r="L94" s="386">
        <v>0</v>
      </c>
      <c r="M94" s="386">
        <v>0</v>
      </c>
      <c r="N94" s="386">
        <v>0</v>
      </c>
      <c r="O94" s="386">
        <v>0</v>
      </c>
      <c r="P94" s="386">
        <v>0</v>
      </c>
      <c r="Q94" s="386">
        <v>0</v>
      </c>
      <c r="R94" s="386">
        <v>0</v>
      </c>
      <c r="S94" s="386">
        <v>0</v>
      </c>
      <c r="T94" s="386">
        <v>0</v>
      </c>
      <c r="U94" s="386">
        <v>0</v>
      </c>
      <c r="V94" s="386">
        <v>0</v>
      </c>
      <c r="W94" s="386">
        <v>0</v>
      </c>
      <c r="X94" s="386">
        <v>0</v>
      </c>
      <c r="Y94" s="386">
        <v>0</v>
      </c>
      <c r="Z94" s="386">
        <v>0</v>
      </c>
      <c r="AA94" s="386">
        <v>0</v>
      </c>
      <c r="AB94" s="386">
        <v>0</v>
      </c>
      <c r="AC94" s="386">
        <v>0</v>
      </c>
      <c r="AD94" s="386">
        <v>0</v>
      </c>
      <c r="AE94" s="386">
        <f t="shared" si="7"/>
        <v>0</v>
      </c>
      <c r="AF94" s="386">
        <f t="shared" si="7"/>
        <v>0</v>
      </c>
    </row>
    <row r="95" spans="1:32">
      <c r="A95" s="35">
        <v>87</v>
      </c>
      <c r="C95" s="6" t="s">
        <v>1778</v>
      </c>
      <c r="D95" s="387" t="s">
        <v>1775</v>
      </c>
      <c r="E95" s="386">
        <v>0</v>
      </c>
      <c r="F95" s="386">
        <v>0</v>
      </c>
      <c r="G95" s="386">
        <v>0</v>
      </c>
      <c r="H95" s="386">
        <v>0</v>
      </c>
      <c r="I95" s="386">
        <v>0</v>
      </c>
      <c r="J95" s="386">
        <v>0</v>
      </c>
      <c r="K95" s="386">
        <v>0</v>
      </c>
      <c r="L95" s="386">
        <v>0</v>
      </c>
      <c r="M95" s="386">
        <v>0</v>
      </c>
      <c r="N95" s="386">
        <v>0</v>
      </c>
      <c r="O95" s="386">
        <v>0</v>
      </c>
      <c r="P95" s="386">
        <v>0</v>
      </c>
      <c r="Q95" s="386">
        <v>0</v>
      </c>
      <c r="R95" s="386">
        <v>0</v>
      </c>
      <c r="S95" s="386">
        <v>4188146.93</v>
      </c>
      <c r="T95" s="386">
        <v>1247308.1499999999</v>
      </c>
      <c r="U95" s="386">
        <v>4188146.93</v>
      </c>
      <c r="V95" s="386">
        <v>1274147.19</v>
      </c>
      <c r="W95" s="386">
        <v>4188146.93</v>
      </c>
      <c r="X95" s="386">
        <v>1300986.23</v>
      </c>
      <c r="Y95" s="386">
        <v>4188146.93</v>
      </c>
      <c r="Z95" s="386">
        <v>1327825.27</v>
      </c>
      <c r="AA95" s="386">
        <v>4188146.93</v>
      </c>
      <c r="AB95" s="386">
        <v>1354664.31</v>
      </c>
      <c r="AC95" s="386">
        <v>4188146.93</v>
      </c>
      <c r="AD95" s="386">
        <v>1381503.35</v>
      </c>
      <c r="AE95" s="386">
        <f t="shared" si="7"/>
        <v>1919567.3429166668</v>
      </c>
      <c r="AF95" s="386">
        <f t="shared" si="7"/>
        <v>599640.23541666672</v>
      </c>
    </row>
    <row r="96" spans="1:32">
      <c r="A96" s="35">
        <v>88</v>
      </c>
      <c r="C96" s="6" t="s">
        <v>1779</v>
      </c>
      <c r="D96" s="387" t="s">
        <v>1775</v>
      </c>
      <c r="E96" s="386">
        <v>0</v>
      </c>
      <c r="F96" s="386">
        <v>0</v>
      </c>
      <c r="G96" s="386">
        <v>0</v>
      </c>
      <c r="H96" s="386">
        <v>0</v>
      </c>
      <c r="I96" s="386">
        <v>0</v>
      </c>
      <c r="J96" s="386">
        <v>0</v>
      </c>
      <c r="K96" s="386">
        <v>0</v>
      </c>
      <c r="L96" s="386">
        <v>0</v>
      </c>
      <c r="M96" s="386">
        <v>0</v>
      </c>
      <c r="N96" s="386">
        <v>0</v>
      </c>
      <c r="O96" s="386">
        <v>0</v>
      </c>
      <c r="P96" s="386">
        <v>0</v>
      </c>
      <c r="Q96" s="386">
        <v>0</v>
      </c>
      <c r="R96" s="386">
        <v>0</v>
      </c>
      <c r="S96" s="386">
        <v>695173.17</v>
      </c>
      <c r="T96" s="386">
        <v>266316</v>
      </c>
      <c r="U96" s="386">
        <v>695173.17</v>
      </c>
      <c r="V96" s="386">
        <v>270452.28000000003</v>
      </c>
      <c r="W96" s="386">
        <v>695173.17</v>
      </c>
      <c r="X96" s="386">
        <v>274588.56</v>
      </c>
      <c r="Y96" s="386">
        <v>695173.17</v>
      </c>
      <c r="Z96" s="386">
        <v>278724.84000000003</v>
      </c>
      <c r="AA96" s="386">
        <v>695173.17</v>
      </c>
      <c r="AB96" s="386">
        <v>282861.12</v>
      </c>
      <c r="AC96" s="386">
        <v>695173.17</v>
      </c>
      <c r="AD96" s="386">
        <v>286997.40000000002</v>
      </c>
      <c r="AE96" s="386">
        <f t="shared" si="7"/>
        <v>318621.03625</v>
      </c>
      <c r="AF96" s="386">
        <f t="shared" si="7"/>
        <v>126370.12500000001</v>
      </c>
    </row>
    <row r="97" spans="1:32">
      <c r="A97" s="35">
        <v>89</v>
      </c>
      <c r="C97" s="6" t="s">
        <v>1780</v>
      </c>
      <c r="D97" s="387" t="s">
        <v>1775</v>
      </c>
      <c r="E97" s="386">
        <v>0</v>
      </c>
      <c r="F97" s="386">
        <v>0</v>
      </c>
      <c r="G97" s="386">
        <v>0</v>
      </c>
      <c r="H97" s="386">
        <v>0</v>
      </c>
      <c r="I97" s="386">
        <v>0</v>
      </c>
      <c r="J97" s="386">
        <v>0</v>
      </c>
      <c r="K97" s="386">
        <v>0</v>
      </c>
      <c r="L97" s="386">
        <v>0</v>
      </c>
      <c r="M97" s="386">
        <v>0</v>
      </c>
      <c r="N97" s="386">
        <v>0</v>
      </c>
      <c r="O97" s="386">
        <v>0</v>
      </c>
      <c r="P97" s="386">
        <v>0</v>
      </c>
      <c r="Q97" s="386">
        <v>0</v>
      </c>
      <c r="R97" s="386">
        <v>0</v>
      </c>
      <c r="S97" s="386">
        <v>2037970.86</v>
      </c>
      <c r="T97" s="386">
        <v>705285.65</v>
      </c>
      <c r="U97" s="386">
        <v>2037970.86</v>
      </c>
      <c r="V97" s="386">
        <v>717411.58</v>
      </c>
      <c r="W97" s="386">
        <v>2037970.86</v>
      </c>
      <c r="X97" s="386">
        <v>729537.51</v>
      </c>
      <c r="Y97" s="386">
        <v>2037970.86</v>
      </c>
      <c r="Z97" s="386">
        <v>741663.44000000006</v>
      </c>
      <c r="AA97" s="386">
        <v>2037970.86</v>
      </c>
      <c r="AB97" s="386">
        <v>753789.37</v>
      </c>
      <c r="AC97" s="386">
        <v>2037970.86</v>
      </c>
      <c r="AD97" s="386">
        <v>765915.3</v>
      </c>
      <c r="AE97" s="386">
        <f t="shared" si="7"/>
        <v>934069.97750000004</v>
      </c>
      <c r="AF97" s="386">
        <f t="shared" si="7"/>
        <v>335887.10000000003</v>
      </c>
    </row>
    <row r="98" spans="1:32">
      <c r="A98" s="35">
        <v>90</v>
      </c>
      <c r="C98" s="6" t="s">
        <v>1781</v>
      </c>
      <c r="D98" s="387" t="s">
        <v>1775</v>
      </c>
      <c r="E98" s="386">
        <v>0</v>
      </c>
      <c r="F98" s="386">
        <v>0</v>
      </c>
      <c r="G98" s="386">
        <v>0</v>
      </c>
      <c r="H98" s="386">
        <v>0</v>
      </c>
      <c r="I98" s="386">
        <v>0</v>
      </c>
      <c r="J98" s="386">
        <v>0</v>
      </c>
      <c r="K98" s="386">
        <v>0</v>
      </c>
      <c r="L98" s="386">
        <v>0</v>
      </c>
      <c r="M98" s="386">
        <v>0</v>
      </c>
      <c r="N98" s="386">
        <v>0</v>
      </c>
      <c r="O98" s="386">
        <v>0</v>
      </c>
      <c r="P98" s="386">
        <v>0</v>
      </c>
      <c r="Q98" s="386">
        <v>0</v>
      </c>
      <c r="R98" s="386">
        <v>0</v>
      </c>
      <c r="S98" s="386">
        <v>17063587.219999999</v>
      </c>
      <c r="T98" s="386">
        <v>5112326.0599999996</v>
      </c>
      <c r="U98" s="386">
        <v>17063587.219999999</v>
      </c>
      <c r="V98" s="386">
        <v>5207171.17</v>
      </c>
      <c r="W98" s="386">
        <v>17063587.219999999</v>
      </c>
      <c r="X98" s="386">
        <v>5302016.28</v>
      </c>
      <c r="Y98" s="386">
        <v>17063587.219999999</v>
      </c>
      <c r="Z98" s="386">
        <v>5396861.3899999997</v>
      </c>
      <c r="AA98" s="386">
        <v>17063587.219999999</v>
      </c>
      <c r="AB98" s="386">
        <v>5491706.5</v>
      </c>
      <c r="AC98" s="386">
        <v>17063587.219999999</v>
      </c>
      <c r="AD98" s="386">
        <v>5586551.6100000003</v>
      </c>
      <c r="AE98" s="386">
        <f t="shared" si="7"/>
        <v>7820810.8091666661</v>
      </c>
      <c r="AF98" s="386">
        <f t="shared" si="7"/>
        <v>2441946.4337500003</v>
      </c>
    </row>
    <row r="99" spans="1:32">
      <c r="A99" s="35">
        <v>91</v>
      </c>
      <c r="C99" s="6" t="s">
        <v>1782</v>
      </c>
      <c r="D99" s="387" t="s">
        <v>1775</v>
      </c>
      <c r="E99" s="386">
        <v>0</v>
      </c>
      <c r="F99" s="386">
        <v>0</v>
      </c>
      <c r="G99" s="386">
        <v>0</v>
      </c>
      <c r="H99" s="386">
        <v>0</v>
      </c>
      <c r="I99" s="386">
        <v>0</v>
      </c>
      <c r="J99" s="386">
        <v>0</v>
      </c>
      <c r="K99" s="386">
        <v>0</v>
      </c>
      <c r="L99" s="386">
        <v>0</v>
      </c>
      <c r="M99" s="386">
        <v>0</v>
      </c>
      <c r="N99" s="386">
        <v>0</v>
      </c>
      <c r="O99" s="386">
        <v>0</v>
      </c>
      <c r="P99" s="386">
        <v>0</v>
      </c>
      <c r="Q99" s="386">
        <v>0</v>
      </c>
      <c r="R99" s="386">
        <v>0</v>
      </c>
      <c r="S99" s="386">
        <v>541240.59</v>
      </c>
      <c r="T99" s="386">
        <v>137962.07</v>
      </c>
      <c r="U99" s="386">
        <v>541240.59</v>
      </c>
      <c r="V99" s="386">
        <v>140970.47</v>
      </c>
      <c r="W99" s="386">
        <v>541240.59</v>
      </c>
      <c r="X99" s="386">
        <v>143978.87</v>
      </c>
      <c r="Y99" s="386">
        <v>541240.59</v>
      </c>
      <c r="Z99" s="386">
        <v>146987.26999999999</v>
      </c>
      <c r="AA99" s="386">
        <v>541240.59</v>
      </c>
      <c r="AB99" s="386">
        <v>149995.67000000001</v>
      </c>
      <c r="AC99" s="386">
        <v>541240.59</v>
      </c>
      <c r="AD99" s="386">
        <v>153004.07</v>
      </c>
      <c r="AE99" s="386">
        <f t="shared" si="7"/>
        <v>248068.60374999998</v>
      </c>
      <c r="AF99" s="386">
        <f t="shared" si="7"/>
        <v>66366.365416666682</v>
      </c>
    </row>
    <row r="100" spans="1:32">
      <c r="A100" s="35">
        <v>92</v>
      </c>
      <c r="C100" s="6" t="s">
        <v>1783</v>
      </c>
      <c r="D100" s="387" t="s">
        <v>1775</v>
      </c>
      <c r="E100" s="386">
        <v>0</v>
      </c>
      <c r="F100" s="386">
        <v>0</v>
      </c>
      <c r="G100" s="386">
        <v>0</v>
      </c>
      <c r="H100" s="386">
        <v>0</v>
      </c>
      <c r="I100" s="386">
        <v>0</v>
      </c>
      <c r="J100" s="386">
        <v>0</v>
      </c>
      <c r="K100" s="386">
        <v>0</v>
      </c>
      <c r="L100" s="386">
        <v>0</v>
      </c>
      <c r="M100" s="386">
        <v>0</v>
      </c>
      <c r="N100" s="386">
        <v>0</v>
      </c>
      <c r="O100" s="386">
        <v>0</v>
      </c>
      <c r="P100" s="386">
        <v>0</v>
      </c>
      <c r="Q100" s="386">
        <v>0</v>
      </c>
      <c r="R100" s="386">
        <v>0</v>
      </c>
      <c r="S100" s="386">
        <v>7720.22</v>
      </c>
      <c r="T100" s="386">
        <v>7720.22</v>
      </c>
      <c r="U100" s="386">
        <v>7720.22</v>
      </c>
      <c r="V100" s="386">
        <v>7720.22</v>
      </c>
      <c r="W100" s="386">
        <v>7720.22</v>
      </c>
      <c r="X100" s="386">
        <v>7720.22</v>
      </c>
      <c r="Y100" s="386">
        <v>7720.22</v>
      </c>
      <c r="Z100" s="386">
        <v>7720.22</v>
      </c>
      <c r="AA100" s="386">
        <v>7720.22</v>
      </c>
      <c r="AB100" s="386">
        <v>7720.22</v>
      </c>
      <c r="AC100" s="386">
        <v>7720.22</v>
      </c>
      <c r="AD100" s="386">
        <v>7720.22</v>
      </c>
      <c r="AE100" s="386">
        <f t="shared" si="7"/>
        <v>3538.4341666666664</v>
      </c>
      <c r="AF100" s="386">
        <f t="shared" si="7"/>
        <v>3538.4341666666664</v>
      </c>
    </row>
    <row r="101" spans="1:32">
      <c r="A101" s="35">
        <v>93</v>
      </c>
      <c r="C101" s="6" t="s">
        <v>1784</v>
      </c>
      <c r="D101" s="387" t="s">
        <v>1775</v>
      </c>
      <c r="E101" s="386">
        <v>0</v>
      </c>
      <c r="F101" s="386">
        <v>0</v>
      </c>
      <c r="G101" s="386">
        <v>0</v>
      </c>
      <c r="H101" s="386">
        <v>0</v>
      </c>
      <c r="I101" s="386">
        <v>0</v>
      </c>
      <c r="J101" s="386">
        <v>0</v>
      </c>
      <c r="K101" s="386">
        <v>0</v>
      </c>
      <c r="L101" s="386">
        <v>0</v>
      </c>
      <c r="M101" s="386">
        <v>0</v>
      </c>
      <c r="N101" s="386">
        <v>0</v>
      </c>
      <c r="O101" s="386">
        <v>0</v>
      </c>
      <c r="P101" s="386">
        <v>0</v>
      </c>
      <c r="Q101" s="386">
        <v>0</v>
      </c>
      <c r="R101" s="386">
        <v>0</v>
      </c>
      <c r="S101" s="386">
        <v>14271.5</v>
      </c>
      <c r="T101" s="386">
        <v>13082.23</v>
      </c>
      <c r="U101" s="386">
        <v>14271.5</v>
      </c>
      <c r="V101" s="386">
        <v>13320.09</v>
      </c>
      <c r="W101" s="386">
        <v>14271.5</v>
      </c>
      <c r="X101" s="386">
        <v>13557.95</v>
      </c>
      <c r="Y101" s="386">
        <v>14271.5</v>
      </c>
      <c r="Z101" s="386">
        <v>13795.81</v>
      </c>
      <c r="AA101" s="386">
        <v>14271.5</v>
      </c>
      <c r="AB101" s="386">
        <v>14033.67</v>
      </c>
      <c r="AC101" s="386">
        <v>14271.5</v>
      </c>
      <c r="AD101" s="386">
        <v>14271.5</v>
      </c>
      <c r="AE101" s="386">
        <f t="shared" si="7"/>
        <v>6541.104166666667</v>
      </c>
      <c r="AF101" s="386">
        <f t="shared" si="7"/>
        <v>6243.791666666667</v>
      </c>
    </row>
    <row r="102" spans="1:32">
      <c r="A102" s="35">
        <v>94</v>
      </c>
      <c r="C102" s="6" t="s">
        <v>1785</v>
      </c>
      <c r="D102" s="387" t="s">
        <v>1775</v>
      </c>
      <c r="E102" s="386">
        <v>0</v>
      </c>
      <c r="F102" s="386">
        <v>0</v>
      </c>
      <c r="G102" s="386">
        <v>0</v>
      </c>
      <c r="H102" s="386">
        <v>0</v>
      </c>
      <c r="I102" s="386">
        <v>0</v>
      </c>
      <c r="J102" s="386">
        <v>0</v>
      </c>
      <c r="K102" s="386">
        <v>0</v>
      </c>
      <c r="L102" s="386">
        <v>0</v>
      </c>
      <c r="M102" s="386">
        <v>0</v>
      </c>
      <c r="N102" s="386">
        <v>0</v>
      </c>
      <c r="O102" s="386">
        <v>0</v>
      </c>
      <c r="P102" s="386">
        <v>0</v>
      </c>
      <c r="Q102" s="386">
        <v>0</v>
      </c>
      <c r="R102" s="386">
        <v>0</v>
      </c>
      <c r="S102" s="386">
        <v>131168.49</v>
      </c>
      <c r="T102" s="386">
        <v>70938.94</v>
      </c>
      <c r="U102" s="386">
        <v>131168.49</v>
      </c>
      <c r="V102" s="386">
        <v>72500.94</v>
      </c>
      <c r="W102" s="386">
        <v>131168.49</v>
      </c>
      <c r="X102" s="386">
        <v>74062.94</v>
      </c>
      <c r="Y102" s="386">
        <v>131168.49</v>
      </c>
      <c r="Z102" s="386">
        <v>75624.94</v>
      </c>
      <c r="AA102" s="386">
        <v>131168.49</v>
      </c>
      <c r="AB102" s="386">
        <v>77186.94</v>
      </c>
      <c r="AC102" s="386">
        <v>131168.49</v>
      </c>
      <c r="AD102" s="386">
        <v>78748.94</v>
      </c>
      <c r="AE102" s="386">
        <f t="shared" si="7"/>
        <v>60118.891249999993</v>
      </c>
      <c r="AF102" s="386">
        <f t="shared" si="7"/>
        <v>34140.764166666668</v>
      </c>
    </row>
    <row r="103" spans="1:32">
      <c r="A103" s="35">
        <v>95</v>
      </c>
      <c r="C103" s="6" t="s">
        <v>1786</v>
      </c>
      <c r="D103" s="387" t="s">
        <v>1775</v>
      </c>
      <c r="E103" s="386">
        <v>0</v>
      </c>
      <c r="F103" s="386">
        <v>0</v>
      </c>
      <c r="G103" s="386">
        <v>0</v>
      </c>
      <c r="H103" s="386">
        <v>0</v>
      </c>
      <c r="I103" s="386">
        <v>0</v>
      </c>
      <c r="J103" s="386">
        <v>0</v>
      </c>
      <c r="K103" s="386">
        <v>0</v>
      </c>
      <c r="L103" s="386">
        <v>0</v>
      </c>
      <c r="M103" s="386">
        <v>0</v>
      </c>
      <c r="N103" s="386">
        <v>0</v>
      </c>
      <c r="O103" s="386">
        <v>0</v>
      </c>
      <c r="P103" s="386">
        <v>0</v>
      </c>
      <c r="Q103" s="386">
        <v>0</v>
      </c>
      <c r="R103" s="386">
        <v>0</v>
      </c>
      <c r="S103" s="386">
        <v>3004957.37</v>
      </c>
      <c r="T103" s="386">
        <v>1192409.98</v>
      </c>
      <c r="U103" s="386">
        <v>3004957.37</v>
      </c>
      <c r="V103" s="386">
        <v>1228194.01</v>
      </c>
      <c r="W103" s="386">
        <v>3004957.37</v>
      </c>
      <c r="X103" s="386">
        <v>1263978.04</v>
      </c>
      <c r="Y103" s="386">
        <v>3004957.37</v>
      </c>
      <c r="Z103" s="386">
        <v>1299762.07</v>
      </c>
      <c r="AA103" s="386">
        <v>3004957.37</v>
      </c>
      <c r="AB103" s="386">
        <v>1335546.1000000001</v>
      </c>
      <c r="AC103" s="386">
        <v>3004957.37</v>
      </c>
      <c r="AD103" s="386">
        <v>1371330.13</v>
      </c>
      <c r="AE103" s="386">
        <f t="shared" si="7"/>
        <v>1377272.1279166669</v>
      </c>
      <c r="AF103" s="386">
        <f t="shared" si="7"/>
        <v>583796.27208333334</v>
      </c>
    </row>
    <row r="104" spans="1:32">
      <c r="A104" s="35">
        <v>96</v>
      </c>
      <c r="C104" s="6" t="s">
        <v>1787</v>
      </c>
      <c r="D104" s="387" t="s">
        <v>1775</v>
      </c>
      <c r="E104" s="386">
        <v>0</v>
      </c>
      <c r="F104" s="386">
        <v>0</v>
      </c>
      <c r="G104" s="386">
        <v>0</v>
      </c>
      <c r="H104" s="386">
        <v>0</v>
      </c>
      <c r="I104" s="386">
        <v>0</v>
      </c>
      <c r="J104" s="386">
        <v>0</v>
      </c>
      <c r="K104" s="386">
        <v>0</v>
      </c>
      <c r="L104" s="386">
        <v>0</v>
      </c>
      <c r="M104" s="386">
        <v>0</v>
      </c>
      <c r="N104" s="386">
        <v>0</v>
      </c>
      <c r="O104" s="386">
        <v>0</v>
      </c>
      <c r="P104" s="386">
        <v>0</v>
      </c>
      <c r="Q104" s="386">
        <v>0</v>
      </c>
      <c r="R104" s="386">
        <v>0</v>
      </c>
      <c r="S104" s="386">
        <v>585144.89</v>
      </c>
      <c r="T104" s="386">
        <v>151336.06</v>
      </c>
      <c r="U104" s="386">
        <v>585144.89</v>
      </c>
      <c r="V104" s="386">
        <v>158304.16</v>
      </c>
      <c r="W104" s="386">
        <v>585144.89</v>
      </c>
      <c r="X104" s="386">
        <v>165272.26</v>
      </c>
      <c r="Y104" s="386">
        <v>585144.89</v>
      </c>
      <c r="Z104" s="386">
        <v>172240.36000000002</v>
      </c>
      <c r="AA104" s="386">
        <v>585144.89</v>
      </c>
      <c r="AB104" s="386">
        <v>179208.46</v>
      </c>
      <c r="AC104" s="386">
        <v>585144.89</v>
      </c>
      <c r="AD104" s="386">
        <v>186176.56</v>
      </c>
      <c r="AE104" s="386">
        <f t="shared" si="7"/>
        <v>268191.40791666665</v>
      </c>
      <c r="AF104" s="386">
        <f t="shared" si="7"/>
        <v>76620.798333333325</v>
      </c>
    </row>
    <row r="105" spans="1:32">
      <c r="A105" s="35">
        <v>97</v>
      </c>
      <c r="C105" s="6" t="s">
        <v>1788</v>
      </c>
      <c r="D105" s="387" t="s">
        <v>1775</v>
      </c>
      <c r="E105" s="386">
        <v>0</v>
      </c>
      <c r="F105" s="386">
        <v>0</v>
      </c>
      <c r="G105" s="386">
        <v>0</v>
      </c>
      <c r="H105" s="386">
        <v>0</v>
      </c>
      <c r="I105" s="386">
        <v>0</v>
      </c>
      <c r="J105" s="386">
        <v>0</v>
      </c>
      <c r="K105" s="386">
        <v>0</v>
      </c>
      <c r="L105" s="386">
        <v>0</v>
      </c>
      <c r="M105" s="386">
        <v>0</v>
      </c>
      <c r="N105" s="386">
        <v>0</v>
      </c>
      <c r="O105" s="386">
        <v>0</v>
      </c>
      <c r="P105" s="386">
        <v>0</v>
      </c>
      <c r="Q105" s="386">
        <v>0</v>
      </c>
      <c r="R105" s="386">
        <v>0</v>
      </c>
      <c r="S105" s="386">
        <v>20560.650000000001</v>
      </c>
      <c r="T105" s="386">
        <v>4873.57</v>
      </c>
      <c r="U105" s="386">
        <v>20560.650000000001</v>
      </c>
      <c r="V105" s="386">
        <v>5118.41</v>
      </c>
      <c r="W105" s="386">
        <v>20560.650000000001</v>
      </c>
      <c r="X105" s="386">
        <v>5363.25</v>
      </c>
      <c r="Y105" s="386">
        <v>20560.650000000001</v>
      </c>
      <c r="Z105" s="386">
        <v>5608.09</v>
      </c>
      <c r="AA105" s="386">
        <v>20560.650000000001</v>
      </c>
      <c r="AB105" s="386">
        <v>5852.93</v>
      </c>
      <c r="AC105" s="386">
        <v>20560.650000000001</v>
      </c>
      <c r="AD105" s="386">
        <v>6097.77</v>
      </c>
      <c r="AE105" s="386">
        <f t="shared" si="7"/>
        <v>9423.6312500000004</v>
      </c>
      <c r="AF105" s="386">
        <f t="shared" si="7"/>
        <v>2488.76125</v>
      </c>
    </row>
    <row r="106" spans="1:32">
      <c r="A106" s="35">
        <v>98</v>
      </c>
      <c r="C106" s="6" t="s">
        <v>1789</v>
      </c>
      <c r="D106" s="6" t="str">
        <f t="shared" ref="D106:D129" si="8">RIGHT(C106,5)</f>
        <v>00100</v>
      </c>
      <c r="E106" s="386">
        <v>31960507.600000001</v>
      </c>
      <c r="F106" s="386">
        <v>8053426.4299999997</v>
      </c>
      <c r="G106" s="386">
        <v>32108431.690000001</v>
      </c>
      <c r="H106" s="386">
        <v>8284691.1200000001</v>
      </c>
      <c r="I106" s="386">
        <v>32116587.800000001</v>
      </c>
      <c r="J106" s="386">
        <v>8518849.4199999999</v>
      </c>
      <c r="K106" s="386">
        <v>32173607.18</v>
      </c>
      <c r="L106" s="386">
        <v>8751831.6600000001</v>
      </c>
      <c r="M106" s="386">
        <v>32184081.329999998</v>
      </c>
      <c r="N106" s="386">
        <v>8985449.9299999997</v>
      </c>
      <c r="O106" s="386">
        <v>32187271.329999998</v>
      </c>
      <c r="P106" s="386">
        <v>9219219.6500000004</v>
      </c>
      <c r="Q106" s="386">
        <v>32192427.940000001</v>
      </c>
      <c r="R106" s="386">
        <v>9453029.7300000004</v>
      </c>
      <c r="S106" s="386">
        <v>0</v>
      </c>
      <c r="T106" s="386">
        <v>0</v>
      </c>
      <c r="U106" s="386">
        <v>0</v>
      </c>
      <c r="V106" s="386">
        <v>0</v>
      </c>
      <c r="W106" s="386">
        <v>4302.82</v>
      </c>
      <c r="X106" s="386">
        <v>0</v>
      </c>
      <c r="Y106" s="386">
        <v>5733.95</v>
      </c>
      <c r="Z106" s="386">
        <v>563.02</v>
      </c>
      <c r="AA106" s="386">
        <v>0</v>
      </c>
      <c r="AB106" s="386">
        <v>0</v>
      </c>
      <c r="AC106" s="386">
        <v>0</v>
      </c>
      <c r="AD106" s="386">
        <v>0</v>
      </c>
      <c r="AE106" s="386">
        <f t="shared" si="7"/>
        <v>17412724.819999997</v>
      </c>
      <c r="AF106" s="386">
        <f t="shared" si="7"/>
        <v>4770028.9787499988</v>
      </c>
    </row>
    <row r="107" spans="1:32">
      <c r="A107" s="35">
        <v>99</v>
      </c>
      <c r="C107" s="6" t="s">
        <v>1790</v>
      </c>
      <c r="D107" s="6" t="str">
        <f t="shared" si="8"/>
        <v>00100</v>
      </c>
      <c r="E107" s="386">
        <v>94899.76</v>
      </c>
      <c r="F107" s="386">
        <v>0</v>
      </c>
      <c r="G107" s="386">
        <v>94899.76</v>
      </c>
      <c r="H107" s="386">
        <v>0</v>
      </c>
      <c r="I107" s="386">
        <v>94899.76</v>
      </c>
      <c r="J107" s="386">
        <v>0</v>
      </c>
      <c r="K107" s="386">
        <v>94899.76</v>
      </c>
      <c r="L107" s="386">
        <v>0</v>
      </c>
      <c r="M107" s="386">
        <v>94899.76</v>
      </c>
      <c r="N107" s="386">
        <v>0</v>
      </c>
      <c r="O107" s="386">
        <v>94899.76</v>
      </c>
      <c r="P107" s="386">
        <v>0</v>
      </c>
      <c r="Q107" s="386">
        <v>94899.76</v>
      </c>
      <c r="R107" s="386">
        <v>0</v>
      </c>
      <c r="S107" s="386">
        <v>94899.76</v>
      </c>
      <c r="T107" s="386">
        <v>0</v>
      </c>
      <c r="U107" s="386">
        <v>94899.76</v>
      </c>
      <c r="V107" s="386">
        <v>0</v>
      </c>
      <c r="W107" s="386">
        <v>94899.76</v>
      </c>
      <c r="X107" s="386">
        <v>0</v>
      </c>
      <c r="Y107" s="386">
        <v>94899.76</v>
      </c>
      <c r="Z107" s="386">
        <v>0</v>
      </c>
      <c r="AA107" s="386">
        <v>94899.76</v>
      </c>
      <c r="AB107" s="386">
        <v>0</v>
      </c>
      <c r="AC107" s="386">
        <v>94899.76</v>
      </c>
      <c r="AD107" s="386">
        <v>0</v>
      </c>
      <c r="AE107" s="386">
        <f t="shared" si="7"/>
        <v>94899.76</v>
      </c>
      <c r="AF107" s="386">
        <f t="shared" si="7"/>
        <v>0</v>
      </c>
    </row>
    <row r="108" spans="1:32">
      <c r="A108" s="35">
        <v>100</v>
      </c>
      <c r="C108" s="6" t="s">
        <v>1791</v>
      </c>
      <c r="D108" s="6" t="str">
        <f t="shared" si="8"/>
        <v>00100</v>
      </c>
      <c r="E108" s="386">
        <v>399189.10000000003</v>
      </c>
      <c r="F108" s="386">
        <v>419149.75</v>
      </c>
      <c r="G108" s="386">
        <v>399189.10000000003</v>
      </c>
      <c r="H108" s="386">
        <v>419149.75</v>
      </c>
      <c r="I108" s="386">
        <v>399189.10000000003</v>
      </c>
      <c r="J108" s="386">
        <v>419149.75</v>
      </c>
      <c r="K108" s="386">
        <v>399189.10000000003</v>
      </c>
      <c r="L108" s="386">
        <v>419149.75</v>
      </c>
      <c r="M108" s="386">
        <v>399189.10000000003</v>
      </c>
      <c r="N108" s="386">
        <v>419149.75</v>
      </c>
      <c r="O108" s="386">
        <v>399189.10000000003</v>
      </c>
      <c r="P108" s="386">
        <v>419149.75</v>
      </c>
      <c r="Q108" s="386">
        <v>399189.10000000003</v>
      </c>
      <c r="R108" s="386">
        <v>419149.75</v>
      </c>
      <c r="S108" s="386">
        <v>399189.10000000003</v>
      </c>
      <c r="T108" s="386">
        <v>419149.75</v>
      </c>
      <c r="U108" s="386">
        <v>399189.10000000003</v>
      </c>
      <c r="V108" s="386">
        <v>419149.75</v>
      </c>
      <c r="W108" s="386">
        <v>399189.10000000003</v>
      </c>
      <c r="X108" s="386">
        <v>419228.09</v>
      </c>
      <c r="Y108" s="386">
        <v>399189.10000000003</v>
      </c>
      <c r="Z108" s="386">
        <v>419228.09</v>
      </c>
      <c r="AA108" s="386">
        <v>399189.10000000003</v>
      </c>
      <c r="AB108" s="386">
        <v>419228.09</v>
      </c>
      <c r="AC108" s="386">
        <v>399189.10000000003</v>
      </c>
      <c r="AD108" s="386">
        <v>419228.09</v>
      </c>
      <c r="AE108" s="386">
        <f t="shared" si="7"/>
        <v>399189.10000000003</v>
      </c>
      <c r="AF108" s="386">
        <f t="shared" si="7"/>
        <v>419172.59916666662</v>
      </c>
    </row>
    <row r="109" spans="1:32">
      <c r="A109" s="35">
        <v>101</v>
      </c>
      <c r="C109" s="6" t="s">
        <v>1792</v>
      </c>
      <c r="D109" s="6" t="str">
        <f t="shared" si="8"/>
        <v>00100</v>
      </c>
      <c r="E109" s="386">
        <v>954713.11</v>
      </c>
      <c r="F109" s="386">
        <v>696776.97</v>
      </c>
      <c r="G109" s="386">
        <v>954713.11</v>
      </c>
      <c r="H109" s="386">
        <v>696776.97</v>
      </c>
      <c r="I109" s="386">
        <v>954713.11</v>
      </c>
      <c r="J109" s="386">
        <v>696776.97</v>
      </c>
      <c r="K109" s="386">
        <v>954713.11</v>
      </c>
      <c r="L109" s="386">
        <v>696776.97</v>
      </c>
      <c r="M109" s="386">
        <v>954713.11</v>
      </c>
      <c r="N109" s="386">
        <v>696776.97</v>
      </c>
      <c r="O109" s="386">
        <v>954713.11</v>
      </c>
      <c r="P109" s="386">
        <v>696776.97</v>
      </c>
      <c r="Q109" s="386">
        <v>954713.11</v>
      </c>
      <c r="R109" s="386">
        <v>696776.97</v>
      </c>
      <c r="S109" s="386">
        <v>954713.11</v>
      </c>
      <c r="T109" s="386">
        <v>696776.97</v>
      </c>
      <c r="U109" s="386">
        <v>954713.11</v>
      </c>
      <c r="V109" s="386">
        <v>696776.97</v>
      </c>
      <c r="W109" s="386">
        <v>954713.11</v>
      </c>
      <c r="X109" s="386">
        <v>696776.97</v>
      </c>
      <c r="Y109" s="386">
        <v>954713.11</v>
      </c>
      <c r="Z109" s="386">
        <v>696776.97</v>
      </c>
      <c r="AA109" s="386">
        <v>954713.11</v>
      </c>
      <c r="AB109" s="386">
        <v>696776.97</v>
      </c>
      <c r="AC109" s="386">
        <v>954713.11</v>
      </c>
      <c r="AD109" s="386">
        <v>696776.97</v>
      </c>
      <c r="AE109" s="386">
        <f t="shared" si="7"/>
        <v>954713.10999999987</v>
      </c>
      <c r="AF109" s="386">
        <f t="shared" si="7"/>
        <v>696776.96999999986</v>
      </c>
    </row>
    <row r="110" spans="1:32">
      <c r="A110" s="35">
        <v>102</v>
      </c>
      <c r="C110" s="6" t="s">
        <v>1793</v>
      </c>
      <c r="D110" s="6" t="str">
        <f t="shared" si="8"/>
        <v>00100</v>
      </c>
      <c r="E110" s="386">
        <v>5807881.5899999999</v>
      </c>
      <c r="F110" s="386">
        <v>5322633.72</v>
      </c>
      <c r="G110" s="386">
        <v>5807881.5899999999</v>
      </c>
      <c r="H110" s="386">
        <v>5328635.2</v>
      </c>
      <c r="I110" s="386">
        <v>5819580.5999999996</v>
      </c>
      <c r="J110" s="386">
        <v>5334636.68</v>
      </c>
      <c r="K110" s="386">
        <v>5819580.5999999996</v>
      </c>
      <c r="L110" s="386">
        <v>5340650.25</v>
      </c>
      <c r="M110" s="386">
        <v>5819580.5999999996</v>
      </c>
      <c r="N110" s="386">
        <v>5346663.82</v>
      </c>
      <c r="O110" s="386">
        <v>5819148.3499999996</v>
      </c>
      <c r="P110" s="386">
        <v>5352677.3899999997</v>
      </c>
      <c r="Q110" s="386">
        <v>5819148.3499999996</v>
      </c>
      <c r="R110" s="386">
        <v>5358690.51</v>
      </c>
      <c r="S110" s="386">
        <v>5819148.3499999996</v>
      </c>
      <c r="T110" s="386">
        <v>5364703.63</v>
      </c>
      <c r="U110" s="386">
        <v>5862351.0199999996</v>
      </c>
      <c r="V110" s="386">
        <v>5370716.75</v>
      </c>
      <c r="W110" s="386">
        <v>5862351.0199999996</v>
      </c>
      <c r="X110" s="386">
        <v>5376774.5099999998</v>
      </c>
      <c r="Y110" s="386">
        <v>5862351.0199999996</v>
      </c>
      <c r="Z110" s="386">
        <v>5382832.2699999996</v>
      </c>
      <c r="AA110" s="386">
        <v>5862351.0199999996</v>
      </c>
      <c r="AB110" s="386">
        <v>5388890.0300000003</v>
      </c>
      <c r="AC110" s="386">
        <v>5862351.0199999996</v>
      </c>
      <c r="AD110" s="386">
        <v>5394947.79</v>
      </c>
      <c r="AE110" s="386">
        <f t="shared" si="7"/>
        <v>5834049.0687499987</v>
      </c>
      <c r="AF110" s="386">
        <f t="shared" si="7"/>
        <v>5358721.8162500011</v>
      </c>
    </row>
    <row r="111" spans="1:32">
      <c r="A111" s="35">
        <v>103</v>
      </c>
      <c r="C111" s="6" t="s">
        <v>1794</v>
      </c>
      <c r="D111" s="6" t="str">
        <f t="shared" si="8"/>
        <v>00100</v>
      </c>
      <c r="E111" s="386">
        <v>2184217.88</v>
      </c>
      <c r="F111" s="386">
        <v>-128808.1</v>
      </c>
      <c r="G111" s="386">
        <v>2306513.11</v>
      </c>
      <c r="H111" s="386">
        <v>-99248.35</v>
      </c>
      <c r="I111" s="386">
        <v>2308364.84</v>
      </c>
      <c r="J111" s="386">
        <v>-68033.540000000008</v>
      </c>
      <c r="K111" s="386">
        <v>2308364.84</v>
      </c>
      <c r="L111" s="386">
        <v>-36793.67</v>
      </c>
      <c r="M111" s="386">
        <v>2359058.62</v>
      </c>
      <c r="N111" s="386">
        <v>-5553.8</v>
      </c>
      <c r="O111" s="386">
        <v>2359058.62</v>
      </c>
      <c r="P111" s="386">
        <v>26372.13</v>
      </c>
      <c r="Q111" s="386">
        <v>2350808.7800000003</v>
      </c>
      <c r="R111" s="386">
        <v>58298.06</v>
      </c>
      <c r="S111" s="386">
        <v>2356168.14</v>
      </c>
      <c r="T111" s="386">
        <v>90355.94</v>
      </c>
      <c r="U111" s="386">
        <v>2356168.14</v>
      </c>
      <c r="V111" s="386">
        <v>122242.75</v>
      </c>
      <c r="W111" s="386">
        <v>2356168.14</v>
      </c>
      <c r="X111" s="386">
        <v>154129.56</v>
      </c>
      <c r="Y111" s="386">
        <v>2356168.14</v>
      </c>
      <c r="Z111" s="386">
        <v>186016.37</v>
      </c>
      <c r="AA111" s="386">
        <v>2356168.14</v>
      </c>
      <c r="AB111" s="386">
        <v>217903.18</v>
      </c>
      <c r="AC111" s="386">
        <v>2400564.7000000002</v>
      </c>
      <c r="AD111" s="386">
        <v>249789.99</v>
      </c>
      <c r="AE111" s="386">
        <f t="shared" si="7"/>
        <v>2338783.4000000004</v>
      </c>
      <c r="AF111" s="386">
        <f t="shared" si="7"/>
        <v>58848.297916666663</v>
      </c>
    </row>
    <row r="112" spans="1:32">
      <c r="A112" s="35">
        <v>104</v>
      </c>
      <c r="C112" s="6" t="s">
        <v>1795</v>
      </c>
      <c r="D112" s="6" t="str">
        <f t="shared" si="8"/>
        <v>00100</v>
      </c>
      <c r="E112" s="386">
        <v>0</v>
      </c>
      <c r="F112" s="386">
        <v>-5509.99</v>
      </c>
      <c r="G112" s="386">
        <v>0</v>
      </c>
      <c r="H112" s="386">
        <v>-5509.99</v>
      </c>
      <c r="I112" s="386">
        <v>0</v>
      </c>
      <c r="J112" s="386">
        <v>-5509.99</v>
      </c>
      <c r="K112" s="386">
        <v>0</v>
      </c>
      <c r="L112" s="386">
        <v>-5509.99</v>
      </c>
      <c r="M112" s="386">
        <v>0</v>
      </c>
      <c r="N112" s="386">
        <v>-5509.99</v>
      </c>
      <c r="O112" s="386">
        <v>0</v>
      </c>
      <c r="P112" s="386">
        <v>-5509.99</v>
      </c>
      <c r="Q112" s="386">
        <v>0</v>
      </c>
      <c r="R112" s="386">
        <v>-5509.99</v>
      </c>
      <c r="S112" s="386">
        <v>0</v>
      </c>
      <c r="T112" s="386">
        <v>-5509.99</v>
      </c>
      <c r="U112" s="386">
        <v>0</v>
      </c>
      <c r="V112" s="386">
        <v>0</v>
      </c>
      <c r="W112" s="386">
        <v>0</v>
      </c>
      <c r="X112" s="386">
        <v>0</v>
      </c>
      <c r="Y112" s="386">
        <v>0</v>
      </c>
      <c r="Z112" s="386">
        <v>0</v>
      </c>
      <c r="AA112" s="386">
        <v>0</v>
      </c>
      <c r="AB112" s="386">
        <v>0</v>
      </c>
      <c r="AC112" s="386">
        <v>0</v>
      </c>
      <c r="AD112" s="386">
        <v>0</v>
      </c>
      <c r="AE112" s="386">
        <f t="shared" si="7"/>
        <v>0</v>
      </c>
      <c r="AF112" s="386">
        <f t="shared" si="7"/>
        <v>-3443.7437499999996</v>
      </c>
    </row>
    <row r="113" spans="1:32">
      <c r="A113" s="35">
        <v>105</v>
      </c>
      <c r="C113" s="6" t="s">
        <v>1796</v>
      </c>
      <c r="D113" s="6" t="str">
        <f t="shared" si="8"/>
        <v>00100</v>
      </c>
      <c r="E113" s="386">
        <v>156470.54</v>
      </c>
      <c r="F113" s="386">
        <v>-275066.16000000003</v>
      </c>
      <c r="G113" s="386">
        <v>156470.54</v>
      </c>
      <c r="H113" s="386">
        <v>-272801.25</v>
      </c>
      <c r="I113" s="386">
        <v>156470.54</v>
      </c>
      <c r="J113" s="386">
        <v>-270536.34000000003</v>
      </c>
      <c r="K113" s="386">
        <v>156470.54</v>
      </c>
      <c r="L113" s="386">
        <v>-268271.43</v>
      </c>
      <c r="M113" s="386">
        <v>156470.54</v>
      </c>
      <c r="N113" s="386">
        <v>-266006.52</v>
      </c>
      <c r="O113" s="386">
        <v>156470.54</v>
      </c>
      <c r="P113" s="386">
        <v>-263741.61</v>
      </c>
      <c r="Q113" s="386">
        <v>156470.54</v>
      </c>
      <c r="R113" s="386">
        <v>-261476.7</v>
      </c>
      <c r="S113" s="386">
        <v>156470.54</v>
      </c>
      <c r="T113" s="386">
        <v>-259211.79</v>
      </c>
      <c r="U113" s="386">
        <v>156470.54</v>
      </c>
      <c r="V113" s="386">
        <v>-256946.88</v>
      </c>
      <c r="W113" s="386">
        <v>156470.54</v>
      </c>
      <c r="X113" s="386">
        <v>-254681.97</v>
      </c>
      <c r="Y113" s="386">
        <v>156470.54</v>
      </c>
      <c r="Z113" s="386">
        <v>-252417.06</v>
      </c>
      <c r="AA113" s="386">
        <v>156470.54</v>
      </c>
      <c r="AB113" s="386">
        <v>-250152.15</v>
      </c>
      <c r="AC113" s="386">
        <v>156470.54</v>
      </c>
      <c r="AD113" s="386">
        <v>-247887.24</v>
      </c>
      <c r="AE113" s="386">
        <f t="shared" si="7"/>
        <v>156470.54</v>
      </c>
      <c r="AF113" s="386">
        <f t="shared" si="7"/>
        <v>-261476.70000000004</v>
      </c>
    </row>
    <row r="114" spans="1:32">
      <c r="A114" s="35">
        <v>106</v>
      </c>
      <c r="C114" s="6" t="s">
        <v>1797</v>
      </c>
      <c r="D114" s="6" t="str">
        <f t="shared" si="8"/>
        <v>00100</v>
      </c>
      <c r="E114" s="386">
        <v>1276603.8500000001</v>
      </c>
      <c r="F114" s="386">
        <v>-130311.46</v>
      </c>
      <c r="G114" s="386">
        <v>1276603.8500000001</v>
      </c>
      <c r="H114" s="386">
        <v>-125013.55</v>
      </c>
      <c r="I114" s="386">
        <v>1276603.8500000001</v>
      </c>
      <c r="J114" s="386">
        <v>-119715.64</v>
      </c>
      <c r="K114" s="386">
        <v>1276603.8500000001</v>
      </c>
      <c r="L114" s="386">
        <v>-114417.73</v>
      </c>
      <c r="M114" s="386">
        <v>1276603.8500000001</v>
      </c>
      <c r="N114" s="386">
        <v>-109119.82</v>
      </c>
      <c r="O114" s="386">
        <v>1276603.8500000001</v>
      </c>
      <c r="P114" s="386">
        <v>-103821.91</v>
      </c>
      <c r="Q114" s="386">
        <v>1276603.8500000001</v>
      </c>
      <c r="R114" s="386">
        <v>-98524</v>
      </c>
      <c r="S114" s="386">
        <v>1276603.8500000001</v>
      </c>
      <c r="T114" s="386">
        <v>-93226.09</v>
      </c>
      <c r="U114" s="386">
        <v>1276603.8500000001</v>
      </c>
      <c r="V114" s="386">
        <v>-87928.180000000008</v>
      </c>
      <c r="W114" s="386">
        <v>1276603.8500000001</v>
      </c>
      <c r="X114" s="386">
        <v>-82630.27</v>
      </c>
      <c r="Y114" s="386">
        <v>1276603.8500000001</v>
      </c>
      <c r="Z114" s="386">
        <v>-77332.36</v>
      </c>
      <c r="AA114" s="386">
        <v>1276603.8500000001</v>
      </c>
      <c r="AB114" s="386">
        <v>-72034.45</v>
      </c>
      <c r="AC114" s="386">
        <v>1276603.8500000001</v>
      </c>
      <c r="AD114" s="386">
        <v>-66736.540000000008</v>
      </c>
      <c r="AE114" s="386">
        <f t="shared" si="7"/>
        <v>1276603.8499999999</v>
      </c>
      <c r="AF114" s="386">
        <f t="shared" si="7"/>
        <v>-98524</v>
      </c>
    </row>
    <row r="115" spans="1:32">
      <c r="A115" s="35">
        <v>107</v>
      </c>
      <c r="C115" s="6" t="s">
        <v>1798</v>
      </c>
      <c r="D115" s="6" t="str">
        <f t="shared" si="8"/>
        <v>00100</v>
      </c>
      <c r="E115" s="386">
        <v>2994409.61</v>
      </c>
      <c r="F115" s="386">
        <v>2994409.62</v>
      </c>
      <c r="G115" s="386">
        <v>2994409.61</v>
      </c>
      <c r="H115" s="386">
        <v>2994409.62</v>
      </c>
      <c r="I115" s="386">
        <v>2994409.61</v>
      </c>
      <c r="J115" s="386">
        <v>2994409.62</v>
      </c>
      <c r="K115" s="386">
        <v>2994409.61</v>
      </c>
      <c r="L115" s="386">
        <v>2994409.62</v>
      </c>
      <c r="M115" s="386">
        <v>2994409.61</v>
      </c>
      <c r="N115" s="386">
        <v>2994409.62</v>
      </c>
      <c r="O115" s="386">
        <v>2994409.61</v>
      </c>
      <c r="P115" s="386">
        <v>2994409.62</v>
      </c>
      <c r="Q115" s="386">
        <v>2994409.61</v>
      </c>
      <c r="R115" s="386">
        <v>2994409.62</v>
      </c>
      <c r="S115" s="386">
        <v>2994409.61</v>
      </c>
      <c r="T115" s="386">
        <v>2994409.62</v>
      </c>
      <c r="U115" s="386">
        <v>2994409.61</v>
      </c>
      <c r="V115" s="386">
        <v>2994409.62</v>
      </c>
      <c r="W115" s="386">
        <v>2994409.61</v>
      </c>
      <c r="X115" s="386">
        <v>2994409.62</v>
      </c>
      <c r="Y115" s="386">
        <v>2994409.61</v>
      </c>
      <c r="Z115" s="386">
        <v>2994409.62</v>
      </c>
      <c r="AA115" s="386">
        <v>2994409.61</v>
      </c>
      <c r="AB115" s="386">
        <v>2994409.62</v>
      </c>
      <c r="AC115" s="386">
        <v>2994409.61</v>
      </c>
      <c r="AD115" s="386">
        <v>2994409.62</v>
      </c>
      <c r="AE115" s="386">
        <f t="shared" si="7"/>
        <v>2994409.61</v>
      </c>
      <c r="AF115" s="386">
        <f t="shared" si="7"/>
        <v>2994409.6200000006</v>
      </c>
    </row>
    <row r="116" spans="1:32">
      <c r="A116" s="35">
        <v>108</v>
      </c>
      <c r="C116" s="6" t="s">
        <v>1799</v>
      </c>
      <c r="D116" s="6" t="str">
        <f t="shared" si="8"/>
        <v>00100</v>
      </c>
      <c r="E116" s="386">
        <v>48394.18</v>
      </c>
      <c r="F116" s="386">
        <v>34697.26</v>
      </c>
      <c r="G116" s="386">
        <v>48394.18</v>
      </c>
      <c r="H116" s="386">
        <v>34824.300000000003</v>
      </c>
      <c r="I116" s="386">
        <v>48394.18</v>
      </c>
      <c r="J116" s="386">
        <v>34951.340000000004</v>
      </c>
      <c r="K116" s="386">
        <v>48394.18</v>
      </c>
      <c r="L116" s="386">
        <v>35078.379999999997</v>
      </c>
      <c r="M116" s="386">
        <v>48394.18</v>
      </c>
      <c r="N116" s="386">
        <v>35205.42</v>
      </c>
      <c r="O116" s="386">
        <v>48394.18</v>
      </c>
      <c r="P116" s="386">
        <v>35332.46</v>
      </c>
      <c r="Q116" s="386">
        <v>48394.18</v>
      </c>
      <c r="R116" s="386">
        <v>35459.5</v>
      </c>
      <c r="S116" s="386">
        <v>48394.18</v>
      </c>
      <c r="T116" s="386">
        <v>35586.54</v>
      </c>
      <c r="U116" s="386">
        <v>48394.18</v>
      </c>
      <c r="V116" s="386">
        <v>35713.58</v>
      </c>
      <c r="W116" s="386">
        <v>48394.18</v>
      </c>
      <c r="X116" s="386">
        <v>35840.620000000003</v>
      </c>
      <c r="Y116" s="386">
        <v>48394.18</v>
      </c>
      <c r="Z116" s="386">
        <v>35967.660000000003</v>
      </c>
      <c r="AA116" s="386">
        <v>48394.18</v>
      </c>
      <c r="AB116" s="386">
        <v>36094.700000000004</v>
      </c>
      <c r="AC116" s="386">
        <v>48394.18</v>
      </c>
      <c r="AD116" s="386">
        <v>36221.74</v>
      </c>
      <c r="AE116" s="386">
        <f t="shared" si="7"/>
        <v>48394.18</v>
      </c>
      <c r="AF116" s="386">
        <f t="shared" si="7"/>
        <v>35459.500000000007</v>
      </c>
    </row>
    <row r="117" spans="1:32">
      <c r="A117" s="35">
        <v>109</v>
      </c>
      <c r="C117" s="6" t="s">
        <v>1800</v>
      </c>
      <c r="D117" s="6" t="str">
        <f t="shared" si="8"/>
        <v>00100</v>
      </c>
      <c r="E117" s="386">
        <v>1862879.1099999999</v>
      </c>
      <c r="F117" s="386">
        <v>610375.21</v>
      </c>
      <c r="G117" s="386">
        <v>1862879.1099999999</v>
      </c>
      <c r="H117" s="386">
        <v>619922.46</v>
      </c>
      <c r="I117" s="386">
        <v>1862879.1099999999</v>
      </c>
      <c r="J117" s="386">
        <v>629469.71</v>
      </c>
      <c r="K117" s="386">
        <v>1823644.54</v>
      </c>
      <c r="L117" s="386">
        <v>610782.39</v>
      </c>
      <c r="M117" s="386">
        <v>1690581.07</v>
      </c>
      <c r="N117" s="386">
        <v>560189.69000000006</v>
      </c>
      <c r="O117" s="386">
        <v>1727369.21</v>
      </c>
      <c r="P117" s="386">
        <v>568853.92000000004</v>
      </c>
      <c r="Q117" s="386">
        <v>1705419.3900000001</v>
      </c>
      <c r="R117" s="386">
        <v>557907.29</v>
      </c>
      <c r="S117" s="386">
        <v>1705435.58</v>
      </c>
      <c r="T117" s="386">
        <v>566647.56000000006</v>
      </c>
      <c r="U117" s="386">
        <v>1892475.26</v>
      </c>
      <c r="V117" s="386">
        <v>575387.91</v>
      </c>
      <c r="W117" s="386">
        <v>1893123.4500000002</v>
      </c>
      <c r="X117" s="386">
        <v>595086.85</v>
      </c>
      <c r="Y117" s="386">
        <v>1885880.23</v>
      </c>
      <c r="Z117" s="386">
        <v>604789.11</v>
      </c>
      <c r="AA117" s="386">
        <v>1889123.29</v>
      </c>
      <c r="AB117" s="386">
        <v>614454.24</v>
      </c>
      <c r="AC117" s="386">
        <v>1889123.29</v>
      </c>
      <c r="AD117" s="386">
        <v>624136</v>
      </c>
      <c r="AE117" s="386">
        <f t="shared" si="7"/>
        <v>1817900.9533333331</v>
      </c>
      <c r="AF117" s="386">
        <f t="shared" si="7"/>
        <v>593395.56124999991</v>
      </c>
    </row>
    <row r="118" spans="1:32">
      <c r="A118" s="35">
        <v>110</v>
      </c>
      <c r="C118" s="6" t="s">
        <v>1801</v>
      </c>
      <c r="D118" s="6" t="str">
        <f t="shared" si="8"/>
        <v>00100</v>
      </c>
      <c r="E118" s="386">
        <v>43088.19</v>
      </c>
      <c r="F118" s="386">
        <v>11433.29</v>
      </c>
      <c r="G118" s="386">
        <v>43088.19</v>
      </c>
      <c r="H118" s="386">
        <v>11625.03</v>
      </c>
      <c r="I118" s="386">
        <v>43088.19</v>
      </c>
      <c r="J118" s="386">
        <v>11816.77</v>
      </c>
      <c r="K118" s="386">
        <v>43088.19</v>
      </c>
      <c r="L118" s="386">
        <v>12008.51</v>
      </c>
      <c r="M118" s="386">
        <v>43088.19</v>
      </c>
      <c r="N118" s="386">
        <v>12200.25</v>
      </c>
      <c r="O118" s="386">
        <v>43088.19</v>
      </c>
      <c r="P118" s="386">
        <v>12391.99</v>
      </c>
      <c r="Q118" s="386">
        <v>43088.19</v>
      </c>
      <c r="R118" s="386">
        <v>12583.73</v>
      </c>
      <c r="S118" s="386">
        <v>43088.19</v>
      </c>
      <c r="T118" s="386">
        <v>12775.470000000001</v>
      </c>
      <c r="U118" s="386">
        <v>43088.19</v>
      </c>
      <c r="V118" s="386">
        <v>12967.210000000001</v>
      </c>
      <c r="W118" s="386">
        <v>43088.19</v>
      </c>
      <c r="X118" s="386">
        <v>13158.95</v>
      </c>
      <c r="Y118" s="386">
        <v>43088.19</v>
      </c>
      <c r="Z118" s="386">
        <v>13350.69</v>
      </c>
      <c r="AA118" s="386">
        <v>43088.19</v>
      </c>
      <c r="AB118" s="386">
        <v>13542.43</v>
      </c>
      <c r="AC118" s="386">
        <v>43088.19</v>
      </c>
      <c r="AD118" s="386">
        <v>13734.17</v>
      </c>
      <c r="AE118" s="386">
        <f t="shared" si="7"/>
        <v>43088.19</v>
      </c>
      <c r="AF118" s="386">
        <f t="shared" si="7"/>
        <v>12583.730000000001</v>
      </c>
    </row>
    <row r="119" spans="1:32">
      <c r="A119" s="35">
        <v>111</v>
      </c>
      <c r="C119" s="6" t="s">
        <v>1802</v>
      </c>
      <c r="D119" s="6" t="str">
        <f t="shared" si="8"/>
        <v>00100</v>
      </c>
      <c r="E119" s="386">
        <v>1807005.17</v>
      </c>
      <c r="F119" s="386">
        <v>407255.12</v>
      </c>
      <c r="G119" s="386">
        <v>1771449.29</v>
      </c>
      <c r="H119" s="386">
        <v>372322.8</v>
      </c>
      <c r="I119" s="386">
        <v>1773147.3599999999</v>
      </c>
      <c r="J119" s="386">
        <v>377578.10000000003</v>
      </c>
      <c r="K119" s="386">
        <v>1797236.25</v>
      </c>
      <c r="L119" s="386">
        <v>369616.56</v>
      </c>
      <c r="M119" s="386">
        <v>1797236.25</v>
      </c>
      <c r="N119" s="386">
        <v>374948.36</v>
      </c>
      <c r="O119" s="386">
        <v>1797236.25</v>
      </c>
      <c r="P119" s="386">
        <v>380280.16000000003</v>
      </c>
      <c r="Q119" s="386">
        <v>1797236.25</v>
      </c>
      <c r="R119" s="386">
        <v>385611.96</v>
      </c>
      <c r="S119" s="386">
        <v>1803466.4300000002</v>
      </c>
      <c r="T119" s="386">
        <v>390943.76</v>
      </c>
      <c r="U119" s="386">
        <v>1807125.4300000002</v>
      </c>
      <c r="V119" s="386">
        <v>396294.04000000004</v>
      </c>
      <c r="W119" s="386">
        <v>1807125.4300000002</v>
      </c>
      <c r="X119" s="386">
        <v>401655.18</v>
      </c>
      <c r="Y119" s="386">
        <v>1831828.1</v>
      </c>
      <c r="Z119" s="386">
        <v>407016.32</v>
      </c>
      <c r="AA119" s="386">
        <v>1832746.1600000001</v>
      </c>
      <c r="AB119" s="386">
        <v>412450.74</v>
      </c>
      <c r="AC119" s="386">
        <v>1832745.72</v>
      </c>
      <c r="AD119" s="386">
        <v>417887.89</v>
      </c>
      <c r="AE119" s="386">
        <f t="shared" si="7"/>
        <v>1802975.7204166667</v>
      </c>
      <c r="AF119" s="386">
        <f t="shared" si="7"/>
        <v>390107.45708333334</v>
      </c>
    </row>
    <row r="120" spans="1:32">
      <c r="A120" s="35">
        <v>112</v>
      </c>
      <c r="C120" s="6" t="s">
        <v>1803</v>
      </c>
      <c r="D120" s="6" t="str">
        <f t="shared" si="8"/>
        <v>00100</v>
      </c>
      <c r="E120" s="386">
        <v>96880.82</v>
      </c>
      <c r="F120" s="386">
        <v>35862.69</v>
      </c>
      <c r="G120" s="386">
        <v>96880.82</v>
      </c>
      <c r="H120" s="386">
        <v>36234.07</v>
      </c>
      <c r="I120" s="386">
        <v>96880.82</v>
      </c>
      <c r="J120" s="386">
        <v>36605.450000000004</v>
      </c>
      <c r="K120" s="386">
        <v>96880.82</v>
      </c>
      <c r="L120" s="386">
        <v>36976.83</v>
      </c>
      <c r="M120" s="386">
        <v>96880.82</v>
      </c>
      <c r="N120" s="386">
        <v>37348.21</v>
      </c>
      <c r="O120" s="386">
        <v>96880.82</v>
      </c>
      <c r="P120" s="386">
        <v>37719.590000000004</v>
      </c>
      <c r="Q120" s="386">
        <v>96880.82</v>
      </c>
      <c r="R120" s="386">
        <v>38090.97</v>
      </c>
      <c r="S120" s="386">
        <v>96880.82</v>
      </c>
      <c r="T120" s="386">
        <v>38462.35</v>
      </c>
      <c r="U120" s="386">
        <v>96880.82</v>
      </c>
      <c r="V120" s="386">
        <v>38833.730000000003</v>
      </c>
      <c r="W120" s="386">
        <v>96880.82</v>
      </c>
      <c r="X120" s="386">
        <v>39205.11</v>
      </c>
      <c r="Y120" s="386">
        <v>96880.82</v>
      </c>
      <c r="Z120" s="386">
        <v>39576.49</v>
      </c>
      <c r="AA120" s="386">
        <v>96880.82</v>
      </c>
      <c r="AB120" s="386">
        <v>39947.870000000003</v>
      </c>
      <c r="AC120" s="386">
        <v>96880.82</v>
      </c>
      <c r="AD120" s="386">
        <v>40319.25</v>
      </c>
      <c r="AE120" s="386">
        <f t="shared" si="7"/>
        <v>96880.820000000022</v>
      </c>
      <c r="AF120" s="386">
        <f t="shared" si="7"/>
        <v>38090.97</v>
      </c>
    </row>
    <row r="121" spans="1:32">
      <c r="A121" s="35">
        <v>113</v>
      </c>
      <c r="C121" s="6" t="s">
        <v>1804</v>
      </c>
      <c r="D121" s="6" t="str">
        <f t="shared" si="8"/>
        <v>00100</v>
      </c>
      <c r="E121" s="386">
        <v>-101377.08</v>
      </c>
      <c r="F121" s="386">
        <v>14178.11</v>
      </c>
      <c r="G121" s="386">
        <v>-101377.08</v>
      </c>
      <c r="H121" s="386">
        <v>13740.5</v>
      </c>
      <c r="I121" s="386">
        <v>-101377.08</v>
      </c>
      <c r="J121" s="386">
        <v>13302.89</v>
      </c>
      <c r="K121" s="386">
        <v>-101377.08</v>
      </c>
      <c r="L121" s="386">
        <v>12865.28</v>
      </c>
      <c r="M121" s="386">
        <v>-95577.35</v>
      </c>
      <c r="N121" s="386">
        <v>12095.300000000001</v>
      </c>
      <c r="O121" s="386">
        <v>-95577.35</v>
      </c>
      <c r="P121" s="386">
        <v>11682.73</v>
      </c>
      <c r="Q121" s="386">
        <v>-95577.35</v>
      </c>
      <c r="R121" s="386">
        <v>11270.16</v>
      </c>
      <c r="S121" s="386">
        <v>-95577.35</v>
      </c>
      <c r="T121" s="386">
        <v>10857.59</v>
      </c>
      <c r="U121" s="386">
        <v>-95577.35</v>
      </c>
      <c r="V121" s="386">
        <v>10445.02</v>
      </c>
      <c r="W121" s="386">
        <v>-95577.35</v>
      </c>
      <c r="X121" s="386">
        <v>10032.450000000001</v>
      </c>
      <c r="Y121" s="386">
        <v>-95577.35</v>
      </c>
      <c r="Z121" s="386">
        <v>9619.880000000001</v>
      </c>
      <c r="AA121" s="386">
        <v>-95577.35</v>
      </c>
      <c r="AB121" s="386">
        <v>9207.31</v>
      </c>
      <c r="AC121" s="386">
        <v>-95577.35</v>
      </c>
      <c r="AD121" s="386">
        <v>8794.74</v>
      </c>
      <c r="AE121" s="386">
        <f t="shared" si="7"/>
        <v>-97268.937916666662</v>
      </c>
      <c r="AF121" s="386">
        <f t="shared" si="7"/>
        <v>11383.794583333334</v>
      </c>
    </row>
    <row r="122" spans="1:32">
      <c r="A122" s="35">
        <v>114</v>
      </c>
      <c r="C122" s="6" t="s">
        <v>1805</v>
      </c>
      <c r="D122" s="6" t="str">
        <f t="shared" si="8"/>
        <v>00100</v>
      </c>
      <c r="E122" s="386">
        <v>26798.560000000001</v>
      </c>
      <c r="F122" s="386">
        <v>-2175.2600000000002</v>
      </c>
      <c r="G122" s="386">
        <v>26798.560000000001</v>
      </c>
      <c r="H122" s="386">
        <v>-2105.59</v>
      </c>
      <c r="I122" s="386">
        <v>26798.560000000001</v>
      </c>
      <c r="J122" s="386">
        <v>-2035.92</v>
      </c>
      <c r="K122" s="386">
        <v>26798.560000000001</v>
      </c>
      <c r="L122" s="386">
        <v>-1966.25</v>
      </c>
      <c r="M122" s="386">
        <v>26798.560000000001</v>
      </c>
      <c r="N122" s="386">
        <v>-1896.58</v>
      </c>
      <c r="O122" s="386">
        <v>26798.560000000001</v>
      </c>
      <c r="P122" s="386">
        <v>-1826.91</v>
      </c>
      <c r="Q122" s="386">
        <v>26798.560000000001</v>
      </c>
      <c r="R122" s="386">
        <v>-1757.24</v>
      </c>
      <c r="S122" s="386">
        <v>26798.560000000001</v>
      </c>
      <c r="T122" s="386">
        <v>-1687.57</v>
      </c>
      <c r="U122" s="386">
        <v>26798.560000000001</v>
      </c>
      <c r="V122" s="386">
        <v>-1617.9</v>
      </c>
      <c r="W122" s="386">
        <v>26798.560000000001</v>
      </c>
      <c r="X122" s="386">
        <v>-1548.23</v>
      </c>
      <c r="Y122" s="386">
        <v>26798.560000000001</v>
      </c>
      <c r="Z122" s="386">
        <v>-1478.56</v>
      </c>
      <c r="AA122" s="386">
        <v>26798.560000000001</v>
      </c>
      <c r="AB122" s="386">
        <v>-1408.89</v>
      </c>
      <c r="AC122" s="386">
        <v>26798.560000000001</v>
      </c>
      <c r="AD122" s="386">
        <v>-1339.22</v>
      </c>
      <c r="AE122" s="386">
        <f t="shared" si="7"/>
        <v>26798.560000000001</v>
      </c>
      <c r="AF122" s="386">
        <f t="shared" si="7"/>
        <v>-1757.24</v>
      </c>
    </row>
    <row r="123" spans="1:32">
      <c r="A123" s="35">
        <v>115</v>
      </c>
      <c r="C123" s="6" t="s">
        <v>1806</v>
      </c>
      <c r="D123" s="6" t="str">
        <f t="shared" si="8"/>
        <v>00100</v>
      </c>
      <c r="E123" s="386">
        <v>10882.89</v>
      </c>
      <c r="F123" s="386">
        <v>2068.25</v>
      </c>
      <c r="G123" s="386">
        <v>10882.89</v>
      </c>
      <c r="H123" s="386">
        <v>2153.23</v>
      </c>
      <c r="I123" s="386">
        <v>10882.89</v>
      </c>
      <c r="J123" s="386">
        <v>2238.21</v>
      </c>
      <c r="K123" s="386">
        <v>10882.89</v>
      </c>
      <c r="L123" s="386">
        <v>2323.19</v>
      </c>
      <c r="M123" s="386">
        <v>10882.89</v>
      </c>
      <c r="N123" s="386">
        <v>2408.17</v>
      </c>
      <c r="O123" s="386">
        <v>10882.89</v>
      </c>
      <c r="P123" s="386">
        <v>2493.15</v>
      </c>
      <c r="Q123" s="386">
        <v>10882.89</v>
      </c>
      <c r="R123" s="386">
        <v>2578.13</v>
      </c>
      <c r="S123" s="386">
        <v>10882.89</v>
      </c>
      <c r="T123" s="386">
        <v>2663.11</v>
      </c>
      <c r="U123" s="386">
        <v>10882.89</v>
      </c>
      <c r="V123" s="386">
        <v>2748.09</v>
      </c>
      <c r="W123" s="386">
        <v>10882.89</v>
      </c>
      <c r="X123" s="386">
        <v>2833.07</v>
      </c>
      <c r="Y123" s="386">
        <v>10882.89</v>
      </c>
      <c r="Z123" s="386">
        <v>2918.05</v>
      </c>
      <c r="AA123" s="386">
        <v>10882.89</v>
      </c>
      <c r="AB123" s="386">
        <v>3003.03</v>
      </c>
      <c r="AC123" s="386">
        <v>10882.89</v>
      </c>
      <c r="AD123" s="386">
        <v>3088.01</v>
      </c>
      <c r="AE123" s="386">
        <f t="shared" si="7"/>
        <v>10882.89</v>
      </c>
      <c r="AF123" s="386">
        <f t="shared" si="7"/>
        <v>2578.13</v>
      </c>
    </row>
    <row r="124" spans="1:32">
      <c r="A124" s="35">
        <v>116</v>
      </c>
      <c r="C124" s="6" t="s">
        <v>1807</v>
      </c>
      <c r="D124" s="6" t="str">
        <f t="shared" si="8"/>
        <v>00100</v>
      </c>
      <c r="E124" s="386">
        <v>699164.71</v>
      </c>
      <c r="F124" s="386">
        <v>658405.49</v>
      </c>
      <c r="G124" s="386">
        <v>699164.71</v>
      </c>
      <c r="H124" s="386">
        <v>658481.23</v>
      </c>
      <c r="I124" s="386">
        <v>699164.71</v>
      </c>
      <c r="J124" s="386">
        <v>658556.97</v>
      </c>
      <c r="K124" s="386">
        <v>699164.71</v>
      </c>
      <c r="L124" s="386">
        <v>658632.71</v>
      </c>
      <c r="M124" s="386">
        <v>699164.71</v>
      </c>
      <c r="N124" s="386">
        <v>658708.45000000007</v>
      </c>
      <c r="O124" s="386">
        <v>699164.71</v>
      </c>
      <c r="P124" s="386">
        <v>658784.19000000006</v>
      </c>
      <c r="Q124" s="386">
        <v>699164.71</v>
      </c>
      <c r="R124" s="386">
        <v>658859.93000000005</v>
      </c>
      <c r="S124" s="386">
        <v>699164.71</v>
      </c>
      <c r="T124" s="386">
        <v>658935.67000000004</v>
      </c>
      <c r="U124" s="386">
        <v>699164.71</v>
      </c>
      <c r="V124" s="386">
        <v>659011.41</v>
      </c>
      <c r="W124" s="386">
        <v>699164.71</v>
      </c>
      <c r="X124" s="386">
        <v>659087.15</v>
      </c>
      <c r="Y124" s="386">
        <v>699164.71</v>
      </c>
      <c r="Z124" s="386">
        <v>659162.89</v>
      </c>
      <c r="AA124" s="386">
        <v>755929.81</v>
      </c>
      <c r="AB124" s="386">
        <v>659238.63</v>
      </c>
      <c r="AC124" s="386">
        <v>755929.81</v>
      </c>
      <c r="AD124" s="386">
        <v>659320.52</v>
      </c>
      <c r="AE124" s="386">
        <f t="shared" si="7"/>
        <v>706260.34750000003</v>
      </c>
      <c r="AF124" s="386">
        <f t="shared" si="7"/>
        <v>658860.18625000003</v>
      </c>
    </row>
    <row r="125" spans="1:32">
      <c r="A125" s="35">
        <v>117</v>
      </c>
      <c r="C125" s="6" t="s">
        <v>1808</v>
      </c>
      <c r="D125" s="6" t="str">
        <f t="shared" si="8"/>
        <v>00100</v>
      </c>
      <c r="E125" s="386">
        <v>134305.54</v>
      </c>
      <c r="F125" s="386">
        <v>-70992.490000000005</v>
      </c>
      <c r="G125" s="386">
        <v>134305.54</v>
      </c>
      <c r="H125" s="386">
        <v>-69965.05</v>
      </c>
      <c r="I125" s="386">
        <v>134305.54</v>
      </c>
      <c r="J125" s="386">
        <v>-68937.61</v>
      </c>
      <c r="K125" s="386">
        <v>134305.54</v>
      </c>
      <c r="L125" s="386">
        <v>-67910.17</v>
      </c>
      <c r="M125" s="386">
        <v>134305.54</v>
      </c>
      <c r="N125" s="386">
        <v>-66882.73</v>
      </c>
      <c r="O125" s="386">
        <v>134305.54</v>
      </c>
      <c r="P125" s="386">
        <v>-65855.290000000008</v>
      </c>
      <c r="Q125" s="386">
        <v>134305.54</v>
      </c>
      <c r="R125" s="386">
        <v>-64827.85</v>
      </c>
      <c r="S125" s="386">
        <v>134305.54</v>
      </c>
      <c r="T125" s="386">
        <v>-63800.41</v>
      </c>
      <c r="U125" s="386">
        <v>134305.54</v>
      </c>
      <c r="V125" s="386">
        <v>-62772.97</v>
      </c>
      <c r="W125" s="386">
        <v>134305.54</v>
      </c>
      <c r="X125" s="386">
        <v>-61745.53</v>
      </c>
      <c r="Y125" s="386">
        <v>134305.54</v>
      </c>
      <c r="Z125" s="386">
        <v>-60718.090000000004</v>
      </c>
      <c r="AA125" s="386">
        <v>134305.54</v>
      </c>
      <c r="AB125" s="386">
        <v>-59690.65</v>
      </c>
      <c r="AC125" s="386">
        <v>134305.54</v>
      </c>
      <c r="AD125" s="386">
        <v>-58663.21</v>
      </c>
      <c r="AE125" s="386">
        <f t="shared" si="7"/>
        <v>134305.54</v>
      </c>
      <c r="AF125" s="386">
        <f t="shared" si="7"/>
        <v>-64827.85</v>
      </c>
    </row>
    <row r="126" spans="1:32">
      <c r="A126" s="35">
        <v>118</v>
      </c>
      <c r="C126" s="6" t="s">
        <v>1809</v>
      </c>
      <c r="D126" s="6" t="str">
        <f t="shared" si="8"/>
        <v>00100</v>
      </c>
      <c r="E126" s="386">
        <v>59484.53</v>
      </c>
      <c r="F126" s="386">
        <v>-749.38</v>
      </c>
      <c r="G126" s="386">
        <v>59484.53</v>
      </c>
      <c r="H126" s="386">
        <v>-228.39000000000001</v>
      </c>
      <c r="I126" s="386">
        <v>59484.53</v>
      </c>
      <c r="J126" s="386">
        <v>292.60000000000002</v>
      </c>
      <c r="K126" s="386">
        <v>59484.53</v>
      </c>
      <c r="L126" s="386">
        <v>813.59</v>
      </c>
      <c r="M126" s="386">
        <v>59484.53</v>
      </c>
      <c r="N126" s="386">
        <v>1334.58</v>
      </c>
      <c r="O126" s="386">
        <v>59484.53</v>
      </c>
      <c r="P126" s="386">
        <v>1855.57</v>
      </c>
      <c r="Q126" s="386">
        <v>59484.53</v>
      </c>
      <c r="R126" s="386">
        <v>2376.56</v>
      </c>
      <c r="S126" s="386">
        <v>59484.53</v>
      </c>
      <c r="T126" s="386">
        <v>2897.55</v>
      </c>
      <c r="U126" s="386">
        <v>59484.53</v>
      </c>
      <c r="V126" s="386">
        <v>3418.54</v>
      </c>
      <c r="W126" s="386">
        <v>59484.53</v>
      </c>
      <c r="X126" s="386">
        <v>3939.53</v>
      </c>
      <c r="Y126" s="386">
        <v>59484.53</v>
      </c>
      <c r="Z126" s="386">
        <v>4460.5200000000004</v>
      </c>
      <c r="AA126" s="386">
        <v>59484.53</v>
      </c>
      <c r="AB126" s="386">
        <v>4981.51</v>
      </c>
      <c r="AC126" s="386">
        <v>59484.53</v>
      </c>
      <c r="AD126" s="386">
        <v>5502.5</v>
      </c>
      <c r="AE126" s="386">
        <f t="shared" si="7"/>
        <v>59484.530000000021</v>
      </c>
      <c r="AF126" s="386">
        <f t="shared" si="7"/>
        <v>2376.5600000000004</v>
      </c>
    </row>
    <row r="127" spans="1:32">
      <c r="A127" s="35">
        <v>119</v>
      </c>
      <c r="C127" s="6" t="s">
        <v>1810</v>
      </c>
      <c r="D127" s="6" t="str">
        <f t="shared" si="8"/>
        <v>00101</v>
      </c>
      <c r="E127" s="386">
        <v>152895.69</v>
      </c>
      <c r="F127" s="386">
        <v>877.88</v>
      </c>
      <c r="G127" s="386">
        <v>152895.69</v>
      </c>
      <c r="H127" s="386">
        <v>1755.76</v>
      </c>
      <c r="I127" s="386">
        <v>152895.69</v>
      </c>
      <c r="J127" s="386">
        <v>2633.64</v>
      </c>
      <c r="K127" s="386">
        <v>160441.69</v>
      </c>
      <c r="L127" s="386">
        <v>-5239.4800000000005</v>
      </c>
      <c r="M127" s="386">
        <v>1711691.02</v>
      </c>
      <c r="N127" s="386">
        <v>-4318.28</v>
      </c>
      <c r="O127" s="386">
        <v>1814160.85</v>
      </c>
      <c r="P127" s="386">
        <v>5501.22</v>
      </c>
      <c r="Q127" s="386">
        <v>1841077.5899999999</v>
      </c>
      <c r="R127" s="386">
        <v>15917.53</v>
      </c>
      <c r="S127" s="386">
        <v>1841077.5899999999</v>
      </c>
      <c r="T127" s="386">
        <v>26470.74</v>
      </c>
      <c r="U127" s="386">
        <v>1932569.9300000002</v>
      </c>
      <c r="V127" s="386">
        <v>37041.590000000004</v>
      </c>
      <c r="W127" s="386">
        <v>2015329.4</v>
      </c>
      <c r="X127" s="386">
        <v>52694.76</v>
      </c>
      <c r="Y127" s="386">
        <v>2093935.68</v>
      </c>
      <c r="Z127" s="386">
        <v>64266.11</v>
      </c>
      <c r="AA127" s="386">
        <v>2094021.05</v>
      </c>
      <c r="AB127" s="386">
        <v>76288.790000000008</v>
      </c>
      <c r="AC127" s="386">
        <v>2097605.38</v>
      </c>
      <c r="AD127" s="386">
        <v>88311.96</v>
      </c>
      <c r="AE127" s="386">
        <f t="shared" si="7"/>
        <v>1411278.8929166666</v>
      </c>
      <c r="AF127" s="386">
        <f t="shared" si="7"/>
        <v>26467.274999999998</v>
      </c>
    </row>
    <row r="128" spans="1:32">
      <c r="A128" s="35">
        <v>120</v>
      </c>
      <c r="C128" s="6" t="s">
        <v>1811</v>
      </c>
      <c r="D128" s="6" t="str">
        <f t="shared" si="8"/>
        <v>00101</v>
      </c>
      <c r="E128" s="386">
        <v>51182030.329999998</v>
      </c>
      <c r="F128" s="386">
        <v>16837378.149999999</v>
      </c>
      <c r="G128" s="386">
        <v>51160208.359999999</v>
      </c>
      <c r="H128" s="386">
        <v>16899812.190000001</v>
      </c>
      <c r="I128" s="386">
        <v>51060135.469999999</v>
      </c>
      <c r="J128" s="386">
        <v>16852905.27</v>
      </c>
      <c r="K128" s="386">
        <v>51639163.960000001</v>
      </c>
      <c r="L128" s="386">
        <v>16920899.539999999</v>
      </c>
      <c r="M128" s="386">
        <v>50406543.200000003</v>
      </c>
      <c r="N128" s="386">
        <v>16957899.129999999</v>
      </c>
      <c r="O128" s="386">
        <v>51892286.270000003</v>
      </c>
      <c r="P128" s="386">
        <v>17019364.969999999</v>
      </c>
      <c r="Q128" s="386">
        <v>52379921.789999999</v>
      </c>
      <c r="R128" s="386">
        <v>17013189.66</v>
      </c>
      <c r="S128" s="386">
        <v>52727038.460000001</v>
      </c>
      <c r="T128" s="386">
        <v>17083649.920000002</v>
      </c>
      <c r="U128" s="386">
        <v>52882327.759999998</v>
      </c>
      <c r="V128" s="386">
        <v>17183391.899999999</v>
      </c>
      <c r="W128" s="386">
        <v>53103996.219999999</v>
      </c>
      <c r="X128" s="386">
        <v>17141518.27</v>
      </c>
      <c r="Y128" s="386">
        <v>53335011</v>
      </c>
      <c r="Z128" s="386">
        <v>17129958.969999999</v>
      </c>
      <c r="AA128" s="386">
        <v>53897711.869999997</v>
      </c>
      <c r="AB128" s="386">
        <v>17190421.510000002</v>
      </c>
      <c r="AC128" s="386">
        <v>54174250</v>
      </c>
      <c r="AD128" s="386">
        <v>17253698.82</v>
      </c>
      <c r="AE128" s="386">
        <f t="shared" si="7"/>
        <v>52263540.377083331</v>
      </c>
      <c r="AF128" s="386">
        <f t="shared" si="7"/>
        <v>17036545.817916665</v>
      </c>
    </row>
    <row r="129" spans="1:32">
      <c r="A129" s="35">
        <v>121</v>
      </c>
      <c r="C129" s="6" t="s">
        <v>1812</v>
      </c>
      <c r="D129" s="6" t="str">
        <f t="shared" si="8"/>
        <v>00101</v>
      </c>
      <c r="E129" s="386">
        <v>10358744.91</v>
      </c>
      <c r="F129" s="386">
        <v>3715135.11</v>
      </c>
      <c r="G129" s="386">
        <v>10355536.439999999</v>
      </c>
      <c r="H129" s="386">
        <v>3726929.45</v>
      </c>
      <c r="I129" s="386">
        <v>10315040.960000001</v>
      </c>
      <c r="J129" s="386">
        <v>3706454.67</v>
      </c>
      <c r="K129" s="386">
        <v>10333469.91</v>
      </c>
      <c r="L129" s="386">
        <v>3719301.89</v>
      </c>
      <c r="M129" s="386">
        <v>10338986.5</v>
      </c>
      <c r="N129" s="386">
        <v>3725738.58</v>
      </c>
      <c r="O129" s="386">
        <v>10366133.07</v>
      </c>
      <c r="P129" s="386">
        <v>3725109.34</v>
      </c>
      <c r="Q129" s="386">
        <v>10339476.75</v>
      </c>
      <c r="R129" s="386">
        <v>3712275.58</v>
      </c>
      <c r="S129" s="386">
        <v>10339574.16</v>
      </c>
      <c r="T129" s="386">
        <v>3722128.14</v>
      </c>
      <c r="U129" s="386">
        <v>10368697.16</v>
      </c>
      <c r="V129" s="386">
        <v>3742117.98</v>
      </c>
      <c r="W129" s="386">
        <v>10393997.16</v>
      </c>
      <c r="X129" s="386">
        <v>3729577.88</v>
      </c>
      <c r="Y129" s="386">
        <v>10378396.300000001</v>
      </c>
      <c r="Z129" s="386">
        <v>3703590.21</v>
      </c>
      <c r="AA129" s="386">
        <v>10373562.83</v>
      </c>
      <c r="AB129" s="386">
        <v>3707805.92</v>
      </c>
      <c r="AC129" s="386">
        <v>10387456.75</v>
      </c>
      <c r="AD129" s="386">
        <v>3712345.17</v>
      </c>
      <c r="AE129" s="386">
        <f t="shared" si="7"/>
        <v>10356331.005833333</v>
      </c>
      <c r="AF129" s="386">
        <f t="shared" si="7"/>
        <v>3719564.1483333334</v>
      </c>
    </row>
    <row r="130" spans="1:32">
      <c r="A130" s="35">
        <v>122</v>
      </c>
      <c r="B130" s="388" t="s">
        <v>1771</v>
      </c>
      <c r="C130" s="389"/>
      <c r="D130" s="388" t="s">
        <v>1813</v>
      </c>
      <c r="E130" s="390">
        <f>SUM(E91:E129)</f>
        <v>112362136.67000002</v>
      </c>
      <c r="F130" s="390">
        <f t="shared" ref="F130:AF130" si="9">SUM(F91:F129)</f>
        <v>39200450.210000001</v>
      </c>
      <c r="G130" s="390">
        <f t="shared" si="9"/>
        <v>112571769.66999999</v>
      </c>
      <c r="H130" s="390">
        <f t="shared" si="9"/>
        <v>39526591.510000013</v>
      </c>
      <c r="I130" s="390">
        <f t="shared" si="9"/>
        <v>112454606.22</v>
      </c>
      <c r="J130" s="390">
        <f t="shared" si="9"/>
        <v>39755859.020000003</v>
      </c>
      <c r="K130" s="390">
        <f t="shared" si="9"/>
        <v>113101483.36</v>
      </c>
      <c r="L130" s="390">
        <f t="shared" si="9"/>
        <v>40082008.399999999</v>
      </c>
      <c r="M130" s="390">
        <f t="shared" si="9"/>
        <v>113359532.71000001</v>
      </c>
      <c r="N130" s="390">
        <f t="shared" si="9"/>
        <v>40361238.510000005</v>
      </c>
      <c r="O130" s="390">
        <f t="shared" si="9"/>
        <v>115014438.06999999</v>
      </c>
      <c r="P130" s="390">
        <f t="shared" si="9"/>
        <v>40727219.090000004</v>
      </c>
      <c r="Q130" s="390">
        <f t="shared" si="9"/>
        <v>115477290.96000001</v>
      </c>
      <c r="R130" s="390">
        <f t="shared" si="9"/>
        <v>40994379.859999999</v>
      </c>
      <c r="S130" s="390">
        <f t="shared" si="9"/>
        <v>115830751.41</v>
      </c>
      <c r="T130" s="390">
        <f t="shared" si="9"/>
        <v>41364992.230000004</v>
      </c>
      <c r="U130" s="390">
        <f t="shared" si="9"/>
        <v>116340557.40000001</v>
      </c>
      <c r="V130" s="390">
        <f t="shared" si="9"/>
        <v>41780642.32</v>
      </c>
      <c r="W130" s="390">
        <f t="shared" si="9"/>
        <v>116675236.34</v>
      </c>
      <c r="X130" s="390">
        <f t="shared" si="9"/>
        <v>42032811.619999997</v>
      </c>
      <c r="Y130" s="390">
        <f t="shared" si="9"/>
        <v>116988147.11999999</v>
      </c>
      <c r="Z130" s="390">
        <f t="shared" si="9"/>
        <v>42288253.859999999</v>
      </c>
      <c r="AA130" s="390">
        <f t="shared" si="9"/>
        <v>117607026.10999998</v>
      </c>
      <c r="AB130" s="390">
        <f t="shared" si="9"/>
        <v>42645845.780000001</v>
      </c>
      <c r="AC130" s="390">
        <f t="shared" si="9"/>
        <v>117946720.29000001</v>
      </c>
      <c r="AD130" s="390">
        <f t="shared" si="9"/>
        <v>43006649.770000011</v>
      </c>
      <c r="AE130" s="390">
        <f t="shared" si="9"/>
        <v>115047938.98749998</v>
      </c>
      <c r="AF130" s="390">
        <f t="shared" si="9"/>
        <v>41055282.682499997</v>
      </c>
    </row>
    <row r="131" spans="1:32">
      <c r="A131" s="35">
        <v>123</v>
      </c>
      <c r="B131" s="1059" t="s">
        <v>1814</v>
      </c>
      <c r="C131" s="1059"/>
      <c r="D131" s="391"/>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row>
    <row r="132" spans="1:32">
      <c r="A132" s="35">
        <v>124</v>
      </c>
      <c r="C132" s="6" t="s">
        <v>1815</v>
      </c>
      <c r="E132" s="386">
        <v>0</v>
      </c>
      <c r="F132" s="386">
        <v>0</v>
      </c>
      <c r="G132" s="386">
        <v>0</v>
      </c>
      <c r="H132" s="386">
        <v>0</v>
      </c>
      <c r="I132" s="386">
        <v>0</v>
      </c>
      <c r="J132" s="386">
        <v>0</v>
      </c>
      <c r="K132" s="386">
        <v>0</v>
      </c>
      <c r="L132" s="386">
        <v>0</v>
      </c>
      <c r="M132" s="386">
        <v>0</v>
      </c>
      <c r="N132" s="386">
        <v>0</v>
      </c>
      <c r="O132" s="386">
        <v>0</v>
      </c>
      <c r="P132" s="386">
        <v>0</v>
      </c>
      <c r="Q132" s="386">
        <v>0</v>
      </c>
      <c r="R132" s="386">
        <v>0</v>
      </c>
      <c r="S132" s="386">
        <v>0</v>
      </c>
      <c r="T132" s="386">
        <v>0</v>
      </c>
      <c r="U132" s="386">
        <v>87147.19</v>
      </c>
      <c r="V132" s="386">
        <v>30084.41</v>
      </c>
      <c r="W132" s="386">
        <v>87147.19</v>
      </c>
      <c r="X132" s="386">
        <v>30154.9</v>
      </c>
      <c r="Y132" s="386">
        <v>87147.19</v>
      </c>
      <c r="Z132" s="386">
        <v>30225.39</v>
      </c>
      <c r="AA132" s="386">
        <v>87147.19</v>
      </c>
      <c r="AB132" s="386">
        <v>30295.88</v>
      </c>
      <c r="AC132" s="386">
        <v>87147.19</v>
      </c>
      <c r="AD132" s="386">
        <v>30366.37</v>
      </c>
      <c r="AE132" s="386">
        <f t="shared" ref="AE132:AF134" si="10">+(E132+AC132+(+G132+I132+K132+M132+O132+Q132+S132+U132+W132+Y132+AA132)*2)/24</f>
        <v>32680.196249999997</v>
      </c>
      <c r="AF132" s="386">
        <f t="shared" si="10"/>
        <v>11328.647083333335</v>
      </c>
    </row>
    <row r="133" spans="1:32">
      <c r="A133" s="35">
        <v>125</v>
      </c>
      <c r="C133" s="6" t="s">
        <v>1816</v>
      </c>
      <c r="E133" s="386">
        <v>4535.99</v>
      </c>
      <c r="F133" s="386">
        <v>2551.4299999999998</v>
      </c>
      <c r="G133" s="386">
        <v>4535.99</v>
      </c>
      <c r="H133" s="386">
        <v>2559.54</v>
      </c>
      <c r="I133" s="386">
        <v>4535.99</v>
      </c>
      <c r="J133" s="386">
        <v>2567.65</v>
      </c>
      <c r="K133" s="386">
        <v>4535.99</v>
      </c>
      <c r="L133" s="386">
        <v>2575.75</v>
      </c>
      <c r="M133" s="386">
        <v>4535.99</v>
      </c>
      <c r="N133" s="386">
        <v>2583.86</v>
      </c>
      <c r="O133" s="386">
        <v>4535.99</v>
      </c>
      <c r="P133" s="386">
        <v>2591.96</v>
      </c>
      <c r="Q133" s="386">
        <v>4535.99</v>
      </c>
      <c r="R133" s="386">
        <v>2600.0700000000002</v>
      </c>
      <c r="S133" s="386">
        <v>4535.99</v>
      </c>
      <c r="T133" s="386">
        <v>2608.17</v>
      </c>
      <c r="U133" s="386">
        <v>4535.99</v>
      </c>
      <c r="V133" s="386">
        <v>2616.27</v>
      </c>
      <c r="W133" s="386">
        <v>0</v>
      </c>
      <c r="X133" s="386">
        <v>0</v>
      </c>
      <c r="Y133" s="386">
        <v>0</v>
      </c>
      <c r="Z133" s="386">
        <v>0</v>
      </c>
      <c r="AA133" s="386">
        <v>0</v>
      </c>
      <c r="AB133" s="386">
        <v>0</v>
      </c>
      <c r="AC133" s="386">
        <v>0</v>
      </c>
      <c r="AD133" s="386">
        <v>0</v>
      </c>
      <c r="AE133" s="386">
        <f t="shared" si="10"/>
        <v>3212.9929166666661</v>
      </c>
      <c r="AF133" s="386">
        <f t="shared" si="10"/>
        <v>1831.5820833333335</v>
      </c>
    </row>
    <row r="134" spans="1:32">
      <c r="A134" s="35">
        <v>126</v>
      </c>
      <c r="C134" s="6" t="s">
        <v>1817</v>
      </c>
      <c r="E134" s="386">
        <v>15387550.01</v>
      </c>
      <c r="F134" s="386">
        <v>8466077.3900000341</v>
      </c>
      <c r="G134" s="386">
        <v>15387550.01</v>
      </c>
      <c r="H134" s="386">
        <v>3731275.7599998023</v>
      </c>
      <c r="I134" s="386">
        <v>15387550.01</v>
      </c>
      <c r="J134" s="386">
        <v>3731319.9400000405</v>
      </c>
      <c r="K134" s="386">
        <v>15428541.02</v>
      </c>
      <c r="L134" s="386">
        <v>3756741.1300001</v>
      </c>
      <c r="M134" s="386">
        <v>15428541.02</v>
      </c>
      <c r="N134" s="386">
        <v>3756785.3299999214</v>
      </c>
      <c r="O134" s="386">
        <v>15428541.02</v>
      </c>
      <c r="P134" s="386">
        <v>3756829.5099999215</v>
      </c>
      <c r="Q134" s="386">
        <v>15513606.02</v>
      </c>
      <c r="R134" s="386">
        <v>3751844.7100001597</v>
      </c>
      <c r="S134" s="386">
        <v>15513606.02</v>
      </c>
      <c r="T134" s="386">
        <v>3751888.8900000406</v>
      </c>
      <c r="U134" s="386">
        <v>15349364.130000001</v>
      </c>
      <c r="V134" s="386">
        <v>3897392.37</v>
      </c>
      <c r="W134" s="386">
        <v>15304937.890000001</v>
      </c>
      <c r="X134" s="386">
        <v>3875947.42</v>
      </c>
      <c r="Y134" s="386">
        <v>15304937.890000001</v>
      </c>
      <c r="Z134" s="386">
        <v>3893544.55</v>
      </c>
      <c r="AA134" s="386">
        <v>15304937.890000001</v>
      </c>
      <c r="AB134" s="386">
        <v>3911141.64</v>
      </c>
      <c r="AC134" s="386">
        <v>16492357.26</v>
      </c>
      <c r="AD134" s="386">
        <v>3912178.58</v>
      </c>
      <c r="AE134" s="386">
        <f t="shared" si="10"/>
        <v>15441005.546249995</v>
      </c>
      <c r="AF134" s="386">
        <f t="shared" si="10"/>
        <v>4000319.9362499998</v>
      </c>
    </row>
    <row r="135" spans="1:32">
      <c r="A135" s="35">
        <v>127</v>
      </c>
      <c r="B135" s="1060" t="s">
        <v>1814</v>
      </c>
      <c r="C135" s="1060"/>
      <c r="D135" s="388"/>
      <c r="E135" s="390">
        <f>SUM(E132:E134)</f>
        <v>15392086</v>
      </c>
      <c r="F135" s="390">
        <f t="shared" ref="F135:AF135" si="11">SUM(F132:F134)</f>
        <v>8468628.8200000338</v>
      </c>
      <c r="G135" s="390">
        <f t="shared" si="11"/>
        <v>15392086</v>
      </c>
      <c r="H135" s="390">
        <f t="shared" si="11"/>
        <v>3733835.2999998024</v>
      </c>
      <c r="I135" s="390">
        <f t="shared" si="11"/>
        <v>15392086</v>
      </c>
      <c r="J135" s="390">
        <f t="shared" si="11"/>
        <v>3733887.5900000404</v>
      </c>
      <c r="K135" s="390">
        <f t="shared" si="11"/>
        <v>15433077.01</v>
      </c>
      <c r="L135" s="390">
        <f t="shared" si="11"/>
        <v>3759316.8800001</v>
      </c>
      <c r="M135" s="390">
        <f t="shared" si="11"/>
        <v>15433077.01</v>
      </c>
      <c r="N135" s="390">
        <f t="shared" si="11"/>
        <v>3759369.1899999212</v>
      </c>
      <c r="O135" s="390">
        <f t="shared" si="11"/>
        <v>15433077.01</v>
      </c>
      <c r="P135" s="390">
        <f t="shared" si="11"/>
        <v>3759421.4699999215</v>
      </c>
      <c r="Q135" s="390">
        <f t="shared" si="11"/>
        <v>15518142.01</v>
      </c>
      <c r="R135" s="390">
        <f t="shared" si="11"/>
        <v>3754444.7800001595</v>
      </c>
      <c r="S135" s="390">
        <f t="shared" si="11"/>
        <v>15518142.01</v>
      </c>
      <c r="T135" s="390">
        <f t="shared" si="11"/>
        <v>3754497.0600000406</v>
      </c>
      <c r="U135" s="390">
        <f t="shared" si="11"/>
        <v>15441047.310000001</v>
      </c>
      <c r="V135" s="390">
        <f t="shared" si="11"/>
        <v>3930093.0500000003</v>
      </c>
      <c r="W135" s="390">
        <f t="shared" si="11"/>
        <v>15392085.08</v>
      </c>
      <c r="X135" s="390">
        <f t="shared" si="11"/>
        <v>3906102.32</v>
      </c>
      <c r="Y135" s="390">
        <f t="shared" si="11"/>
        <v>15392085.08</v>
      </c>
      <c r="Z135" s="390">
        <f t="shared" si="11"/>
        <v>3923769.94</v>
      </c>
      <c r="AA135" s="390">
        <f t="shared" si="11"/>
        <v>15392085.08</v>
      </c>
      <c r="AB135" s="390">
        <f t="shared" si="11"/>
        <v>3941437.52</v>
      </c>
      <c r="AC135" s="390">
        <f t="shared" si="11"/>
        <v>16579504.449999999</v>
      </c>
      <c r="AD135" s="390">
        <f t="shared" si="11"/>
        <v>3942544.95</v>
      </c>
      <c r="AE135" s="390">
        <f t="shared" si="11"/>
        <v>15476898.735416662</v>
      </c>
      <c r="AF135" s="390">
        <f t="shared" si="11"/>
        <v>4013480.1654166663</v>
      </c>
    </row>
    <row r="136" spans="1:32">
      <c r="A136" s="35">
        <v>128</v>
      </c>
    </row>
    <row r="137" spans="1:32" ht="16.5" thickBot="1">
      <c r="A137" s="35">
        <v>129</v>
      </c>
      <c r="B137" s="393"/>
      <c r="C137" s="394" t="s">
        <v>1818</v>
      </c>
      <c r="D137" s="393"/>
      <c r="E137" s="395">
        <f>SUM(E135,E130,E89,E46)</f>
        <v>870184135.21000016</v>
      </c>
      <c r="F137" s="396">
        <f t="shared" ref="F137:AF137" si="12">SUM(F135,F130,F89,F46)</f>
        <v>433067740.01999992</v>
      </c>
      <c r="G137" s="395">
        <f t="shared" si="12"/>
        <v>871816436.24000001</v>
      </c>
      <c r="H137" s="396">
        <f t="shared" si="12"/>
        <v>434697330.28999996</v>
      </c>
      <c r="I137" s="395">
        <f t="shared" si="12"/>
        <v>873088659.97000015</v>
      </c>
      <c r="J137" s="396">
        <f t="shared" si="12"/>
        <v>436498576.22000003</v>
      </c>
      <c r="K137" s="395">
        <f t="shared" si="12"/>
        <v>876255017.16999996</v>
      </c>
      <c r="L137" s="396">
        <f t="shared" si="12"/>
        <v>437711221.13999999</v>
      </c>
      <c r="M137" s="395">
        <f t="shared" si="12"/>
        <v>879184494.24000001</v>
      </c>
      <c r="N137" s="396">
        <f t="shared" si="12"/>
        <v>439640788.68000001</v>
      </c>
      <c r="O137" s="395">
        <f t="shared" si="12"/>
        <v>882225235.36000013</v>
      </c>
      <c r="P137" s="396">
        <f t="shared" si="12"/>
        <v>441710249.43999994</v>
      </c>
      <c r="Q137" s="395">
        <f t="shared" si="12"/>
        <v>884981171.16999984</v>
      </c>
      <c r="R137" s="396">
        <f t="shared" si="12"/>
        <v>443227594.39000005</v>
      </c>
      <c r="S137" s="395">
        <f t="shared" si="12"/>
        <v>888699901.63</v>
      </c>
      <c r="T137" s="396">
        <f t="shared" si="12"/>
        <v>445185388.59000003</v>
      </c>
      <c r="U137" s="395">
        <f t="shared" si="12"/>
        <v>900821526.50999999</v>
      </c>
      <c r="V137" s="396">
        <f t="shared" si="12"/>
        <v>447162143.47000003</v>
      </c>
      <c r="W137" s="395">
        <f t="shared" si="12"/>
        <v>904664746.21999979</v>
      </c>
      <c r="X137" s="396">
        <f t="shared" si="12"/>
        <v>448787560.88999999</v>
      </c>
      <c r="Y137" s="395">
        <f t="shared" si="12"/>
        <v>910978182.97999966</v>
      </c>
      <c r="Z137" s="396">
        <f t="shared" si="12"/>
        <v>450672015.14999998</v>
      </c>
      <c r="AA137" s="395">
        <f t="shared" si="12"/>
        <v>913158696.38999975</v>
      </c>
      <c r="AB137" s="396">
        <f t="shared" si="12"/>
        <v>452561850.26000011</v>
      </c>
      <c r="AC137" s="395">
        <f t="shared" si="12"/>
        <v>922694563.90999997</v>
      </c>
      <c r="AD137" s="396">
        <f t="shared" si="12"/>
        <v>454336084.94999993</v>
      </c>
      <c r="AE137" s="396">
        <f t="shared" si="12"/>
        <v>890192784.78666639</v>
      </c>
      <c r="AF137" s="396">
        <f t="shared" si="12"/>
        <v>443463052.58374989</v>
      </c>
    </row>
    <row r="138" spans="1:32" ht="16.5" thickTop="1">
      <c r="A138" s="35">
        <v>130</v>
      </c>
      <c r="F138" s="91"/>
      <c r="H138" s="91"/>
      <c r="J138" s="91"/>
      <c r="L138" s="91"/>
      <c r="N138" s="91"/>
      <c r="P138" s="91"/>
      <c r="R138" s="91"/>
      <c r="T138" s="91"/>
    </row>
    <row r="139" spans="1:32">
      <c r="A139" s="35">
        <v>131</v>
      </c>
      <c r="F139" s="91"/>
      <c r="H139" s="91"/>
      <c r="I139" s="91"/>
      <c r="J139" s="91"/>
      <c r="K139" s="91"/>
      <c r="L139" s="91"/>
      <c r="M139" s="91"/>
      <c r="N139" s="91"/>
      <c r="O139" s="91"/>
      <c r="P139" s="91"/>
      <c r="Q139" s="91"/>
      <c r="R139" s="91"/>
      <c r="S139" s="91"/>
      <c r="T139" s="91"/>
      <c r="X139" s="397" t="s">
        <v>1879</v>
      </c>
      <c r="Y139" s="397"/>
      <c r="Z139" s="397"/>
      <c r="AC139" s="398"/>
      <c r="AD139" s="398"/>
      <c r="AE139" s="91" t="e">
        <f>+#REF!+#REF!</f>
        <v>#REF!</v>
      </c>
    </row>
    <row r="140" spans="1:32" ht="30">
      <c r="A140" s="35">
        <v>132</v>
      </c>
      <c r="B140" s="783" t="s">
        <v>2026</v>
      </c>
      <c r="D140" s="10"/>
      <c r="X140" s="397" t="s">
        <v>1880</v>
      </c>
      <c r="AA140" s="399"/>
      <c r="AB140" s="399"/>
      <c r="AC140" s="398"/>
      <c r="AD140" s="398"/>
      <c r="AE140" s="91"/>
      <c r="AF140" s="91" t="e">
        <f>-#REF!+#REF!</f>
        <v>#REF!</v>
      </c>
    </row>
    <row r="141" spans="1:32">
      <c r="A141" s="35">
        <v>133</v>
      </c>
    </row>
    <row r="142" spans="1:32">
      <c r="A142" s="35">
        <v>134</v>
      </c>
      <c r="Q142" s="91"/>
    </row>
    <row r="143" spans="1:32">
      <c r="A143" s="35">
        <v>135</v>
      </c>
      <c r="D143" s="399" t="s">
        <v>1819</v>
      </c>
      <c r="F143" s="91">
        <f>E89</f>
        <v>576210019.71000016</v>
      </c>
      <c r="H143" s="91">
        <f>G89</f>
        <v>577681602.6400001</v>
      </c>
      <c r="J143" s="91">
        <f>I89</f>
        <v>578887129.49000013</v>
      </c>
      <c r="L143" s="91">
        <f>K89</f>
        <v>580920985.41999996</v>
      </c>
      <c r="N143" s="91">
        <f>M89</f>
        <v>583272418.28999996</v>
      </c>
      <c r="P143" s="91">
        <f>O89</f>
        <v>584216840.6500001</v>
      </c>
      <c r="R143" s="91">
        <f>Q89</f>
        <v>585599739.0799998</v>
      </c>
      <c r="T143" s="91">
        <f>S89</f>
        <v>588618364.70000005</v>
      </c>
      <c r="V143" s="91">
        <f>U89</f>
        <v>598832328.44999993</v>
      </c>
      <c r="X143" s="91">
        <f>W89</f>
        <v>601967532.84999979</v>
      </c>
      <c r="Z143" s="91">
        <f>Y89</f>
        <v>607446404.66999972</v>
      </c>
      <c r="AB143" s="91">
        <f>AA89</f>
        <v>608700709.48999977</v>
      </c>
      <c r="AD143" s="91">
        <f>AC89</f>
        <v>614373017.27999997</v>
      </c>
    </row>
    <row r="144" spans="1:32">
      <c r="A144" s="35">
        <v>136</v>
      </c>
      <c r="D144" s="399" t="s">
        <v>1820</v>
      </c>
      <c r="E144" s="400">
        <v>0.75729999999999997</v>
      </c>
      <c r="F144" s="91">
        <f>E144*SUM(E91:E126)</f>
        <v>38371229.104902014</v>
      </c>
      <c r="G144" s="400">
        <v>0.75270000000000004</v>
      </c>
      <c r="H144" s="91">
        <f>G144*SUM(G91:G126)</f>
        <v>38314785.333786003</v>
      </c>
      <c r="I144" s="400">
        <v>0.75270000000000004</v>
      </c>
      <c r="J144" s="91">
        <f>I144*SUM(I91:I126)</f>
        <v>38332402.217070006</v>
      </c>
      <c r="K144" s="400">
        <v>0.75270000000000004</v>
      </c>
      <c r="L144" s="91">
        <f>K144*SUM(K91:K126)</f>
        <v>38363920.551060006</v>
      </c>
      <c r="M144" s="400">
        <v>0.75270000000000004</v>
      </c>
      <c r="N144" s="91">
        <f>M144*SUM(M91:M126)</f>
        <v>38314170.234873004</v>
      </c>
      <c r="O144" s="400">
        <v>0.75270000000000004</v>
      </c>
      <c r="P144" s="91">
        <f>O144*SUM(O91:O126)</f>
        <v>38343936.426276006</v>
      </c>
      <c r="Q144" s="400">
        <v>0.75270000000000004</v>
      </c>
      <c r="R144" s="91">
        <f>Q144*SUM(Q91:Q126)</f>
        <v>38325086.522541009</v>
      </c>
      <c r="S144" s="400">
        <v>0.75270000000000004</v>
      </c>
      <c r="T144" s="91">
        <f>S144*SUM(S91:S126)</f>
        <v>38329788.165240005</v>
      </c>
      <c r="U144" s="400">
        <v>0.75270000000000004</v>
      </c>
      <c r="V144" s="91">
        <f>U144*SUM(U91:U126)</f>
        <v>38505845.711385004</v>
      </c>
      <c r="W144" s="400">
        <v>0.75270000000000004</v>
      </c>
      <c r="X144" s="91">
        <f>W144*SUM(W91:W126)</f>
        <v>38509572.336612001</v>
      </c>
      <c r="Y144" s="400">
        <v>0.75270000000000004</v>
      </c>
      <c r="Z144" s="91">
        <f>Y144*SUM(Y91:Y126)</f>
        <v>38523791.276177995</v>
      </c>
      <c r="AA144" s="400">
        <v>0.75270000000000004</v>
      </c>
      <c r="AB144" s="91">
        <f>AA144*SUM(AA91:AA126)</f>
        <v>38569650.441971995</v>
      </c>
      <c r="AC144" s="400">
        <v>0.75270000000000004</v>
      </c>
      <c r="AD144" s="91">
        <f>AC144*SUM(AC91:AC126)</f>
        <v>38604032.122032002</v>
      </c>
      <c r="AE144" s="91"/>
    </row>
    <row r="145" spans="1:32">
      <c r="A145" s="35">
        <v>137</v>
      </c>
      <c r="D145" s="399" t="s">
        <v>1821</v>
      </c>
      <c r="E145" s="400">
        <v>0.75060000000000004</v>
      </c>
      <c r="F145" s="91">
        <f>SUM(E127:E129)*E145</f>
        <v>46307269.400057994</v>
      </c>
      <c r="G145" s="400">
        <v>0.74880000000000002</v>
      </c>
      <c r="H145" s="91">
        <f>SUM(G127:G129)*G145</f>
        <v>46177477.998911999</v>
      </c>
      <c r="I145" s="400">
        <v>0.74880000000000002</v>
      </c>
      <c r="J145" s="91">
        <f>SUM(I127:I129)*I145</f>
        <v>46072220.403456002</v>
      </c>
      <c r="K145" s="400">
        <v>0.74880000000000002</v>
      </c>
      <c r="L145" s="91">
        <f>SUM(K127:K129)*K145</f>
        <v>46525246.979328007</v>
      </c>
      <c r="M145" s="400">
        <v>0.74880000000000002</v>
      </c>
      <c r="N145" s="91">
        <f>SUM(M127:M129)*M145</f>
        <v>46767966.875136003</v>
      </c>
      <c r="O145" s="400">
        <v>0.74880000000000002</v>
      </c>
      <c r="P145" s="91">
        <f>SUM(O127:O129)*O145</f>
        <v>47977548.046272002</v>
      </c>
      <c r="Q145" s="400">
        <v>0.74880000000000002</v>
      </c>
      <c r="R145" s="91">
        <f>SUM(Q127:Q129)*Q145</f>
        <v>48342884.526143998</v>
      </c>
      <c r="S145" s="400">
        <v>0.74880000000000002</v>
      </c>
      <c r="T145" s="91">
        <f>SUM(S127:S129)*S145</f>
        <v>48602878.429247998</v>
      </c>
      <c r="U145" s="400">
        <v>0.74880000000000002</v>
      </c>
      <c r="V145" s="91">
        <f>SUM(U127:U129)*U145</f>
        <v>48809475.823679999</v>
      </c>
      <c r="W145" s="400">
        <v>0.74880000000000002</v>
      </c>
      <c r="X145" s="91">
        <f>SUM(W127:W129)*W145</f>
        <v>49056376.097663999</v>
      </c>
      <c r="Y145" s="400">
        <v>0.74880000000000002</v>
      </c>
      <c r="Z145" s="91">
        <f>SUM(Y127:Y129)*Y145</f>
        <v>49276538.423424006</v>
      </c>
      <c r="AA145" s="400">
        <v>0.74880000000000002</v>
      </c>
      <c r="AB145" s="91">
        <f>SUM(AA127:AA129)*AA145</f>
        <v>49694333.457599998</v>
      </c>
      <c r="AC145" s="400">
        <v>0.74880000000000002</v>
      </c>
      <c r="AD145" s="91">
        <f>SUM(AC127:AC129)*AC145</f>
        <v>49914492.922944002</v>
      </c>
    </row>
    <row r="146" spans="1:32">
      <c r="A146" s="35">
        <v>138</v>
      </c>
      <c r="F146" s="91"/>
      <c r="H146" s="91"/>
      <c r="J146" s="91"/>
      <c r="L146" s="91"/>
      <c r="N146" s="91"/>
      <c r="P146" s="91"/>
      <c r="R146" s="91"/>
      <c r="T146" s="91"/>
      <c r="V146" s="91"/>
      <c r="X146" s="91"/>
      <c r="Z146" s="91"/>
      <c r="AB146" s="91"/>
      <c r="AD146" s="91"/>
    </row>
    <row r="147" spans="1:32">
      <c r="A147" s="35">
        <v>139</v>
      </c>
      <c r="D147" s="399" t="s">
        <v>1822</v>
      </c>
      <c r="F147" s="91">
        <f>SUM(F143:F145)</f>
        <v>660888518.21496022</v>
      </c>
      <c r="H147" s="91">
        <f>SUM(H143:H145)</f>
        <v>662173865.97269809</v>
      </c>
      <c r="J147" s="91">
        <f>SUM(J143:J145)</f>
        <v>663291752.11052608</v>
      </c>
      <c r="L147" s="91">
        <f>SUM(L143:L145)</f>
        <v>665810152.95038795</v>
      </c>
      <c r="N147" s="91">
        <f>SUM(N143:N145)</f>
        <v>668354555.40000904</v>
      </c>
      <c r="P147" s="91">
        <f>SUM(P143:P145)</f>
        <v>670538325.1225481</v>
      </c>
      <c r="R147" s="91">
        <f>SUM(R143:R145)</f>
        <v>672267710.12868488</v>
      </c>
      <c r="T147" s="91">
        <f>SUM(T143:T145)</f>
        <v>675551031.29448807</v>
      </c>
      <c r="V147" s="91">
        <f>SUM(V143:V145)</f>
        <v>686147649.98506498</v>
      </c>
      <c r="X147" s="91">
        <f>SUM(X143:X145)</f>
        <v>689533481.28427577</v>
      </c>
      <c r="Z147" s="91">
        <f>SUM(Z143:Z145)</f>
        <v>695246734.36960173</v>
      </c>
      <c r="AB147" s="91">
        <f>SUM(AB143:AB145)</f>
        <v>696964693.38957179</v>
      </c>
      <c r="AD147" s="91">
        <f>SUM(AD143:AD145)</f>
        <v>702891542.32497597</v>
      </c>
      <c r="AE147" s="6" t="s">
        <v>1830</v>
      </c>
      <c r="AF147" s="401">
        <f t="shared" ref="AF147" si="13">+(F147+AD147+(+H147+J147+L147+N147+P147+R147+T147+V147+X147+Z147+AB147)*2)/24</f>
        <v>677314165.18981874</v>
      </c>
    </row>
    <row r="148" spans="1:32">
      <c r="A148" s="35">
        <v>140</v>
      </c>
      <c r="AB148" s="91"/>
      <c r="AD148" s="91"/>
    </row>
    <row r="149" spans="1:32">
      <c r="A149" s="35">
        <v>141</v>
      </c>
      <c r="D149" s="399" t="s">
        <v>1819</v>
      </c>
      <c r="F149" s="91">
        <f>F89</f>
        <v>304692694.86999989</v>
      </c>
      <c r="H149" s="91">
        <f>H89</f>
        <v>309480837.00000012</v>
      </c>
      <c r="J149" s="91">
        <f>J89</f>
        <v>310705295.72999996</v>
      </c>
      <c r="L149" s="91">
        <f>L89</f>
        <v>311239204.5999999</v>
      </c>
      <c r="N149" s="91">
        <f>N89</f>
        <v>312471439.2100001</v>
      </c>
      <c r="P149" s="91">
        <f>P89</f>
        <v>313749995.52000004</v>
      </c>
      <c r="R149" s="91">
        <f>R89</f>
        <v>314596173.39999992</v>
      </c>
      <c r="T149" s="91">
        <f>T89</f>
        <v>315768871.25</v>
      </c>
      <c r="V149" s="91">
        <f>V89</f>
        <v>316875748.73000002</v>
      </c>
      <c r="X149" s="91">
        <f>X89</f>
        <v>317897034.14999998</v>
      </c>
      <c r="Z149" s="91">
        <f>Z89</f>
        <v>319107740.81999993</v>
      </c>
      <c r="AB149" s="91">
        <f>AB89</f>
        <v>320289045.50000006</v>
      </c>
      <c r="AD149" s="91">
        <f>AD89</f>
        <v>321296055.43999994</v>
      </c>
    </row>
    <row r="150" spans="1:32">
      <c r="A150" s="35">
        <v>142</v>
      </c>
      <c r="D150" s="399" t="s">
        <v>1820</v>
      </c>
      <c r="F150" s="91">
        <f>E144*SUM(F91:F126)</f>
        <v>14121417.833711002</v>
      </c>
      <c r="H150" s="91">
        <f>G144*SUM(H91:H126)</f>
        <v>14224595.436597006</v>
      </c>
      <c r="J150" s="91">
        <f>I144*SUM(J91:J126)</f>
        <v>14447222.516688002</v>
      </c>
      <c r="L150" s="91">
        <f>K144*SUM(L91:L126)</f>
        <v>14637791.862915</v>
      </c>
      <c r="N150" s="91">
        <f>M144*SUM(N91:N126)</f>
        <v>14814580.491516005</v>
      </c>
      <c r="P150" s="91">
        <f>O144*SUM(P91:P126)</f>
        <v>15036871.227612006</v>
      </c>
      <c r="R150" s="91">
        <f>Q144*SUM(R91:R126)</f>
        <v>15244430.909643</v>
      </c>
      <c r="T150" s="91">
        <f>S144*SUM(T91:T126)</f>
        <v>15454995.979761003</v>
      </c>
      <c r="V150" s="91">
        <f>U144*SUM(V91:V126)</f>
        <v>15669776.982795002</v>
      </c>
      <c r="X150" s="91">
        <f>W144*SUM(X91:X126)</f>
        <v>15888759.888416998</v>
      </c>
      <c r="Z150" s="91">
        <f>Y144*SUM(Z91:Z126)</f>
        <v>16100583.111639</v>
      </c>
      <c r="AB150" s="91">
        <f>AA144*SUM(AB91:AB126)</f>
        <v>16312009.759812003</v>
      </c>
      <c r="AD150" s="91">
        <f>AC144*SUM(AD91:AD126)</f>
        <v>16523491.558314003</v>
      </c>
    </row>
    <row r="151" spans="1:32">
      <c r="A151" s="35">
        <v>143</v>
      </c>
      <c r="D151" s="399" t="s">
        <v>1821</v>
      </c>
      <c r="F151" s="91">
        <f>SUM(F127:F129)*E145</f>
        <v>15427375.389683999</v>
      </c>
      <c r="H151" s="91">
        <f>SUM(H127:H129)*G145</f>
        <v>15446618.853120003</v>
      </c>
      <c r="J151" s="91">
        <f>SUM(J127:J129)*I145</f>
        <v>15396820.792703999</v>
      </c>
      <c r="L151" s="91">
        <f>SUM(L127:L129)*K145</f>
        <v>15451459.508160001</v>
      </c>
      <c r="N151" s="91">
        <f>SUM(N127:N129)*M145</f>
        <v>15484674.389184</v>
      </c>
      <c r="P151" s="91">
        <f>SUM(P127:P129)*O145</f>
        <v>15537581.676863998</v>
      </c>
      <c r="R151" s="91">
        <f>SUM(R127:R129)*Q145</f>
        <v>15531147.418176003</v>
      </c>
      <c r="T151" s="91">
        <f>SUM(T127:T129)*S145</f>
        <v>15599187.90144</v>
      </c>
      <c r="V151" s="91">
        <f>SUM(V127:V129)*U145</f>
        <v>15696758.540735999</v>
      </c>
      <c r="X151" s="91">
        <f>SUM(X127:X129)*W145</f>
        <v>15667734.633408001</v>
      </c>
      <c r="Z151" s="91">
        <f>SUM(Z127:Z129)*Y145</f>
        <v>15648284.089151999</v>
      </c>
      <c r="AB151" s="91">
        <f>SUM(AB127:AB129)*AA145</f>
        <v>15705717.745536</v>
      </c>
      <c r="AD151" s="91">
        <f>SUM(AD127:AD129)*AC145</f>
        <v>15765501.735360002</v>
      </c>
    </row>
    <row r="152" spans="1:32">
      <c r="A152" s="35">
        <v>144</v>
      </c>
      <c r="F152" s="91"/>
      <c r="H152" s="91"/>
      <c r="J152" s="91"/>
      <c r="L152" s="91"/>
      <c r="N152" s="91"/>
      <c r="P152" s="91"/>
      <c r="R152" s="91"/>
      <c r="T152" s="91"/>
      <c r="V152" s="91"/>
      <c r="X152" s="91"/>
      <c r="Z152" s="91"/>
      <c r="AB152" s="91"/>
      <c r="AD152" s="91"/>
    </row>
    <row r="153" spans="1:32">
      <c r="A153" s="35">
        <v>145</v>
      </c>
      <c r="D153" s="399" t="s">
        <v>1823</v>
      </c>
      <c r="F153" s="91">
        <f>SUM(F149:F151)</f>
        <v>334241488.09339494</v>
      </c>
      <c r="H153" s="91">
        <f>SUM(H149:H151)</f>
        <v>339152051.28971714</v>
      </c>
      <c r="J153" s="91">
        <f>SUM(J149:J151)</f>
        <v>340549339.03939193</v>
      </c>
      <c r="L153" s="91">
        <f>SUM(L149:L151)</f>
        <v>341328455.97107488</v>
      </c>
      <c r="N153" s="91">
        <f>SUM(N149:N151)</f>
        <v>342770694.09070009</v>
      </c>
      <c r="P153" s="91">
        <f>SUM(P149:P151)</f>
        <v>344324448.42447603</v>
      </c>
      <c r="R153" s="91">
        <f>SUM(R149:R151)</f>
        <v>345371751.72781891</v>
      </c>
      <c r="T153" s="91">
        <f>SUM(T149:T151)</f>
        <v>346823055.13120103</v>
      </c>
      <c r="V153" s="91">
        <f>SUM(V149:V151)</f>
        <v>348242284.25353104</v>
      </c>
      <c r="X153" s="91">
        <f>SUM(X149:X151)</f>
        <v>349453528.67182499</v>
      </c>
      <c r="Z153" s="91">
        <f>SUM(Z149:Z151)</f>
        <v>350856608.02079093</v>
      </c>
      <c r="AB153" s="91">
        <f>SUM(AB149:AB151)</f>
        <v>352306773.00534809</v>
      </c>
      <c r="AD153" s="91">
        <f>SUM(AD149:AD151)</f>
        <v>353585048.73367399</v>
      </c>
      <c r="AE153" s="6" t="s">
        <v>1831</v>
      </c>
      <c r="AF153" s="401">
        <f t="shared" ref="AF153" si="14">+(F153+AD153+(+H153+J153+L153+N153+P153+R153+T153+V153+X153+Z153+AB153)*2)/24</f>
        <v>345424354.83661753</v>
      </c>
    </row>
  </sheetData>
  <mergeCells count="22">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 ref="B131:C131"/>
    <mergeCell ref="B135:C135"/>
    <mergeCell ref="A5:G5"/>
    <mergeCell ref="A1:G1"/>
    <mergeCell ref="A2:G2"/>
    <mergeCell ref="A3:G3"/>
    <mergeCell ref="A4:G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61"/>
  <sheetViews>
    <sheetView view="pageBreakPreview" zoomScale="60" zoomScaleNormal="100" workbookViewId="0">
      <selection activeCell="A3" sqref="A3:H3"/>
    </sheetView>
  </sheetViews>
  <sheetFormatPr defaultRowHeight="15.75"/>
  <cols>
    <col min="1" max="1" width="9.42578125" style="35" bestFit="1" customWidth="1"/>
    <col min="2" max="2" width="22.140625" style="6" bestFit="1" customWidth="1"/>
    <col min="3" max="3" width="9.140625" style="6"/>
    <col min="4" max="4" width="4.5703125" style="6" customWidth="1"/>
    <col min="5" max="9" width="9.140625" style="6"/>
    <col min="10" max="10" width="21.28515625" style="6" bestFit="1" customWidth="1"/>
    <col min="11" max="12" width="20.42578125" style="6" bestFit="1" customWidth="1"/>
    <col min="13" max="13" width="21.85546875" style="6" bestFit="1" customWidth="1"/>
    <col min="14" max="14" width="20.42578125" style="6" bestFit="1" customWidth="1"/>
    <col min="15" max="15" width="19.85546875" style="6" bestFit="1" customWidth="1"/>
    <col min="16" max="16" width="21.28515625" style="6" bestFit="1" customWidth="1"/>
    <col min="17" max="18" width="20.42578125" style="6" bestFit="1" customWidth="1"/>
    <col min="19" max="19" width="20.5703125" style="6" bestFit="1" customWidth="1"/>
    <col min="20" max="21" width="19.85546875" style="6" bestFit="1" customWidth="1"/>
    <col min="22" max="22" width="20.42578125" style="6" bestFit="1" customWidth="1"/>
    <col min="23" max="23" width="19.85546875" style="6" bestFit="1" customWidth="1"/>
    <col min="24" max="24" width="20.42578125" style="6" bestFit="1" customWidth="1"/>
    <col min="25" max="25" width="20.5703125" style="6" bestFit="1" customWidth="1"/>
    <col min="26" max="27" width="20.42578125" style="6" bestFit="1" customWidth="1"/>
    <col min="28" max="28" width="20.5703125" style="6" bestFit="1" customWidth="1"/>
    <col min="29" max="30" width="20.42578125" style="6" bestFit="1" customWidth="1"/>
    <col min="31" max="31" width="20.5703125" style="6" bestFit="1" customWidth="1"/>
    <col min="32" max="32" width="19.42578125" style="6" bestFit="1" customWidth="1"/>
    <col min="33" max="34" width="19.85546875" style="6" bestFit="1" customWidth="1"/>
    <col min="35" max="36" width="20.42578125" style="6" bestFit="1" customWidth="1"/>
    <col min="37" max="37" width="21.85546875" style="6" bestFit="1" customWidth="1"/>
    <col min="38" max="38" width="19.85546875" style="6" bestFit="1" customWidth="1"/>
    <col min="39" max="39" width="20.42578125" style="6" bestFit="1" customWidth="1"/>
    <col min="40" max="40" width="21.28515625" style="6" bestFit="1" customWidth="1"/>
    <col min="41" max="41" width="20.42578125" style="6" bestFit="1" customWidth="1"/>
    <col min="42" max="42" width="19.85546875" style="6" bestFit="1" customWidth="1"/>
    <col min="43" max="43" width="21.28515625" style="6" bestFit="1" customWidth="1"/>
    <col min="44" max="44" width="19.85546875" style="6" bestFit="1" customWidth="1"/>
    <col min="45" max="45" width="19.42578125" style="6" bestFit="1" customWidth="1"/>
    <col min="46" max="46" width="21.85546875" style="6" bestFit="1" customWidth="1"/>
    <col min="47" max="47" width="20.42578125" style="6" bestFit="1" customWidth="1"/>
    <col min="48" max="48" width="19.85546875" style="6" bestFit="1" customWidth="1"/>
    <col min="49" max="49" width="20.5703125" style="6" bestFit="1" customWidth="1"/>
    <col min="50" max="50" width="17.5703125" style="6" bestFit="1" customWidth="1"/>
    <col min="51" max="51" width="16.5703125" style="6" customWidth="1"/>
    <col min="52" max="16384" width="9.140625" style="6"/>
  </cols>
  <sheetData>
    <row r="1" spans="1:51">
      <c r="E1" s="1039" t="s">
        <v>60</v>
      </c>
      <c r="F1" s="1039"/>
      <c r="G1" s="1039"/>
      <c r="H1" s="1039"/>
      <c r="I1" s="1039"/>
      <c r="J1" s="1039"/>
      <c r="K1" s="1039"/>
      <c r="R1" s="1039" t="s">
        <v>60</v>
      </c>
      <c r="S1" s="1039"/>
      <c r="T1" s="1039"/>
      <c r="U1" s="1039"/>
      <c r="V1" s="5"/>
      <c r="W1" s="5"/>
      <c r="X1" s="5"/>
      <c r="Y1" s="5"/>
      <c r="AB1" s="1039" t="s">
        <v>60</v>
      </c>
      <c r="AC1" s="1039"/>
      <c r="AD1" s="1039"/>
      <c r="AE1" s="1039"/>
      <c r="AF1" s="5"/>
      <c r="AG1" s="5"/>
      <c r="AK1" s="1039" t="s">
        <v>60</v>
      </c>
      <c r="AL1" s="1039"/>
      <c r="AM1" s="1039"/>
      <c r="AN1" s="1039"/>
      <c r="AO1" s="1039"/>
      <c r="AU1" s="1039" t="s">
        <v>60</v>
      </c>
      <c r="AV1" s="1039"/>
      <c r="AW1" s="1039"/>
      <c r="AX1" s="1039"/>
      <c r="AY1" s="1039"/>
    </row>
    <row r="2" spans="1:51">
      <c r="E2" s="8"/>
      <c r="F2" s="1039" t="s">
        <v>1588</v>
      </c>
      <c r="G2" s="1039"/>
      <c r="H2" s="1039"/>
      <c r="I2" s="1039"/>
      <c r="J2" s="1039"/>
      <c r="K2" s="8"/>
      <c r="R2" s="1039" t="s">
        <v>1588</v>
      </c>
      <c r="S2" s="1039"/>
      <c r="T2" s="1039"/>
      <c r="U2" s="1039"/>
      <c r="V2" s="5"/>
      <c r="W2" s="5"/>
      <c r="X2" s="5"/>
      <c r="Y2" s="8"/>
      <c r="AA2" s="8"/>
      <c r="AB2" s="1039" t="s">
        <v>1588</v>
      </c>
      <c r="AC2" s="1039"/>
      <c r="AD2" s="1039"/>
      <c r="AE2" s="1039"/>
      <c r="AF2" s="5"/>
      <c r="AG2" s="8"/>
      <c r="AK2" s="1039" t="s">
        <v>1588</v>
      </c>
      <c r="AL2" s="1039"/>
      <c r="AM2" s="1039"/>
      <c r="AN2" s="1039"/>
      <c r="AO2" s="1039"/>
      <c r="AS2" s="8"/>
      <c r="AU2" s="1039" t="s">
        <v>1588</v>
      </c>
      <c r="AV2" s="1039"/>
      <c r="AW2" s="1039"/>
      <c r="AX2" s="1039"/>
      <c r="AY2" s="1039"/>
    </row>
    <row r="3" spans="1:51">
      <c r="E3" s="8"/>
      <c r="F3" s="1039" t="s">
        <v>1597</v>
      </c>
      <c r="G3" s="1039"/>
      <c r="H3" s="1039"/>
      <c r="I3" s="1039"/>
      <c r="J3" s="1039"/>
      <c r="K3" s="8"/>
      <c r="R3" s="1039" t="s">
        <v>1597</v>
      </c>
      <c r="S3" s="1039"/>
      <c r="T3" s="1039"/>
      <c r="U3" s="1039"/>
      <c r="V3" s="5"/>
      <c r="W3" s="5"/>
      <c r="X3" s="5"/>
      <c r="Y3" s="8"/>
      <c r="AA3" s="8"/>
      <c r="AB3" s="1039" t="s">
        <v>1597</v>
      </c>
      <c r="AC3" s="1039"/>
      <c r="AD3" s="1039"/>
      <c r="AE3" s="1039"/>
      <c r="AF3" s="5"/>
      <c r="AG3" s="8"/>
      <c r="AK3" s="1039" t="s">
        <v>1597</v>
      </c>
      <c r="AL3" s="1039"/>
      <c r="AM3" s="1039"/>
      <c r="AN3" s="1039"/>
      <c r="AO3" s="1039"/>
      <c r="AS3" s="8"/>
      <c r="AU3" s="1039" t="s">
        <v>1597</v>
      </c>
      <c r="AV3" s="1039"/>
      <c r="AW3" s="1039"/>
      <c r="AX3" s="1039"/>
      <c r="AY3" s="1039"/>
    </row>
    <row r="4" spans="1:51">
      <c r="E4" s="1039" t="s">
        <v>1957</v>
      </c>
      <c r="F4" s="1039"/>
      <c r="G4" s="1039"/>
      <c r="H4" s="1039"/>
      <c r="I4" s="1039"/>
      <c r="J4" s="1039"/>
      <c r="K4" s="1039"/>
      <c r="R4" s="1039" t="s">
        <v>1957</v>
      </c>
      <c r="S4" s="1039"/>
      <c r="T4" s="1039"/>
      <c r="U4" s="1039"/>
      <c r="V4" s="5"/>
      <c r="W4" s="5"/>
      <c r="X4" s="5"/>
      <c r="Y4" s="5"/>
      <c r="AB4" s="1039" t="s">
        <v>1957</v>
      </c>
      <c r="AC4" s="1039"/>
      <c r="AD4" s="1039"/>
      <c r="AE4" s="1039"/>
      <c r="AF4" s="5"/>
      <c r="AG4" s="5"/>
      <c r="AK4" s="1039" t="s">
        <v>1957</v>
      </c>
      <c r="AL4" s="1039"/>
      <c r="AM4" s="1039"/>
      <c r="AN4" s="1039"/>
      <c r="AO4" s="1039"/>
      <c r="AU4" s="1039" t="s">
        <v>1957</v>
      </c>
      <c r="AV4" s="1039"/>
      <c r="AW4" s="1039"/>
      <c r="AX4" s="1039"/>
      <c r="AY4" s="1039"/>
    </row>
    <row r="5" spans="1:51">
      <c r="F5" s="1039" t="s">
        <v>906</v>
      </c>
      <c r="G5" s="1039"/>
      <c r="H5" s="1039"/>
      <c r="I5" s="1039"/>
      <c r="J5" s="1039"/>
      <c r="R5" s="1039" t="s">
        <v>906</v>
      </c>
      <c r="S5" s="1039"/>
      <c r="T5" s="1039"/>
      <c r="U5" s="1039"/>
      <c r="V5" s="5"/>
      <c r="W5" s="5"/>
      <c r="X5" s="5"/>
      <c r="AB5" s="1039" t="s">
        <v>906</v>
      </c>
      <c r="AC5" s="1039"/>
      <c r="AD5" s="1039"/>
      <c r="AE5" s="1039"/>
      <c r="AF5" s="5"/>
      <c r="AK5" s="1039" t="s">
        <v>906</v>
      </c>
      <c r="AL5" s="1039"/>
      <c r="AM5" s="1039"/>
      <c r="AN5" s="1039"/>
      <c r="AO5" s="1039"/>
      <c r="AU5" s="1039" t="s">
        <v>906</v>
      </c>
      <c r="AV5" s="1039"/>
      <c r="AW5" s="1039"/>
      <c r="AX5" s="1039"/>
      <c r="AY5" s="1039"/>
    </row>
    <row r="8" spans="1:51" s="35" customFormat="1" ht="16.5" thickBot="1">
      <c r="A8" s="35" t="s">
        <v>812</v>
      </c>
      <c r="B8" s="35" t="s">
        <v>1629</v>
      </c>
      <c r="C8" s="35" t="s">
        <v>1627</v>
      </c>
      <c r="E8" s="35" t="s">
        <v>1628</v>
      </c>
      <c r="F8" s="35" t="s">
        <v>1631</v>
      </c>
      <c r="G8" s="35" t="s">
        <v>1632</v>
      </c>
      <c r="H8" s="35" t="s">
        <v>1641</v>
      </c>
      <c r="I8" s="35" t="s">
        <v>1642</v>
      </c>
      <c r="J8" s="35" t="s">
        <v>1643</v>
      </c>
      <c r="K8" s="35" t="s">
        <v>1644</v>
      </c>
      <c r="L8" s="35" t="s">
        <v>1645</v>
      </c>
      <c r="M8" s="35" t="s">
        <v>1646</v>
      </c>
      <c r="N8" s="35" t="s">
        <v>1836</v>
      </c>
      <c r="O8" s="35" t="s">
        <v>1648</v>
      </c>
      <c r="P8" s="35" t="s">
        <v>1649</v>
      </c>
      <c r="Q8" s="35" t="s">
        <v>1650</v>
      </c>
      <c r="R8" s="35" t="s">
        <v>1922</v>
      </c>
      <c r="S8" s="35" t="s">
        <v>1923</v>
      </c>
      <c r="T8" s="35" t="s">
        <v>1924</v>
      </c>
      <c r="U8" s="35" t="s">
        <v>1925</v>
      </c>
      <c r="V8" s="35" t="s">
        <v>1926</v>
      </c>
      <c r="W8" s="35" t="s">
        <v>1927</v>
      </c>
      <c r="X8" s="35" t="s">
        <v>1928</v>
      </c>
      <c r="Y8" s="35" t="s">
        <v>1929</v>
      </c>
      <c r="Z8" s="35" t="s">
        <v>1930</v>
      </c>
      <c r="AA8" s="35" t="s">
        <v>1931</v>
      </c>
      <c r="AB8" s="35" t="s">
        <v>1932</v>
      </c>
      <c r="AC8" s="35" t="s">
        <v>1099</v>
      </c>
      <c r="AD8" s="35" t="s">
        <v>1933</v>
      </c>
      <c r="AE8" s="35" t="s">
        <v>1934</v>
      </c>
      <c r="AF8" s="35" t="s">
        <v>1935</v>
      </c>
      <c r="AG8" s="35" t="s">
        <v>1936</v>
      </c>
      <c r="AH8" s="35" t="s">
        <v>1940</v>
      </c>
      <c r="AI8" s="35" t="s">
        <v>1941</v>
      </c>
      <c r="AJ8" s="35" t="s">
        <v>1942</v>
      </c>
      <c r="AK8" s="35" t="s">
        <v>1943</v>
      </c>
      <c r="AL8" s="35" t="s">
        <v>1944</v>
      </c>
      <c r="AM8" s="35" t="s">
        <v>1945</v>
      </c>
      <c r="AN8" s="35" t="s">
        <v>1946</v>
      </c>
      <c r="AO8" s="35" t="s">
        <v>1947</v>
      </c>
      <c r="AP8" s="35" t="s">
        <v>1948</v>
      </c>
      <c r="AQ8" s="35" t="s">
        <v>1949</v>
      </c>
      <c r="AR8" s="35" t="s">
        <v>1950</v>
      </c>
      <c r="AS8" s="35" t="s">
        <v>1951</v>
      </c>
      <c r="AT8" s="35" t="s">
        <v>1952</v>
      </c>
      <c r="AU8" s="35" t="s">
        <v>1771</v>
      </c>
      <c r="AV8" s="35" t="s">
        <v>1953</v>
      </c>
      <c r="AW8" s="35" t="s">
        <v>1954</v>
      </c>
      <c r="AX8" s="35" t="s">
        <v>1955</v>
      </c>
      <c r="AY8" s="35" t="s">
        <v>1956</v>
      </c>
    </row>
    <row r="9" spans="1:51">
      <c r="A9" s="35">
        <v>1</v>
      </c>
      <c r="B9" s="1062" t="s">
        <v>2025</v>
      </c>
      <c r="C9" s="1063"/>
      <c r="D9" s="1063"/>
      <c r="E9" s="1064"/>
      <c r="F9" s="1074" t="s">
        <v>380</v>
      </c>
      <c r="G9" s="1074"/>
      <c r="H9" s="1074"/>
      <c r="I9" s="1075"/>
      <c r="J9" s="402" t="s">
        <v>1099</v>
      </c>
      <c r="K9" s="403" t="s">
        <v>1832</v>
      </c>
      <c r="L9" s="404" t="s">
        <v>1833</v>
      </c>
      <c r="M9" s="402" t="s">
        <v>1099</v>
      </c>
      <c r="N9" s="403" t="s">
        <v>1832</v>
      </c>
      <c r="O9" s="404" t="s">
        <v>1833</v>
      </c>
      <c r="P9" s="402" t="s">
        <v>1099</v>
      </c>
      <c r="Q9" s="403" t="s">
        <v>1832</v>
      </c>
      <c r="R9" s="404" t="s">
        <v>1833</v>
      </c>
      <c r="S9" s="402" t="s">
        <v>1099</v>
      </c>
      <c r="T9" s="403" t="s">
        <v>1832</v>
      </c>
      <c r="U9" s="404" t="s">
        <v>1833</v>
      </c>
      <c r="V9" s="402" t="s">
        <v>1099</v>
      </c>
      <c r="W9" s="403" t="s">
        <v>1832</v>
      </c>
      <c r="X9" s="404" t="s">
        <v>1833</v>
      </c>
      <c r="Y9" s="402" t="s">
        <v>1099</v>
      </c>
      <c r="Z9" s="403" t="s">
        <v>1832</v>
      </c>
      <c r="AA9" s="404" t="s">
        <v>1833</v>
      </c>
      <c r="AB9" s="402" t="s">
        <v>1099</v>
      </c>
      <c r="AC9" s="403" t="s">
        <v>1832</v>
      </c>
      <c r="AD9" s="404" t="s">
        <v>1833</v>
      </c>
      <c r="AE9" s="402" t="s">
        <v>1099</v>
      </c>
      <c r="AF9" s="403" t="s">
        <v>1832</v>
      </c>
      <c r="AG9" s="404" t="s">
        <v>1833</v>
      </c>
      <c r="AH9" s="402" t="s">
        <v>1099</v>
      </c>
      <c r="AI9" s="403" t="s">
        <v>1832</v>
      </c>
      <c r="AJ9" s="404" t="s">
        <v>1833</v>
      </c>
      <c r="AK9" s="402" t="s">
        <v>1099</v>
      </c>
      <c r="AL9" s="403" t="s">
        <v>1832</v>
      </c>
      <c r="AM9" s="404" t="s">
        <v>1833</v>
      </c>
      <c r="AN9" s="402" t="s">
        <v>1099</v>
      </c>
      <c r="AO9" s="403" t="s">
        <v>1832</v>
      </c>
      <c r="AP9" s="404" t="s">
        <v>1833</v>
      </c>
      <c r="AQ9" s="402" t="s">
        <v>1099</v>
      </c>
      <c r="AR9" s="403" t="s">
        <v>1832</v>
      </c>
      <c r="AS9" s="404" t="s">
        <v>1833</v>
      </c>
      <c r="AT9" s="402" t="s">
        <v>1099</v>
      </c>
      <c r="AU9" s="403" t="s">
        <v>1832</v>
      </c>
      <c r="AV9" s="404" t="s">
        <v>1833</v>
      </c>
      <c r="AW9" s="405" t="s">
        <v>1874</v>
      </c>
      <c r="AX9" s="405" t="s">
        <v>111</v>
      </c>
      <c r="AY9" s="405" t="s">
        <v>85</v>
      </c>
    </row>
    <row r="10" spans="1:51">
      <c r="A10" s="35">
        <v>2</v>
      </c>
      <c r="B10" s="1065"/>
      <c r="C10" s="1066"/>
      <c r="D10" s="1066"/>
      <c r="E10" s="1067"/>
      <c r="F10" s="1076" t="s">
        <v>381</v>
      </c>
      <c r="G10" s="1076"/>
      <c r="H10" s="1076"/>
      <c r="I10" s="1077"/>
      <c r="J10" s="406" t="s">
        <v>1834</v>
      </c>
      <c r="K10" s="407" t="s">
        <v>1834</v>
      </c>
      <c r="L10" s="408" t="s">
        <v>1834</v>
      </c>
      <c r="M10" s="406" t="s">
        <v>1835</v>
      </c>
      <c r="N10" s="407" t="s">
        <v>1835</v>
      </c>
      <c r="O10" s="408" t="s">
        <v>1835</v>
      </c>
      <c r="P10" s="406" t="s">
        <v>1835</v>
      </c>
      <c r="Q10" s="407" t="s">
        <v>1835</v>
      </c>
      <c r="R10" s="408" t="s">
        <v>1835</v>
      </c>
      <c r="S10" s="406" t="s">
        <v>1835</v>
      </c>
      <c r="T10" s="407" t="s">
        <v>1835</v>
      </c>
      <c r="U10" s="408" t="s">
        <v>1835</v>
      </c>
      <c r="V10" s="406" t="s">
        <v>1835</v>
      </c>
      <c r="W10" s="407" t="s">
        <v>1835</v>
      </c>
      <c r="X10" s="408" t="s">
        <v>1835</v>
      </c>
      <c r="Y10" s="406" t="s">
        <v>1835</v>
      </c>
      <c r="Z10" s="407" t="s">
        <v>1835</v>
      </c>
      <c r="AA10" s="408" t="s">
        <v>1835</v>
      </c>
      <c r="AB10" s="406" t="s">
        <v>1835</v>
      </c>
      <c r="AC10" s="407" t="s">
        <v>1835</v>
      </c>
      <c r="AD10" s="408" t="s">
        <v>1835</v>
      </c>
      <c r="AE10" s="406" t="s">
        <v>1835</v>
      </c>
      <c r="AF10" s="407" t="s">
        <v>1835</v>
      </c>
      <c r="AG10" s="408" t="s">
        <v>1835</v>
      </c>
      <c r="AH10" s="406" t="s">
        <v>1835</v>
      </c>
      <c r="AI10" s="407" t="s">
        <v>1835</v>
      </c>
      <c r="AJ10" s="408" t="s">
        <v>1835</v>
      </c>
      <c r="AK10" s="406" t="s">
        <v>1835</v>
      </c>
      <c r="AL10" s="407" t="s">
        <v>1835</v>
      </c>
      <c r="AM10" s="408" t="s">
        <v>1835</v>
      </c>
      <c r="AN10" s="406" t="s">
        <v>1835</v>
      </c>
      <c r="AO10" s="407" t="s">
        <v>1835</v>
      </c>
      <c r="AP10" s="408" t="s">
        <v>1835</v>
      </c>
      <c r="AQ10" s="406" t="s">
        <v>1835</v>
      </c>
      <c r="AR10" s="407" t="s">
        <v>1835</v>
      </c>
      <c r="AS10" s="408" t="s">
        <v>1835</v>
      </c>
      <c r="AT10" s="406" t="s">
        <v>1835</v>
      </c>
      <c r="AU10" s="407" t="s">
        <v>1835</v>
      </c>
      <c r="AV10" s="408" t="s">
        <v>1835</v>
      </c>
    </row>
    <row r="11" spans="1:51">
      <c r="A11" s="35">
        <v>3</v>
      </c>
      <c r="B11" s="1065"/>
      <c r="C11" s="1066"/>
      <c r="D11" s="1066"/>
      <c r="E11" s="1067"/>
      <c r="F11" s="1076" t="s">
        <v>382</v>
      </c>
      <c r="G11" s="1076"/>
      <c r="H11" s="1076"/>
      <c r="I11" s="1077"/>
      <c r="J11" s="406" t="s">
        <v>1836</v>
      </c>
      <c r="K11" s="407" t="s">
        <v>1836</v>
      </c>
      <c r="L11" s="408" t="s">
        <v>1836</v>
      </c>
      <c r="M11" s="406" t="s">
        <v>1836</v>
      </c>
      <c r="N11" s="407" t="s">
        <v>1836</v>
      </c>
      <c r="O11" s="408" t="s">
        <v>1836</v>
      </c>
      <c r="P11" s="406" t="s">
        <v>1836</v>
      </c>
      <c r="Q11" s="407" t="s">
        <v>1836</v>
      </c>
      <c r="R11" s="408" t="s">
        <v>1836</v>
      </c>
      <c r="S11" s="406" t="s">
        <v>1836</v>
      </c>
      <c r="T11" s="407" t="s">
        <v>1836</v>
      </c>
      <c r="U11" s="408" t="s">
        <v>1836</v>
      </c>
      <c r="V11" s="406" t="s">
        <v>1836</v>
      </c>
      <c r="W11" s="407" t="s">
        <v>1836</v>
      </c>
      <c r="X11" s="408" t="s">
        <v>1836</v>
      </c>
      <c r="Y11" s="406" t="s">
        <v>1836</v>
      </c>
      <c r="Z11" s="407" t="s">
        <v>1836</v>
      </c>
      <c r="AA11" s="408" t="s">
        <v>1836</v>
      </c>
      <c r="AB11" s="406" t="s">
        <v>1836</v>
      </c>
      <c r="AC11" s="407" t="s">
        <v>1836</v>
      </c>
      <c r="AD11" s="408" t="s">
        <v>1836</v>
      </c>
      <c r="AE11" s="406" t="s">
        <v>1836</v>
      </c>
      <c r="AF11" s="407" t="s">
        <v>1836</v>
      </c>
      <c r="AG11" s="408" t="s">
        <v>1836</v>
      </c>
      <c r="AH11" s="406" t="s">
        <v>1836</v>
      </c>
      <c r="AI11" s="407" t="s">
        <v>1836</v>
      </c>
      <c r="AJ11" s="408" t="s">
        <v>1836</v>
      </c>
      <c r="AK11" s="406" t="s">
        <v>1836</v>
      </c>
      <c r="AL11" s="407" t="s">
        <v>1836</v>
      </c>
      <c r="AM11" s="408" t="s">
        <v>1836</v>
      </c>
      <c r="AN11" s="406" t="s">
        <v>1836</v>
      </c>
      <c r="AO11" s="407" t="s">
        <v>1836</v>
      </c>
      <c r="AP11" s="408" t="s">
        <v>1836</v>
      </c>
      <c r="AQ11" s="406" t="s">
        <v>1836</v>
      </c>
      <c r="AR11" s="407" t="s">
        <v>1836</v>
      </c>
      <c r="AS11" s="408" t="s">
        <v>1836</v>
      </c>
      <c r="AT11" s="406" t="s">
        <v>1836</v>
      </c>
      <c r="AU11" s="407" t="s">
        <v>1836</v>
      </c>
      <c r="AV11" s="408" t="s">
        <v>1836</v>
      </c>
      <c r="AX11" s="405" t="s">
        <v>375</v>
      </c>
    </row>
    <row r="12" spans="1:51">
      <c r="A12" s="290">
        <v>4</v>
      </c>
      <c r="B12" s="1065"/>
      <c r="C12" s="1066"/>
      <c r="D12" s="1066"/>
      <c r="E12" s="1067"/>
      <c r="F12" s="1076" t="s">
        <v>383</v>
      </c>
      <c r="G12" s="1076"/>
      <c r="H12" s="1076"/>
      <c r="I12" s="1077"/>
      <c r="J12" s="406" t="s">
        <v>509</v>
      </c>
      <c r="K12" s="407" t="s">
        <v>509</v>
      </c>
      <c r="L12" s="408" t="s">
        <v>509</v>
      </c>
      <c r="M12" s="406" t="s">
        <v>585</v>
      </c>
      <c r="N12" s="407" t="s">
        <v>585</v>
      </c>
      <c r="O12" s="408" t="s">
        <v>585</v>
      </c>
      <c r="P12" s="406" t="s">
        <v>632</v>
      </c>
      <c r="Q12" s="407" t="s">
        <v>632</v>
      </c>
      <c r="R12" s="408" t="s">
        <v>632</v>
      </c>
      <c r="S12" s="406" t="s">
        <v>634</v>
      </c>
      <c r="T12" s="407" t="s">
        <v>634</v>
      </c>
      <c r="U12" s="408" t="s">
        <v>634</v>
      </c>
      <c r="V12" s="406" t="s">
        <v>1837</v>
      </c>
      <c r="W12" s="407" t="s">
        <v>1837</v>
      </c>
      <c r="X12" s="408" t="s">
        <v>1837</v>
      </c>
      <c r="Y12" s="406" t="s">
        <v>1838</v>
      </c>
      <c r="Z12" s="407" t="s">
        <v>1838</v>
      </c>
      <c r="AA12" s="408" t="s">
        <v>1838</v>
      </c>
      <c r="AB12" s="406" t="s">
        <v>1839</v>
      </c>
      <c r="AC12" s="407" t="s">
        <v>1839</v>
      </c>
      <c r="AD12" s="408" t="s">
        <v>1839</v>
      </c>
      <c r="AE12" s="406" t="s">
        <v>1840</v>
      </c>
      <c r="AF12" s="407" t="s">
        <v>1840</v>
      </c>
      <c r="AG12" s="408" t="s">
        <v>1840</v>
      </c>
      <c r="AH12" s="406" t="s">
        <v>397</v>
      </c>
      <c r="AI12" s="407" t="s">
        <v>397</v>
      </c>
      <c r="AJ12" s="408" t="s">
        <v>397</v>
      </c>
      <c r="AK12" s="406" t="s">
        <v>1841</v>
      </c>
      <c r="AL12" s="407" t="s">
        <v>1841</v>
      </c>
      <c r="AM12" s="408" t="s">
        <v>1841</v>
      </c>
      <c r="AN12" s="406" t="s">
        <v>1842</v>
      </c>
      <c r="AO12" s="407" t="s">
        <v>1842</v>
      </c>
      <c r="AP12" s="408" t="s">
        <v>1842</v>
      </c>
      <c r="AQ12" s="406" t="s">
        <v>1843</v>
      </c>
      <c r="AR12" s="407" t="s">
        <v>1843</v>
      </c>
      <c r="AS12" s="408" t="s">
        <v>1843</v>
      </c>
      <c r="AT12" s="406" t="s">
        <v>509</v>
      </c>
      <c r="AU12" s="407" t="s">
        <v>509</v>
      </c>
      <c r="AV12" s="408" t="s">
        <v>509</v>
      </c>
    </row>
    <row r="13" spans="1:51" ht="16.5" thickBot="1">
      <c r="A13" s="290">
        <v>5</v>
      </c>
      <c r="B13" s="1068"/>
      <c r="C13" s="1069"/>
      <c r="D13" s="1069"/>
      <c r="E13" s="1070"/>
      <c r="F13" s="1076" t="s">
        <v>384</v>
      </c>
      <c r="G13" s="1076"/>
      <c r="H13" s="1076"/>
      <c r="I13" s="1077"/>
      <c r="J13" s="406" t="s">
        <v>913</v>
      </c>
      <c r="K13" s="407" t="s">
        <v>913</v>
      </c>
      <c r="L13" s="408" t="s">
        <v>913</v>
      </c>
      <c r="M13" s="406" t="s">
        <v>913</v>
      </c>
      <c r="N13" s="407" t="s">
        <v>913</v>
      </c>
      <c r="O13" s="408" t="s">
        <v>913</v>
      </c>
      <c r="P13" s="406" t="s">
        <v>913</v>
      </c>
      <c r="Q13" s="407" t="s">
        <v>913</v>
      </c>
      <c r="R13" s="408" t="s">
        <v>913</v>
      </c>
      <c r="S13" s="406" t="s">
        <v>913</v>
      </c>
      <c r="T13" s="407" t="s">
        <v>913</v>
      </c>
      <c r="U13" s="408" t="s">
        <v>913</v>
      </c>
      <c r="V13" s="406" t="s">
        <v>913</v>
      </c>
      <c r="W13" s="407" t="s">
        <v>913</v>
      </c>
      <c r="X13" s="408" t="s">
        <v>913</v>
      </c>
      <c r="Y13" s="406" t="s">
        <v>913</v>
      </c>
      <c r="Z13" s="407" t="s">
        <v>913</v>
      </c>
      <c r="AA13" s="408" t="s">
        <v>913</v>
      </c>
      <c r="AB13" s="406" t="s">
        <v>913</v>
      </c>
      <c r="AC13" s="407" t="s">
        <v>913</v>
      </c>
      <c r="AD13" s="408" t="s">
        <v>913</v>
      </c>
      <c r="AE13" s="406" t="s">
        <v>913</v>
      </c>
      <c r="AF13" s="407" t="s">
        <v>913</v>
      </c>
      <c r="AG13" s="408" t="s">
        <v>913</v>
      </c>
      <c r="AH13" s="406" t="s">
        <v>913</v>
      </c>
      <c r="AI13" s="407" t="s">
        <v>913</v>
      </c>
      <c r="AJ13" s="408" t="s">
        <v>913</v>
      </c>
      <c r="AK13" s="406" t="s">
        <v>913</v>
      </c>
      <c r="AL13" s="407" t="s">
        <v>913</v>
      </c>
      <c r="AM13" s="408" t="s">
        <v>913</v>
      </c>
      <c r="AN13" s="406" t="s">
        <v>913</v>
      </c>
      <c r="AO13" s="407" t="s">
        <v>913</v>
      </c>
      <c r="AP13" s="408" t="s">
        <v>913</v>
      </c>
      <c r="AQ13" s="406" t="s">
        <v>913</v>
      </c>
      <c r="AR13" s="407" t="s">
        <v>913</v>
      </c>
      <c r="AS13" s="408" t="s">
        <v>913</v>
      </c>
      <c r="AT13" s="406" t="s">
        <v>913</v>
      </c>
      <c r="AU13" s="407" t="s">
        <v>913</v>
      </c>
      <c r="AV13" s="408" t="s">
        <v>913</v>
      </c>
    </row>
    <row r="14" spans="1:51">
      <c r="A14" s="290">
        <v>6</v>
      </c>
      <c r="B14" s="409"/>
      <c r="C14" s="410"/>
      <c r="D14" s="410"/>
      <c r="E14" s="410"/>
      <c r="F14" s="410"/>
      <c r="G14" s="410"/>
      <c r="H14" s="410"/>
      <c r="I14" s="411"/>
      <c r="J14" s="409"/>
      <c r="K14" s="410"/>
      <c r="L14" s="411"/>
      <c r="M14" s="409"/>
      <c r="N14" s="410"/>
      <c r="O14" s="411"/>
      <c r="P14" s="409"/>
      <c r="Q14" s="410"/>
      <c r="R14" s="411"/>
      <c r="S14" s="409"/>
      <c r="T14" s="410"/>
      <c r="U14" s="411"/>
      <c r="V14" s="409"/>
      <c r="W14" s="410"/>
      <c r="X14" s="411"/>
      <c r="Y14" s="409"/>
      <c r="Z14" s="410"/>
      <c r="AA14" s="411"/>
      <c r="AB14" s="409"/>
      <c r="AC14" s="410"/>
      <c r="AD14" s="411"/>
      <c r="AE14" s="409"/>
      <c r="AF14" s="410"/>
      <c r="AG14" s="411"/>
      <c r="AH14" s="409"/>
      <c r="AI14" s="410"/>
      <c r="AJ14" s="411"/>
      <c r="AK14" s="409"/>
      <c r="AL14" s="410"/>
      <c r="AM14" s="411"/>
      <c r="AN14" s="409"/>
      <c r="AO14" s="410"/>
      <c r="AP14" s="411"/>
      <c r="AQ14" s="409"/>
      <c r="AR14" s="410"/>
      <c r="AS14" s="411"/>
      <c r="AT14" s="409"/>
      <c r="AU14" s="410"/>
      <c r="AV14" s="411"/>
      <c r="AW14" s="411"/>
      <c r="AX14" s="411"/>
      <c r="AY14" s="411"/>
    </row>
    <row r="15" spans="1:51" ht="31.5">
      <c r="A15" s="290">
        <v>7</v>
      </c>
      <c r="B15" s="414"/>
      <c r="C15" s="415" t="s">
        <v>1844</v>
      </c>
      <c r="D15" s="415"/>
      <c r="E15" s="415" t="s">
        <v>1845</v>
      </c>
      <c r="F15" s="415" t="s">
        <v>1846</v>
      </c>
      <c r="G15" s="415" t="s">
        <v>1847</v>
      </c>
      <c r="H15" s="415" t="s">
        <v>1848</v>
      </c>
      <c r="I15" s="416" t="s">
        <v>1849</v>
      </c>
      <c r="J15" s="414"/>
      <c r="K15" s="417"/>
      <c r="L15" s="418"/>
      <c r="M15" s="414"/>
      <c r="N15" s="417"/>
      <c r="O15" s="418"/>
      <c r="P15" s="414"/>
      <c r="Q15" s="417"/>
      <c r="R15" s="418"/>
      <c r="S15" s="414"/>
      <c r="T15" s="417"/>
      <c r="U15" s="418"/>
      <c r="V15" s="414"/>
      <c r="W15" s="417"/>
      <c r="X15" s="418"/>
      <c r="Y15" s="414"/>
      <c r="Z15" s="417"/>
      <c r="AA15" s="418"/>
      <c r="AB15" s="414"/>
      <c r="AC15" s="417"/>
      <c r="AD15" s="418"/>
      <c r="AE15" s="414"/>
      <c r="AF15" s="417"/>
      <c r="AG15" s="418"/>
      <c r="AH15" s="414"/>
      <c r="AI15" s="417"/>
      <c r="AJ15" s="418"/>
      <c r="AK15" s="414"/>
      <c r="AL15" s="417"/>
      <c r="AM15" s="418"/>
      <c r="AN15" s="414"/>
      <c r="AO15" s="417"/>
      <c r="AP15" s="418"/>
      <c r="AQ15" s="414"/>
      <c r="AR15" s="417"/>
      <c r="AS15" s="418"/>
      <c r="AT15" s="414"/>
      <c r="AU15" s="417"/>
      <c r="AV15" s="418"/>
    </row>
    <row r="16" spans="1:51">
      <c r="A16" s="290">
        <v>8</v>
      </c>
      <c r="B16" s="1071" t="s">
        <v>1851</v>
      </c>
      <c r="C16" s="1072"/>
      <c r="D16" s="1072"/>
      <c r="E16" s="1072"/>
      <c r="F16" s="1072"/>
      <c r="G16" s="1072"/>
      <c r="H16" s="1072"/>
      <c r="I16" s="1073"/>
      <c r="J16" s="419"/>
      <c r="K16" s="420"/>
      <c r="L16" s="421"/>
      <c r="M16" s="419"/>
      <c r="N16" s="420"/>
      <c r="O16" s="421"/>
      <c r="P16" s="419"/>
      <c r="Q16" s="420"/>
      <c r="R16" s="421"/>
      <c r="S16" s="419"/>
      <c r="T16" s="420"/>
      <c r="U16" s="421"/>
      <c r="V16" s="419"/>
      <c r="W16" s="420"/>
      <c r="X16" s="421"/>
      <c r="Y16" s="419"/>
      <c r="Z16" s="420"/>
      <c r="AA16" s="421"/>
      <c r="AB16" s="419"/>
      <c r="AC16" s="420"/>
      <c r="AD16" s="421"/>
      <c r="AE16" s="419"/>
      <c r="AF16" s="420"/>
      <c r="AG16" s="421"/>
      <c r="AH16" s="419"/>
      <c r="AI16" s="420"/>
      <c r="AJ16" s="421"/>
      <c r="AK16" s="419"/>
      <c r="AL16" s="420"/>
      <c r="AM16" s="421"/>
      <c r="AN16" s="419"/>
      <c r="AO16" s="420"/>
      <c r="AP16" s="421"/>
      <c r="AQ16" s="419"/>
      <c r="AR16" s="420"/>
      <c r="AS16" s="421"/>
      <c r="AT16" s="419"/>
      <c r="AU16" s="420"/>
      <c r="AV16" s="421"/>
    </row>
    <row r="17" spans="1:56">
      <c r="A17" s="290">
        <v>9</v>
      </c>
      <c r="B17" s="412" t="s">
        <v>1852</v>
      </c>
      <c r="C17" s="407" t="s">
        <v>1102</v>
      </c>
      <c r="D17" s="407"/>
      <c r="E17" s="407" t="s">
        <v>1853</v>
      </c>
      <c r="F17" s="407" t="s">
        <v>758</v>
      </c>
      <c r="G17" s="407" t="s">
        <v>1854</v>
      </c>
      <c r="H17" s="407" t="s">
        <v>389</v>
      </c>
      <c r="I17" s="408" t="s">
        <v>389</v>
      </c>
      <c r="J17" s="419">
        <v>0</v>
      </c>
      <c r="K17" s="420">
        <v>0</v>
      </c>
      <c r="L17" s="421"/>
      <c r="M17" s="419">
        <v>0</v>
      </c>
      <c r="N17" s="420">
        <v>0</v>
      </c>
      <c r="O17" s="421"/>
      <c r="P17" s="419">
        <v>0</v>
      </c>
      <c r="Q17" s="420">
        <v>0</v>
      </c>
      <c r="R17" s="421"/>
      <c r="S17" s="419">
        <v>0</v>
      </c>
      <c r="T17" s="420">
        <v>0</v>
      </c>
      <c r="U17" s="421"/>
      <c r="V17" s="419">
        <v>0</v>
      </c>
      <c r="W17" s="420">
        <v>0</v>
      </c>
      <c r="X17" s="421"/>
      <c r="Y17" s="419">
        <v>0</v>
      </c>
      <c r="Z17" s="420">
        <v>0</v>
      </c>
      <c r="AA17" s="421"/>
      <c r="AB17" s="419">
        <v>0</v>
      </c>
      <c r="AC17" s="420">
        <v>0</v>
      </c>
      <c r="AD17" s="421"/>
      <c r="AE17" s="419">
        <v>0</v>
      </c>
      <c r="AF17" s="420">
        <v>0</v>
      </c>
      <c r="AG17" s="421"/>
      <c r="AH17" s="419">
        <v>0</v>
      </c>
      <c r="AI17" s="420">
        <v>0</v>
      </c>
      <c r="AJ17" s="421"/>
      <c r="AK17" s="419">
        <v>0</v>
      </c>
      <c r="AL17" s="420">
        <v>0</v>
      </c>
      <c r="AM17" s="421"/>
      <c r="AN17" s="419">
        <v>0</v>
      </c>
      <c r="AO17" s="420">
        <v>0</v>
      </c>
      <c r="AP17" s="421"/>
      <c r="AQ17" s="419">
        <v>0</v>
      </c>
      <c r="AR17" s="420">
        <v>0</v>
      </c>
      <c r="AS17" s="421"/>
      <c r="AT17" s="419">
        <v>0</v>
      </c>
      <c r="AU17" s="420">
        <v>0</v>
      </c>
      <c r="AV17" s="421"/>
    </row>
    <row r="18" spans="1:56">
      <c r="A18" s="35">
        <v>10</v>
      </c>
      <c r="B18" s="412" t="s">
        <v>1855</v>
      </c>
      <c r="C18" s="407" t="s">
        <v>1102</v>
      </c>
      <c r="D18" s="407"/>
      <c r="E18" s="407" t="s">
        <v>389</v>
      </c>
      <c r="F18" s="407" t="s">
        <v>758</v>
      </c>
      <c r="G18" s="407" t="s">
        <v>1856</v>
      </c>
      <c r="H18" s="407" t="s">
        <v>389</v>
      </c>
      <c r="I18" s="408" t="s">
        <v>389</v>
      </c>
      <c r="J18" s="419">
        <v>-2279109.5</v>
      </c>
      <c r="K18" s="422">
        <v>-2238048.0300000003</v>
      </c>
      <c r="L18" s="421">
        <v>-41061.47</v>
      </c>
      <c r="M18" s="419">
        <v>-2226742.2999999998</v>
      </c>
      <c r="N18" s="422">
        <v>-2177832.12</v>
      </c>
      <c r="O18" s="421">
        <v>-48910.18</v>
      </c>
      <c r="P18" s="419">
        <v>-2231648.46</v>
      </c>
      <c r="Q18" s="422">
        <v>-2182738.2800000003</v>
      </c>
      <c r="R18" s="421">
        <v>-48910.18</v>
      </c>
      <c r="S18" s="419">
        <v>-2244974.9500000002</v>
      </c>
      <c r="T18" s="422">
        <v>-2196064.77</v>
      </c>
      <c r="U18" s="421">
        <v>-48910.18</v>
      </c>
      <c r="V18" s="419">
        <v>-2238326.9700000002</v>
      </c>
      <c r="W18" s="422">
        <v>-2188576.84</v>
      </c>
      <c r="X18" s="421">
        <v>-49750.13</v>
      </c>
      <c r="Y18" s="419">
        <v>-2236733.9700000002</v>
      </c>
      <c r="Z18" s="422">
        <v>-2188576.84</v>
      </c>
      <c r="AA18" s="421">
        <v>-48157.13</v>
      </c>
      <c r="AB18" s="419">
        <v>-2236210.0699999998</v>
      </c>
      <c r="AC18" s="422">
        <v>-2186613.7000000002</v>
      </c>
      <c r="AD18" s="421">
        <v>-49596.37</v>
      </c>
      <c r="AE18" s="419">
        <v>-2902309.1</v>
      </c>
      <c r="AF18" s="422">
        <v>-2852426.2</v>
      </c>
      <c r="AG18" s="421">
        <v>-49882.9</v>
      </c>
      <c r="AH18" s="419">
        <v>-2962128.58</v>
      </c>
      <c r="AI18" s="422">
        <v>-2864501.58</v>
      </c>
      <c r="AJ18" s="421">
        <v>-97627</v>
      </c>
      <c r="AK18" s="419">
        <v>-2962128.58</v>
      </c>
      <c r="AL18" s="422">
        <v>-2864501.58</v>
      </c>
      <c r="AM18" s="421">
        <v>-97627</v>
      </c>
      <c r="AN18" s="419">
        <v>-2962128.58</v>
      </c>
      <c r="AO18" s="422">
        <v>-2864501.58</v>
      </c>
      <c r="AP18" s="421">
        <v>-97627</v>
      </c>
      <c r="AQ18" s="419">
        <v>-2960940.58</v>
      </c>
      <c r="AR18" s="422">
        <v>-2863313.58</v>
      </c>
      <c r="AS18" s="421">
        <v>-97627</v>
      </c>
      <c r="AT18" s="419">
        <v>-2978881.44</v>
      </c>
      <c r="AU18" s="422">
        <v>-2863313.58</v>
      </c>
      <c r="AV18" s="421">
        <v>-115567.86</v>
      </c>
      <c r="AW18" s="236">
        <f>+(AT18+J18+(M18+P18+S18+V18+Y18+AB18+AE18+AH18+AK18+AN18+AQ18)*2)/24</f>
        <v>-2566105.6341666658</v>
      </c>
      <c r="AX18" s="236">
        <f t="shared" ref="AX18:AY22" si="0">+(AU18+K18+(N18+Q18+T18+W18+Z18+AC18+AF18+AI18+AL18+AO18+AR18)*2)/24</f>
        <v>-2498360.6562499995</v>
      </c>
      <c r="AY18" s="236">
        <f t="shared" si="0"/>
        <v>-67744.97791666667</v>
      </c>
    </row>
    <row r="19" spans="1:56">
      <c r="A19" s="35">
        <v>11</v>
      </c>
      <c r="B19" s="412" t="s">
        <v>1857</v>
      </c>
      <c r="C19" s="407" t="s">
        <v>1102</v>
      </c>
      <c r="D19" s="407"/>
      <c r="E19" s="407" t="s">
        <v>1850</v>
      </c>
      <c r="F19" s="407" t="s">
        <v>758</v>
      </c>
      <c r="G19" s="407" t="s">
        <v>1858</v>
      </c>
      <c r="H19" s="407" t="s">
        <v>389</v>
      </c>
      <c r="I19" s="408" t="s">
        <v>389</v>
      </c>
      <c r="J19" s="419">
        <v>76970.94</v>
      </c>
      <c r="K19" s="420">
        <v>76970.94</v>
      </c>
      <c r="L19" s="421">
        <v>0</v>
      </c>
      <c r="M19" s="419">
        <v>0</v>
      </c>
      <c r="N19" s="420">
        <v>0</v>
      </c>
      <c r="O19" s="421">
        <v>0</v>
      </c>
      <c r="P19" s="419">
        <v>7662.17</v>
      </c>
      <c r="Q19" s="420">
        <v>7662.17</v>
      </c>
      <c r="R19" s="421">
        <v>0</v>
      </c>
      <c r="S19" s="419">
        <v>7662.17</v>
      </c>
      <c r="T19" s="420">
        <v>7662.17</v>
      </c>
      <c r="U19" s="421">
        <v>0</v>
      </c>
      <c r="V19" s="419">
        <v>16274.85</v>
      </c>
      <c r="W19" s="420">
        <v>16274.85</v>
      </c>
      <c r="X19" s="421">
        <v>0</v>
      </c>
      <c r="Y19" s="419">
        <v>46932.4</v>
      </c>
      <c r="Z19" s="420">
        <v>46932.4</v>
      </c>
      <c r="AA19" s="421">
        <v>0</v>
      </c>
      <c r="AB19" s="419">
        <v>111861.2</v>
      </c>
      <c r="AC19" s="420">
        <v>111861.2</v>
      </c>
      <c r="AD19" s="421">
        <v>0</v>
      </c>
      <c r="AE19" s="419">
        <v>111861.2</v>
      </c>
      <c r="AF19" s="420">
        <v>111861.2</v>
      </c>
      <c r="AG19" s="421">
        <v>0</v>
      </c>
      <c r="AH19" s="419">
        <v>111861.2</v>
      </c>
      <c r="AI19" s="420">
        <v>111861.2</v>
      </c>
      <c r="AJ19" s="421">
        <v>0</v>
      </c>
      <c r="AK19" s="419">
        <v>111861.2</v>
      </c>
      <c r="AL19" s="420">
        <v>111861.2</v>
      </c>
      <c r="AM19" s="421">
        <v>0</v>
      </c>
      <c r="AN19" s="419">
        <v>111861.2</v>
      </c>
      <c r="AO19" s="420">
        <v>111861.2</v>
      </c>
      <c r="AP19" s="421">
        <v>0</v>
      </c>
      <c r="AQ19" s="419">
        <v>168335.9</v>
      </c>
      <c r="AR19" s="420">
        <v>168335.9</v>
      </c>
      <c r="AS19" s="421">
        <v>0</v>
      </c>
      <c r="AT19" s="419">
        <v>168335.9</v>
      </c>
      <c r="AU19" s="420">
        <v>168335.9</v>
      </c>
      <c r="AV19" s="421">
        <v>0</v>
      </c>
      <c r="AW19" s="236">
        <f t="shared" ref="AW19:AW22" si="1">+(AT19+J19+(M19+P19+S19+V19+Y19+AB19+AE19+AH19+AK19+AN19+AQ19)*2)/24</f>
        <v>77402.242500000008</v>
      </c>
      <c r="AX19" s="236">
        <f t="shared" si="0"/>
        <v>77402.242500000008</v>
      </c>
      <c r="AY19" s="236">
        <f t="shared" si="0"/>
        <v>0</v>
      </c>
    </row>
    <row r="20" spans="1:56">
      <c r="A20" s="35">
        <v>12</v>
      </c>
      <c r="B20" s="412" t="s">
        <v>1859</v>
      </c>
      <c r="C20" s="407" t="s">
        <v>1102</v>
      </c>
      <c r="D20" s="407"/>
      <c r="E20" s="407" t="s">
        <v>1850</v>
      </c>
      <c r="F20" s="407" t="s">
        <v>758</v>
      </c>
      <c r="G20" s="407" t="s">
        <v>1860</v>
      </c>
      <c r="H20" s="407" t="s">
        <v>389</v>
      </c>
      <c r="I20" s="408" t="s">
        <v>389</v>
      </c>
      <c r="J20" s="423">
        <v>0</v>
      </c>
      <c r="K20" s="424">
        <v>0.01</v>
      </c>
      <c r="L20" s="425">
        <v>-0.01</v>
      </c>
      <c r="M20" s="423">
        <v>0</v>
      </c>
      <c r="N20" s="424">
        <v>0.01</v>
      </c>
      <c r="O20" s="425">
        <v>-0.01</v>
      </c>
      <c r="P20" s="423">
        <v>0</v>
      </c>
      <c r="Q20" s="424">
        <v>0.01</v>
      </c>
      <c r="R20" s="425">
        <v>-0.01</v>
      </c>
      <c r="S20" s="423">
        <v>0</v>
      </c>
      <c r="T20" s="424">
        <v>0.01</v>
      </c>
      <c r="U20" s="425">
        <v>-0.01</v>
      </c>
      <c r="V20" s="423">
        <v>0</v>
      </c>
      <c r="W20" s="424">
        <v>0.01</v>
      </c>
      <c r="X20" s="425">
        <v>-0.01</v>
      </c>
      <c r="Y20" s="423">
        <v>0</v>
      </c>
      <c r="Z20" s="424">
        <v>0.01</v>
      </c>
      <c r="AA20" s="425">
        <v>-0.01</v>
      </c>
      <c r="AB20" s="423">
        <v>0</v>
      </c>
      <c r="AC20" s="424">
        <v>0.01</v>
      </c>
      <c r="AD20" s="425">
        <v>-0.01</v>
      </c>
      <c r="AE20" s="423">
        <v>0</v>
      </c>
      <c r="AF20" s="424">
        <v>0.01</v>
      </c>
      <c r="AG20" s="425">
        <v>-0.01</v>
      </c>
      <c r="AH20" s="423">
        <v>0</v>
      </c>
      <c r="AI20" s="424">
        <v>0.01</v>
      </c>
      <c r="AJ20" s="425">
        <v>-0.01</v>
      </c>
      <c r="AK20" s="423">
        <v>0</v>
      </c>
      <c r="AL20" s="424">
        <v>0.01</v>
      </c>
      <c r="AM20" s="425">
        <v>-0.01</v>
      </c>
      <c r="AN20" s="423">
        <v>0</v>
      </c>
      <c r="AO20" s="424">
        <v>0.01</v>
      </c>
      <c r="AP20" s="425">
        <v>-0.01</v>
      </c>
      <c r="AQ20" s="423">
        <v>0</v>
      </c>
      <c r="AR20" s="424">
        <v>0.01</v>
      </c>
      <c r="AS20" s="425">
        <v>-0.01</v>
      </c>
      <c r="AT20" s="423">
        <v>0</v>
      </c>
      <c r="AU20" s="424">
        <v>0.01</v>
      </c>
      <c r="AV20" s="425">
        <v>-0.01</v>
      </c>
      <c r="AW20" s="236">
        <f t="shared" si="1"/>
        <v>0</v>
      </c>
      <c r="AX20" s="236">
        <f t="shared" si="0"/>
        <v>9.9999999999999985E-3</v>
      </c>
      <c r="AY20" s="236">
        <f t="shared" si="0"/>
        <v>-9.9999999999999985E-3</v>
      </c>
    </row>
    <row r="21" spans="1:56">
      <c r="A21" s="290">
        <v>13</v>
      </c>
      <c r="B21" s="412" t="s">
        <v>1861</v>
      </c>
      <c r="C21" s="407" t="s">
        <v>1102</v>
      </c>
      <c r="D21" s="407"/>
      <c r="E21" s="407" t="s">
        <v>1850</v>
      </c>
      <c r="F21" s="407" t="s">
        <v>758</v>
      </c>
      <c r="G21" s="407" t="s">
        <v>1862</v>
      </c>
      <c r="H21" s="407" t="s">
        <v>389</v>
      </c>
      <c r="I21" s="408" t="s">
        <v>389</v>
      </c>
      <c r="J21" s="423">
        <v>-1873090.42</v>
      </c>
      <c r="K21" s="424">
        <v>-1418589.59</v>
      </c>
      <c r="L21" s="425">
        <v>-454500.83</v>
      </c>
      <c r="M21" s="423">
        <v>-1871940.47</v>
      </c>
      <c r="N21" s="424">
        <v>-1408934.05</v>
      </c>
      <c r="O21" s="425">
        <v>-463006.42</v>
      </c>
      <c r="P21" s="423">
        <v>-1871424.42</v>
      </c>
      <c r="Q21" s="424">
        <v>-1408545.62</v>
      </c>
      <c r="R21" s="425">
        <v>-462878.8</v>
      </c>
      <c r="S21" s="423">
        <v>-1801886.81</v>
      </c>
      <c r="T21" s="424">
        <v>-1356204.66</v>
      </c>
      <c r="U21" s="425">
        <v>-445682.15</v>
      </c>
      <c r="V21" s="423">
        <v>-1811877.29</v>
      </c>
      <c r="W21" s="424">
        <v>-1363724.49</v>
      </c>
      <c r="X21" s="425">
        <v>-448152.8</v>
      </c>
      <c r="Y21" s="423">
        <v>-1835727.71</v>
      </c>
      <c r="Z21" s="424">
        <v>-1381676.7</v>
      </c>
      <c r="AA21" s="425">
        <v>-454051.01</v>
      </c>
      <c r="AB21" s="423">
        <v>-1810275.43</v>
      </c>
      <c r="AC21" s="424">
        <v>-1362518.77</v>
      </c>
      <c r="AD21" s="425">
        <v>-447756.66</v>
      </c>
      <c r="AE21" s="423">
        <v>-1806885.94</v>
      </c>
      <c r="AF21" s="424">
        <v>-1359967.5</v>
      </c>
      <c r="AG21" s="425">
        <v>-446918.44</v>
      </c>
      <c r="AH21" s="423">
        <v>-1807118.06</v>
      </c>
      <c r="AI21" s="424">
        <v>-1360142.22</v>
      </c>
      <c r="AJ21" s="425">
        <v>-446975.84</v>
      </c>
      <c r="AK21" s="423">
        <v>-1718242.87</v>
      </c>
      <c r="AL21" s="424">
        <v>-1293245.8600000001</v>
      </c>
      <c r="AM21" s="425">
        <v>-424997.01</v>
      </c>
      <c r="AN21" s="423">
        <v>-1714074.84</v>
      </c>
      <c r="AO21" s="424">
        <v>-1290108.58</v>
      </c>
      <c r="AP21" s="425">
        <v>-423966.26</v>
      </c>
      <c r="AQ21" s="423">
        <v>-1706168.66</v>
      </c>
      <c r="AR21" s="424">
        <v>-1284157.6000000001</v>
      </c>
      <c r="AS21" s="425">
        <v>-422011.06</v>
      </c>
      <c r="AT21" s="423">
        <v>-1671584.25</v>
      </c>
      <c r="AU21" s="424">
        <v>-1258125.9099999999</v>
      </c>
      <c r="AV21" s="425">
        <v>-413458.34</v>
      </c>
      <c r="AW21" s="236">
        <f t="shared" si="1"/>
        <v>-1793996.6529166668</v>
      </c>
      <c r="AX21" s="236">
        <f t="shared" si="0"/>
        <v>-1350631.9833333334</v>
      </c>
      <c r="AY21" s="236">
        <f t="shared" si="0"/>
        <v>-443364.66958333325</v>
      </c>
    </row>
    <row r="22" spans="1:56" ht="16.5" thickBot="1">
      <c r="A22" s="290">
        <v>14</v>
      </c>
      <c r="B22" s="412" t="s">
        <v>1863</v>
      </c>
      <c r="C22" s="407" t="s">
        <v>1102</v>
      </c>
      <c r="D22" s="407"/>
      <c r="E22" s="407" t="s">
        <v>1850</v>
      </c>
      <c r="F22" s="407" t="s">
        <v>758</v>
      </c>
      <c r="G22" s="407" t="s">
        <v>1864</v>
      </c>
      <c r="H22" s="407" t="s">
        <v>389</v>
      </c>
      <c r="I22" s="408" t="s">
        <v>389</v>
      </c>
      <c r="J22" s="423">
        <v>0</v>
      </c>
      <c r="K22" s="424">
        <v>0</v>
      </c>
      <c r="L22" s="425">
        <v>0</v>
      </c>
      <c r="M22" s="423">
        <v>0</v>
      </c>
      <c r="N22" s="424">
        <v>0</v>
      </c>
      <c r="O22" s="425">
        <v>0</v>
      </c>
      <c r="P22" s="423">
        <v>0</v>
      </c>
      <c r="Q22" s="424">
        <v>0</v>
      </c>
      <c r="R22" s="425">
        <v>0</v>
      </c>
      <c r="S22" s="423">
        <v>0</v>
      </c>
      <c r="T22" s="424">
        <v>0</v>
      </c>
      <c r="U22" s="425">
        <v>0</v>
      </c>
      <c r="V22" s="423">
        <v>0</v>
      </c>
      <c r="W22" s="424">
        <v>0</v>
      </c>
      <c r="X22" s="425">
        <v>0</v>
      </c>
      <c r="Y22" s="423">
        <v>0</v>
      </c>
      <c r="Z22" s="424">
        <v>0</v>
      </c>
      <c r="AA22" s="425">
        <v>0</v>
      </c>
      <c r="AB22" s="423">
        <v>0</v>
      </c>
      <c r="AC22" s="424">
        <v>0</v>
      </c>
      <c r="AD22" s="425">
        <v>0</v>
      </c>
      <c r="AE22" s="423">
        <v>0</v>
      </c>
      <c r="AF22" s="424">
        <v>0</v>
      </c>
      <c r="AG22" s="425">
        <v>0</v>
      </c>
      <c r="AH22" s="423">
        <v>0</v>
      </c>
      <c r="AI22" s="424">
        <v>0</v>
      </c>
      <c r="AJ22" s="425">
        <v>0</v>
      </c>
      <c r="AK22" s="423">
        <v>0</v>
      </c>
      <c r="AL22" s="424">
        <v>0</v>
      </c>
      <c r="AM22" s="425">
        <v>0</v>
      </c>
      <c r="AN22" s="423">
        <v>0</v>
      </c>
      <c r="AO22" s="424">
        <v>0</v>
      </c>
      <c r="AP22" s="425">
        <v>0</v>
      </c>
      <c r="AQ22" s="423">
        <v>0</v>
      </c>
      <c r="AR22" s="424">
        <v>0</v>
      </c>
      <c r="AS22" s="425">
        <v>0</v>
      </c>
      <c r="AT22" s="423">
        <v>0</v>
      </c>
      <c r="AU22" s="424">
        <v>0</v>
      </c>
      <c r="AV22" s="425">
        <v>0</v>
      </c>
      <c r="AW22" s="426">
        <f t="shared" si="1"/>
        <v>0</v>
      </c>
      <c r="AX22" s="426">
        <f t="shared" si="0"/>
        <v>0</v>
      </c>
      <c r="AY22" s="426">
        <f t="shared" si="0"/>
        <v>0</v>
      </c>
    </row>
    <row r="23" spans="1:56" ht="16.5" thickBot="1">
      <c r="A23" s="290">
        <v>15</v>
      </c>
      <c r="B23" s="412"/>
      <c r="C23" s="407"/>
      <c r="D23" s="407"/>
      <c r="E23" s="407"/>
      <c r="F23" s="407"/>
      <c r="G23" s="407"/>
      <c r="H23" s="407"/>
      <c r="I23" s="408"/>
      <c r="J23" s="427">
        <f>SUM(J18:J22)</f>
        <v>-4075228.98</v>
      </c>
      <c r="K23" s="428">
        <f>SUM(K17:K22)</f>
        <v>-3579666.6700000009</v>
      </c>
      <c r="L23" s="429">
        <f>SUM(L18:L22)</f>
        <v>-495562.31</v>
      </c>
      <c r="M23" s="427">
        <f>SUM(M17:M22)</f>
        <v>-4098682.7699999996</v>
      </c>
      <c r="N23" s="428">
        <f>SUM(N17:N22)</f>
        <v>-3586766.16</v>
      </c>
      <c r="O23" s="429">
        <f>SUM(O18:O22)</f>
        <v>-511916.61</v>
      </c>
      <c r="P23" s="427">
        <f>SUM(P17:P22)</f>
        <v>-4095410.71</v>
      </c>
      <c r="Q23" s="428">
        <f>SUM(Q17:Q22)</f>
        <v>-3583621.7200000007</v>
      </c>
      <c r="R23" s="429">
        <f>SUM(R18:R22)</f>
        <v>-511788.99</v>
      </c>
      <c r="S23" s="427">
        <f>SUM(S17:S22)</f>
        <v>-4039199.5900000003</v>
      </c>
      <c r="T23" s="428">
        <f>SUM(T17:T22)</f>
        <v>-3544607.25</v>
      </c>
      <c r="U23" s="429">
        <f>SUM(U18:U22)</f>
        <v>-494592.34</v>
      </c>
      <c r="V23" s="427">
        <f>SUM(V17:V22)</f>
        <v>-4033929.41</v>
      </c>
      <c r="W23" s="428">
        <f>SUM(W17:W22)</f>
        <v>-3536026.4699999997</v>
      </c>
      <c r="X23" s="429">
        <f>SUM(X18:X22)</f>
        <v>-497902.94</v>
      </c>
      <c r="Y23" s="427">
        <f>SUM(Y17:Y22)</f>
        <v>-4025529.2800000003</v>
      </c>
      <c r="Z23" s="428">
        <f>SUM(Z17:Z22)</f>
        <v>-3523321.13</v>
      </c>
      <c r="AA23" s="429">
        <f>SUM(AA18:AA22)</f>
        <v>-502208.15</v>
      </c>
      <c r="AB23" s="427">
        <f>SUM(AB17:AB22)</f>
        <v>-3934624.3</v>
      </c>
      <c r="AC23" s="428">
        <f>SUM(AC17:AC22)</f>
        <v>-3437271.2600000002</v>
      </c>
      <c r="AD23" s="429">
        <f>SUM(AD18:AD22)</f>
        <v>-497353.04</v>
      </c>
      <c r="AE23" s="427">
        <f>SUM(AE17:AE22)</f>
        <v>-4597333.84</v>
      </c>
      <c r="AF23" s="428">
        <f>SUM(AF17:AF22)</f>
        <v>-4100532.49</v>
      </c>
      <c r="AG23" s="429">
        <f>SUM(AG18:AG22)</f>
        <v>-496801.35</v>
      </c>
      <c r="AH23" s="427">
        <f>SUM(AH17:AH22)</f>
        <v>-4657385.4399999995</v>
      </c>
      <c r="AI23" s="428">
        <f>SUM(AI17:AI22)</f>
        <v>-4112782.59</v>
      </c>
      <c r="AJ23" s="429">
        <f>SUM(AJ18:AJ22)</f>
        <v>-544602.85</v>
      </c>
      <c r="AK23" s="427">
        <f>SUM(AK17:AK22)</f>
        <v>-4568510.25</v>
      </c>
      <c r="AL23" s="428">
        <f>SUM(AL17:AL22)</f>
        <v>-4045886.2300000004</v>
      </c>
      <c r="AM23" s="429">
        <f>SUM(AM18:AM22)</f>
        <v>-522624.02</v>
      </c>
      <c r="AN23" s="427">
        <f>SUM(AN17:AN22)</f>
        <v>-4564342.22</v>
      </c>
      <c r="AO23" s="428">
        <f>SUM(AO17:AO22)</f>
        <v>-4042748.95</v>
      </c>
      <c r="AP23" s="429">
        <f>SUM(AP18:AP22)</f>
        <v>-521593.27</v>
      </c>
      <c r="AQ23" s="427">
        <f>SUM(AQ17:AQ22)</f>
        <v>-4498773.34</v>
      </c>
      <c r="AR23" s="428">
        <f>SUM(AR17:AR22)</f>
        <v>-3979135.2700000005</v>
      </c>
      <c r="AS23" s="429">
        <f>SUM(AS18:AS22)</f>
        <v>-519638.07</v>
      </c>
      <c r="AT23" s="427">
        <f>SUM(AT17:AT22)</f>
        <v>-4482129.79</v>
      </c>
      <c r="AU23" s="428">
        <f>SUM(AU17:AU22)</f>
        <v>-3953103.58</v>
      </c>
      <c r="AV23" s="429">
        <f>SUM(AV18:AV22)</f>
        <v>-529026.21</v>
      </c>
      <c r="AW23" s="430">
        <f>SUM(AW18:AW22)</f>
        <v>-4282700.0445833327</v>
      </c>
      <c r="AX23" s="431">
        <f t="shared" ref="AX23:AY23" si="2">SUM(AX18:AX22)</f>
        <v>-3771590.387083333</v>
      </c>
      <c r="AY23" s="432">
        <f t="shared" si="2"/>
        <v>-511109.65749999991</v>
      </c>
    </row>
    <row r="24" spans="1:56" ht="16.5" thickTop="1">
      <c r="A24" s="290">
        <v>16</v>
      </c>
      <c r="B24" s="412"/>
      <c r="C24" s="407"/>
      <c r="D24" s="407"/>
      <c r="E24" s="407"/>
      <c r="F24" s="407"/>
      <c r="G24" s="407"/>
      <c r="H24" s="407"/>
      <c r="I24" s="408"/>
      <c r="J24" s="419"/>
      <c r="K24" s="420"/>
      <c r="L24" s="421">
        <v>8.7311491370201111E-10</v>
      </c>
      <c r="M24" s="419"/>
      <c r="N24" s="420"/>
      <c r="O24" s="421">
        <v>5.8207660913467407E-10</v>
      </c>
      <c r="P24" s="419"/>
      <c r="Q24" s="420"/>
      <c r="R24" s="421">
        <v>6.9849193096160889E-10</v>
      </c>
      <c r="S24" s="419"/>
      <c r="T24" s="420"/>
      <c r="U24" s="421">
        <v>0</v>
      </c>
      <c r="V24" s="419"/>
      <c r="W24" s="420"/>
      <c r="X24" s="421">
        <v>0</v>
      </c>
      <c r="Y24" s="419"/>
      <c r="Z24" s="420"/>
      <c r="AA24" s="421">
        <v>0</v>
      </c>
      <c r="AB24" s="419"/>
      <c r="AC24" s="420"/>
      <c r="AD24" s="421">
        <v>0</v>
      </c>
      <c r="AE24" s="419"/>
      <c r="AF24" s="420"/>
      <c r="AG24" s="421">
        <v>0</v>
      </c>
      <c r="AH24" s="419"/>
      <c r="AI24" s="420"/>
      <c r="AJ24" s="421">
        <v>0</v>
      </c>
      <c r="AK24" s="419"/>
      <c r="AL24" s="420"/>
      <c r="AM24" s="421">
        <v>4.6566128730773926E-10</v>
      </c>
      <c r="AN24" s="419"/>
      <c r="AO24" s="420"/>
      <c r="AP24" s="421">
        <v>4.6566128730773926E-10</v>
      </c>
      <c r="AQ24" s="419"/>
      <c r="AR24" s="420"/>
      <c r="AS24" s="421">
        <v>6.4028427004814148E-10</v>
      </c>
      <c r="AT24" s="419"/>
      <c r="AU24" s="420"/>
      <c r="AV24" s="421">
        <v>0</v>
      </c>
      <c r="AW24" s="433" t="e">
        <f>+#REF!</f>
        <v>#REF!</v>
      </c>
      <c r="AX24" s="1061" t="s">
        <v>1881</v>
      </c>
      <c r="AY24" s="1061"/>
      <c r="AZ24" s="1061"/>
      <c r="BA24" s="1061"/>
      <c r="BB24" s="1061"/>
      <c r="BC24" s="1061"/>
      <c r="BD24" s="1061"/>
    </row>
    <row r="25" spans="1:56">
      <c r="A25" s="290">
        <v>17</v>
      </c>
      <c r="B25" s="1071" t="s">
        <v>1865</v>
      </c>
      <c r="C25" s="1072"/>
      <c r="D25" s="1072"/>
      <c r="E25" s="1072"/>
      <c r="F25" s="1072"/>
      <c r="G25" s="1072"/>
      <c r="H25" s="1072"/>
      <c r="I25" s="1073"/>
      <c r="J25" s="434"/>
      <c r="K25" s="435"/>
      <c r="L25" s="436"/>
      <c r="M25" s="434"/>
      <c r="N25" s="435"/>
      <c r="O25" s="436"/>
      <c r="P25" s="434"/>
      <c r="Q25" s="435"/>
      <c r="R25" s="436"/>
      <c r="S25" s="434"/>
      <c r="T25" s="435"/>
      <c r="U25" s="436"/>
      <c r="V25" s="434"/>
      <c r="W25" s="435"/>
      <c r="X25" s="436"/>
      <c r="Y25" s="434"/>
      <c r="Z25" s="435"/>
      <c r="AA25" s="436"/>
      <c r="AB25" s="434"/>
      <c r="AC25" s="435"/>
      <c r="AD25" s="436"/>
      <c r="AE25" s="434"/>
      <c r="AF25" s="435"/>
      <c r="AG25" s="436"/>
      <c r="AH25" s="434"/>
      <c r="AI25" s="435"/>
      <c r="AJ25" s="436"/>
      <c r="AK25" s="434"/>
      <c r="AL25" s="435"/>
      <c r="AM25" s="436"/>
      <c r="AN25" s="434"/>
      <c r="AO25" s="435"/>
      <c r="AP25" s="436"/>
      <c r="AQ25" s="434"/>
      <c r="AR25" s="435"/>
      <c r="AS25" s="436"/>
      <c r="AT25" s="434"/>
      <c r="AU25" s="435"/>
      <c r="AV25" s="436"/>
      <c r="AX25" s="1061"/>
      <c r="AY25" s="1061"/>
      <c r="AZ25" s="1061"/>
      <c r="BA25" s="1061"/>
      <c r="BB25" s="1061"/>
      <c r="BC25" s="1061"/>
      <c r="BD25" s="1061"/>
    </row>
    <row r="26" spans="1:56">
      <c r="A26" s="290">
        <v>18</v>
      </c>
      <c r="B26" s="437" t="s">
        <v>1866</v>
      </c>
      <c r="C26" s="407" t="s">
        <v>1102</v>
      </c>
      <c r="D26" s="407"/>
      <c r="E26" s="407" t="s">
        <v>1850</v>
      </c>
      <c r="F26" s="438" t="s">
        <v>773</v>
      </c>
      <c r="G26" s="438" t="s">
        <v>1867</v>
      </c>
      <c r="H26" s="438" t="s">
        <v>389</v>
      </c>
      <c r="I26" s="439" t="s">
        <v>389</v>
      </c>
      <c r="J26" s="440">
        <v>-95924439.430000007</v>
      </c>
      <c r="K26" s="441">
        <v>-73343826.390000001</v>
      </c>
      <c r="L26" s="442">
        <v>-22580613.039999999</v>
      </c>
      <c r="M26" s="440">
        <v>-95880284.769999996</v>
      </c>
      <c r="N26" s="441">
        <v>-73396357.989999995</v>
      </c>
      <c r="O26" s="442">
        <v>-22483926.780000001</v>
      </c>
      <c r="P26" s="440">
        <v>-95836130.090000004</v>
      </c>
      <c r="Q26" s="441">
        <v>-73362557.579999998</v>
      </c>
      <c r="R26" s="442">
        <v>-22473572.510000002</v>
      </c>
      <c r="S26" s="440">
        <v>-95477141.109999999</v>
      </c>
      <c r="T26" s="441">
        <v>-73087751.519999996</v>
      </c>
      <c r="U26" s="442">
        <v>-22389389.59</v>
      </c>
      <c r="V26" s="440">
        <v>-95326147.390000001</v>
      </c>
      <c r="W26" s="441">
        <v>-72972165.829999998</v>
      </c>
      <c r="X26" s="442">
        <v>-22353981.559999999</v>
      </c>
      <c r="Y26" s="440">
        <v>-95175153.719999999</v>
      </c>
      <c r="Z26" s="441">
        <v>-72856580.180000007</v>
      </c>
      <c r="AA26" s="442">
        <v>-22318573.539999999</v>
      </c>
      <c r="AB26" s="440">
        <v>-95342095.019999996</v>
      </c>
      <c r="AC26" s="441">
        <v>-72984373.75</v>
      </c>
      <c r="AD26" s="442">
        <v>-22357721.27</v>
      </c>
      <c r="AE26" s="440">
        <v>-95244090.469999999</v>
      </c>
      <c r="AF26" s="441">
        <v>-72909351.269999996</v>
      </c>
      <c r="AG26" s="442">
        <v>-22334739.199999999</v>
      </c>
      <c r="AH26" s="440">
        <v>-95146085.950000003</v>
      </c>
      <c r="AI26" s="441">
        <v>-72834328.810000002</v>
      </c>
      <c r="AJ26" s="442">
        <v>-22311757.140000001</v>
      </c>
      <c r="AK26" s="440">
        <v>-96377115.560000002</v>
      </c>
      <c r="AL26" s="441">
        <v>-73776681.980000004</v>
      </c>
      <c r="AM26" s="442">
        <v>-22600433.579999998</v>
      </c>
      <c r="AN26" s="440">
        <v>-96426781.480000004</v>
      </c>
      <c r="AO26" s="441">
        <v>-73814701.239999995</v>
      </c>
      <c r="AP26" s="442">
        <v>-22612080.239999998</v>
      </c>
      <c r="AQ26" s="440">
        <v>-98123078.379999995</v>
      </c>
      <c r="AR26" s="441">
        <v>-75113216.519999996</v>
      </c>
      <c r="AS26" s="442">
        <v>-23009861.859999999</v>
      </c>
      <c r="AT26" s="440">
        <v>-98089298.930000007</v>
      </c>
      <c r="AU26" s="441">
        <v>-75087358.349999994</v>
      </c>
      <c r="AV26" s="442">
        <v>-23001940.579999998</v>
      </c>
      <c r="AW26" s="236">
        <f t="shared" ref="AW26:AW29" si="3">+(AT26+J26+(M26+P26+S26+V26+Y26+AB26+AE26+AH26+AK26+AN26+AQ26)*2)/24</f>
        <v>-95946747.760000005</v>
      </c>
      <c r="AX26" s="236">
        <f t="shared" ref="AX26:AX29" si="4">+(AU26+K26+(N26+Q26+T26+W26+Z26+AC26+AF26+AI26+AL26+AO26+AR26)*2)/24</f>
        <v>-73443638.25333333</v>
      </c>
      <c r="AY26" s="236">
        <f t="shared" ref="AY26:AY29" si="5">+(AV26+L26+(O26+R26+U26+X26+AA26+AD26+AG26+AJ26+AM26+AP26+AS26)*2)/24</f>
        <v>-22503109.506666671</v>
      </c>
    </row>
    <row r="27" spans="1:56">
      <c r="A27" s="290">
        <v>19</v>
      </c>
      <c r="B27" s="437" t="s">
        <v>1868</v>
      </c>
      <c r="C27" s="407" t="s">
        <v>1102</v>
      </c>
      <c r="D27" s="407"/>
      <c r="E27" s="407" t="s">
        <v>1850</v>
      </c>
      <c r="F27" s="438" t="s">
        <v>775</v>
      </c>
      <c r="G27" s="438" t="s">
        <v>1869</v>
      </c>
      <c r="H27" s="438" t="s">
        <v>389</v>
      </c>
      <c r="I27" s="439" t="s">
        <v>389</v>
      </c>
      <c r="J27" s="440">
        <v>-298910.77</v>
      </c>
      <c r="K27" s="441">
        <v>-228547.15</v>
      </c>
      <c r="L27" s="442">
        <v>-70363.62</v>
      </c>
      <c r="M27" s="440">
        <v>-297733.95</v>
      </c>
      <c r="N27" s="441">
        <v>-227915.33</v>
      </c>
      <c r="O27" s="442">
        <v>-69818.62</v>
      </c>
      <c r="P27" s="440">
        <v>-296557.15000000002</v>
      </c>
      <c r="Q27" s="441">
        <v>-227014.49</v>
      </c>
      <c r="R27" s="442">
        <v>-69542.66</v>
      </c>
      <c r="S27" s="440">
        <v>-295380.34999999998</v>
      </c>
      <c r="T27" s="441">
        <v>-226113.65</v>
      </c>
      <c r="U27" s="442">
        <v>-69266.7</v>
      </c>
      <c r="V27" s="440">
        <v>-294203.53000000003</v>
      </c>
      <c r="W27" s="441">
        <v>-225212.79</v>
      </c>
      <c r="X27" s="442">
        <v>-68990.740000000005</v>
      </c>
      <c r="Y27" s="440">
        <v>-293026.71999999997</v>
      </c>
      <c r="Z27" s="441">
        <v>-224311.94</v>
      </c>
      <c r="AA27" s="442">
        <v>-68714.78</v>
      </c>
      <c r="AB27" s="440">
        <v>-291849.90999999997</v>
      </c>
      <c r="AC27" s="441">
        <v>-223411.09</v>
      </c>
      <c r="AD27" s="442">
        <v>-68438.820000000007</v>
      </c>
      <c r="AE27" s="440">
        <v>-290673.11</v>
      </c>
      <c r="AF27" s="441">
        <v>-222510.25</v>
      </c>
      <c r="AG27" s="442">
        <v>-68162.86</v>
      </c>
      <c r="AH27" s="440">
        <v>-289496.3</v>
      </c>
      <c r="AI27" s="441">
        <v>-221609.4</v>
      </c>
      <c r="AJ27" s="442">
        <v>-67886.899999999994</v>
      </c>
      <c r="AK27" s="440">
        <v>-288319.49</v>
      </c>
      <c r="AL27" s="441">
        <v>-220708.55</v>
      </c>
      <c r="AM27" s="442">
        <v>-67610.9399999999</v>
      </c>
      <c r="AN27" s="440">
        <v>-287142.69</v>
      </c>
      <c r="AO27" s="441">
        <v>-219807.71</v>
      </c>
      <c r="AP27" s="442">
        <v>-67334.979999999894</v>
      </c>
      <c r="AQ27" s="440">
        <v>-285965.88</v>
      </c>
      <c r="AR27" s="441">
        <v>-218906.86</v>
      </c>
      <c r="AS27" s="442">
        <v>-67059.019999999902</v>
      </c>
      <c r="AT27" s="440">
        <v>-284789.06</v>
      </c>
      <c r="AU27" s="441">
        <v>-218006</v>
      </c>
      <c r="AV27" s="442">
        <v>-66783.059999999896</v>
      </c>
      <c r="AW27" s="236">
        <f t="shared" si="3"/>
        <v>-291849.91624999995</v>
      </c>
      <c r="AX27" s="236">
        <f t="shared" si="4"/>
        <v>-223399.88625000001</v>
      </c>
      <c r="AY27" s="236">
        <f t="shared" si="5"/>
        <v>-68450.02999999997</v>
      </c>
    </row>
    <row r="28" spans="1:56">
      <c r="A28" s="290">
        <v>20</v>
      </c>
      <c r="B28" s="437" t="s">
        <v>1870</v>
      </c>
      <c r="C28" s="407" t="s">
        <v>1102</v>
      </c>
      <c r="D28" s="407"/>
      <c r="E28" s="407" t="s">
        <v>389</v>
      </c>
      <c r="F28" s="438" t="s">
        <v>773</v>
      </c>
      <c r="G28" s="438" t="s">
        <v>1871</v>
      </c>
      <c r="H28" s="438" t="s">
        <v>389</v>
      </c>
      <c r="I28" s="439" t="s">
        <v>389</v>
      </c>
      <c r="J28" s="443">
        <v>-3872422.04</v>
      </c>
      <c r="K28" s="443">
        <v>0</v>
      </c>
      <c r="L28" s="444">
        <v>-3872422.04</v>
      </c>
      <c r="M28" s="443">
        <v>-3872775.8</v>
      </c>
      <c r="N28" s="443">
        <v>0</v>
      </c>
      <c r="O28" s="444">
        <v>-3872775.8</v>
      </c>
      <c r="P28" s="443">
        <v>-3873129.56</v>
      </c>
      <c r="Q28" s="443">
        <v>0</v>
      </c>
      <c r="R28" s="444">
        <v>-3873129.56</v>
      </c>
      <c r="S28" s="443">
        <v>-3843445.26</v>
      </c>
      <c r="T28" s="443">
        <v>0</v>
      </c>
      <c r="U28" s="444">
        <v>-3843445.26</v>
      </c>
      <c r="V28" s="443">
        <v>-3839198.49</v>
      </c>
      <c r="W28" s="443">
        <v>0</v>
      </c>
      <c r="X28" s="444">
        <v>-3839198.49</v>
      </c>
      <c r="Y28" s="443">
        <v>-3834951.74</v>
      </c>
      <c r="Z28" s="443">
        <v>0</v>
      </c>
      <c r="AA28" s="444">
        <v>-3834951.74</v>
      </c>
      <c r="AB28" s="443">
        <v>-3847427.87</v>
      </c>
      <c r="AC28" s="443">
        <v>0</v>
      </c>
      <c r="AD28" s="444">
        <v>-3847427.87</v>
      </c>
      <c r="AE28" s="443">
        <v>-3845968.28</v>
      </c>
      <c r="AF28" s="443">
        <v>0</v>
      </c>
      <c r="AG28" s="444">
        <v>-3845968.28</v>
      </c>
      <c r="AH28" s="443">
        <v>-3844508.66</v>
      </c>
      <c r="AI28" s="443">
        <v>0</v>
      </c>
      <c r="AJ28" s="444">
        <v>-3844508.66</v>
      </c>
      <c r="AK28" s="443">
        <v>-3893025.52</v>
      </c>
      <c r="AL28" s="443">
        <v>0</v>
      </c>
      <c r="AM28" s="444">
        <v>-3893025.52</v>
      </c>
      <c r="AN28" s="443">
        <v>-3897118.86</v>
      </c>
      <c r="AO28" s="443">
        <v>0</v>
      </c>
      <c r="AP28" s="444">
        <v>-3897118.86</v>
      </c>
      <c r="AQ28" s="443">
        <v>-4047193.88</v>
      </c>
      <c r="AR28" s="443">
        <v>0</v>
      </c>
      <c r="AS28" s="444">
        <v>-4047193.88</v>
      </c>
      <c r="AT28" s="443">
        <v>-4085566.09</v>
      </c>
      <c r="AU28" s="443">
        <v>0</v>
      </c>
      <c r="AV28" s="444">
        <v>-4085566.09</v>
      </c>
      <c r="AW28" s="236">
        <f t="shared" si="3"/>
        <v>-3884811.4987500007</v>
      </c>
      <c r="AX28" s="236">
        <f t="shared" si="4"/>
        <v>0</v>
      </c>
      <c r="AY28" s="236">
        <f t="shared" si="5"/>
        <v>-3884811.4987500007</v>
      </c>
    </row>
    <row r="29" spans="1:56" ht="16.5" thickBot="1">
      <c r="A29" s="290">
        <v>21</v>
      </c>
      <c r="B29" s="437" t="s">
        <v>1872</v>
      </c>
      <c r="C29" s="407" t="s">
        <v>1102</v>
      </c>
      <c r="D29" s="407"/>
      <c r="E29" s="407" t="s">
        <v>389</v>
      </c>
      <c r="F29" s="438" t="s">
        <v>775</v>
      </c>
      <c r="G29" s="438" t="s">
        <v>1873</v>
      </c>
      <c r="H29" s="438" t="s">
        <v>389</v>
      </c>
      <c r="I29" s="439" t="s">
        <v>389</v>
      </c>
      <c r="J29" s="443">
        <v>-13181.63</v>
      </c>
      <c r="K29" s="443">
        <v>0</v>
      </c>
      <c r="L29" s="445">
        <v>-13181.63</v>
      </c>
      <c r="M29" s="443">
        <v>-13129.73</v>
      </c>
      <c r="N29" s="443">
        <v>0</v>
      </c>
      <c r="O29" s="445">
        <v>-13129.73</v>
      </c>
      <c r="P29" s="443">
        <v>-13077.84</v>
      </c>
      <c r="Q29" s="443">
        <v>0</v>
      </c>
      <c r="R29" s="445">
        <v>-13077.84</v>
      </c>
      <c r="S29" s="443">
        <v>-15536.55</v>
      </c>
      <c r="T29" s="443">
        <v>0</v>
      </c>
      <c r="U29" s="445">
        <v>-15536.55</v>
      </c>
      <c r="V29" s="443">
        <v>-15474.65</v>
      </c>
      <c r="W29" s="443">
        <v>0</v>
      </c>
      <c r="X29" s="445">
        <v>-15474.65</v>
      </c>
      <c r="Y29" s="443">
        <v>-15412.75</v>
      </c>
      <c r="Z29" s="443">
        <v>0</v>
      </c>
      <c r="AA29" s="445">
        <v>-15412.75</v>
      </c>
      <c r="AB29" s="443">
        <v>-15350.85</v>
      </c>
      <c r="AC29" s="443">
        <v>0</v>
      </c>
      <c r="AD29" s="445">
        <v>-15350.85</v>
      </c>
      <c r="AE29" s="443">
        <v>-15288.96</v>
      </c>
      <c r="AF29" s="443">
        <v>0</v>
      </c>
      <c r="AG29" s="445">
        <v>-15288.96</v>
      </c>
      <c r="AH29" s="443">
        <v>-15227.06</v>
      </c>
      <c r="AI29" s="443">
        <v>0</v>
      </c>
      <c r="AJ29" s="445">
        <v>-15227.06</v>
      </c>
      <c r="AK29" s="443">
        <v>-15165.16</v>
      </c>
      <c r="AL29" s="443">
        <v>0</v>
      </c>
      <c r="AM29" s="445">
        <v>-15165.16</v>
      </c>
      <c r="AN29" s="443">
        <v>-15103.26</v>
      </c>
      <c r="AO29" s="443">
        <v>0</v>
      </c>
      <c r="AP29" s="445">
        <v>-15103.26</v>
      </c>
      <c r="AQ29" s="443">
        <v>-15041.37</v>
      </c>
      <c r="AR29" s="443">
        <v>0</v>
      </c>
      <c r="AS29" s="445">
        <v>-15041.37</v>
      </c>
      <c r="AT29" s="443">
        <v>-14979.47</v>
      </c>
      <c r="AU29" s="443">
        <v>0</v>
      </c>
      <c r="AV29" s="445">
        <v>-14979.47</v>
      </c>
      <c r="AW29" s="426">
        <f t="shared" si="3"/>
        <v>-14824.060833333331</v>
      </c>
      <c r="AX29" s="426">
        <f t="shared" si="4"/>
        <v>0</v>
      </c>
      <c r="AY29" s="426">
        <f t="shared" si="5"/>
        <v>-14824.060833333331</v>
      </c>
    </row>
    <row r="30" spans="1:56" ht="16.5" thickBot="1">
      <c r="A30" s="290">
        <v>22</v>
      </c>
      <c r="B30" s="412"/>
      <c r="C30" s="407"/>
      <c r="D30" s="407"/>
      <c r="E30" s="407"/>
      <c r="F30" s="407"/>
      <c r="G30" s="407"/>
      <c r="H30" s="407"/>
      <c r="I30" s="408"/>
      <c r="J30" s="427">
        <f t="shared" ref="J30:AV30" si="6">SUM(J26:J29)</f>
        <v>-100108953.87</v>
      </c>
      <c r="K30" s="428">
        <f t="shared" si="6"/>
        <v>-73572373.540000007</v>
      </c>
      <c r="L30" s="429">
        <f t="shared" si="6"/>
        <v>-26536580.329999998</v>
      </c>
      <c r="M30" s="427">
        <f t="shared" si="6"/>
        <v>-100063924.25</v>
      </c>
      <c r="N30" s="428">
        <f t="shared" si="6"/>
        <v>-73624273.319999993</v>
      </c>
      <c r="O30" s="429">
        <f t="shared" si="6"/>
        <v>-26439650.930000003</v>
      </c>
      <c r="P30" s="427">
        <f t="shared" si="6"/>
        <v>-100018894.64000002</v>
      </c>
      <c r="Q30" s="428">
        <f t="shared" si="6"/>
        <v>-73589572.069999993</v>
      </c>
      <c r="R30" s="429">
        <f t="shared" si="6"/>
        <v>-26429322.57</v>
      </c>
      <c r="S30" s="427">
        <f t="shared" si="6"/>
        <v>-99631503.269999996</v>
      </c>
      <c r="T30" s="428">
        <f t="shared" si="6"/>
        <v>-73313865.170000002</v>
      </c>
      <c r="U30" s="429">
        <f t="shared" si="6"/>
        <v>-26317638.099999998</v>
      </c>
      <c r="V30" s="427">
        <f t="shared" si="6"/>
        <v>-99475024.060000002</v>
      </c>
      <c r="W30" s="428">
        <f t="shared" si="6"/>
        <v>-73197378.620000005</v>
      </c>
      <c r="X30" s="429">
        <f t="shared" si="6"/>
        <v>-26277645.439999998</v>
      </c>
      <c r="Y30" s="427">
        <f t="shared" si="6"/>
        <v>-99318544.929999992</v>
      </c>
      <c r="Z30" s="428">
        <f t="shared" si="6"/>
        <v>-73080892.120000005</v>
      </c>
      <c r="AA30" s="429">
        <f t="shared" si="6"/>
        <v>-26237652.810000002</v>
      </c>
      <c r="AB30" s="427">
        <f t="shared" si="6"/>
        <v>-99496723.649999991</v>
      </c>
      <c r="AC30" s="428">
        <f t="shared" si="6"/>
        <v>-73207784.840000004</v>
      </c>
      <c r="AD30" s="429">
        <f t="shared" si="6"/>
        <v>-26288938.810000002</v>
      </c>
      <c r="AE30" s="427">
        <f t="shared" si="6"/>
        <v>-99396020.819999993</v>
      </c>
      <c r="AF30" s="428">
        <f t="shared" si="6"/>
        <v>-73131861.519999996</v>
      </c>
      <c r="AG30" s="429">
        <f t="shared" si="6"/>
        <v>-26264159.300000001</v>
      </c>
      <c r="AH30" s="427">
        <f t="shared" si="6"/>
        <v>-99295317.969999999</v>
      </c>
      <c r="AI30" s="428">
        <f t="shared" si="6"/>
        <v>-73055938.210000008</v>
      </c>
      <c r="AJ30" s="429">
        <f t="shared" si="6"/>
        <v>-26239379.759999998</v>
      </c>
      <c r="AK30" s="427">
        <f t="shared" si="6"/>
        <v>-100573625.72999999</v>
      </c>
      <c r="AL30" s="428">
        <f t="shared" si="6"/>
        <v>-73997390.530000001</v>
      </c>
      <c r="AM30" s="429">
        <f t="shared" si="6"/>
        <v>-26576235.199999999</v>
      </c>
      <c r="AN30" s="427">
        <f t="shared" si="6"/>
        <v>-100626146.29000001</v>
      </c>
      <c r="AO30" s="428">
        <f t="shared" si="6"/>
        <v>-74034508.949999988</v>
      </c>
      <c r="AP30" s="429">
        <f t="shared" si="6"/>
        <v>-26591637.34</v>
      </c>
      <c r="AQ30" s="427">
        <f t="shared" si="6"/>
        <v>-102471279.50999999</v>
      </c>
      <c r="AR30" s="428">
        <f t="shared" si="6"/>
        <v>-75332123.379999995</v>
      </c>
      <c r="AS30" s="429">
        <f t="shared" si="6"/>
        <v>-27139156.129999999</v>
      </c>
      <c r="AT30" s="427">
        <f t="shared" si="6"/>
        <v>-102474633.55000001</v>
      </c>
      <c r="AU30" s="428">
        <f t="shared" si="6"/>
        <v>-75305364.349999994</v>
      </c>
      <c r="AV30" s="429">
        <f t="shared" si="6"/>
        <v>-27169269.199999996</v>
      </c>
      <c r="AW30" s="430">
        <f>SUM(AW25:AW29)</f>
        <v>-100138233.23583335</v>
      </c>
      <c r="AX30" s="431">
        <f t="shared" ref="AX30" si="7">SUM(AX25:AX29)</f>
        <v>-73667038.139583334</v>
      </c>
      <c r="AY30" s="432">
        <f t="shared" ref="AY30" si="8">SUM(AY25:AY29)</f>
        <v>-26471195.096250009</v>
      </c>
    </row>
    <row r="31" spans="1:56" ht="17.25" thickTop="1" thickBot="1">
      <c r="A31" s="290">
        <v>23</v>
      </c>
      <c r="B31" s="446" t="s">
        <v>1895</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c r="A32" s="35">
        <v>24</v>
      </c>
      <c r="C32" s="90" t="s">
        <v>1102</v>
      </c>
      <c r="E32" s="90" t="s">
        <v>1886</v>
      </c>
      <c r="F32" s="90" t="s">
        <v>773</v>
      </c>
      <c r="G32" s="90" t="s">
        <v>1887</v>
      </c>
      <c r="H32" s="90"/>
      <c r="I32" s="90"/>
      <c r="J32" s="447">
        <v>38942.18</v>
      </c>
      <c r="K32" s="448"/>
      <c r="L32" s="449"/>
      <c r="M32" s="448">
        <v>38536.93</v>
      </c>
      <c r="N32" s="448"/>
      <c r="O32" s="449"/>
      <c r="P32" s="448">
        <v>38131.699999999997</v>
      </c>
      <c r="Q32" s="448"/>
      <c r="R32" s="449"/>
      <c r="S32" s="448">
        <v>30325.16</v>
      </c>
      <c r="T32" s="448"/>
      <c r="U32" s="449"/>
      <c r="V32" s="448">
        <v>29796.79</v>
      </c>
      <c r="W32" s="448"/>
      <c r="X32" s="449"/>
      <c r="Y32" s="448">
        <v>29268.42</v>
      </c>
      <c r="Z32" s="448"/>
      <c r="AA32" s="449"/>
      <c r="AB32" s="448">
        <v>28716.29</v>
      </c>
      <c r="AC32" s="448"/>
      <c r="AD32" s="449"/>
      <c r="AE32" s="448">
        <v>28183.94</v>
      </c>
      <c r="AF32" s="448"/>
      <c r="AG32" s="449"/>
      <c r="AH32" s="448">
        <v>27651.63</v>
      </c>
      <c r="AI32" s="448"/>
      <c r="AJ32" s="449"/>
      <c r="AK32" s="448">
        <v>28514.799999999999</v>
      </c>
      <c r="AL32" s="448"/>
      <c r="AM32" s="449"/>
      <c r="AN32" s="448">
        <v>28137.52</v>
      </c>
      <c r="AO32" s="448"/>
      <c r="AP32" s="449"/>
      <c r="AQ32" s="448">
        <v>29498.17</v>
      </c>
      <c r="AR32" s="448"/>
      <c r="AS32" s="449"/>
      <c r="AT32" s="448">
        <v>31017.37</v>
      </c>
      <c r="AU32" s="448"/>
      <c r="AV32" s="449"/>
      <c r="AW32" s="236">
        <f t="shared" ref="AW32:AW37" si="9">+(AT32+J32+(M32+P32+S32+V32+Y32+AB32+AE32+AH32+AK32+AN32+AQ32)*2)/24</f>
        <v>30978.427083333339</v>
      </c>
      <c r="AX32" s="90"/>
      <c r="AY32" s="90"/>
    </row>
    <row r="33" spans="1:51">
      <c r="A33" s="35">
        <v>25</v>
      </c>
      <c r="C33" s="90" t="s">
        <v>1102</v>
      </c>
      <c r="E33" s="90" t="s">
        <v>1886</v>
      </c>
      <c r="F33" s="90" t="s">
        <v>773</v>
      </c>
      <c r="G33" s="90" t="s">
        <v>1888</v>
      </c>
      <c r="H33" s="90"/>
      <c r="I33" s="90"/>
      <c r="J33" s="450">
        <v>-214358.06</v>
      </c>
      <c r="K33" s="451"/>
      <c r="L33" s="452"/>
      <c r="M33" s="451">
        <v>-213529.1</v>
      </c>
      <c r="N33" s="451"/>
      <c r="O33" s="452"/>
      <c r="P33" s="451">
        <v>-212700.13</v>
      </c>
      <c r="Q33" s="451"/>
      <c r="R33" s="452"/>
      <c r="S33" s="451">
        <v>-998639.19</v>
      </c>
      <c r="T33" s="451"/>
      <c r="U33" s="452"/>
      <c r="V33" s="451">
        <v>-996839.2</v>
      </c>
      <c r="W33" s="451"/>
      <c r="X33" s="452"/>
      <c r="Y33" s="451">
        <v>-995039.19</v>
      </c>
      <c r="Z33" s="451"/>
      <c r="AA33" s="452"/>
      <c r="AB33" s="451">
        <v>-993281.09</v>
      </c>
      <c r="AC33" s="451"/>
      <c r="AD33" s="452"/>
      <c r="AE33" s="451">
        <v>-991488.07</v>
      </c>
      <c r="AF33" s="451"/>
      <c r="AG33" s="452"/>
      <c r="AH33" s="451">
        <v>-989695.05</v>
      </c>
      <c r="AI33" s="451"/>
      <c r="AJ33" s="452"/>
      <c r="AK33" s="451">
        <v>-1003601.37</v>
      </c>
      <c r="AL33" s="451"/>
      <c r="AM33" s="452"/>
      <c r="AN33" s="451">
        <v>-1003552.74</v>
      </c>
      <c r="AO33" s="451"/>
      <c r="AP33" s="452"/>
      <c r="AQ33" s="451">
        <v>-944033.17</v>
      </c>
      <c r="AR33" s="451"/>
      <c r="AS33" s="452"/>
      <c r="AT33" s="451">
        <v>-903902.86</v>
      </c>
      <c r="AU33" s="451"/>
      <c r="AV33" s="452"/>
      <c r="AW33" s="236">
        <f t="shared" si="9"/>
        <v>-825127.39666666684</v>
      </c>
      <c r="AX33" s="90"/>
      <c r="AY33" s="90"/>
    </row>
    <row r="34" spans="1:51">
      <c r="A34" s="35">
        <v>26</v>
      </c>
      <c r="C34" s="90" t="s">
        <v>1102</v>
      </c>
      <c r="E34" s="90" t="s">
        <v>1886</v>
      </c>
      <c r="F34" s="90" t="s">
        <v>773</v>
      </c>
      <c r="G34" s="90" t="s">
        <v>1889</v>
      </c>
      <c r="H34" s="90"/>
      <c r="I34" s="90"/>
      <c r="J34" s="450">
        <v>581511.75</v>
      </c>
      <c r="K34" s="451"/>
      <c r="L34" s="452"/>
      <c r="M34" s="451">
        <v>581511.75</v>
      </c>
      <c r="N34" s="451"/>
      <c r="O34" s="452"/>
      <c r="P34" s="451">
        <v>581511.75</v>
      </c>
      <c r="Q34" s="451"/>
      <c r="R34" s="452"/>
      <c r="S34" s="451">
        <v>581511.75</v>
      </c>
      <c r="T34" s="451"/>
      <c r="U34" s="452"/>
      <c r="V34" s="451">
        <v>581511.75</v>
      </c>
      <c r="W34" s="451"/>
      <c r="X34" s="452"/>
      <c r="Y34" s="451">
        <v>581511.75</v>
      </c>
      <c r="Z34" s="451"/>
      <c r="AA34" s="452"/>
      <c r="AB34" s="451">
        <v>581511.75</v>
      </c>
      <c r="AC34" s="451"/>
      <c r="AD34" s="452"/>
      <c r="AE34" s="451">
        <v>581511.75</v>
      </c>
      <c r="AF34" s="451"/>
      <c r="AG34" s="452"/>
      <c r="AH34" s="451">
        <v>581511.75</v>
      </c>
      <c r="AI34" s="451"/>
      <c r="AJ34" s="452"/>
      <c r="AK34" s="451">
        <v>581511.75</v>
      </c>
      <c r="AL34" s="451"/>
      <c r="AM34" s="452"/>
      <c r="AN34" s="451">
        <v>581511.75</v>
      </c>
      <c r="AO34" s="451"/>
      <c r="AP34" s="452"/>
      <c r="AQ34" s="451">
        <v>581511.75</v>
      </c>
      <c r="AR34" s="451"/>
      <c r="AS34" s="452"/>
      <c r="AT34" s="451">
        <v>542744.30000000005</v>
      </c>
      <c r="AU34" s="451"/>
      <c r="AV34" s="452"/>
      <c r="AW34" s="236">
        <f t="shared" si="9"/>
        <v>579896.43958333333</v>
      </c>
      <c r="AX34" s="90"/>
      <c r="AY34" s="90"/>
    </row>
    <row r="35" spans="1:51">
      <c r="A35" s="290">
        <v>27</v>
      </c>
      <c r="C35" s="90" t="s">
        <v>1102</v>
      </c>
      <c r="E35" s="90" t="s">
        <v>1850</v>
      </c>
      <c r="F35" s="90" t="s">
        <v>773</v>
      </c>
      <c r="G35" s="90" t="s">
        <v>1890</v>
      </c>
      <c r="H35" s="90"/>
      <c r="I35" s="90"/>
      <c r="J35" s="450">
        <v>883065.23</v>
      </c>
      <c r="K35" s="451"/>
      <c r="L35" s="452"/>
      <c r="M35" s="451">
        <v>873875.83</v>
      </c>
      <c r="N35" s="451"/>
      <c r="O35" s="452"/>
      <c r="P35" s="451">
        <v>864686.41</v>
      </c>
      <c r="Q35" s="451"/>
      <c r="R35" s="452"/>
      <c r="S35" s="451">
        <v>576540.86</v>
      </c>
      <c r="T35" s="451"/>
      <c r="U35" s="452"/>
      <c r="V35" s="451">
        <v>566495.44999999995</v>
      </c>
      <c r="W35" s="451"/>
      <c r="X35" s="452"/>
      <c r="Y35" s="451">
        <v>556450.04</v>
      </c>
      <c r="Z35" s="451"/>
      <c r="AA35" s="452"/>
      <c r="AB35" s="451">
        <v>545952.99</v>
      </c>
      <c r="AC35" s="451"/>
      <c r="AD35" s="452"/>
      <c r="AE35" s="451">
        <v>535832.31999999995</v>
      </c>
      <c r="AF35" s="451"/>
      <c r="AG35" s="452"/>
      <c r="AH35" s="451">
        <v>525711.64</v>
      </c>
      <c r="AI35" s="451"/>
      <c r="AJ35" s="452"/>
      <c r="AK35" s="451">
        <v>542122.19999999995</v>
      </c>
      <c r="AL35" s="451"/>
      <c r="AM35" s="452"/>
      <c r="AN35" s="451">
        <v>534949.46</v>
      </c>
      <c r="AO35" s="451"/>
      <c r="AP35" s="452"/>
      <c r="AQ35" s="451">
        <v>560818.09</v>
      </c>
      <c r="AR35" s="451"/>
      <c r="AS35" s="452"/>
      <c r="AT35" s="451">
        <v>589700.96</v>
      </c>
      <c r="AU35" s="451"/>
      <c r="AV35" s="452"/>
      <c r="AW35" s="236">
        <f t="shared" si="9"/>
        <v>618318.19874999998</v>
      </c>
      <c r="AX35" s="90"/>
      <c r="AY35" s="90"/>
    </row>
    <row r="36" spans="1:51">
      <c r="A36" s="290">
        <v>28</v>
      </c>
      <c r="C36" s="90" t="s">
        <v>1102</v>
      </c>
      <c r="E36" s="90" t="s">
        <v>1850</v>
      </c>
      <c r="F36" s="90" t="s">
        <v>773</v>
      </c>
      <c r="G36" s="90" t="s">
        <v>1891</v>
      </c>
      <c r="H36" s="90"/>
      <c r="I36" s="90"/>
      <c r="J36" s="450">
        <v>1854336.33</v>
      </c>
      <c r="K36" s="451"/>
      <c r="L36" s="452"/>
      <c r="M36" s="451">
        <v>1836441.33</v>
      </c>
      <c r="N36" s="451"/>
      <c r="O36" s="452"/>
      <c r="P36" s="451">
        <v>1818546.33</v>
      </c>
      <c r="Q36" s="451"/>
      <c r="R36" s="452"/>
      <c r="S36" s="451">
        <v>2069357.94</v>
      </c>
      <c r="T36" s="451"/>
      <c r="U36" s="452"/>
      <c r="V36" s="451">
        <v>2048902.18</v>
      </c>
      <c r="W36" s="451"/>
      <c r="X36" s="452"/>
      <c r="Y36" s="451">
        <v>2028446.39</v>
      </c>
      <c r="Z36" s="451"/>
      <c r="AA36" s="452"/>
      <c r="AB36" s="451">
        <v>2007193.81</v>
      </c>
      <c r="AC36" s="451"/>
      <c r="AD36" s="452"/>
      <c r="AE36" s="451">
        <v>1986605.22</v>
      </c>
      <c r="AF36" s="451"/>
      <c r="AG36" s="452"/>
      <c r="AH36" s="451">
        <v>1966016.64</v>
      </c>
      <c r="AI36" s="451"/>
      <c r="AJ36" s="452"/>
      <c r="AK36" s="451">
        <v>2010399.81</v>
      </c>
      <c r="AL36" s="451"/>
      <c r="AM36" s="452"/>
      <c r="AN36" s="451">
        <v>1997030.29</v>
      </c>
      <c r="AO36" s="451"/>
      <c r="AP36" s="452"/>
      <c r="AQ36" s="451">
        <v>1985552.47</v>
      </c>
      <c r="AR36" s="451"/>
      <c r="AS36" s="452"/>
      <c r="AT36" s="451">
        <v>1999061.83</v>
      </c>
      <c r="AU36" s="451"/>
      <c r="AV36" s="452"/>
      <c r="AW36" s="236">
        <f t="shared" si="9"/>
        <v>1973432.6241666668</v>
      </c>
      <c r="AX36" s="90"/>
      <c r="AY36" s="90"/>
    </row>
    <row r="37" spans="1:51">
      <c r="A37" s="290">
        <v>29</v>
      </c>
      <c r="C37" s="90" t="s">
        <v>1102</v>
      </c>
      <c r="E37" s="90" t="s">
        <v>1850</v>
      </c>
      <c r="F37" s="90" t="s">
        <v>773</v>
      </c>
      <c r="G37" s="90" t="s">
        <v>1892</v>
      </c>
      <c r="H37" s="90"/>
      <c r="I37" s="90"/>
      <c r="J37" s="453">
        <v>-161895.75</v>
      </c>
      <c r="K37" s="451"/>
      <c r="L37" s="452"/>
      <c r="M37" s="451">
        <v>-161895.75</v>
      </c>
      <c r="N37" s="451"/>
      <c r="O37" s="452"/>
      <c r="P37" s="451">
        <v>-161895.75</v>
      </c>
      <c r="Q37" s="451"/>
      <c r="R37" s="452"/>
      <c r="S37" s="451">
        <v>-161895.75</v>
      </c>
      <c r="T37" s="451"/>
      <c r="U37" s="452"/>
      <c r="V37" s="451">
        <v>-161895.75</v>
      </c>
      <c r="W37" s="451"/>
      <c r="X37" s="452"/>
      <c r="Y37" s="451">
        <v>-161895.75</v>
      </c>
      <c r="Z37" s="451"/>
      <c r="AA37" s="452"/>
      <c r="AB37" s="451">
        <v>-161895.75</v>
      </c>
      <c r="AC37" s="451"/>
      <c r="AD37" s="452"/>
      <c r="AE37" s="451">
        <v>-161895.75</v>
      </c>
      <c r="AF37" s="451"/>
      <c r="AG37" s="452"/>
      <c r="AH37" s="451">
        <v>-161895.75</v>
      </c>
      <c r="AI37" s="451"/>
      <c r="AJ37" s="452"/>
      <c r="AK37" s="451">
        <v>-161895.75</v>
      </c>
      <c r="AL37" s="451"/>
      <c r="AM37" s="452"/>
      <c r="AN37" s="451">
        <v>-161895.75</v>
      </c>
      <c r="AO37" s="451"/>
      <c r="AP37" s="452"/>
      <c r="AQ37" s="451">
        <v>-161895.75</v>
      </c>
      <c r="AR37" s="451"/>
      <c r="AS37" s="452"/>
      <c r="AT37" s="451">
        <v>-151102.70000000001</v>
      </c>
      <c r="AU37" s="451"/>
      <c r="AV37" s="452"/>
      <c r="AW37" s="236">
        <f t="shared" si="9"/>
        <v>-161446.03958333333</v>
      </c>
      <c r="AX37" s="90"/>
      <c r="AY37" s="90"/>
    </row>
    <row r="38" spans="1:51">
      <c r="A38" s="290">
        <v>30</v>
      </c>
      <c r="C38" s="90"/>
      <c r="E38" s="90"/>
      <c r="F38" s="90"/>
      <c r="G38" s="90"/>
      <c r="H38" s="90"/>
      <c r="I38" s="90"/>
      <c r="J38" s="454">
        <f>SUM(J32:J37)</f>
        <v>2981601.68</v>
      </c>
      <c r="K38" s="451"/>
      <c r="L38" s="452"/>
      <c r="M38" s="454">
        <f>SUM(M32:M37)</f>
        <v>2954940.99</v>
      </c>
      <c r="N38" s="451"/>
      <c r="O38" s="452"/>
      <c r="P38" s="454">
        <f>SUM(P32:P37)</f>
        <v>2928280.31</v>
      </c>
      <c r="Q38" s="451"/>
      <c r="R38" s="452"/>
      <c r="S38" s="454">
        <f>SUM(S32:S37)</f>
        <v>2097200.77</v>
      </c>
      <c r="T38" s="451"/>
      <c r="U38" s="452"/>
      <c r="V38" s="454">
        <f>SUM(V32:V37)</f>
        <v>2067971.2199999997</v>
      </c>
      <c r="W38" s="451"/>
      <c r="X38" s="452"/>
      <c r="Y38" s="454">
        <f>SUM(Y32:Y37)</f>
        <v>2038741.6600000001</v>
      </c>
      <c r="Z38" s="451"/>
      <c r="AA38" s="452"/>
      <c r="AB38" s="454">
        <f>SUM(AB32:AB37)</f>
        <v>2008198</v>
      </c>
      <c r="AC38" s="451"/>
      <c r="AD38" s="452"/>
      <c r="AE38" s="454">
        <f>SUM(AE32:AE37)</f>
        <v>1978749.4100000001</v>
      </c>
      <c r="AF38" s="451"/>
      <c r="AG38" s="452"/>
      <c r="AH38" s="454">
        <f>SUM(AH32:AH37)</f>
        <v>1949300.8599999999</v>
      </c>
      <c r="AI38" s="451"/>
      <c r="AJ38" s="452"/>
      <c r="AK38" s="454">
        <f>SUM(AK32:AK37)</f>
        <v>1997051.44</v>
      </c>
      <c r="AL38" s="451"/>
      <c r="AM38" s="452"/>
      <c r="AN38" s="454">
        <f>SUM(AN32:AN37)</f>
        <v>1976180.5300000003</v>
      </c>
      <c r="AO38" s="451"/>
      <c r="AP38" s="452"/>
      <c r="AQ38" s="454">
        <f>SUM(AQ32:AQ37)</f>
        <v>2051451.56</v>
      </c>
      <c r="AR38" s="451"/>
      <c r="AS38" s="452"/>
      <c r="AT38" s="454">
        <f>SUM(AT32:AT37)</f>
        <v>2107518.9</v>
      </c>
      <c r="AU38" s="451"/>
      <c r="AV38" s="452"/>
      <c r="AW38" s="454">
        <f>SUM(AW32:AW37)</f>
        <v>2216052.2533333334</v>
      </c>
      <c r="AX38" s="90"/>
      <c r="AY38" s="90"/>
    </row>
    <row r="39" spans="1:51">
      <c r="A39" s="290">
        <v>31</v>
      </c>
      <c r="C39" s="90"/>
      <c r="E39" s="90"/>
      <c r="F39" s="90"/>
      <c r="G39" s="90"/>
      <c r="H39" s="90"/>
      <c r="I39" s="90"/>
      <c r="J39" s="450"/>
      <c r="K39" s="451"/>
      <c r="L39" s="452"/>
      <c r="M39" s="451"/>
      <c r="N39" s="451"/>
      <c r="O39" s="452"/>
      <c r="P39" s="451"/>
      <c r="Q39" s="451"/>
      <c r="R39" s="452"/>
      <c r="S39" s="451"/>
      <c r="T39" s="451"/>
      <c r="U39" s="452"/>
      <c r="V39" s="451"/>
      <c r="W39" s="451"/>
      <c r="X39" s="452"/>
      <c r="Y39" s="451"/>
      <c r="Z39" s="451"/>
      <c r="AA39" s="452"/>
      <c r="AB39" s="451"/>
      <c r="AC39" s="451"/>
      <c r="AD39" s="452"/>
      <c r="AE39" s="451"/>
      <c r="AF39" s="451"/>
      <c r="AG39" s="452"/>
      <c r="AH39" s="451"/>
      <c r="AI39" s="451"/>
      <c r="AJ39" s="452"/>
      <c r="AK39" s="451"/>
      <c r="AL39" s="451"/>
      <c r="AM39" s="452"/>
      <c r="AN39" s="451"/>
      <c r="AO39" s="451"/>
      <c r="AP39" s="452"/>
      <c r="AQ39" s="451"/>
      <c r="AR39" s="451"/>
      <c r="AS39" s="452"/>
      <c r="AT39" s="451"/>
      <c r="AU39" s="451"/>
      <c r="AV39" s="452"/>
      <c r="AW39" s="90"/>
      <c r="AX39" s="90"/>
      <c r="AY39" s="90"/>
    </row>
    <row r="40" spans="1:51">
      <c r="A40" s="290">
        <v>32</v>
      </c>
      <c r="C40" s="90" t="s">
        <v>1102</v>
      </c>
      <c r="E40" s="90" t="s">
        <v>1886</v>
      </c>
      <c r="F40" s="90" t="s">
        <v>775</v>
      </c>
      <c r="G40" s="90" t="s">
        <v>1889</v>
      </c>
      <c r="H40" s="90"/>
      <c r="I40" s="90"/>
      <c r="J40" s="450">
        <v>-1866272.87</v>
      </c>
      <c r="K40" s="451"/>
      <c r="L40" s="452"/>
      <c r="M40" s="451">
        <v>-1866801.81</v>
      </c>
      <c r="N40" s="451"/>
      <c r="O40" s="452"/>
      <c r="P40" s="451">
        <v>-1867330.76</v>
      </c>
      <c r="Q40" s="451"/>
      <c r="R40" s="452"/>
      <c r="S40" s="451">
        <v>-2160511.04</v>
      </c>
      <c r="T40" s="451"/>
      <c r="U40" s="452"/>
      <c r="V40" s="451">
        <v>-2161140.1</v>
      </c>
      <c r="W40" s="451"/>
      <c r="X40" s="452"/>
      <c r="Y40" s="451">
        <v>-2161769.15</v>
      </c>
      <c r="Z40" s="451"/>
      <c r="AA40" s="452"/>
      <c r="AB40" s="451">
        <v>-2161571.6</v>
      </c>
      <c r="AC40" s="451"/>
      <c r="AD40" s="452"/>
      <c r="AE40" s="451">
        <v>-2162063.12</v>
      </c>
      <c r="AF40" s="451"/>
      <c r="AG40" s="452"/>
      <c r="AH40" s="451">
        <v>-2162554.64</v>
      </c>
      <c r="AI40" s="451"/>
      <c r="AJ40" s="452"/>
      <c r="AK40" s="451">
        <v>-2157345.3199999998</v>
      </c>
      <c r="AL40" s="451"/>
      <c r="AM40" s="452"/>
      <c r="AN40" s="451">
        <v>-2157203.5499999998</v>
      </c>
      <c r="AO40" s="451"/>
      <c r="AP40" s="452"/>
      <c r="AQ40" s="451">
        <v>-2157061.7999999998</v>
      </c>
      <c r="AR40" s="451"/>
      <c r="AS40" s="452"/>
      <c r="AT40" s="451">
        <v>-2094061.52</v>
      </c>
      <c r="AU40" s="451"/>
      <c r="AV40" s="452"/>
      <c r="AW40" s="236">
        <f t="shared" ref="AW40:AW41" si="10">+(AT40+J40+(M40+P40+S40+V40+Y40+AB40+AE40+AH40+AK40+AN40+AQ40)*2)/24</f>
        <v>-2096293.3404166671</v>
      </c>
      <c r="AX40" s="90"/>
      <c r="AY40" s="90"/>
    </row>
    <row r="41" spans="1:51">
      <c r="A41" s="290">
        <v>33</v>
      </c>
      <c r="C41" s="90" t="s">
        <v>1102</v>
      </c>
      <c r="E41" s="90" t="s">
        <v>1850</v>
      </c>
      <c r="F41" s="90" t="s">
        <v>775</v>
      </c>
      <c r="G41" s="90" t="s">
        <v>1892</v>
      </c>
      <c r="H41" s="90"/>
      <c r="I41" s="90"/>
      <c r="J41" s="453">
        <v>-34608022.850000001</v>
      </c>
      <c r="K41" s="451"/>
      <c r="L41" s="452"/>
      <c r="M41" s="451">
        <v>-34620017.43</v>
      </c>
      <c r="N41" s="451"/>
      <c r="O41" s="452"/>
      <c r="P41" s="451">
        <v>-34632012.07</v>
      </c>
      <c r="Q41" s="451"/>
      <c r="R41" s="452"/>
      <c r="S41" s="451">
        <v>-34594533.43</v>
      </c>
      <c r="T41" s="451"/>
      <c r="U41" s="452"/>
      <c r="V41" s="451">
        <v>-34606492.979999997</v>
      </c>
      <c r="W41" s="451"/>
      <c r="X41" s="452"/>
      <c r="Y41" s="451">
        <v>-34618452.57</v>
      </c>
      <c r="Z41" s="451"/>
      <c r="AA41" s="452"/>
      <c r="AB41" s="451">
        <v>-34614696.380000003</v>
      </c>
      <c r="AC41" s="451"/>
      <c r="AD41" s="452"/>
      <c r="AE41" s="451">
        <v>-34624041.229999997</v>
      </c>
      <c r="AF41" s="451"/>
      <c r="AG41" s="452"/>
      <c r="AH41" s="451">
        <v>-34633386.079999998</v>
      </c>
      <c r="AI41" s="451"/>
      <c r="AJ41" s="452"/>
      <c r="AK41" s="451">
        <v>-34534346.850000001</v>
      </c>
      <c r="AL41" s="451"/>
      <c r="AM41" s="452"/>
      <c r="AN41" s="451">
        <v>-34531651.57</v>
      </c>
      <c r="AO41" s="451"/>
      <c r="AP41" s="452"/>
      <c r="AQ41" s="451">
        <v>-34528956.350000001</v>
      </c>
      <c r="AR41" s="451"/>
      <c r="AS41" s="452"/>
      <c r="AT41" s="451">
        <v>-33763265.57</v>
      </c>
      <c r="AU41" s="451"/>
      <c r="AV41" s="452"/>
      <c r="AW41" s="236">
        <f t="shared" si="10"/>
        <v>-34560352.595833331</v>
      </c>
      <c r="AX41" s="90"/>
      <c r="AY41" s="90"/>
    </row>
    <row r="42" spans="1:51">
      <c r="A42" s="290">
        <v>34</v>
      </c>
      <c r="B42" s="90"/>
      <c r="C42" s="90"/>
      <c r="D42" s="90"/>
      <c r="E42" s="90"/>
      <c r="F42" s="90"/>
      <c r="G42" s="90"/>
      <c r="H42" s="90"/>
      <c r="I42" s="90"/>
      <c r="J42" s="450">
        <f>+J40+J41</f>
        <v>-36474295.719999999</v>
      </c>
      <c r="K42" s="451"/>
      <c r="L42" s="452"/>
      <c r="M42" s="450">
        <f>+M40+M41</f>
        <v>-36486819.240000002</v>
      </c>
      <c r="N42" s="451"/>
      <c r="O42" s="452"/>
      <c r="P42" s="450">
        <f>+P40+P41</f>
        <v>-36499342.829999998</v>
      </c>
      <c r="Q42" s="451"/>
      <c r="R42" s="452"/>
      <c r="S42" s="450">
        <f>+S40+S41</f>
        <v>-36755044.469999999</v>
      </c>
      <c r="T42" s="451"/>
      <c r="U42" s="452"/>
      <c r="V42" s="450">
        <f>+V40+V41</f>
        <v>-36767633.079999998</v>
      </c>
      <c r="W42" s="451"/>
      <c r="X42" s="452"/>
      <c r="Y42" s="450">
        <f>+Y40+Y41</f>
        <v>-36780221.719999999</v>
      </c>
      <c r="Z42" s="451"/>
      <c r="AA42" s="452"/>
      <c r="AB42" s="450">
        <f>+AB40+AB41</f>
        <v>-36776267.980000004</v>
      </c>
      <c r="AC42" s="451"/>
      <c r="AD42" s="452"/>
      <c r="AE42" s="450">
        <f>+AE40+AE41</f>
        <v>-36786104.349999994</v>
      </c>
      <c r="AF42" s="451"/>
      <c r="AG42" s="452"/>
      <c r="AH42" s="450">
        <f>+AH40+AH41</f>
        <v>-36795940.719999999</v>
      </c>
      <c r="AI42" s="451"/>
      <c r="AJ42" s="452"/>
      <c r="AK42" s="450">
        <f>+AK40+AK41</f>
        <v>-36691692.170000002</v>
      </c>
      <c r="AL42" s="451"/>
      <c r="AM42" s="452"/>
      <c r="AN42" s="450">
        <f>+AN40+AN41</f>
        <v>-36688855.119999997</v>
      </c>
      <c r="AO42" s="451"/>
      <c r="AP42" s="452"/>
      <c r="AQ42" s="450">
        <f>+AQ40+AQ41</f>
        <v>-36686018.149999999</v>
      </c>
      <c r="AR42" s="451"/>
      <c r="AS42" s="452"/>
      <c r="AT42" s="450">
        <f>+AT40+AT41</f>
        <v>-35857327.090000004</v>
      </c>
      <c r="AU42" s="451"/>
      <c r="AV42" s="452"/>
      <c r="AW42" s="450">
        <f>+AW40+AW41</f>
        <v>-36656645.936250001</v>
      </c>
      <c r="AX42" s="90"/>
      <c r="AY42" s="90"/>
    </row>
    <row r="43" spans="1:51">
      <c r="A43" s="290">
        <v>35</v>
      </c>
      <c r="B43" s="90"/>
      <c r="C43" s="90"/>
      <c r="D43" s="90"/>
      <c r="E43" s="90"/>
      <c r="F43" s="90"/>
      <c r="G43" s="90"/>
      <c r="H43" s="90"/>
      <c r="I43" s="90"/>
      <c r="J43" s="450"/>
      <c r="K43" s="451"/>
      <c r="L43" s="452"/>
      <c r="M43" s="450"/>
      <c r="N43" s="451"/>
      <c r="O43" s="452"/>
      <c r="P43" s="450"/>
      <c r="Q43" s="451"/>
      <c r="R43" s="452"/>
      <c r="S43" s="450"/>
      <c r="T43" s="451"/>
      <c r="U43" s="452"/>
      <c r="V43" s="450"/>
      <c r="W43" s="451"/>
      <c r="X43" s="452"/>
      <c r="Y43" s="450"/>
      <c r="Z43" s="451"/>
      <c r="AA43" s="452"/>
      <c r="AB43" s="450"/>
      <c r="AC43" s="451"/>
      <c r="AD43" s="452"/>
      <c r="AE43" s="450"/>
      <c r="AF43" s="451"/>
      <c r="AG43" s="452"/>
      <c r="AH43" s="450"/>
      <c r="AI43" s="451"/>
      <c r="AJ43" s="452"/>
      <c r="AK43" s="450"/>
      <c r="AL43" s="451"/>
      <c r="AM43" s="452"/>
      <c r="AN43" s="450"/>
      <c r="AO43" s="451"/>
      <c r="AP43" s="452"/>
      <c r="AQ43" s="450"/>
      <c r="AR43" s="451"/>
      <c r="AS43" s="452"/>
      <c r="AT43" s="450"/>
      <c r="AU43" s="451"/>
      <c r="AV43" s="452"/>
      <c r="AW43" s="450"/>
      <c r="AX43" s="90"/>
      <c r="AY43" s="90"/>
    </row>
    <row r="44" spans="1:51">
      <c r="A44" s="290">
        <v>36</v>
      </c>
      <c r="B44" s="90"/>
      <c r="C44" s="90"/>
      <c r="D44" s="90"/>
      <c r="E44" s="90"/>
      <c r="F44" s="90"/>
      <c r="G44" s="90"/>
      <c r="H44" s="90"/>
      <c r="I44" s="90"/>
      <c r="J44" s="455">
        <f>+J30+J38+J42</f>
        <v>-133601647.91</v>
      </c>
      <c r="K44" s="451"/>
      <c r="L44" s="452"/>
      <c r="M44" s="455">
        <f>+M30+M38+M42</f>
        <v>-133595802.5</v>
      </c>
      <c r="N44" s="451"/>
      <c r="O44" s="452"/>
      <c r="P44" s="455">
        <f>+P30+P38+P42</f>
        <v>-133589957.16000001</v>
      </c>
      <c r="Q44" s="451"/>
      <c r="R44" s="452"/>
      <c r="S44" s="455">
        <f>+S30+S38+S42</f>
        <v>-134289346.97</v>
      </c>
      <c r="T44" s="451"/>
      <c r="U44" s="452"/>
      <c r="V44" s="455">
        <f>+V30+V38+V42</f>
        <v>-134174685.92</v>
      </c>
      <c r="W44" s="451"/>
      <c r="X44" s="452"/>
      <c r="Y44" s="455">
        <f>+Y30+Y38+Y42</f>
        <v>-134060024.98999999</v>
      </c>
      <c r="Z44" s="451"/>
      <c r="AA44" s="452"/>
      <c r="AB44" s="455">
        <f>+AB30+AB38+AB42</f>
        <v>-134264793.63</v>
      </c>
      <c r="AC44" s="451"/>
      <c r="AD44" s="452"/>
      <c r="AE44" s="455">
        <f>+AE30+AE38+AE42</f>
        <v>-134203375.75999999</v>
      </c>
      <c r="AF44" s="451"/>
      <c r="AG44" s="452"/>
      <c r="AH44" s="455">
        <f>+AH30+AH38+AH42</f>
        <v>-134141957.83</v>
      </c>
      <c r="AI44" s="451"/>
      <c r="AJ44" s="452"/>
      <c r="AK44" s="455">
        <f>+AK30+AK38+AK42</f>
        <v>-135268266.45999998</v>
      </c>
      <c r="AL44" s="451"/>
      <c r="AM44" s="452"/>
      <c r="AN44" s="455">
        <f>+AN30+AN38+AN42</f>
        <v>-135338820.88</v>
      </c>
      <c r="AO44" s="451"/>
      <c r="AP44" s="452"/>
      <c r="AQ44" s="455">
        <f>+AQ30+AQ38+AQ42</f>
        <v>-137105846.09999999</v>
      </c>
      <c r="AR44" s="451"/>
      <c r="AS44" s="452"/>
      <c r="AT44" s="455">
        <f>+AT30+AT38+AT42</f>
        <v>-136224441.74000001</v>
      </c>
      <c r="AU44" s="451"/>
      <c r="AV44" s="452"/>
      <c r="AW44" s="455">
        <f>+AW30+AW38+AW42</f>
        <v>-134578826.91875002</v>
      </c>
      <c r="AX44" s="90"/>
      <c r="AY44" s="90"/>
    </row>
    <row r="45" spans="1:51" ht="16.5" thickBot="1">
      <c r="A45" s="290">
        <v>37</v>
      </c>
      <c r="B45" s="90"/>
      <c r="C45" s="90"/>
      <c r="D45" s="90"/>
      <c r="E45" s="90"/>
      <c r="F45" s="90"/>
      <c r="G45" s="90"/>
      <c r="H45" s="90"/>
      <c r="I45" s="90"/>
      <c r="J45" s="450"/>
      <c r="K45" s="451"/>
      <c r="L45" s="452"/>
      <c r="M45" s="450"/>
      <c r="N45" s="451"/>
      <c r="O45" s="452"/>
      <c r="P45" s="450"/>
      <c r="Q45" s="451"/>
      <c r="R45" s="452"/>
      <c r="S45" s="450"/>
      <c r="T45" s="451"/>
      <c r="U45" s="452"/>
      <c r="V45" s="450"/>
      <c r="W45" s="451"/>
      <c r="X45" s="452"/>
      <c r="Y45" s="450"/>
      <c r="Z45" s="451"/>
      <c r="AA45" s="452"/>
      <c r="AB45" s="450"/>
      <c r="AC45" s="451"/>
      <c r="AD45" s="452"/>
      <c r="AE45" s="450"/>
      <c r="AF45" s="451"/>
      <c r="AG45" s="452"/>
      <c r="AH45" s="450"/>
      <c r="AI45" s="451"/>
      <c r="AJ45" s="452"/>
      <c r="AK45" s="450"/>
      <c r="AL45" s="451"/>
      <c r="AM45" s="452"/>
      <c r="AN45" s="450"/>
      <c r="AO45" s="451"/>
      <c r="AP45" s="452"/>
      <c r="AQ45" s="450"/>
      <c r="AR45" s="451"/>
      <c r="AS45" s="452"/>
      <c r="AT45" s="450"/>
      <c r="AU45" s="451"/>
      <c r="AV45" s="452"/>
      <c r="AW45" s="450"/>
      <c r="AX45" s="90"/>
      <c r="AY45" s="90"/>
    </row>
    <row r="46" spans="1:51">
      <c r="A46" s="35">
        <v>38</v>
      </c>
      <c r="B46" s="1062" t="s">
        <v>2025</v>
      </c>
      <c r="C46" s="1063"/>
      <c r="D46" s="1063"/>
      <c r="E46" s="1064"/>
      <c r="F46" s="90"/>
      <c r="G46" s="90"/>
      <c r="H46" s="90"/>
      <c r="I46" s="90"/>
      <c r="J46" s="450"/>
      <c r="K46" s="451"/>
      <c r="L46" s="452"/>
      <c r="M46" s="450"/>
      <c r="N46" s="451"/>
      <c r="O46" s="452"/>
      <c r="P46" s="450"/>
      <c r="Q46" s="451"/>
      <c r="R46" s="452"/>
      <c r="S46" s="450"/>
      <c r="T46" s="451"/>
      <c r="U46" s="452"/>
      <c r="V46" s="450"/>
      <c r="W46" s="451"/>
      <c r="X46" s="452"/>
      <c r="Y46" s="450"/>
      <c r="Z46" s="451"/>
      <c r="AA46" s="452"/>
      <c r="AB46" s="450"/>
      <c r="AC46" s="451"/>
      <c r="AD46" s="452"/>
      <c r="AE46" s="450"/>
      <c r="AF46" s="451"/>
      <c r="AG46" s="452"/>
      <c r="AH46" s="450"/>
      <c r="AI46" s="451"/>
      <c r="AJ46" s="452"/>
      <c r="AK46" s="450"/>
      <c r="AL46" s="451"/>
      <c r="AM46" s="452"/>
      <c r="AN46" s="450"/>
      <c r="AO46" s="451"/>
      <c r="AP46" s="452"/>
      <c r="AQ46" s="450"/>
      <c r="AR46" s="451"/>
      <c r="AS46" s="452"/>
      <c r="AT46" s="450"/>
      <c r="AU46" s="451"/>
      <c r="AV46" s="452"/>
      <c r="AW46" s="450"/>
      <c r="AX46" s="90"/>
      <c r="AY46" s="90"/>
    </row>
    <row r="47" spans="1:51">
      <c r="A47" s="35">
        <v>39</v>
      </c>
      <c r="B47" s="1065"/>
      <c r="C47" s="1066"/>
      <c r="D47" s="1066"/>
      <c r="E47" s="1067"/>
      <c r="F47" s="90"/>
      <c r="G47" s="90" t="s">
        <v>1893</v>
      </c>
      <c r="H47" s="90"/>
      <c r="I47" s="90"/>
      <c r="J47" s="450">
        <f>+J26+J38+J28</f>
        <v>-96815259.790000007</v>
      </c>
      <c r="K47" s="451"/>
      <c r="L47" s="452"/>
      <c r="M47" s="450">
        <f>+M26+M38+M28</f>
        <v>-96798119.579999998</v>
      </c>
      <c r="N47" s="451"/>
      <c r="O47" s="452"/>
      <c r="P47" s="450">
        <f>+P26+P38+P28</f>
        <v>-96780979.340000004</v>
      </c>
      <c r="Q47" s="451"/>
      <c r="R47" s="452"/>
      <c r="S47" s="450">
        <f>+S26+S38+S28</f>
        <v>-97223385.600000009</v>
      </c>
      <c r="T47" s="451"/>
      <c r="U47" s="452"/>
      <c r="V47" s="450">
        <f>+V26+V38+V28</f>
        <v>-97097374.659999996</v>
      </c>
      <c r="W47" s="451"/>
      <c r="X47" s="452"/>
      <c r="Y47" s="450">
        <f>+Y26+Y38+Y28</f>
        <v>-96971363.799999997</v>
      </c>
      <c r="Z47" s="451"/>
      <c r="AA47" s="452"/>
      <c r="AB47" s="450">
        <f>+AB26+AB38+AB28</f>
        <v>-97181324.890000001</v>
      </c>
      <c r="AC47" s="451"/>
      <c r="AD47" s="452"/>
      <c r="AE47" s="450">
        <f>+AE26+AE38+AE28</f>
        <v>-97111309.340000004</v>
      </c>
      <c r="AF47" s="451"/>
      <c r="AG47" s="452"/>
      <c r="AH47" s="450">
        <f>+AH26+AH38+AH28</f>
        <v>-97041293.75</v>
      </c>
      <c r="AI47" s="451"/>
      <c r="AJ47" s="452"/>
      <c r="AK47" s="450">
        <f>+AK26+AK38+AK28</f>
        <v>-98273089.640000001</v>
      </c>
      <c r="AL47" s="451"/>
      <c r="AM47" s="452"/>
      <c r="AN47" s="450">
        <f>+AN26+AN38+AN28</f>
        <v>-98347719.810000002</v>
      </c>
      <c r="AO47" s="451"/>
      <c r="AP47" s="452"/>
      <c r="AQ47" s="450">
        <f>+AQ26+AQ38+AQ28</f>
        <v>-100118820.69999999</v>
      </c>
      <c r="AR47" s="451"/>
      <c r="AS47" s="452"/>
      <c r="AT47" s="450">
        <f>+AT26+AT38+AT28</f>
        <v>-100067346.12</v>
      </c>
      <c r="AU47" s="451"/>
      <c r="AV47" s="452"/>
      <c r="AW47" s="450">
        <f>+AW26+AW38+AW28</f>
        <v>-97615507.005416676</v>
      </c>
      <c r="AX47" s="90"/>
      <c r="AY47" s="90"/>
    </row>
    <row r="48" spans="1:51">
      <c r="A48" s="35">
        <v>40</v>
      </c>
      <c r="B48" s="1065"/>
      <c r="C48" s="1066"/>
      <c r="D48" s="1066"/>
      <c r="E48" s="1067"/>
      <c r="F48" s="90"/>
      <c r="G48" s="90" t="s">
        <v>1894</v>
      </c>
      <c r="H48" s="90"/>
      <c r="I48" s="90"/>
      <c r="J48" s="453">
        <f>+J27+J29+J42</f>
        <v>-36786388.119999997</v>
      </c>
      <c r="K48" s="451"/>
      <c r="L48" s="452"/>
      <c r="M48" s="453">
        <f>+M27+M29+M42</f>
        <v>-36797682.920000002</v>
      </c>
      <c r="N48" s="451"/>
      <c r="O48" s="452"/>
      <c r="P48" s="453">
        <f>+P27+P29+P42</f>
        <v>-36808977.82</v>
      </c>
      <c r="Q48" s="451"/>
      <c r="R48" s="452"/>
      <c r="S48" s="453">
        <f>+S27+S29+S42</f>
        <v>-37065961.369999997</v>
      </c>
      <c r="T48" s="451"/>
      <c r="U48" s="452"/>
      <c r="V48" s="453">
        <f>+V27+V29+V42</f>
        <v>-37077311.259999998</v>
      </c>
      <c r="W48" s="451"/>
      <c r="X48" s="452"/>
      <c r="Y48" s="453">
        <f>+Y27+Y29+Y42</f>
        <v>-37088661.189999998</v>
      </c>
      <c r="Z48" s="451"/>
      <c r="AA48" s="452"/>
      <c r="AB48" s="453">
        <f>+AB27+AB29+AB42</f>
        <v>-37083468.740000002</v>
      </c>
      <c r="AC48" s="451"/>
      <c r="AD48" s="452"/>
      <c r="AE48" s="453">
        <f>+AE27+AE29+AE42</f>
        <v>-37092066.419999994</v>
      </c>
      <c r="AF48" s="451"/>
      <c r="AG48" s="452"/>
      <c r="AH48" s="453">
        <f>+AH27+AH29+AH42</f>
        <v>-37100664.079999998</v>
      </c>
      <c r="AI48" s="451"/>
      <c r="AJ48" s="452"/>
      <c r="AK48" s="453">
        <f>+AK27+AK29+AK42</f>
        <v>-36995176.82</v>
      </c>
      <c r="AL48" s="451"/>
      <c r="AM48" s="452"/>
      <c r="AN48" s="453">
        <f>+AN27+AN29+AN42</f>
        <v>-36991101.07</v>
      </c>
      <c r="AO48" s="451"/>
      <c r="AP48" s="452"/>
      <c r="AQ48" s="453">
        <f>+AQ27+AQ29+AQ42</f>
        <v>-36987025.399999999</v>
      </c>
      <c r="AR48" s="451"/>
      <c r="AS48" s="452"/>
      <c r="AT48" s="453">
        <f>+AT27+AT29+AT42</f>
        <v>-36157095.620000005</v>
      </c>
      <c r="AU48" s="451"/>
      <c r="AV48" s="452"/>
      <c r="AW48" s="453">
        <f>+AW27+AW29+AW42</f>
        <v>-36963319.913333334</v>
      </c>
      <c r="AX48" s="90"/>
      <c r="AY48" s="90"/>
    </row>
    <row r="49" spans="1:51" ht="16.5" thickBot="1">
      <c r="A49" s="290">
        <v>41</v>
      </c>
      <c r="B49" s="1065"/>
      <c r="C49" s="1066"/>
      <c r="D49" s="1066"/>
      <c r="E49" s="1067"/>
      <c r="F49" s="90"/>
      <c r="G49" s="90"/>
      <c r="H49" s="90"/>
      <c r="I49" s="90"/>
      <c r="J49" s="456">
        <f>+J47+J48</f>
        <v>-133601647.91</v>
      </c>
      <c r="K49" s="457"/>
      <c r="L49" s="458"/>
      <c r="M49" s="456">
        <f>+M47+M48</f>
        <v>-133595802.5</v>
      </c>
      <c r="N49" s="457"/>
      <c r="O49" s="458"/>
      <c r="P49" s="456">
        <f>+P47+P48</f>
        <v>-133589957.16</v>
      </c>
      <c r="Q49" s="457"/>
      <c r="R49" s="458"/>
      <c r="S49" s="456">
        <f>+S47+S48</f>
        <v>-134289346.97</v>
      </c>
      <c r="T49" s="457"/>
      <c r="U49" s="458"/>
      <c r="V49" s="456">
        <f>+V47+V48</f>
        <v>-134174685.91999999</v>
      </c>
      <c r="W49" s="457"/>
      <c r="X49" s="458"/>
      <c r="Y49" s="456">
        <f>+Y47+Y48</f>
        <v>-134060024.98999999</v>
      </c>
      <c r="Z49" s="457"/>
      <c r="AA49" s="458"/>
      <c r="AB49" s="456">
        <f>+AB47+AB48</f>
        <v>-134264793.63</v>
      </c>
      <c r="AC49" s="457"/>
      <c r="AD49" s="458"/>
      <c r="AE49" s="456">
        <f>+AE47+AE48</f>
        <v>-134203375.75999999</v>
      </c>
      <c r="AF49" s="457"/>
      <c r="AG49" s="458"/>
      <c r="AH49" s="456">
        <f>+AH47+AH48</f>
        <v>-134141957.83</v>
      </c>
      <c r="AI49" s="457"/>
      <c r="AJ49" s="458"/>
      <c r="AK49" s="456">
        <f>+AK47+AK48</f>
        <v>-135268266.46000001</v>
      </c>
      <c r="AL49" s="457"/>
      <c r="AM49" s="458"/>
      <c r="AN49" s="456">
        <f>+AN47+AN48</f>
        <v>-135338820.88</v>
      </c>
      <c r="AO49" s="457"/>
      <c r="AP49" s="458"/>
      <c r="AQ49" s="456">
        <f>+AQ47+AQ48</f>
        <v>-137105846.09999999</v>
      </c>
      <c r="AR49" s="457"/>
      <c r="AS49" s="458"/>
      <c r="AT49" s="456">
        <f>+AT47+AT48</f>
        <v>-136224441.74000001</v>
      </c>
      <c r="AU49" s="457"/>
      <c r="AV49" s="458"/>
      <c r="AW49" s="456">
        <f>+AW47+AW48</f>
        <v>-134578826.91875002</v>
      </c>
      <c r="AX49" s="90"/>
      <c r="AY49" s="90"/>
    </row>
    <row r="50" spans="1:51" ht="16.5" thickBot="1">
      <c r="A50" s="290">
        <v>42</v>
      </c>
      <c r="B50" s="1068"/>
      <c r="C50" s="1069"/>
      <c r="D50" s="1069"/>
      <c r="E50" s="1070"/>
      <c r="F50" s="90" t="s">
        <v>1896</v>
      </c>
      <c r="G50" s="90"/>
      <c r="H50" s="90"/>
      <c r="I50" s="90"/>
      <c r="J50" s="90" t="e">
        <f>+#REF!</f>
        <v>#REF!</v>
      </c>
      <c r="M50" s="90" t="e">
        <f>+#REF!</f>
        <v>#REF!</v>
      </c>
      <c r="P50" s="90" t="e">
        <f>+#REF!</f>
        <v>#REF!</v>
      </c>
      <c r="S50" s="90" t="e">
        <f>+#REF!</f>
        <v>#REF!</v>
      </c>
      <c r="V50" s="90" t="e">
        <f>+#REF!</f>
        <v>#REF!</v>
      </c>
      <c r="W50" s="90"/>
      <c r="X50" s="90"/>
      <c r="Y50" s="90" t="e">
        <f>+#REF!</f>
        <v>#REF!</v>
      </c>
      <c r="Z50" s="90"/>
      <c r="AA50" s="90"/>
      <c r="AB50" s="90" t="e">
        <f>+#REF!</f>
        <v>#REF!</v>
      </c>
      <c r="AC50" s="90"/>
      <c r="AD50" s="90"/>
      <c r="AE50" s="90" t="e">
        <f>+#REF!</f>
        <v>#REF!</v>
      </c>
      <c r="AF50" s="90"/>
      <c r="AG50" s="90"/>
      <c r="AH50" s="90" t="e">
        <f>+#REF!</f>
        <v>#REF!</v>
      </c>
      <c r="AI50" s="90"/>
      <c r="AJ50" s="90"/>
      <c r="AK50" s="90" t="e">
        <f>+#REF!</f>
        <v>#REF!</v>
      </c>
      <c r="AL50" s="90"/>
      <c r="AM50" s="90"/>
      <c r="AN50" s="90" t="e">
        <f>+#REF!</f>
        <v>#REF!</v>
      </c>
      <c r="AO50" s="90"/>
      <c r="AP50" s="90"/>
      <c r="AQ50" s="90" t="e">
        <f>+#REF!</f>
        <v>#REF!</v>
      </c>
      <c r="AR50" s="90"/>
      <c r="AS50" s="90"/>
      <c r="AT50" s="90" t="e">
        <f>+#REF!</f>
        <v>#REF!</v>
      </c>
      <c r="AV50" s="90"/>
      <c r="AW50" s="90" t="e">
        <f>+#REF!</f>
        <v>#REF!</v>
      </c>
      <c r="AX50" s="90"/>
      <c r="AY50" s="90"/>
    </row>
    <row r="51" spans="1:51">
      <c r="A51" s="290">
        <v>43</v>
      </c>
      <c r="B51" s="90"/>
      <c r="C51" s="90"/>
      <c r="D51" s="90"/>
      <c r="E51" s="90"/>
      <c r="F51" s="90" t="s">
        <v>1897</v>
      </c>
      <c r="G51" s="90"/>
      <c r="H51" s="90"/>
      <c r="I51" s="90"/>
      <c r="J51" s="90" t="e">
        <f>+#REF!</f>
        <v>#REF!</v>
      </c>
      <c r="M51" s="90" t="e">
        <f>+#REF!</f>
        <v>#REF!</v>
      </c>
      <c r="P51" s="90" t="e">
        <f>+#REF!</f>
        <v>#REF!</v>
      </c>
      <c r="S51" s="90" t="e">
        <f>+#REF!</f>
        <v>#REF!</v>
      </c>
      <c r="V51" s="90" t="e">
        <f>+#REF!</f>
        <v>#REF!</v>
      </c>
      <c r="W51" s="90"/>
      <c r="X51" s="90"/>
      <c r="Y51" s="90" t="e">
        <f>+#REF!</f>
        <v>#REF!</v>
      </c>
      <c r="Z51" s="90"/>
      <c r="AA51" s="90"/>
      <c r="AB51" s="90" t="e">
        <f>+#REF!</f>
        <v>#REF!</v>
      </c>
      <c r="AC51" s="90"/>
      <c r="AD51" s="90"/>
      <c r="AE51" s="90" t="e">
        <f>+#REF!</f>
        <v>#REF!</v>
      </c>
      <c r="AF51" s="90"/>
      <c r="AG51" s="90"/>
      <c r="AH51" s="90" t="e">
        <f>+#REF!</f>
        <v>#REF!</v>
      </c>
      <c r="AI51" s="90"/>
      <c r="AJ51" s="90"/>
      <c r="AK51" s="90" t="e">
        <f>+#REF!</f>
        <v>#REF!</v>
      </c>
      <c r="AL51" s="90"/>
      <c r="AM51" s="90"/>
      <c r="AN51" s="90" t="e">
        <f>+#REF!</f>
        <v>#REF!</v>
      </c>
      <c r="AO51" s="90"/>
      <c r="AP51" s="90"/>
      <c r="AQ51" s="90" t="e">
        <f>+#REF!</f>
        <v>#REF!</v>
      </c>
      <c r="AR51" s="90"/>
      <c r="AS51" s="90"/>
      <c r="AT51" s="90" t="e">
        <f>+#REF!</f>
        <v>#REF!</v>
      </c>
      <c r="AV51" s="90"/>
      <c r="AW51" s="90" t="e">
        <f>+#REF!</f>
        <v>#REF!</v>
      </c>
      <c r="AX51" s="90"/>
      <c r="AY51" s="90"/>
    </row>
    <row r="52" spans="1:51">
      <c r="A52" s="290">
        <v>44</v>
      </c>
      <c r="B52" s="90"/>
      <c r="C52" s="90"/>
      <c r="D52" s="90"/>
      <c r="E52" s="90"/>
      <c r="F52" s="90" t="s">
        <v>1898</v>
      </c>
      <c r="G52" s="90"/>
      <c r="H52" s="90"/>
      <c r="I52" s="90"/>
      <c r="J52" s="90" t="e">
        <f>+J47-J50</f>
        <v>#REF!</v>
      </c>
      <c r="K52" s="90"/>
      <c r="L52" s="90"/>
      <c r="M52" s="90" t="e">
        <f>+M47-M50</f>
        <v>#REF!</v>
      </c>
      <c r="N52" s="90"/>
      <c r="O52" s="90"/>
      <c r="P52" s="90" t="e">
        <f>+P47-P50</f>
        <v>#REF!</v>
      </c>
      <c r="Q52" s="90"/>
      <c r="R52" s="90"/>
      <c r="S52" s="90" t="e">
        <f>+S47-S50</f>
        <v>#REF!</v>
      </c>
      <c r="T52" s="90"/>
      <c r="U52" s="90"/>
      <c r="V52" s="90" t="e">
        <f>+V47-V50</f>
        <v>#REF!</v>
      </c>
      <c r="W52" s="90"/>
      <c r="X52" s="90"/>
      <c r="Y52" s="90" t="e">
        <f>+Y47-Y50</f>
        <v>#REF!</v>
      </c>
      <c r="Z52" s="90"/>
      <c r="AA52" s="90"/>
      <c r="AB52" s="90" t="e">
        <f>+AB47-AB50</f>
        <v>#REF!</v>
      </c>
      <c r="AC52" s="90"/>
      <c r="AD52" s="90"/>
      <c r="AE52" s="90" t="e">
        <f>+AE47-AE50</f>
        <v>#REF!</v>
      </c>
      <c r="AF52" s="90"/>
      <c r="AG52" s="90"/>
      <c r="AH52" s="90" t="e">
        <f>+AH47-AH50</f>
        <v>#REF!</v>
      </c>
      <c r="AI52" s="90"/>
      <c r="AJ52" s="90"/>
      <c r="AK52" s="90" t="e">
        <f>+AK47-AK50</f>
        <v>#REF!</v>
      </c>
      <c r="AL52" s="90"/>
      <c r="AM52" s="90"/>
      <c r="AN52" s="90" t="e">
        <f>+AN47-AN50</f>
        <v>#REF!</v>
      </c>
      <c r="AO52" s="90"/>
      <c r="AP52" s="90"/>
      <c r="AQ52" s="90" t="e">
        <f>+AQ47-AQ50</f>
        <v>#REF!</v>
      </c>
      <c r="AR52" s="90"/>
      <c r="AS52" s="90"/>
      <c r="AT52" s="90" t="e">
        <f>+AT47-AT50</f>
        <v>#REF!</v>
      </c>
      <c r="AU52" s="90"/>
      <c r="AV52" s="90"/>
      <c r="AW52" s="90" t="e">
        <f>+AW47-AW50</f>
        <v>#REF!</v>
      </c>
      <c r="AX52" s="90"/>
      <c r="AY52" s="90"/>
    </row>
    <row r="53" spans="1:51">
      <c r="A53" s="290">
        <v>45</v>
      </c>
      <c r="B53" s="90"/>
      <c r="C53" s="90"/>
      <c r="D53" s="90"/>
      <c r="E53" s="90"/>
      <c r="F53" s="90" t="s">
        <v>1898</v>
      </c>
      <c r="G53" s="90"/>
      <c r="H53" s="90"/>
      <c r="I53" s="90"/>
      <c r="J53" s="90" t="e">
        <f>+J48-J51</f>
        <v>#REF!</v>
      </c>
      <c r="K53" s="90"/>
      <c r="L53" s="90"/>
      <c r="M53" s="90" t="e">
        <f>+M48-M51</f>
        <v>#REF!</v>
      </c>
      <c r="N53" s="90"/>
      <c r="O53" s="90"/>
      <c r="P53" s="90" t="e">
        <f>+P48-P51</f>
        <v>#REF!</v>
      </c>
      <c r="Q53" s="90"/>
      <c r="R53" s="90"/>
      <c r="S53" s="90" t="e">
        <f>+S48-S51</f>
        <v>#REF!</v>
      </c>
      <c r="T53" s="90"/>
      <c r="U53" s="90"/>
      <c r="V53" s="90" t="e">
        <f>+V48-V51</f>
        <v>#REF!</v>
      </c>
      <c r="W53" s="90"/>
      <c r="X53" s="90"/>
      <c r="Y53" s="90" t="e">
        <f>+Y48-Y51</f>
        <v>#REF!</v>
      </c>
      <c r="Z53" s="90"/>
      <c r="AA53" s="90"/>
      <c r="AB53" s="90" t="e">
        <f>+AB48-AB51</f>
        <v>#REF!</v>
      </c>
      <c r="AC53" s="90"/>
      <c r="AD53" s="90"/>
      <c r="AE53" s="90" t="e">
        <f>+AE48-AE51</f>
        <v>#REF!</v>
      </c>
      <c r="AF53" s="90"/>
      <c r="AG53" s="90"/>
      <c r="AH53" s="90" t="e">
        <f>+AH48-AH51</f>
        <v>#REF!</v>
      </c>
      <c r="AI53" s="90"/>
      <c r="AJ53" s="90"/>
      <c r="AK53" s="90" t="e">
        <f>+AK48-AK51</f>
        <v>#REF!</v>
      </c>
      <c r="AL53" s="90"/>
      <c r="AM53" s="90"/>
      <c r="AN53" s="90" t="e">
        <f>+AN48-AN51</f>
        <v>#REF!</v>
      </c>
      <c r="AO53" s="90"/>
      <c r="AP53" s="90"/>
      <c r="AQ53" s="90" t="e">
        <f>+AQ48-AQ51</f>
        <v>#REF!</v>
      </c>
      <c r="AR53" s="90"/>
      <c r="AS53" s="90"/>
      <c r="AT53" s="90" t="e">
        <f>+AT48-AT51</f>
        <v>#REF!</v>
      </c>
      <c r="AU53" s="90"/>
      <c r="AV53" s="90"/>
      <c r="AW53" s="90" t="e">
        <f>+AW48-AW51</f>
        <v>#REF!</v>
      </c>
      <c r="AX53" s="90"/>
      <c r="AY53" s="90"/>
    </row>
    <row r="54" spans="1:5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1:5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row>
    <row r="57" spans="1:51">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row>
    <row r="58" spans="1:51">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row>
    <row r="59" spans="1:51">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row>
    <row r="60" spans="1:51">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row>
    <row r="61" spans="1:51">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row>
  </sheetData>
  <mergeCells count="35">
    <mergeCell ref="F13:I13"/>
    <mergeCell ref="E1:K1"/>
    <mergeCell ref="F2:J2"/>
    <mergeCell ref="AK3:AO3"/>
    <mergeCell ref="AK4:AO4"/>
    <mergeCell ref="AK5:AO5"/>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AX24:BD25"/>
    <mergeCell ref="R1:U1"/>
    <mergeCell ref="R2:U2"/>
    <mergeCell ref="R3:U3"/>
    <mergeCell ref="R4:U4"/>
    <mergeCell ref="R5:U5"/>
    <mergeCell ref="AB1:AE1"/>
    <mergeCell ref="AB2:AE2"/>
    <mergeCell ref="AB3:AE3"/>
    <mergeCell ref="AB4:AE4"/>
    <mergeCell ref="AB5:AE5"/>
    <mergeCell ref="AK1:AO1"/>
    <mergeCell ref="AK2:AO2"/>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N17"/>
  <sheetViews>
    <sheetView view="pageBreakPreview" zoomScaleNormal="100" zoomScaleSheetLayoutView="100" workbookViewId="0">
      <selection activeCell="A3" sqref="A3:H3"/>
    </sheetView>
  </sheetViews>
  <sheetFormatPr defaultRowHeight="15.75"/>
  <cols>
    <col min="1" max="1" width="1.42578125" style="6" customWidth="1"/>
    <col min="2" max="2" width="2.5703125" style="6" customWidth="1"/>
    <col min="3" max="3" width="10.5703125" style="8" bestFit="1" customWidth="1"/>
    <col min="4" max="4" width="43" style="6" bestFit="1" customWidth="1"/>
    <col min="5" max="5" width="4.140625" style="6" customWidth="1"/>
    <col min="6" max="6" width="17.5703125" style="6" bestFit="1" customWidth="1"/>
    <col min="7" max="7" width="6" style="6" customWidth="1"/>
    <col min="8" max="8" width="10.140625" style="6" bestFit="1" customWidth="1"/>
    <col min="9" max="9" width="5.140625" style="6" customWidth="1"/>
    <col min="10" max="10" width="13.7109375" style="6" bestFit="1" customWidth="1"/>
    <col min="11" max="13" width="9.140625" style="6"/>
    <col min="14" max="14" width="13.85546875" style="6" bestFit="1" customWidth="1"/>
    <col min="15" max="16384" width="9.140625" style="6"/>
  </cols>
  <sheetData>
    <row r="1" spans="2:14">
      <c r="B1" s="466"/>
      <c r="C1" s="1039" t="s">
        <v>60</v>
      </c>
      <c r="D1" s="1039"/>
      <c r="E1" s="1039"/>
      <c r="F1" s="1039"/>
      <c r="G1" s="1039"/>
      <c r="H1" s="1039"/>
      <c r="I1" s="1039"/>
      <c r="J1" s="1039"/>
      <c r="K1" s="467"/>
      <c r="L1" s="468"/>
      <c r="M1" s="467"/>
    </row>
    <row r="2" spans="2:14">
      <c r="B2" s="466"/>
      <c r="C2" s="1039" t="s">
        <v>1588</v>
      </c>
      <c r="D2" s="1039"/>
      <c r="E2" s="1039"/>
      <c r="F2" s="1039"/>
      <c r="G2" s="1039"/>
      <c r="H2" s="1039"/>
      <c r="I2" s="1039"/>
      <c r="J2" s="1039"/>
      <c r="K2" s="469"/>
      <c r="L2" s="469"/>
      <c r="M2" s="469"/>
    </row>
    <row r="3" spans="2:14">
      <c r="B3" s="466"/>
      <c r="C3" s="1039" t="s">
        <v>1599</v>
      </c>
      <c r="D3" s="1039"/>
      <c r="E3" s="1039"/>
      <c r="F3" s="1039"/>
      <c r="G3" s="1039"/>
      <c r="H3" s="1039"/>
      <c r="I3" s="1039"/>
      <c r="J3" s="1039"/>
      <c r="K3" s="469"/>
      <c r="L3" s="469"/>
      <c r="M3" s="469"/>
    </row>
    <row r="4" spans="2:14">
      <c r="B4" s="466"/>
      <c r="C4" s="1039" t="s">
        <v>900</v>
      </c>
      <c r="D4" s="1039"/>
      <c r="E4" s="1039"/>
      <c r="F4" s="1039"/>
      <c r="G4" s="1039"/>
      <c r="H4" s="1039"/>
      <c r="I4" s="1039"/>
      <c r="J4" s="1039"/>
      <c r="K4" s="470"/>
      <c r="L4" s="470"/>
      <c r="M4" s="470"/>
    </row>
    <row r="5" spans="2:14">
      <c r="B5" s="466"/>
      <c r="C5" s="1039" t="s">
        <v>906</v>
      </c>
      <c r="D5" s="1039"/>
      <c r="E5" s="1039"/>
      <c r="F5" s="1039"/>
      <c r="G5" s="1039"/>
      <c r="H5" s="1039"/>
      <c r="I5" s="1039"/>
      <c r="J5" s="1039"/>
      <c r="K5" s="471"/>
      <c r="L5" s="471"/>
      <c r="M5" s="471"/>
    </row>
    <row r="6" spans="2:14">
      <c r="E6" s="1078"/>
      <c r="F6" s="1078"/>
      <c r="G6" s="1078"/>
      <c r="H6" s="1078"/>
      <c r="I6" s="1078"/>
      <c r="J6" s="1078"/>
    </row>
    <row r="7" spans="2:14">
      <c r="B7" s="472"/>
      <c r="C7" s="473"/>
      <c r="D7" s="466"/>
      <c r="E7" s="467"/>
      <c r="F7" s="467"/>
      <c r="G7" s="467"/>
      <c r="H7" s="467"/>
      <c r="I7" s="467"/>
      <c r="J7" s="467"/>
      <c r="K7" s="472"/>
      <c r="L7" s="472"/>
      <c r="M7" s="466"/>
    </row>
    <row r="8" spans="2:14" s="8" customFormat="1">
      <c r="B8" s="474"/>
      <c r="C8" s="475" t="s">
        <v>47</v>
      </c>
      <c r="D8" s="475" t="s">
        <v>1629</v>
      </c>
      <c r="E8" s="475"/>
      <c r="F8" s="475" t="s">
        <v>1627</v>
      </c>
      <c r="G8" s="475"/>
      <c r="H8" s="475" t="s">
        <v>1630</v>
      </c>
      <c r="I8" s="475"/>
      <c r="J8" s="475" t="s">
        <v>1631</v>
      </c>
      <c r="K8" s="474"/>
      <c r="L8" s="476"/>
      <c r="M8" s="475"/>
    </row>
    <row r="9" spans="2:14">
      <c r="B9" s="472"/>
      <c r="C9" s="477" t="s">
        <v>1625</v>
      </c>
      <c r="D9" s="478" t="s">
        <v>48</v>
      </c>
      <c r="E9" s="479"/>
      <c r="F9" s="479" t="s">
        <v>49</v>
      </c>
      <c r="G9" s="479"/>
      <c r="H9" s="480" t="s">
        <v>50</v>
      </c>
      <c r="I9" s="480"/>
      <c r="J9" s="481" t="s">
        <v>51</v>
      </c>
      <c r="K9" s="472"/>
      <c r="L9" s="472"/>
      <c r="M9" s="466"/>
    </row>
    <row r="10" spans="2:14">
      <c r="B10" s="472"/>
      <c r="C10" s="463"/>
      <c r="D10" s="482"/>
      <c r="E10" s="482"/>
      <c r="F10" s="482"/>
      <c r="G10" s="482"/>
      <c r="H10" s="482"/>
      <c r="I10" s="482"/>
      <c r="J10" s="483" t="s">
        <v>50</v>
      </c>
      <c r="K10" s="472"/>
      <c r="L10" s="472"/>
      <c r="M10" s="466"/>
    </row>
    <row r="11" spans="2:14">
      <c r="C11" s="463">
        <v>1</v>
      </c>
      <c r="D11" s="484" t="s">
        <v>52</v>
      </c>
      <c r="E11" s="482"/>
      <c r="F11" s="485">
        <v>0.5</v>
      </c>
      <c r="G11" s="486"/>
      <c r="H11" s="487">
        <v>5.2949999999999997E-2</v>
      </c>
      <c r="I11" s="488"/>
      <c r="J11" s="489">
        <f>ROUND(+F11*H11,5)</f>
        <v>2.648E-2</v>
      </c>
      <c r="K11" s="472"/>
      <c r="L11" s="490"/>
      <c r="M11" s="466"/>
      <c r="N11" s="491"/>
    </row>
    <row r="12" spans="2:14">
      <c r="C12" s="463">
        <v>2</v>
      </c>
      <c r="D12" s="484" t="s">
        <v>53</v>
      </c>
      <c r="E12" s="482"/>
      <c r="F12" s="485">
        <v>0</v>
      </c>
      <c r="G12" s="486"/>
      <c r="H12" s="487">
        <v>0</v>
      </c>
      <c r="I12" s="488"/>
      <c r="J12" s="489">
        <f>ROUND(+F12*H12,5)</f>
        <v>0</v>
      </c>
      <c r="K12" s="472"/>
      <c r="L12" s="490"/>
      <c r="M12" s="466"/>
    </row>
    <row r="13" spans="2:14">
      <c r="C13" s="463">
        <v>3</v>
      </c>
      <c r="D13" s="484" t="s">
        <v>54</v>
      </c>
      <c r="E13" s="482"/>
      <c r="F13" s="485">
        <v>0.5</v>
      </c>
      <c r="G13" s="486"/>
      <c r="H13" s="487">
        <v>9.9000000000000005E-2</v>
      </c>
      <c r="I13" s="488"/>
      <c r="J13" s="489">
        <f>ROUND(+F13*H13,5)</f>
        <v>4.9500000000000002E-2</v>
      </c>
      <c r="K13" s="472"/>
      <c r="L13" s="490"/>
      <c r="M13" s="466"/>
    </row>
    <row r="14" spans="2:14" ht="16.5" thickBot="1">
      <c r="B14" s="472"/>
      <c r="C14" s="463">
        <v>4</v>
      </c>
      <c r="D14" s="484" t="s">
        <v>55</v>
      </c>
      <c r="E14" s="482"/>
      <c r="F14" s="492">
        <f>SUM(F11:F13)</f>
        <v>1</v>
      </c>
      <c r="G14" s="486"/>
      <c r="H14" s="486"/>
      <c r="I14" s="488"/>
      <c r="J14" s="493">
        <f>SUM(J11:J13)</f>
        <v>7.5980000000000006E-2</v>
      </c>
      <c r="K14" s="472"/>
      <c r="L14" s="472"/>
      <c r="M14" s="466"/>
    </row>
    <row r="15" spans="2:14" ht="16.5" thickTop="1">
      <c r="B15" s="472"/>
      <c r="C15" s="494"/>
      <c r="D15" s="495"/>
      <c r="E15" s="495"/>
      <c r="F15" s="495"/>
      <c r="G15" s="495"/>
      <c r="H15" s="495"/>
      <c r="I15" s="495"/>
      <c r="J15" s="496"/>
      <c r="K15" s="472"/>
      <c r="L15" s="472"/>
      <c r="M15" s="466"/>
    </row>
    <row r="16" spans="2:14">
      <c r="B16" s="472"/>
      <c r="C16" s="474"/>
      <c r="D16" s="472"/>
      <c r="E16" s="472"/>
      <c r="F16" s="472"/>
      <c r="G16" s="472"/>
      <c r="H16" s="472"/>
      <c r="I16" s="472"/>
      <c r="J16" s="472"/>
      <c r="K16" s="472"/>
      <c r="L16" s="472"/>
      <c r="M16" s="466"/>
    </row>
    <row r="17" spans="2:12">
      <c r="B17" s="466"/>
      <c r="C17" s="475"/>
      <c r="D17" s="466" t="s">
        <v>2027</v>
      </c>
      <c r="E17" s="466"/>
      <c r="F17" s="466"/>
      <c r="G17" s="466"/>
      <c r="H17" s="466"/>
      <c r="I17" s="466"/>
      <c r="J17" s="466"/>
      <c r="K17" s="466"/>
      <c r="L17" s="466"/>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BB68-9B99-47CB-8051-7D2172C72593}">
  <sheetPr codeName="Sheet20">
    <pageSetUpPr fitToPage="1"/>
  </sheetPr>
  <dimension ref="A1:U71"/>
  <sheetViews>
    <sheetView view="pageBreakPreview" zoomScaleNormal="75" zoomScaleSheetLayoutView="100" workbookViewId="0">
      <selection activeCell="A3" sqref="A3:H3"/>
    </sheetView>
  </sheetViews>
  <sheetFormatPr defaultColWidth="17.85546875" defaultRowHeight="12.75"/>
  <cols>
    <col min="1" max="1" width="7.85546875" style="799" bestFit="1" customWidth="1"/>
    <col min="2" max="2" width="17.7109375" style="698" customWidth="1"/>
    <col min="3" max="3" width="11.28515625" style="698" bestFit="1" customWidth="1"/>
    <col min="4" max="4" width="8.7109375" style="698" customWidth="1"/>
    <col min="5" max="5" width="10.42578125" style="698" customWidth="1"/>
    <col min="6" max="6" width="22.42578125" style="698" customWidth="1"/>
    <col min="7" max="7" width="15.140625" style="698" customWidth="1"/>
    <col min="8" max="9" width="15.42578125" style="698" bestFit="1" customWidth="1"/>
    <col min="10" max="10" width="8.28515625" style="698" bestFit="1" customWidth="1"/>
    <col min="11" max="11" width="15.5703125" style="698" bestFit="1" customWidth="1"/>
    <col min="12" max="13" width="11.7109375" style="698" bestFit="1" customWidth="1"/>
    <col min="14" max="14" width="12.28515625" style="698" bestFit="1" customWidth="1"/>
    <col min="15" max="15" width="10.85546875" style="698" bestFit="1" customWidth="1"/>
    <col min="16" max="16" width="12" style="698" bestFit="1" customWidth="1"/>
    <col min="17" max="17" width="10.42578125" style="698" bestFit="1" customWidth="1"/>
    <col min="18" max="18" width="13.42578125" style="698" customWidth="1"/>
    <col min="19" max="19" width="15.140625" style="698" customWidth="1"/>
    <col min="20" max="20" width="26.5703125" style="698" customWidth="1"/>
    <col min="21" max="16384" width="17.85546875" style="698"/>
  </cols>
  <sheetData>
    <row r="1" spans="1:20" ht="15.75">
      <c r="H1" s="1039" t="s">
        <v>60</v>
      </c>
      <c r="I1" s="1039"/>
      <c r="J1" s="1039"/>
      <c r="K1" s="1039"/>
      <c r="L1" s="1039"/>
      <c r="M1" s="1039"/>
      <c r="N1" s="1039"/>
      <c r="O1" s="1039"/>
      <c r="P1" s="1039"/>
    </row>
    <row r="2" spans="1:20" ht="15.75">
      <c r="H2" s="1039" t="s">
        <v>1588</v>
      </c>
      <c r="I2" s="1039"/>
      <c r="J2" s="1039"/>
      <c r="K2" s="1039"/>
      <c r="L2" s="1039"/>
      <c r="M2" s="1039"/>
      <c r="N2" s="1039"/>
      <c r="O2" s="1039"/>
      <c r="P2" s="1039"/>
    </row>
    <row r="3" spans="1:20" ht="15.75">
      <c r="B3" s="777"/>
      <c r="H3" s="1039" t="s">
        <v>1600</v>
      </c>
      <c r="I3" s="1039"/>
      <c r="J3" s="1039"/>
      <c r="K3" s="1039"/>
      <c r="L3" s="1039"/>
      <c r="M3" s="1039"/>
      <c r="N3" s="1039"/>
      <c r="O3" s="1039"/>
      <c r="P3" s="1039"/>
    </row>
    <row r="4" spans="1:20" ht="15.75">
      <c r="H4" s="1039" t="s">
        <v>2053</v>
      </c>
      <c r="I4" s="1039"/>
      <c r="J4" s="1039"/>
      <c r="K4" s="1039"/>
      <c r="L4" s="1039"/>
      <c r="M4" s="1039"/>
      <c r="N4" s="1039"/>
      <c r="O4" s="1039"/>
      <c r="P4" s="1039"/>
    </row>
    <row r="5" spans="1:20" ht="15.75">
      <c r="B5" s="776"/>
      <c r="H5" s="1039" t="s">
        <v>906</v>
      </c>
      <c r="I5" s="1039"/>
      <c r="J5" s="1039"/>
      <c r="K5" s="1039"/>
      <c r="L5" s="1039"/>
      <c r="M5" s="1039"/>
      <c r="N5" s="1039"/>
      <c r="O5" s="1039"/>
      <c r="P5" s="1039"/>
    </row>
    <row r="6" spans="1:20" s="799" customFormat="1" ht="15.75">
      <c r="B6" s="800" t="s">
        <v>1629</v>
      </c>
      <c r="C6" s="799" t="s">
        <v>1627</v>
      </c>
      <c r="D6" s="799" t="s">
        <v>1628</v>
      </c>
      <c r="E6" s="799" t="s">
        <v>1631</v>
      </c>
      <c r="F6" s="799" t="s">
        <v>1632</v>
      </c>
      <c r="G6" s="799" t="s">
        <v>1641</v>
      </c>
      <c r="H6" s="801" t="s">
        <v>1642</v>
      </c>
      <c r="I6" s="801" t="s">
        <v>1643</v>
      </c>
      <c r="J6" s="801" t="s">
        <v>1644</v>
      </c>
      <c r="K6" s="801" t="s">
        <v>1645</v>
      </c>
      <c r="L6" s="801" t="s">
        <v>1646</v>
      </c>
      <c r="M6" s="801" t="s">
        <v>1647</v>
      </c>
      <c r="N6" s="801" t="s">
        <v>1648</v>
      </c>
      <c r="O6" s="801" t="s">
        <v>1649</v>
      </c>
      <c r="P6" s="801" t="s">
        <v>1650</v>
      </c>
      <c r="Q6" s="799" t="s">
        <v>1922</v>
      </c>
      <c r="R6" s="799" t="s">
        <v>1923</v>
      </c>
      <c r="S6" s="799" t="s">
        <v>1924</v>
      </c>
      <c r="T6" s="799" t="s">
        <v>1925</v>
      </c>
    </row>
    <row r="7" spans="1:20" ht="15.75" thickBot="1">
      <c r="B7" s="776" t="s">
        <v>2020</v>
      </c>
    </row>
    <row r="8" spans="1:20">
      <c r="A8" s="799" t="s">
        <v>812</v>
      </c>
      <c r="B8" s="775"/>
      <c r="C8" s="774"/>
      <c r="D8" s="774"/>
      <c r="E8" s="773"/>
      <c r="F8" s="769"/>
      <c r="G8" s="769"/>
      <c r="H8" s="772"/>
      <c r="I8" s="772"/>
      <c r="J8" s="771"/>
      <c r="K8" s="770"/>
      <c r="L8" s="769"/>
      <c r="M8" s="769"/>
      <c r="N8" s="768"/>
      <c r="O8" s="770"/>
      <c r="P8" s="769"/>
      <c r="Q8" s="768"/>
      <c r="R8" s="770"/>
      <c r="S8" s="769"/>
      <c r="T8" s="768"/>
    </row>
    <row r="9" spans="1:20">
      <c r="A9" s="799">
        <v>1</v>
      </c>
      <c r="B9" s="767" t="s">
        <v>60</v>
      </c>
      <c r="C9" s="763"/>
      <c r="D9" s="763"/>
      <c r="E9" s="762"/>
      <c r="F9" s="766" t="s">
        <v>60</v>
      </c>
      <c r="G9" s="757"/>
      <c r="H9" s="760"/>
      <c r="I9" s="760"/>
      <c r="J9" s="759"/>
      <c r="K9" s="765" t="s">
        <v>60</v>
      </c>
      <c r="L9" s="757"/>
      <c r="M9" s="757"/>
      <c r="N9" s="756"/>
      <c r="O9" s="765" t="s">
        <v>60</v>
      </c>
      <c r="P9" s="757"/>
      <c r="Q9" s="756"/>
      <c r="R9" s="765" t="s">
        <v>60</v>
      </c>
      <c r="S9" s="757"/>
      <c r="T9" s="756"/>
    </row>
    <row r="10" spans="1:20" ht="14.25">
      <c r="A10" s="799">
        <v>2</v>
      </c>
      <c r="B10" s="767" t="s">
        <v>2019</v>
      </c>
      <c r="C10" s="763"/>
      <c r="D10" s="763"/>
      <c r="E10" s="762"/>
      <c r="F10" s="766" t="s">
        <v>2018</v>
      </c>
      <c r="G10" s="757"/>
      <c r="H10" s="760"/>
      <c r="I10" s="760"/>
      <c r="J10" s="759"/>
      <c r="K10" s="765" t="s">
        <v>2017</v>
      </c>
      <c r="L10" s="757"/>
      <c r="M10" s="757"/>
      <c r="N10" s="756"/>
      <c r="O10" s="765" t="s">
        <v>2016</v>
      </c>
      <c r="P10" s="757"/>
      <c r="Q10" s="756"/>
      <c r="R10" s="765" t="s">
        <v>122</v>
      </c>
      <c r="S10" s="757"/>
      <c r="T10" s="756"/>
    </row>
    <row r="11" spans="1:20">
      <c r="A11" s="799">
        <v>3</v>
      </c>
      <c r="B11" s="764">
        <v>2015</v>
      </c>
      <c r="C11" s="763"/>
      <c r="D11" s="763"/>
      <c r="E11" s="762"/>
      <c r="F11" s="761">
        <f>+B11</f>
        <v>2015</v>
      </c>
      <c r="G11" s="757"/>
      <c r="H11" s="760"/>
      <c r="I11" s="760"/>
      <c r="J11" s="759"/>
      <c r="K11" s="758">
        <f>+B11</f>
        <v>2015</v>
      </c>
      <c r="L11" s="757"/>
      <c r="M11" s="757"/>
      <c r="N11" s="756"/>
      <c r="O11" s="758">
        <f>B11</f>
        <v>2015</v>
      </c>
      <c r="P11" s="757"/>
      <c r="Q11" s="756"/>
      <c r="R11" s="758">
        <f>B11</f>
        <v>2015</v>
      </c>
      <c r="S11" s="757"/>
      <c r="T11" s="756"/>
    </row>
    <row r="12" spans="1:20">
      <c r="B12" s="717"/>
      <c r="C12" s="716"/>
      <c r="D12" s="716"/>
      <c r="E12" s="715"/>
      <c r="F12" s="712"/>
      <c r="G12" s="712"/>
      <c r="H12" s="727"/>
      <c r="I12" s="727"/>
      <c r="J12" s="726"/>
      <c r="K12" s="713"/>
      <c r="L12" s="712"/>
      <c r="M12" s="712"/>
      <c r="N12" s="711"/>
      <c r="O12" s="713"/>
      <c r="P12" s="712"/>
      <c r="Q12" s="711"/>
      <c r="R12" s="713"/>
      <c r="S12" s="712"/>
      <c r="T12" s="711"/>
    </row>
    <row r="13" spans="1:20">
      <c r="A13" s="799">
        <v>4</v>
      </c>
      <c r="B13" s="717"/>
      <c r="C13" s="716"/>
      <c r="D13" s="716"/>
      <c r="E13" s="715"/>
      <c r="F13" s="714" t="s">
        <v>2015</v>
      </c>
      <c r="G13" s="712"/>
      <c r="H13" s="752" t="s">
        <v>379</v>
      </c>
      <c r="I13" s="752" t="s">
        <v>937</v>
      </c>
      <c r="J13" s="726"/>
      <c r="K13" s="713"/>
      <c r="L13" s="712"/>
      <c r="M13" s="712"/>
      <c r="N13" s="711"/>
      <c r="O13" s="713"/>
      <c r="P13" s="712"/>
      <c r="Q13" s="711"/>
      <c r="R13" s="713"/>
      <c r="S13" s="712"/>
      <c r="T13" s="711"/>
    </row>
    <row r="14" spans="1:20">
      <c r="A14" s="799">
        <v>5</v>
      </c>
      <c r="B14" s="717"/>
      <c r="C14" s="755" t="s">
        <v>379</v>
      </c>
      <c r="D14" s="755" t="s">
        <v>937</v>
      </c>
      <c r="E14" s="754" t="s">
        <v>58</v>
      </c>
      <c r="F14" s="712"/>
      <c r="G14" s="753"/>
      <c r="H14" s="752" t="s">
        <v>1107</v>
      </c>
      <c r="I14" s="752" t="s">
        <v>1107</v>
      </c>
      <c r="J14" s="726"/>
      <c r="K14" s="713"/>
      <c r="L14" s="712"/>
      <c r="M14" s="712"/>
      <c r="N14" s="711"/>
      <c r="O14" s="713"/>
      <c r="P14" s="747" t="s">
        <v>2014</v>
      </c>
      <c r="Q14" s="749"/>
      <c r="R14" s="734" t="s">
        <v>2013</v>
      </c>
      <c r="S14" s="712"/>
      <c r="T14" s="711"/>
    </row>
    <row r="15" spans="1:20">
      <c r="A15" s="799">
        <v>6</v>
      </c>
      <c r="B15" s="717"/>
      <c r="C15" s="725"/>
      <c r="D15" s="725"/>
      <c r="E15" s="724"/>
      <c r="F15" s="712"/>
      <c r="G15" s="745" t="s">
        <v>2012</v>
      </c>
      <c r="H15" s="751" t="s">
        <v>2011</v>
      </c>
      <c r="I15" s="751" t="s">
        <v>2011</v>
      </c>
      <c r="J15" s="726"/>
      <c r="K15" s="713"/>
      <c r="L15" s="747" t="s">
        <v>379</v>
      </c>
      <c r="M15" s="747" t="s">
        <v>937</v>
      </c>
      <c r="N15" s="749"/>
      <c r="O15" s="713"/>
      <c r="P15" s="745" t="s">
        <v>2010</v>
      </c>
      <c r="Q15" s="744" t="s">
        <v>2003</v>
      </c>
      <c r="R15" s="713"/>
      <c r="S15" s="712"/>
      <c r="T15" s="711"/>
    </row>
    <row r="16" spans="1:20">
      <c r="A16" s="799">
        <v>7</v>
      </c>
      <c r="B16" s="731" t="s">
        <v>2009</v>
      </c>
      <c r="C16" s="729">
        <f>Q17</f>
        <v>0.74880000000000002</v>
      </c>
      <c r="D16" s="729">
        <f>E16-C16</f>
        <v>0.25119999999999998</v>
      </c>
      <c r="E16" s="728">
        <v>1</v>
      </c>
      <c r="F16" s="712"/>
      <c r="G16" s="719"/>
      <c r="H16" s="733"/>
      <c r="I16" s="733"/>
      <c r="J16" s="726"/>
      <c r="K16" s="713"/>
      <c r="L16" s="745" t="s">
        <v>2008</v>
      </c>
      <c r="M16" s="745" t="s">
        <v>2008</v>
      </c>
      <c r="N16" s="744" t="s">
        <v>58</v>
      </c>
      <c r="O16" s="713"/>
      <c r="P16" s="719"/>
      <c r="Q16" s="718"/>
      <c r="R16" s="713"/>
      <c r="S16" s="712"/>
      <c r="T16" s="711"/>
    </row>
    <row r="17" spans="1:21">
      <c r="A17" s="799">
        <v>8</v>
      </c>
      <c r="B17" s="731" t="s">
        <v>2007</v>
      </c>
      <c r="C17" s="729">
        <f>H39</f>
        <v>0.73719999999999997</v>
      </c>
      <c r="D17" s="729">
        <f>E17-C17</f>
        <v>0.26280000000000003</v>
      </c>
      <c r="E17" s="728">
        <v>1</v>
      </c>
      <c r="F17" s="712"/>
      <c r="G17" s="736">
        <v>42004</v>
      </c>
      <c r="H17" s="740">
        <v>169</v>
      </c>
      <c r="I17" s="740">
        <v>55</v>
      </c>
      <c r="J17" s="726"/>
      <c r="K17" s="713"/>
      <c r="L17" s="719"/>
      <c r="M17" s="719"/>
      <c r="N17" s="718"/>
      <c r="O17" s="734" t="s">
        <v>379</v>
      </c>
      <c r="P17" s="740">
        <f>+P62</f>
        <v>204867.66666666666</v>
      </c>
      <c r="Q17" s="742">
        <f>ROUND(P17/P21,4)</f>
        <v>0.74880000000000002</v>
      </c>
      <c r="R17" s="713"/>
      <c r="S17" s="750">
        <f>R11</f>
        <v>2015</v>
      </c>
      <c r="T17" s="749"/>
    </row>
    <row r="18" spans="1:21">
      <c r="A18" s="799">
        <v>9</v>
      </c>
      <c r="B18" s="731" t="s">
        <v>2006</v>
      </c>
      <c r="C18" s="738">
        <f>L25</f>
        <v>0.77239999999999998</v>
      </c>
      <c r="D18" s="738">
        <f>E18-C18</f>
        <v>0.22760000000000002</v>
      </c>
      <c r="E18" s="737">
        <v>1</v>
      </c>
      <c r="F18" s="712"/>
      <c r="G18" s="736">
        <f>G17+30</f>
        <v>42034</v>
      </c>
      <c r="H18" s="740">
        <v>169</v>
      </c>
      <c r="I18" s="740">
        <v>60</v>
      </c>
      <c r="J18" s="726"/>
      <c r="K18" s="734" t="s">
        <v>2005</v>
      </c>
      <c r="L18" s="699">
        <v>632616854</v>
      </c>
      <c r="M18" s="699">
        <v>186360173</v>
      </c>
      <c r="N18" s="748">
        <f>SUM(L18:M18)</f>
        <v>818977027</v>
      </c>
      <c r="O18" s="734" t="s">
        <v>937</v>
      </c>
      <c r="P18" s="735">
        <f>+Q62</f>
        <v>68732.416666666672</v>
      </c>
      <c r="Q18" s="720">
        <f>Q21-Q17</f>
        <v>0.25119999999999998</v>
      </c>
      <c r="R18" s="713"/>
      <c r="S18" s="747" t="s">
        <v>1982</v>
      </c>
      <c r="T18" s="746" t="s">
        <v>895</v>
      </c>
    </row>
    <row r="19" spans="1:21">
      <c r="A19" s="799">
        <v>10</v>
      </c>
      <c r="B19" s="717"/>
      <c r="C19" s="725"/>
      <c r="D19" s="725"/>
      <c r="E19" s="724"/>
      <c r="F19" s="712"/>
      <c r="G19" s="736">
        <f>G18+28</f>
        <v>42062</v>
      </c>
      <c r="H19" s="740">
        <v>168</v>
      </c>
      <c r="I19" s="740">
        <v>60</v>
      </c>
      <c r="J19" s="726"/>
      <c r="K19" s="713"/>
      <c r="L19" s="727"/>
      <c r="M19" s="727"/>
      <c r="N19" s="726"/>
      <c r="O19" s="713"/>
      <c r="P19" s="733"/>
      <c r="Q19" s="718"/>
      <c r="R19" s="713"/>
      <c r="S19" s="745" t="s">
        <v>41</v>
      </c>
      <c r="T19" s="744" t="s">
        <v>2004</v>
      </c>
    </row>
    <row r="20" spans="1:21">
      <c r="A20" s="799">
        <v>11</v>
      </c>
      <c r="B20" s="717"/>
      <c r="C20" s="716"/>
      <c r="D20" s="716"/>
      <c r="E20" s="715"/>
      <c r="F20" s="712"/>
      <c r="G20" s="736">
        <f t="shared" ref="G20:G29" si="0">G19+30</f>
        <v>42092</v>
      </c>
      <c r="H20" s="740">
        <v>170</v>
      </c>
      <c r="I20" s="740">
        <v>57</v>
      </c>
      <c r="J20" s="726"/>
      <c r="K20" s="713"/>
      <c r="L20" s="733"/>
      <c r="M20" s="733"/>
      <c r="N20" s="743"/>
      <c r="O20" s="713"/>
      <c r="P20" s="727"/>
      <c r="Q20" s="711"/>
      <c r="R20" s="713"/>
      <c r="S20" s="733"/>
      <c r="T20" s="746"/>
    </row>
    <row r="21" spans="1:21">
      <c r="A21" s="799">
        <v>12</v>
      </c>
      <c r="B21" s="780" t="s">
        <v>120</v>
      </c>
      <c r="C21" s="781">
        <f>AVERAGE(C16:C18)</f>
        <v>0.75280000000000002</v>
      </c>
      <c r="D21" s="781">
        <f>AVERAGE(D16:D18)</f>
        <v>0.2472</v>
      </c>
      <c r="E21" s="782">
        <f>AVERAGE(E16:E18)</f>
        <v>1</v>
      </c>
      <c r="F21" s="712"/>
      <c r="G21" s="736">
        <f t="shared" si="0"/>
        <v>42122</v>
      </c>
      <c r="H21" s="740">
        <v>173</v>
      </c>
      <c r="I21" s="740">
        <v>61</v>
      </c>
      <c r="J21" s="726"/>
      <c r="K21" s="713"/>
      <c r="L21" s="727"/>
      <c r="M21" s="727"/>
      <c r="N21" s="726"/>
      <c r="O21" s="734" t="s">
        <v>58</v>
      </c>
      <c r="P21" s="723">
        <f>SUM(P16:P19)</f>
        <v>273600.08333333331</v>
      </c>
      <c r="Q21" s="720">
        <v>1</v>
      </c>
      <c r="R21" s="734" t="s">
        <v>379</v>
      </c>
      <c r="S21" s="740">
        <v>239600696</v>
      </c>
      <c r="T21" s="746">
        <f>ROUND(S21/S25,4)</f>
        <v>0.76549999999999996</v>
      </c>
      <c r="U21" s="741"/>
    </row>
    <row r="22" spans="1:21">
      <c r="A22" s="799">
        <v>13</v>
      </c>
      <c r="B22" s="717"/>
      <c r="C22" s="725"/>
      <c r="D22" s="725"/>
      <c r="E22" s="724"/>
      <c r="F22" s="712"/>
      <c r="G22" s="736">
        <f t="shared" si="0"/>
        <v>42152</v>
      </c>
      <c r="H22" s="740">
        <v>168</v>
      </c>
      <c r="I22" s="740">
        <v>61</v>
      </c>
      <c r="J22" s="726"/>
      <c r="K22" s="713"/>
      <c r="L22" s="719"/>
      <c r="M22" s="719"/>
      <c r="N22" s="718"/>
      <c r="O22" s="713"/>
      <c r="P22" s="733"/>
      <c r="Q22" s="718"/>
      <c r="R22" s="734" t="s">
        <v>937</v>
      </c>
      <c r="S22" s="740">
        <v>73387620</v>
      </c>
      <c r="T22" s="744">
        <f>T25-T21</f>
        <v>0.23450000000000004</v>
      </c>
      <c r="U22" s="741"/>
    </row>
    <row r="23" spans="1:21">
      <c r="A23" s="799">
        <v>14</v>
      </c>
      <c r="B23" s="717"/>
      <c r="C23" s="784"/>
      <c r="D23" s="716"/>
      <c r="E23" s="715"/>
      <c r="F23" s="712"/>
      <c r="G23" s="736">
        <f t="shared" si="0"/>
        <v>42182</v>
      </c>
      <c r="H23" s="740">
        <v>168</v>
      </c>
      <c r="I23" s="740">
        <v>61</v>
      </c>
      <c r="J23" s="726"/>
      <c r="K23" s="713"/>
      <c r="L23" s="712"/>
      <c r="M23" s="712"/>
      <c r="N23" s="711"/>
      <c r="O23" s="713"/>
      <c r="P23" s="712"/>
      <c r="Q23" s="711"/>
      <c r="R23" s="713"/>
      <c r="S23" s="733"/>
      <c r="T23" s="746"/>
    </row>
    <row r="24" spans="1:21">
      <c r="A24" s="799">
        <v>15</v>
      </c>
      <c r="B24" s="717"/>
      <c r="C24" s="716"/>
      <c r="D24" s="716"/>
      <c r="E24" s="715"/>
      <c r="F24" s="712"/>
      <c r="G24" s="736">
        <f t="shared" si="0"/>
        <v>42212</v>
      </c>
      <c r="H24" s="740">
        <v>181</v>
      </c>
      <c r="I24" s="740">
        <v>64</v>
      </c>
      <c r="J24" s="726"/>
      <c r="K24" s="713"/>
      <c r="L24" s="712"/>
      <c r="M24" s="712"/>
      <c r="N24" s="711"/>
      <c r="O24" s="713"/>
      <c r="P24" s="712"/>
      <c r="Q24" s="711"/>
      <c r="R24" s="713"/>
      <c r="S24" s="727"/>
      <c r="T24" s="749"/>
    </row>
    <row r="25" spans="1:21">
      <c r="A25" s="799">
        <v>16</v>
      </c>
      <c r="B25" s="717"/>
      <c r="C25" s="716"/>
      <c r="D25" s="716"/>
      <c r="E25" s="715"/>
      <c r="F25" s="712"/>
      <c r="G25" s="736">
        <f t="shared" si="0"/>
        <v>42242</v>
      </c>
      <c r="H25" s="740">
        <v>181</v>
      </c>
      <c r="I25" s="740">
        <v>65</v>
      </c>
      <c r="J25" s="726"/>
      <c r="K25" s="734" t="s">
        <v>2003</v>
      </c>
      <c r="L25" s="721">
        <f>ROUND(L18/N18,4)</f>
        <v>0.77239999999999998</v>
      </c>
      <c r="M25" s="721">
        <f>N25-L25</f>
        <v>0.22760000000000002</v>
      </c>
      <c r="N25" s="720">
        <v>1</v>
      </c>
      <c r="O25" s="713"/>
      <c r="P25" s="712"/>
      <c r="Q25" s="711"/>
      <c r="R25" s="713"/>
      <c r="S25" s="723">
        <f>SUM(S20:S23)</f>
        <v>312988316</v>
      </c>
      <c r="T25" s="744">
        <v>1</v>
      </c>
    </row>
    <row r="26" spans="1:21">
      <c r="A26" s="799">
        <v>17</v>
      </c>
      <c r="B26" s="717"/>
      <c r="C26" s="716"/>
      <c r="D26" s="716"/>
      <c r="E26" s="715"/>
      <c r="F26" s="712"/>
      <c r="G26" s="736">
        <f t="shared" si="0"/>
        <v>42272</v>
      </c>
      <c r="H26" s="740">
        <v>181</v>
      </c>
      <c r="I26" s="740">
        <v>65</v>
      </c>
      <c r="J26" s="726"/>
      <c r="K26" s="713"/>
      <c r="L26" s="719"/>
      <c r="M26" s="719"/>
      <c r="N26" s="718"/>
      <c r="O26" s="713"/>
      <c r="P26" s="712"/>
      <c r="Q26" s="711"/>
      <c r="R26" s="713"/>
      <c r="S26" s="733"/>
      <c r="T26" s="718"/>
    </row>
    <row r="27" spans="1:21">
      <c r="A27" s="799">
        <v>18</v>
      </c>
      <c r="B27" s="717"/>
      <c r="C27" s="716"/>
      <c r="D27" s="716"/>
      <c r="E27" s="715"/>
      <c r="F27" s="712"/>
      <c r="G27" s="736">
        <f t="shared" si="0"/>
        <v>42302</v>
      </c>
      <c r="H27" s="740">
        <v>178</v>
      </c>
      <c r="I27" s="740">
        <v>67</v>
      </c>
      <c r="J27" s="726"/>
      <c r="K27" s="713"/>
      <c r="L27" s="712"/>
      <c r="M27" s="712"/>
      <c r="N27" s="711"/>
      <c r="O27" s="713"/>
      <c r="P27" s="712"/>
      <c r="Q27" s="711"/>
      <c r="R27" s="713"/>
      <c r="S27" s="727"/>
      <c r="T27" s="711"/>
    </row>
    <row r="28" spans="1:21">
      <c r="A28" s="799">
        <v>19</v>
      </c>
      <c r="B28" s="717"/>
      <c r="C28" s="716"/>
      <c r="D28" s="716"/>
      <c r="E28" s="715"/>
      <c r="F28" s="712"/>
      <c r="G28" s="736">
        <f t="shared" si="0"/>
        <v>42332</v>
      </c>
      <c r="H28" s="740">
        <v>176</v>
      </c>
      <c r="I28" s="740">
        <v>63</v>
      </c>
      <c r="J28" s="726"/>
      <c r="K28" s="713"/>
      <c r="L28" s="739"/>
      <c r="M28" s="739"/>
      <c r="N28" s="711"/>
      <c r="O28" s="713"/>
      <c r="P28" s="712"/>
      <c r="Q28" s="711"/>
      <c r="R28" s="713"/>
      <c r="S28" s="712"/>
      <c r="T28" s="711"/>
    </row>
    <row r="29" spans="1:21">
      <c r="A29" s="799">
        <v>20</v>
      </c>
      <c r="B29" s="731" t="s">
        <v>122</v>
      </c>
      <c r="C29" s="738">
        <f>T21</f>
        <v>0.76549999999999996</v>
      </c>
      <c r="D29" s="738">
        <f>E29-C29</f>
        <v>0.23450000000000004</v>
      </c>
      <c r="E29" s="737">
        <v>1</v>
      </c>
      <c r="F29" s="712"/>
      <c r="G29" s="736">
        <f t="shared" si="0"/>
        <v>42362</v>
      </c>
      <c r="H29" s="735">
        <v>171</v>
      </c>
      <c r="I29" s="735">
        <v>62</v>
      </c>
      <c r="J29" s="726"/>
      <c r="K29" s="734"/>
      <c r="L29" s="712"/>
      <c r="M29" s="712"/>
      <c r="N29" s="711"/>
      <c r="O29" s="713"/>
      <c r="P29" s="712"/>
      <c r="Q29" s="711"/>
      <c r="R29" s="713"/>
      <c r="S29" s="712"/>
      <c r="T29" s="711"/>
    </row>
    <row r="30" spans="1:21">
      <c r="A30" s="799">
        <v>21</v>
      </c>
      <c r="B30" s="717"/>
      <c r="C30" s="725"/>
      <c r="D30" s="725"/>
      <c r="E30" s="724"/>
      <c r="F30" s="712"/>
      <c r="G30" s="712"/>
      <c r="H30" s="733"/>
      <c r="I30" s="733" t="s">
        <v>56</v>
      </c>
      <c r="J30" s="726"/>
      <c r="K30" s="713"/>
      <c r="L30" s="712"/>
      <c r="M30" s="712"/>
      <c r="N30" s="711"/>
      <c r="O30" s="713"/>
      <c r="P30" s="712"/>
      <c r="Q30" s="711"/>
      <c r="R30" s="713"/>
      <c r="S30" s="712"/>
      <c r="T30" s="711"/>
    </row>
    <row r="31" spans="1:21">
      <c r="A31" s="799">
        <v>22</v>
      </c>
      <c r="B31" s="717"/>
      <c r="C31" s="716"/>
      <c r="D31" s="716"/>
      <c r="E31" s="715"/>
      <c r="F31" s="712"/>
      <c r="G31" s="712"/>
      <c r="H31" s="727"/>
      <c r="I31" s="727"/>
      <c r="J31" s="726"/>
      <c r="K31" s="713"/>
      <c r="L31" s="712"/>
      <c r="M31" s="712"/>
      <c r="N31" s="711"/>
      <c r="O31" s="713"/>
      <c r="P31" s="712"/>
      <c r="Q31" s="711"/>
      <c r="R31" s="713"/>
      <c r="S31" s="712"/>
      <c r="T31" s="711"/>
    </row>
    <row r="32" spans="1:21">
      <c r="A32" s="799">
        <v>23</v>
      </c>
      <c r="B32" s="717"/>
      <c r="C32" s="716"/>
      <c r="D32" s="716"/>
      <c r="E32" s="715"/>
      <c r="F32" s="712"/>
      <c r="G32" s="712"/>
      <c r="H32" s="732">
        <f>SUM(H16:H30)</f>
        <v>2253</v>
      </c>
      <c r="I32" s="732">
        <f>SUM(I16:I30)</f>
        <v>801</v>
      </c>
      <c r="J32" s="726"/>
      <c r="K32" s="713"/>
      <c r="L32" s="712"/>
      <c r="M32" s="712"/>
      <c r="N32" s="711"/>
      <c r="O32" s="713"/>
      <c r="P32" s="712"/>
      <c r="Q32" s="711"/>
      <c r="R32" s="713"/>
      <c r="S32" s="712"/>
      <c r="T32" s="711"/>
    </row>
    <row r="33" spans="1:20">
      <c r="A33" s="799">
        <v>24</v>
      </c>
      <c r="B33" s="717"/>
      <c r="C33" s="716"/>
      <c r="D33" s="716"/>
      <c r="E33" s="715"/>
      <c r="F33" s="712"/>
      <c r="G33" s="712"/>
      <c r="H33" s="727" t="s">
        <v>56</v>
      </c>
      <c r="I33" s="727" t="s">
        <v>56</v>
      </c>
      <c r="J33" s="726"/>
      <c r="K33" s="713"/>
      <c r="L33" s="712"/>
      <c r="M33" s="712"/>
      <c r="N33" s="711"/>
      <c r="O33" s="713"/>
      <c r="P33" s="712"/>
      <c r="Q33" s="711"/>
      <c r="R33" s="713"/>
      <c r="S33" s="712"/>
      <c r="T33" s="711"/>
    </row>
    <row r="34" spans="1:20">
      <c r="A34" s="799">
        <v>25</v>
      </c>
      <c r="B34" s="731"/>
      <c r="C34" s="730"/>
      <c r="D34" s="729"/>
      <c r="E34" s="728"/>
      <c r="F34" s="712"/>
      <c r="G34" s="712"/>
      <c r="H34" s="727"/>
      <c r="I34" s="727" t="s">
        <v>56</v>
      </c>
      <c r="J34" s="726"/>
      <c r="K34" s="713"/>
      <c r="L34" s="699"/>
      <c r="M34" s="712"/>
      <c r="N34" s="711"/>
      <c r="O34" s="713"/>
      <c r="P34" s="712"/>
      <c r="Q34" s="711"/>
      <c r="R34" s="713"/>
      <c r="S34" s="712"/>
      <c r="T34" s="711"/>
    </row>
    <row r="35" spans="1:20">
      <c r="A35" s="799">
        <v>26</v>
      </c>
      <c r="B35" s="717"/>
      <c r="C35" s="725"/>
      <c r="D35" s="725"/>
      <c r="E35" s="724"/>
      <c r="F35" s="714" t="s">
        <v>2002</v>
      </c>
      <c r="G35" s="712"/>
      <c r="H35" s="723">
        <f>ROUND((SUM(H18:H28)*2+H17+H29)/24,2)</f>
        <v>173.58</v>
      </c>
      <c r="I35" s="723">
        <f>ROUND((SUM(I18:I28)*2+I17+I29)/24,2)</f>
        <v>61.88</v>
      </c>
      <c r="J35" s="722">
        <f>H35+I35</f>
        <v>235.46</v>
      </c>
      <c r="K35" s="713"/>
      <c r="L35" s="712"/>
      <c r="M35" s="712"/>
      <c r="N35" s="711"/>
      <c r="O35" s="713"/>
      <c r="P35" s="712"/>
      <c r="Q35" s="711"/>
      <c r="R35" s="713"/>
      <c r="S35" s="712"/>
      <c r="T35" s="711"/>
    </row>
    <row r="36" spans="1:20">
      <c r="A36" s="799">
        <v>27</v>
      </c>
      <c r="B36" s="717"/>
      <c r="C36" s="716"/>
      <c r="D36" s="716"/>
      <c r="E36" s="715"/>
      <c r="F36" s="712"/>
      <c r="G36" s="712"/>
      <c r="H36" s="719"/>
      <c r="I36" s="719" t="s">
        <v>56</v>
      </c>
      <c r="J36" s="718"/>
      <c r="K36" s="713"/>
      <c r="L36" s="712"/>
      <c r="M36" s="712"/>
      <c r="N36" s="711"/>
      <c r="O36" s="713"/>
      <c r="P36" s="712"/>
      <c r="Q36" s="711"/>
      <c r="R36" s="713"/>
      <c r="S36" s="712"/>
      <c r="T36" s="711"/>
    </row>
    <row r="37" spans="1:20">
      <c r="A37" s="799">
        <v>28</v>
      </c>
      <c r="B37" s="717"/>
      <c r="C37" s="716"/>
      <c r="D37" s="716"/>
      <c r="E37" s="715"/>
      <c r="F37" s="712"/>
      <c r="G37" s="712"/>
      <c r="H37" s="712"/>
      <c r="I37" s="712"/>
      <c r="J37" s="711"/>
      <c r="K37" s="713"/>
      <c r="L37" s="712"/>
      <c r="M37" s="712"/>
      <c r="N37" s="711"/>
      <c r="O37" s="713"/>
      <c r="P37" s="712"/>
      <c r="Q37" s="711"/>
      <c r="R37" s="713"/>
      <c r="S37" s="712"/>
      <c r="T37" s="711"/>
    </row>
    <row r="38" spans="1:20">
      <c r="A38" s="799">
        <v>29</v>
      </c>
      <c r="B38" s="717"/>
      <c r="C38" s="716"/>
      <c r="D38" s="716"/>
      <c r="E38" s="715"/>
      <c r="F38" s="712"/>
      <c r="G38" s="712"/>
      <c r="H38" s="712"/>
      <c r="I38" s="712"/>
      <c r="J38" s="711"/>
      <c r="K38" s="713"/>
      <c r="L38" s="712"/>
      <c r="M38" s="712"/>
      <c r="N38" s="711"/>
      <c r="O38" s="713"/>
      <c r="P38" s="712"/>
      <c r="Q38" s="711"/>
      <c r="R38" s="713"/>
      <c r="S38" s="712"/>
      <c r="T38" s="711"/>
    </row>
    <row r="39" spans="1:20">
      <c r="A39" s="799">
        <v>30</v>
      </c>
      <c r="B39" s="717"/>
      <c r="C39" s="716"/>
      <c r="D39" s="716"/>
      <c r="E39" s="715"/>
      <c r="F39" s="712"/>
      <c r="G39" s="714" t="s">
        <v>2001</v>
      </c>
      <c r="H39" s="721">
        <f>ROUND(H35/J35,4)</f>
        <v>0.73719999999999997</v>
      </c>
      <c r="I39" s="721">
        <f>J39-H39</f>
        <v>0.26280000000000003</v>
      </c>
      <c r="J39" s="720">
        <v>1</v>
      </c>
      <c r="K39" s="713"/>
      <c r="L39" s="712"/>
      <c r="M39" s="712"/>
      <c r="N39" s="711"/>
      <c r="O39" s="713"/>
      <c r="P39" s="712"/>
      <c r="Q39" s="711"/>
      <c r="R39" s="713"/>
      <c r="S39" s="712"/>
      <c r="T39" s="711"/>
    </row>
    <row r="40" spans="1:20">
      <c r="A40" s="799">
        <v>31</v>
      </c>
      <c r="B40" s="717"/>
      <c r="C40" s="716"/>
      <c r="D40" s="716"/>
      <c r="E40" s="715"/>
      <c r="F40" s="712"/>
      <c r="G40" s="712"/>
      <c r="H40" s="719"/>
      <c r="I40" s="719"/>
      <c r="J40" s="718"/>
      <c r="K40" s="713"/>
      <c r="L40" s="712"/>
      <c r="M40" s="712"/>
      <c r="N40" s="711"/>
      <c r="O40" s="713"/>
      <c r="P40" s="712"/>
      <c r="Q40" s="711"/>
      <c r="R40" s="713"/>
      <c r="S40" s="712"/>
      <c r="T40" s="711"/>
    </row>
    <row r="41" spans="1:20">
      <c r="A41" s="799">
        <v>32</v>
      </c>
      <c r="B41" s="717"/>
      <c r="C41" s="716"/>
      <c r="D41" s="716"/>
      <c r="E41" s="715"/>
      <c r="F41" s="712"/>
      <c r="G41" s="712"/>
      <c r="H41" s="712"/>
      <c r="I41" s="712"/>
      <c r="J41" s="711"/>
      <c r="K41" s="713"/>
      <c r="L41" s="712"/>
      <c r="M41" s="712"/>
      <c r="N41" s="711"/>
      <c r="O41" s="713"/>
      <c r="P41" s="712"/>
      <c r="Q41" s="711"/>
      <c r="R41" s="713"/>
      <c r="S41" s="712"/>
      <c r="T41" s="711"/>
    </row>
    <row r="42" spans="1:20">
      <c r="A42" s="799">
        <v>33</v>
      </c>
      <c r="B42" s="717"/>
      <c r="C42" s="716"/>
      <c r="D42" s="716"/>
      <c r="E42" s="715"/>
      <c r="F42" s="712"/>
      <c r="G42" s="712"/>
      <c r="H42" s="712"/>
      <c r="I42" s="712"/>
      <c r="J42" s="711"/>
      <c r="K42" s="713"/>
      <c r="L42" s="712"/>
      <c r="M42" s="712"/>
      <c r="N42" s="711"/>
      <c r="O42" s="713"/>
      <c r="P42" s="712"/>
      <c r="Q42" s="711"/>
      <c r="R42" s="713"/>
      <c r="S42" s="712"/>
      <c r="T42" s="711"/>
    </row>
    <row r="43" spans="1:20">
      <c r="A43" s="799">
        <v>34</v>
      </c>
      <c r="B43" s="717"/>
      <c r="C43" s="716"/>
      <c r="D43" s="716"/>
      <c r="E43" s="715"/>
      <c r="F43" s="714" t="s">
        <v>2000</v>
      </c>
      <c r="G43" s="712"/>
      <c r="H43" s="712"/>
      <c r="I43" s="712"/>
      <c r="J43" s="711"/>
      <c r="K43" s="713"/>
      <c r="L43" s="712"/>
      <c r="M43" s="712"/>
      <c r="N43" s="711"/>
      <c r="O43" s="713"/>
      <c r="P43" s="712"/>
      <c r="Q43" s="711"/>
      <c r="R43" s="713"/>
      <c r="S43" s="712"/>
      <c r="T43" s="711"/>
    </row>
    <row r="44" spans="1:20">
      <c r="A44" s="799">
        <v>35</v>
      </c>
      <c r="B44" s="717"/>
      <c r="C44" s="716"/>
      <c r="D44" s="716"/>
      <c r="E44" s="715"/>
      <c r="F44" s="714"/>
      <c r="G44" s="712"/>
      <c r="H44" s="712"/>
      <c r="I44" s="712"/>
      <c r="J44" s="711"/>
      <c r="K44" s="713"/>
      <c r="L44" s="712"/>
      <c r="M44" s="712"/>
      <c r="N44" s="711"/>
      <c r="O44" s="713"/>
      <c r="P44" s="712"/>
      <c r="Q44" s="711"/>
      <c r="R44" s="713"/>
      <c r="S44" s="712"/>
      <c r="T44" s="711"/>
    </row>
    <row r="45" spans="1:20" ht="13.5" thickBot="1">
      <c r="A45" s="799">
        <v>36</v>
      </c>
      <c r="B45" s="710"/>
      <c r="C45" s="709"/>
      <c r="D45" s="709"/>
      <c r="E45" s="708"/>
      <c r="F45" s="707"/>
      <c r="G45" s="705"/>
      <c r="H45" s="705"/>
      <c r="I45" s="705"/>
      <c r="J45" s="704"/>
      <c r="K45" s="706"/>
      <c r="L45" s="705"/>
      <c r="M45" s="705"/>
      <c r="N45" s="704"/>
      <c r="O45" s="706"/>
      <c r="P45" s="705"/>
      <c r="Q45" s="704"/>
      <c r="R45" s="706"/>
      <c r="S45" s="705"/>
      <c r="T45" s="704"/>
    </row>
    <row r="46" spans="1:20">
      <c r="A46" s="799">
        <v>37</v>
      </c>
      <c r="F46" s="699"/>
      <c r="G46" s="699"/>
      <c r="H46" s="699"/>
      <c r="I46" s="699"/>
      <c r="J46" s="699"/>
      <c r="K46" s="699"/>
      <c r="L46" s="699"/>
      <c r="M46" s="699"/>
      <c r="N46" s="699"/>
      <c r="O46" s="699"/>
      <c r="P46" s="699"/>
      <c r="Q46" s="699"/>
      <c r="R46" s="699"/>
      <c r="S46" s="699"/>
      <c r="T46" s="699"/>
    </row>
    <row r="47" spans="1:20">
      <c r="A47" s="799">
        <v>38</v>
      </c>
      <c r="F47" s="699"/>
      <c r="G47" s="699"/>
      <c r="H47" s="699"/>
      <c r="I47" s="699"/>
      <c r="J47" s="699"/>
      <c r="K47" s="699"/>
      <c r="L47" s="699"/>
      <c r="M47" s="699"/>
      <c r="N47" s="699"/>
      <c r="O47" s="699"/>
      <c r="P47" s="699"/>
      <c r="Q47" s="699"/>
      <c r="R47" s="699"/>
      <c r="S47" s="699"/>
      <c r="T47" s="699"/>
    </row>
    <row r="48" spans="1:20" ht="14.25">
      <c r="A48" s="799">
        <v>39</v>
      </c>
      <c r="B48" s="698" t="s">
        <v>1999</v>
      </c>
      <c r="F48" s="699"/>
      <c r="G48" s="699"/>
      <c r="H48" s="699"/>
      <c r="I48" s="699"/>
      <c r="J48" s="699"/>
      <c r="K48" s="699"/>
      <c r="L48" s="699"/>
      <c r="M48" s="699"/>
      <c r="N48" s="699"/>
      <c r="O48" s="699"/>
      <c r="P48" s="699"/>
      <c r="Q48" s="699"/>
      <c r="R48" s="699"/>
      <c r="S48" s="699"/>
      <c r="T48" s="699"/>
    </row>
    <row r="49" spans="1:20" ht="14.25">
      <c r="A49" s="799">
        <v>40</v>
      </c>
      <c r="B49" s="698" t="s">
        <v>1998</v>
      </c>
      <c r="F49" s="699"/>
      <c r="G49" s="699"/>
      <c r="H49" s="699"/>
      <c r="I49" s="699"/>
      <c r="J49" s="699"/>
      <c r="K49" s="699"/>
      <c r="L49" s="699"/>
      <c r="M49" s="699"/>
      <c r="N49" s="699"/>
      <c r="O49" s="703">
        <v>2015</v>
      </c>
      <c r="P49" s="701" t="s">
        <v>1997</v>
      </c>
      <c r="Q49" s="701" t="s">
        <v>1996</v>
      </c>
      <c r="R49" s="701" t="s">
        <v>58</v>
      </c>
      <c r="S49" s="699"/>
      <c r="T49" s="699"/>
    </row>
    <row r="50" spans="1:20" ht="14.25">
      <c r="A50" s="799">
        <v>41</v>
      </c>
      <c r="B50" s="698" t="s">
        <v>1995</v>
      </c>
      <c r="F50" s="699"/>
      <c r="G50" s="699"/>
      <c r="H50" s="699"/>
      <c r="I50" s="699"/>
      <c r="J50" s="699"/>
      <c r="K50" s="699"/>
      <c r="L50" s="699"/>
      <c r="M50" s="702"/>
      <c r="N50" s="702"/>
      <c r="O50" s="699" t="s">
        <v>1994</v>
      </c>
      <c r="P50" s="699">
        <v>204762</v>
      </c>
      <c r="Q50" s="699">
        <v>68437</v>
      </c>
      <c r="R50" s="699">
        <f t="shared" ref="R50:R61" si="1">SUM(P50:Q50)</f>
        <v>273199</v>
      </c>
      <c r="S50" s="699" t="s">
        <v>56</v>
      </c>
      <c r="T50" s="699"/>
    </row>
    <row r="51" spans="1:20">
      <c r="F51" s="699"/>
      <c r="G51" s="699"/>
      <c r="H51" s="699"/>
      <c r="I51" s="699"/>
      <c r="J51" s="699"/>
      <c r="K51" s="699"/>
      <c r="L51" s="699"/>
      <c r="M51" s="702"/>
      <c r="N51" s="702"/>
      <c r="O51" s="699" t="s">
        <v>1993</v>
      </c>
      <c r="P51" s="699">
        <v>204932</v>
      </c>
      <c r="Q51" s="699">
        <v>68540</v>
      </c>
      <c r="R51" s="699">
        <f t="shared" si="1"/>
        <v>273472</v>
      </c>
      <c r="S51" s="699"/>
      <c r="T51" s="699"/>
    </row>
    <row r="52" spans="1:20">
      <c r="F52" s="699"/>
      <c r="G52" s="699"/>
      <c r="H52" s="699"/>
      <c r="I52" s="699"/>
      <c r="J52" s="699"/>
      <c r="K52" s="699"/>
      <c r="L52" s="699"/>
      <c r="M52" s="702"/>
      <c r="N52" s="702"/>
      <c r="O52" s="699" t="s">
        <v>1992</v>
      </c>
      <c r="P52" s="699">
        <v>204772</v>
      </c>
      <c r="Q52" s="699">
        <v>68528</v>
      </c>
      <c r="R52" s="699">
        <f t="shared" si="1"/>
        <v>273300</v>
      </c>
      <c r="S52" s="699"/>
      <c r="T52" s="699"/>
    </row>
    <row r="53" spans="1:20">
      <c r="F53" s="699"/>
      <c r="G53" s="699"/>
      <c r="H53" s="699"/>
      <c r="I53" s="699"/>
      <c r="J53" s="699"/>
      <c r="K53" s="699"/>
      <c r="L53" s="699"/>
      <c r="M53" s="702"/>
      <c r="N53" s="702"/>
      <c r="O53" s="699" t="s">
        <v>1991</v>
      </c>
      <c r="P53" s="699">
        <v>204497</v>
      </c>
      <c r="Q53" s="699">
        <v>68558</v>
      </c>
      <c r="R53" s="699">
        <f t="shared" si="1"/>
        <v>273055</v>
      </c>
      <c r="S53" s="699"/>
      <c r="T53" s="699"/>
    </row>
    <row r="54" spans="1:20">
      <c r="F54" s="699"/>
      <c r="G54" s="699"/>
      <c r="H54" s="699"/>
      <c r="I54" s="699"/>
      <c r="J54" s="699"/>
      <c r="K54" s="699"/>
      <c r="L54" s="699"/>
      <c r="M54" s="702"/>
      <c r="N54" s="702"/>
      <c r="O54" s="699" t="s">
        <v>1990</v>
      </c>
      <c r="P54" s="699">
        <v>204302</v>
      </c>
      <c r="Q54" s="699">
        <v>68522</v>
      </c>
      <c r="R54" s="699">
        <f t="shared" si="1"/>
        <v>272824</v>
      </c>
      <c r="S54" s="699"/>
      <c r="T54" s="699"/>
    </row>
    <row r="55" spans="1:20">
      <c r="F55" s="699"/>
      <c r="G55" s="699"/>
      <c r="H55" s="699"/>
      <c r="I55" s="699"/>
      <c r="J55" s="699"/>
      <c r="K55" s="699"/>
      <c r="L55" s="699"/>
      <c r="M55" s="702"/>
      <c r="N55" s="702"/>
      <c r="O55" s="699" t="s">
        <v>1989</v>
      </c>
      <c r="P55" s="699">
        <v>203865</v>
      </c>
      <c r="Q55" s="699">
        <v>68384</v>
      </c>
      <c r="R55" s="699">
        <f t="shared" si="1"/>
        <v>272249</v>
      </c>
      <c r="S55" s="699"/>
      <c r="T55" s="699"/>
    </row>
    <row r="56" spans="1:20">
      <c r="F56" s="699"/>
      <c r="G56" s="699"/>
      <c r="H56" s="699"/>
      <c r="I56" s="699"/>
      <c r="J56" s="699"/>
      <c r="K56" s="699"/>
      <c r="L56" s="699"/>
      <c r="M56" s="702"/>
      <c r="N56" s="702"/>
      <c r="O56" s="699" t="s">
        <v>1988</v>
      </c>
      <c r="P56" s="699">
        <v>203684</v>
      </c>
      <c r="Q56" s="699">
        <v>68317</v>
      </c>
      <c r="R56" s="699">
        <f t="shared" si="1"/>
        <v>272001</v>
      </c>
      <c r="S56" s="699"/>
      <c r="T56" s="699"/>
    </row>
    <row r="57" spans="1:20">
      <c r="F57" s="699"/>
      <c r="G57" s="699"/>
      <c r="H57" s="699"/>
      <c r="I57" s="699"/>
      <c r="J57" s="699"/>
      <c r="K57" s="699"/>
      <c r="L57" s="699"/>
      <c r="M57" s="702"/>
      <c r="N57" s="702"/>
      <c r="O57" s="699" t="s">
        <v>1987</v>
      </c>
      <c r="P57" s="699">
        <v>203821</v>
      </c>
      <c r="Q57" s="699">
        <v>68375</v>
      </c>
      <c r="R57" s="699">
        <f t="shared" si="1"/>
        <v>272196</v>
      </c>
      <c r="S57" s="699"/>
      <c r="T57" s="699"/>
    </row>
    <row r="58" spans="1:20">
      <c r="F58" s="699"/>
      <c r="G58" s="699"/>
      <c r="H58" s="699"/>
      <c r="I58" s="699"/>
      <c r="J58" s="699"/>
      <c r="K58" s="699"/>
      <c r="L58" s="699"/>
      <c r="M58" s="702"/>
      <c r="N58" s="702"/>
      <c r="O58" s="699" t="s">
        <v>1986</v>
      </c>
      <c r="P58" s="699">
        <v>204398</v>
      </c>
      <c r="Q58" s="699">
        <v>68614</v>
      </c>
      <c r="R58" s="699">
        <f t="shared" si="1"/>
        <v>273012</v>
      </c>
      <c r="S58" s="699"/>
      <c r="T58" s="699"/>
    </row>
    <row r="59" spans="1:20">
      <c r="F59" s="699"/>
      <c r="G59" s="699"/>
      <c r="H59" s="699"/>
      <c r="I59" s="699"/>
      <c r="J59" s="699"/>
      <c r="K59" s="699"/>
      <c r="L59" s="699"/>
      <c r="M59" s="702"/>
      <c r="N59" s="702"/>
      <c r="O59" s="699" t="s">
        <v>1985</v>
      </c>
      <c r="P59" s="699">
        <v>205350</v>
      </c>
      <c r="Q59" s="699">
        <v>69045</v>
      </c>
      <c r="R59" s="699">
        <f t="shared" si="1"/>
        <v>274395</v>
      </c>
      <c r="S59" s="699"/>
      <c r="T59" s="699"/>
    </row>
    <row r="60" spans="1:20">
      <c r="F60" s="699"/>
      <c r="G60" s="699"/>
      <c r="H60" s="699"/>
      <c r="I60" s="699"/>
      <c r="J60" s="699"/>
      <c r="K60" s="699"/>
      <c r="L60" s="699"/>
      <c r="M60" s="702"/>
      <c r="N60" s="702"/>
      <c r="O60" s="699" t="s">
        <v>1984</v>
      </c>
      <c r="P60" s="699">
        <v>206666</v>
      </c>
      <c r="Q60" s="699">
        <v>69601</v>
      </c>
      <c r="R60" s="699">
        <f t="shared" si="1"/>
        <v>276267</v>
      </c>
      <c r="S60" s="699"/>
      <c r="T60" s="699"/>
    </row>
    <row r="61" spans="1:20">
      <c r="F61" s="699"/>
      <c r="G61" s="699"/>
      <c r="H61" s="699"/>
      <c r="I61" s="699"/>
      <c r="J61" s="699"/>
      <c r="K61" s="699"/>
      <c r="L61" s="699"/>
      <c r="M61" s="702"/>
      <c r="N61" s="702"/>
      <c r="O61" s="699" t="s">
        <v>1983</v>
      </c>
      <c r="P61" s="701">
        <v>207363</v>
      </c>
      <c r="Q61" s="701">
        <v>69868</v>
      </c>
      <c r="R61" s="699">
        <f t="shared" si="1"/>
        <v>277231</v>
      </c>
      <c r="S61" s="699"/>
      <c r="T61" s="699"/>
    </row>
    <row r="62" spans="1:20">
      <c r="F62" s="699"/>
      <c r="G62" s="699"/>
      <c r="H62" s="699"/>
      <c r="I62" s="699"/>
      <c r="J62" s="699"/>
      <c r="K62" s="699"/>
      <c r="L62" s="699"/>
      <c r="M62" s="699"/>
      <c r="N62" s="699"/>
      <c r="O62" s="699" t="s">
        <v>1982</v>
      </c>
      <c r="P62" s="699">
        <f>AVERAGE(P50:P61)</f>
        <v>204867.66666666666</v>
      </c>
      <c r="Q62" s="699">
        <f>AVERAGE(Q50:Q61)</f>
        <v>68732.416666666672</v>
      </c>
      <c r="R62" s="699"/>
      <c r="S62" s="699"/>
      <c r="T62" s="699"/>
    </row>
    <row r="63" spans="1:20">
      <c r="F63" s="699"/>
      <c r="G63" s="699"/>
      <c r="H63" s="699"/>
      <c r="I63" s="699"/>
      <c r="J63" s="699"/>
      <c r="K63" s="699"/>
      <c r="L63" s="699"/>
      <c r="M63" s="699"/>
      <c r="N63" s="699"/>
      <c r="O63" s="699"/>
      <c r="P63" s="700"/>
      <c r="Q63" s="700"/>
      <c r="R63" s="699"/>
      <c r="S63" s="699"/>
      <c r="T63" s="699"/>
    </row>
    <row r="64" spans="1:20">
      <c r="F64" s="699"/>
      <c r="G64" s="699"/>
      <c r="H64" s="699"/>
      <c r="I64" s="699"/>
      <c r="J64" s="699"/>
      <c r="K64" s="699"/>
      <c r="L64" s="699"/>
      <c r="M64" s="699"/>
      <c r="N64" s="699"/>
      <c r="O64" s="699"/>
      <c r="P64" s="699"/>
      <c r="Q64" s="699"/>
      <c r="R64" s="699"/>
      <c r="S64" s="699"/>
      <c r="T64" s="699"/>
    </row>
    <row r="65" spans="6:20">
      <c r="F65" s="699"/>
      <c r="G65" s="699"/>
      <c r="H65" s="699"/>
      <c r="I65" s="699"/>
      <c r="J65" s="699"/>
      <c r="K65" s="699"/>
      <c r="L65" s="699"/>
      <c r="M65" s="699"/>
      <c r="N65" s="699"/>
      <c r="O65" s="699"/>
      <c r="P65" s="699"/>
      <c r="Q65" s="699"/>
      <c r="R65" s="699"/>
      <c r="S65" s="699"/>
      <c r="T65" s="699"/>
    </row>
    <row r="66" spans="6:20">
      <c r="F66" s="699"/>
      <c r="G66" s="699"/>
      <c r="H66" s="699"/>
      <c r="I66" s="699"/>
      <c r="J66" s="699"/>
      <c r="K66" s="699"/>
      <c r="L66" s="699"/>
      <c r="M66" s="699"/>
      <c r="N66" s="699"/>
      <c r="O66" s="699"/>
      <c r="P66" s="699"/>
      <c r="Q66" s="699"/>
      <c r="R66" s="699"/>
      <c r="S66" s="699"/>
      <c r="T66" s="699"/>
    </row>
    <row r="67" spans="6:20">
      <c r="F67" s="699"/>
      <c r="G67" s="699"/>
      <c r="H67" s="699"/>
      <c r="I67" s="699"/>
      <c r="J67" s="699"/>
      <c r="K67" s="699"/>
      <c r="L67" s="699"/>
      <c r="M67" s="699"/>
      <c r="N67" s="699"/>
      <c r="O67" s="699"/>
      <c r="P67" s="699"/>
      <c r="Q67" s="699"/>
      <c r="R67" s="699"/>
      <c r="S67" s="699"/>
      <c r="T67" s="699"/>
    </row>
    <row r="68" spans="6:20">
      <c r="F68" s="699"/>
      <c r="G68" s="699"/>
      <c r="H68" s="699"/>
      <c r="I68" s="699"/>
      <c r="J68" s="699"/>
      <c r="K68" s="699"/>
      <c r="L68" s="699"/>
      <c r="M68" s="699"/>
      <c r="N68" s="699"/>
      <c r="O68" s="699"/>
      <c r="P68" s="699"/>
      <c r="Q68" s="699"/>
      <c r="R68" s="699"/>
      <c r="S68" s="699"/>
      <c r="T68" s="699"/>
    </row>
    <row r="69" spans="6:20">
      <c r="F69" s="699"/>
      <c r="G69" s="699"/>
      <c r="H69" s="699"/>
      <c r="I69" s="699"/>
      <c r="J69" s="699"/>
      <c r="K69" s="699"/>
      <c r="L69" s="699"/>
      <c r="M69" s="699"/>
      <c r="N69" s="699"/>
      <c r="O69" s="699"/>
      <c r="P69" s="699"/>
      <c r="Q69" s="699"/>
      <c r="R69" s="699"/>
      <c r="S69" s="699"/>
      <c r="T69" s="699"/>
    </row>
    <row r="70" spans="6:20">
      <c r="F70" s="699"/>
      <c r="G70" s="699"/>
      <c r="H70" s="699"/>
      <c r="I70" s="699"/>
      <c r="J70" s="699"/>
      <c r="K70" s="699"/>
      <c r="L70" s="699"/>
      <c r="M70" s="699"/>
      <c r="N70" s="699"/>
      <c r="O70" s="699"/>
      <c r="P70" s="699"/>
      <c r="Q70" s="699"/>
      <c r="R70" s="699"/>
      <c r="S70" s="699"/>
      <c r="T70" s="699"/>
    </row>
    <row r="71" spans="6:20">
      <c r="F71" s="699"/>
      <c r="G71" s="699"/>
      <c r="H71" s="699"/>
      <c r="I71" s="699"/>
      <c r="J71" s="699"/>
      <c r="K71" s="699"/>
      <c r="L71" s="699"/>
      <c r="M71" s="699"/>
      <c r="N71" s="699"/>
      <c r="O71" s="699"/>
      <c r="P71" s="699"/>
      <c r="Q71" s="699"/>
      <c r="R71" s="699"/>
      <c r="S71" s="699"/>
      <c r="T71" s="699"/>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workbookViewId="0">
      <selection activeCell="A3" sqref="A3:H3"/>
    </sheetView>
  </sheetViews>
  <sheetFormatPr defaultRowHeight="15.75"/>
  <cols>
    <col min="1" max="16384" width="9.140625" style="6"/>
  </cols>
  <sheetData>
    <row r="1" spans="1:10">
      <c r="A1" s="1039" t="s">
        <v>60</v>
      </c>
      <c r="B1" s="1039"/>
      <c r="C1" s="1039"/>
      <c r="D1" s="1039"/>
      <c r="E1" s="1039"/>
      <c r="F1" s="1039"/>
      <c r="G1" s="1039"/>
      <c r="H1" s="1039"/>
      <c r="I1" s="1039"/>
    </row>
    <row r="2" spans="1:10">
      <c r="A2" s="1039" t="s">
        <v>1588</v>
      </c>
      <c r="B2" s="1039"/>
      <c r="C2" s="1039"/>
      <c r="D2" s="1039"/>
      <c r="E2" s="1039"/>
      <c r="F2" s="1039"/>
      <c r="G2" s="1039"/>
      <c r="H2" s="1039"/>
      <c r="I2" s="1039"/>
    </row>
    <row r="3" spans="1:10">
      <c r="A3" s="1039" t="s">
        <v>1591</v>
      </c>
      <c r="B3" s="1039"/>
      <c r="C3" s="1039"/>
      <c r="D3" s="1039"/>
      <c r="E3" s="1039"/>
      <c r="F3" s="1039"/>
      <c r="G3" s="1039"/>
      <c r="H3" s="1039"/>
      <c r="I3" s="1039"/>
    </row>
    <row r="4" spans="1:10">
      <c r="A4" s="1039"/>
      <c r="B4" s="1039"/>
      <c r="C4" s="1039"/>
      <c r="D4" s="1039"/>
      <c r="E4" s="1039"/>
      <c r="F4" s="1039"/>
      <c r="G4" s="1039"/>
      <c r="H4" s="1039"/>
      <c r="I4" s="1039"/>
    </row>
    <row r="5" spans="1:10">
      <c r="A5" s="1039"/>
      <c r="B5" s="1039"/>
      <c r="C5" s="1039"/>
      <c r="D5" s="1039"/>
      <c r="E5" s="1039"/>
      <c r="F5" s="1039"/>
      <c r="G5" s="1039"/>
      <c r="H5" s="1039"/>
      <c r="I5" s="1039"/>
    </row>
    <row r="10" spans="1:10">
      <c r="G10" s="19"/>
    </row>
    <row r="13" spans="1:10">
      <c r="A13" s="1045" t="s">
        <v>1610</v>
      </c>
      <c r="B13" s="1045"/>
      <c r="C13" s="1045"/>
      <c r="D13" s="1045"/>
      <c r="E13" s="1045"/>
      <c r="F13" s="1045"/>
      <c r="G13" s="1045"/>
      <c r="H13" s="1045"/>
      <c r="I13" s="1045"/>
      <c r="J13" s="1045"/>
    </row>
    <row r="36" spans="4:4">
      <c r="D36" s="3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2:K47"/>
  <sheetViews>
    <sheetView view="pageBreakPreview" topLeftCell="A4" zoomScale="80" zoomScaleNormal="100" zoomScaleSheetLayoutView="80" workbookViewId="0">
      <selection activeCell="A3" sqref="A3:H3"/>
    </sheetView>
  </sheetViews>
  <sheetFormatPr defaultRowHeight="15.75"/>
  <cols>
    <col min="1" max="1" width="9.28515625" style="6" bestFit="1" customWidth="1"/>
    <col min="2" max="2" width="32.85546875" style="6" customWidth="1"/>
    <col min="3" max="3" width="2.42578125" style="6" customWidth="1"/>
    <col min="4" max="4" width="14" style="6" bestFit="1" customWidth="1"/>
    <col min="5" max="5" width="18.140625" style="6" bestFit="1" customWidth="1"/>
    <col min="6" max="6" width="14" style="6" bestFit="1" customWidth="1"/>
    <col min="7" max="7" width="2.28515625" style="6" customWidth="1"/>
    <col min="8" max="8" width="12.7109375" style="6" bestFit="1" customWidth="1"/>
    <col min="9" max="10" width="9.140625" style="6"/>
    <col min="11" max="11" width="14.28515625" style="6" bestFit="1" customWidth="1"/>
    <col min="12" max="16384" width="9.140625" style="6"/>
  </cols>
  <sheetData>
    <row r="2" spans="1:11">
      <c r="A2" s="1"/>
      <c r="B2" s="1039" t="s">
        <v>60</v>
      </c>
      <c r="C2" s="1039"/>
      <c r="D2" s="1039"/>
      <c r="E2" s="1039"/>
      <c r="F2" s="1039"/>
      <c r="G2" s="1039"/>
      <c r="H2" s="1039"/>
      <c r="I2" s="5"/>
      <c r="J2" s="5"/>
    </row>
    <row r="3" spans="1:11">
      <c r="A3" s="497"/>
      <c r="B3" s="1039" t="s">
        <v>1588</v>
      </c>
      <c r="C3" s="1039"/>
      <c r="D3" s="1039"/>
      <c r="E3" s="1039"/>
      <c r="F3" s="1039"/>
      <c r="G3" s="1039"/>
      <c r="H3" s="1039"/>
      <c r="I3" s="5"/>
      <c r="J3" s="5"/>
    </row>
    <row r="4" spans="1:11">
      <c r="A4" s="1"/>
      <c r="B4" s="1039" t="s">
        <v>1601</v>
      </c>
      <c r="C4" s="1039"/>
      <c r="D4" s="1039"/>
      <c r="E4" s="1039"/>
      <c r="F4" s="1039"/>
      <c r="G4" s="1039"/>
      <c r="H4" s="1039"/>
      <c r="I4" s="5"/>
      <c r="J4" s="5"/>
    </row>
    <row r="5" spans="1:11">
      <c r="A5" s="498"/>
      <c r="B5" s="1039" t="s">
        <v>1613</v>
      </c>
      <c r="C5" s="1039"/>
      <c r="D5" s="1039"/>
      <c r="E5" s="1039"/>
      <c r="F5" s="1039"/>
      <c r="G5" s="1039"/>
      <c r="H5" s="1039"/>
      <c r="I5" s="5"/>
      <c r="J5" s="5"/>
    </row>
    <row r="6" spans="1:11">
      <c r="A6" s="498"/>
      <c r="B6" s="1039" t="s">
        <v>906</v>
      </c>
      <c r="C6" s="1039"/>
      <c r="D6" s="1039"/>
      <c r="E6" s="1039"/>
      <c r="F6" s="1039"/>
      <c r="G6" s="1039"/>
      <c r="H6" s="1039"/>
      <c r="I6" s="5"/>
      <c r="J6" s="5"/>
    </row>
    <row r="7" spans="1:11">
      <c r="A7" s="498"/>
      <c r="B7" s="34"/>
      <c r="C7" s="34"/>
      <c r="D7" s="34"/>
      <c r="E7" s="34"/>
      <c r="F7" s="34"/>
      <c r="H7" s="34"/>
      <c r="I7" s="5"/>
      <c r="J7" s="5"/>
    </row>
    <row r="8" spans="1:11" s="8" customFormat="1">
      <c r="A8" s="33"/>
      <c r="B8" s="33" t="s">
        <v>1629</v>
      </c>
      <c r="C8" s="33"/>
      <c r="D8" s="499" t="s">
        <v>1627</v>
      </c>
      <c r="E8" s="33" t="s">
        <v>1628</v>
      </c>
      <c r="F8" s="500" t="s">
        <v>1631</v>
      </c>
      <c r="H8" s="33" t="s">
        <v>1632</v>
      </c>
    </row>
    <row r="9" spans="1:11" ht="47.25">
      <c r="A9" s="501" t="s">
        <v>812</v>
      </c>
      <c r="B9" s="502" t="s">
        <v>377</v>
      </c>
      <c r="C9" s="503"/>
      <c r="D9" s="504" t="s">
        <v>2028</v>
      </c>
      <c r="E9" s="505" t="s">
        <v>1634</v>
      </c>
      <c r="F9" s="504" t="s">
        <v>1633</v>
      </c>
      <c r="H9" s="27" t="s">
        <v>1624</v>
      </c>
    </row>
    <row r="10" spans="1:11">
      <c r="A10" s="506"/>
      <c r="B10" s="506"/>
      <c r="C10" s="506"/>
      <c r="D10" s="504"/>
      <c r="E10" s="506"/>
      <c r="F10" s="507"/>
    </row>
    <row r="11" spans="1:11">
      <c r="A11" s="33"/>
      <c r="B11" s="501" t="s">
        <v>814</v>
      </c>
      <c r="C11" s="384"/>
      <c r="D11" s="508"/>
      <c r="E11" s="506"/>
      <c r="F11" s="507"/>
    </row>
    <row r="12" spans="1:11">
      <c r="A12" s="33">
        <v>1</v>
      </c>
      <c r="B12" s="506" t="s">
        <v>815</v>
      </c>
      <c r="C12" s="506"/>
      <c r="D12" s="509">
        <f>+D26+0.29484</f>
        <v>0.79052999999999995</v>
      </c>
      <c r="E12" s="510">
        <f>+F42</f>
        <v>13351163</v>
      </c>
      <c r="F12" s="507">
        <f>ROUND(E12*D12,2)</f>
        <v>10554494.890000001</v>
      </c>
      <c r="H12" s="511">
        <f>+F12-F26</f>
        <v>3936456.9000000004</v>
      </c>
      <c r="I12" s="30"/>
      <c r="K12" s="91"/>
    </row>
    <row r="13" spans="1:11">
      <c r="A13" s="506"/>
      <c r="B13" s="506"/>
      <c r="C13" s="506"/>
      <c r="D13" s="508"/>
      <c r="E13" s="506"/>
      <c r="F13" s="507"/>
      <c r="H13" s="30"/>
      <c r="I13" s="30"/>
    </row>
    <row r="14" spans="1:11">
      <c r="A14" s="506"/>
      <c r="B14" s="501" t="s">
        <v>816</v>
      </c>
      <c r="C14" s="506"/>
      <c r="D14" s="508"/>
      <c r="E14" s="506"/>
      <c r="F14" s="507"/>
      <c r="H14" s="30"/>
      <c r="I14" s="30"/>
    </row>
    <row r="15" spans="1:11">
      <c r="A15" s="33">
        <v>2</v>
      </c>
      <c r="B15" s="506" t="s">
        <v>817</v>
      </c>
      <c r="C15" s="506"/>
      <c r="D15" s="509">
        <f>+D29+0.24608</f>
        <v>0.73912</v>
      </c>
      <c r="E15" s="510">
        <f>+F43</f>
        <v>5593392</v>
      </c>
      <c r="F15" s="512">
        <f>ROUND(E15*D15,2)</f>
        <v>4134187.9</v>
      </c>
      <c r="H15" s="511">
        <f>+F15-F29</f>
        <v>1376421.9099999997</v>
      </c>
      <c r="I15" s="30"/>
    </row>
    <row r="16" spans="1:11">
      <c r="A16" s="33"/>
      <c r="B16" s="506"/>
      <c r="C16" s="506"/>
      <c r="D16" s="509"/>
      <c r="E16" s="510"/>
      <c r="F16" s="512"/>
      <c r="H16" s="511"/>
      <c r="I16" s="30"/>
    </row>
    <row r="17" spans="1:9">
      <c r="A17" s="33"/>
      <c r="B17" s="501" t="s">
        <v>1916</v>
      </c>
      <c r="C17" s="506"/>
      <c r="D17" s="509"/>
      <c r="E17" s="510"/>
      <c r="F17" s="512"/>
      <c r="H17" s="511"/>
      <c r="I17" s="30"/>
    </row>
    <row r="18" spans="1:9">
      <c r="A18" s="33">
        <v>3</v>
      </c>
      <c r="B18" s="506" t="s">
        <v>1635</v>
      </c>
      <c r="C18" s="506"/>
      <c r="D18" s="509">
        <f>+D32+0.1462</f>
        <v>0.62613000000000008</v>
      </c>
      <c r="E18" s="513">
        <f>+F44</f>
        <v>593880</v>
      </c>
      <c r="F18" s="507">
        <f>+D18*E18</f>
        <v>371846.08440000005</v>
      </c>
      <c r="H18" s="511">
        <f>+F18-F32</f>
        <v>86825.256000000052</v>
      </c>
      <c r="I18" s="30"/>
    </row>
    <row r="19" spans="1:9">
      <c r="A19" s="33">
        <v>4</v>
      </c>
      <c r="B19" s="506" t="s">
        <v>1636</v>
      </c>
      <c r="C19" s="506"/>
      <c r="D19" s="509">
        <f>+D35+0.02541</f>
        <v>0.50534000000000001</v>
      </c>
      <c r="E19" s="513">
        <f>+F45</f>
        <v>814309</v>
      </c>
      <c r="F19" s="507">
        <f>+D19*E19</f>
        <v>411502.91006000002</v>
      </c>
      <c r="H19" s="511">
        <f>+F19-F35</f>
        <v>20691.59169000003</v>
      </c>
      <c r="I19" s="30"/>
    </row>
    <row r="20" spans="1:9">
      <c r="A20" s="506"/>
      <c r="B20" s="506"/>
      <c r="C20" s="506"/>
      <c r="D20" s="509"/>
      <c r="E20" s="513"/>
      <c r="F20" s="507"/>
      <c r="H20" s="511"/>
      <c r="I20" s="30"/>
    </row>
    <row r="21" spans="1:9" ht="16.5" thickBot="1">
      <c r="A21" s="33">
        <v>5</v>
      </c>
      <c r="B21" s="514" t="s">
        <v>808</v>
      </c>
      <c r="C21" s="515"/>
      <c r="D21" s="516"/>
      <c r="E21" s="517">
        <f>SUM(E12:E19)</f>
        <v>20352744</v>
      </c>
      <c r="F21" s="518">
        <f>SUM(F12:F19)</f>
        <v>15472031.784460001</v>
      </c>
      <c r="H21" s="519">
        <f>+H15+H19+H18+H12</f>
        <v>5420395.6576899998</v>
      </c>
      <c r="I21" s="30"/>
    </row>
    <row r="22" spans="1:9" ht="16.5" thickTop="1">
      <c r="A22" s="506"/>
      <c r="B22" s="506"/>
      <c r="C22" s="506"/>
      <c r="D22" s="508"/>
      <c r="E22" s="506"/>
      <c r="F22" s="507"/>
      <c r="H22" s="30"/>
      <c r="I22" s="30"/>
    </row>
    <row r="23" spans="1:9">
      <c r="A23" s="506"/>
      <c r="B23" s="501" t="s">
        <v>818</v>
      </c>
      <c r="C23" s="506"/>
      <c r="D23" s="508"/>
      <c r="E23" s="506"/>
      <c r="F23" s="507"/>
      <c r="H23" s="30"/>
      <c r="I23" s="30"/>
    </row>
    <row r="24" spans="1:9">
      <c r="A24" s="506"/>
      <c r="B24" s="506" t="s">
        <v>2033</v>
      </c>
      <c r="C24" s="506"/>
      <c r="D24" s="508"/>
      <c r="E24" s="506"/>
      <c r="F24" s="507"/>
      <c r="H24" s="30"/>
      <c r="I24" s="30"/>
    </row>
    <row r="25" spans="1:9">
      <c r="A25" s="33">
        <v>6</v>
      </c>
      <c r="B25" s="506" t="s">
        <v>1637</v>
      </c>
      <c r="C25" s="506"/>
      <c r="D25" s="508"/>
      <c r="E25" s="506"/>
      <c r="F25" s="507"/>
      <c r="H25" s="30"/>
      <c r="I25" s="30"/>
    </row>
    <row r="26" spans="1:9">
      <c r="A26" s="33">
        <v>7</v>
      </c>
      <c r="B26" s="506" t="s">
        <v>819</v>
      </c>
      <c r="C26" s="506"/>
      <c r="D26" s="509">
        <v>0.49569000000000002</v>
      </c>
      <c r="E26" s="510">
        <f>+F42</f>
        <v>13351163</v>
      </c>
      <c r="F26" s="512">
        <f>ROUND(D26*E26,2)</f>
        <v>6618037.9900000002</v>
      </c>
    </row>
    <row r="27" spans="1:9">
      <c r="A27" s="506"/>
      <c r="B27" s="506"/>
      <c r="C27" s="506"/>
      <c r="D27" s="508"/>
      <c r="E27" s="506"/>
      <c r="F27" s="512"/>
    </row>
    <row r="28" spans="1:9">
      <c r="A28" s="33">
        <v>8</v>
      </c>
      <c r="B28" s="506" t="s">
        <v>1638</v>
      </c>
      <c r="C28" s="506"/>
      <c r="D28" s="508"/>
      <c r="E28" s="506"/>
      <c r="F28" s="512"/>
    </row>
    <row r="29" spans="1:9">
      <c r="A29" s="33">
        <v>9</v>
      </c>
      <c r="B29" s="506" t="s">
        <v>819</v>
      </c>
      <c r="C29" s="506"/>
      <c r="D29" s="509">
        <v>0.49303999999999998</v>
      </c>
      <c r="E29" s="520">
        <f>+F43</f>
        <v>5593392</v>
      </c>
      <c r="F29" s="512">
        <f>ROUND(D29*E29,2)</f>
        <v>2757765.99</v>
      </c>
    </row>
    <row r="30" spans="1:9">
      <c r="A30" s="33"/>
      <c r="B30" s="506"/>
      <c r="C30" s="506"/>
      <c r="D30" s="509"/>
      <c r="E30" s="520"/>
      <c r="F30" s="512"/>
    </row>
    <row r="31" spans="1:9">
      <c r="A31" s="33">
        <v>10</v>
      </c>
      <c r="B31" s="506" t="s">
        <v>1639</v>
      </c>
      <c r="C31" s="506"/>
      <c r="D31" s="509"/>
      <c r="E31" s="520"/>
      <c r="F31" s="512"/>
    </row>
    <row r="32" spans="1:9">
      <c r="A32" s="33">
        <v>11</v>
      </c>
      <c r="B32" s="506" t="s">
        <v>819</v>
      </c>
      <c r="C32" s="506"/>
      <c r="D32" s="509">
        <v>0.47993000000000002</v>
      </c>
      <c r="E32" s="520">
        <f>+F44</f>
        <v>593880</v>
      </c>
      <c r="F32" s="512">
        <f>+D32*E32</f>
        <v>285020.8284</v>
      </c>
    </row>
    <row r="33" spans="1:6">
      <c r="A33" s="33"/>
      <c r="B33" s="506"/>
      <c r="C33" s="506"/>
      <c r="D33" s="509"/>
      <c r="E33" s="520"/>
      <c r="F33" s="512"/>
    </row>
    <row r="34" spans="1:6">
      <c r="A34" s="33">
        <v>12</v>
      </c>
      <c r="B34" s="506" t="s">
        <v>1640</v>
      </c>
      <c r="C34" s="506"/>
      <c r="D34" s="509"/>
      <c r="E34" s="520"/>
      <c r="F34" s="512"/>
    </row>
    <row r="35" spans="1:6">
      <c r="A35" s="33">
        <v>13</v>
      </c>
      <c r="B35" s="506" t="s">
        <v>819</v>
      </c>
      <c r="C35" s="506"/>
      <c r="D35" s="509">
        <v>0.47993000000000002</v>
      </c>
      <c r="E35" s="520">
        <f>+E19</f>
        <v>814309</v>
      </c>
      <c r="F35" s="512">
        <f>+D35*E35</f>
        <v>390811.31836999999</v>
      </c>
    </row>
    <row r="36" spans="1:6">
      <c r="A36" s="33"/>
      <c r="B36" s="506"/>
      <c r="C36" s="506"/>
      <c r="D36" s="509"/>
      <c r="E36" s="520"/>
      <c r="F36" s="512"/>
    </row>
    <row r="37" spans="1:6" ht="16.5" thickBot="1">
      <c r="A37" s="33">
        <v>14</v>
      </c>
      <c r="B37" s="506" t="s">
        <v>808</v>
      </c>
      <c r="C37" s="506"/>
      <c r="D37" s="506"/>
      <c r="E37" s="521">
        <f>SUM(E26:E35)</f>
        <v>20352744</v>
      </c>
      <c r="F37" s="522">
        <f>SUM(F26:F35)</f>
        <v>10051636.126770001</v>
      </c>
    </row>
    <row r="38" spans="1:6" ht="16.5" thickTop="1">
      <c r="A38" s="33">
        <v>15</v>
      </c>
      <c r="D38" s="8" t="s">
        <v>1057</v>
      </c>
      <c r="E38" s="8" t="s">
        <v>1918</v>
      </c>
      <c r="F38" s="524" t="s">
        <v>1919</v>
      </c>
    </row>
    <row r="39" spans="1:6">
      <c r="A39" s="33">
        <v>16</v>
      </c>
      <c r="D39" s="8" t="s">
        <v>1058</v>
      </c>
      <c r="E39" s="8" t="s">
        <v>1917</v>
      </c>
      <c r="F39" s="524" t="s">
        <v>1920</v>
      </c>
    </row>
    <row r="40" spans="1:6">
      <c r="A40" s="33">
        <v>17</v>
      </c>
      <c r="D40" s="8" t="s">
        <v>1917</v>
      </c>
      <c r="E40" s="8"/>
      <c r="F40" s="8" t="s">
        <v>62</v>
      </c>
    </row>
    <row r="41" spans="1:6">
      <c r="A41" s="33">
        <v>18</v>
      </c>
      <c r="D41" s="462" t="s">
        <v>1914</v>
      </c>
      <c r="E41" s="525" t="s">
        <v>1915</v>
      </c>
      <c r="F41" s="526"/>
    </row>
    <row r="42" spans="1:6">
      <c r="A42" s="33">
        <v>19</v>
      </c>
      <c r="B42" s="506" t="s">
        <v>815</v>
      </c>
      <c r="D42" s="527">
        <v>120189407</v>
      </c>
      <c r="E42" s="528">
        <f>77646605+29191639</f>
        <v>106838244</v>
      </c>
      <c r="F42" s="528">
        <f>+D42-E42</f>
        <v>13351163</v>
      </c>
    </row>
    <row r="43" spans="1:6">
      <c r="A43" s="33">
        <v>20</v>
      </c>
      <c r="B43" s="506" t="s">
        <v>817</v>
      </c>
      <c r="D43" s="527">
        <v>81344242</v>
      </c>
      <c r="E43" s="528">
        <f>55961538+19789312</f>
        <v>75750850</v>
      </c>
      <c r="F43" s="528">
        <f t="shared" ref="F43:F45" si="0">+D43-E43</f>
        <v>5593392</v>
      </c>
    </row>
    <row r="44" spans="1:6">
      <c r="A44" s="33">
        <v>21</v>
      </c>
      <c r="B44" s="506" t="s">
        <v>1635</v>
      </c>
      <c r="D44" s="527">
        <v>11417671</v>
      </c>
      <c r="E44" s="528">
        <f>1521701+4967619+4334471</f>
        <v>10823791</v>
      </c>
      <c r="F44" s="528">
        <f t="shared" si="0"/>
        <v>593880</v>
      </c>
    </row>
    <row r="45" spans="1:6">
      <c r="A45" s="33">
        <v>22</v>
      </c>
      <c r="B45" s="506" t="s">
        <v>1636</v>
      </c>
      <c r="D45" s="527">
        <v>11107096</v>
      </c>
      <c r="E45" s="528">
        <f>7195184+2872027+225576</f>
        <v>10292787</v>
      </c>
      <c r="F45" s="528">
        <f t="shared" si="0"/>
        <v>814309</v>
      </c>
    </row>
    <row r="46" spans="1:6">
      <c r="F46" s="529">
        <f>SUM(F42:F45)</f>
        <v>20352744</v>
      </c>
    </row>
    <row r="47" spans="1:6">
      <c r="D47" s="6" t="s">
        <v>56</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G75"/>
  <sheetViews>
    <sheetView showGridLines="0" view="pageBreakPreview" zoomScale="60" zoomScaleNormal="100" workbookViewId="0">
      <selection activeCell="A3" sqref="A3:H3"/>
    </sheetView>
  </sheetViews>
  <sheetFormatPr defaultRowHeight="15.75"/>
  <cols>
    <col min="1" max="1" width="9.28515625" style="8" bestFit="1" customWidth="1"/>
    <col min="2" max="2" width="35.42578125" style="6" bestFit="1" customWidth="1"/>
    <col min="3" max="3" width="32.5703125" style="6" bestFit="1" customWidth="1"/>
    <col min="4" max="5" width="14" style="6" bestFit="1" customWidth="1"/>
    <col min="6" max="6" width="14.42578125" style="6" bestFit="1" customWidth="1"/>
    <col min="7" max="7" width="5.85546875" style="6" bestFit="1" customWidth="1"/>
    <col min="8" max="16384" width="9.140625" style="6"/>
  </cols>
  <sheetData>
    <row r="1" spans="1:7">
      <c r="B1" s="1079" t="s">
        <v>60</v>
      </c>
      <c r="C1" s="1079"/>
      <c r="D1" s="1079"/>
      <c r="E1" s="1079"/>
      <c r="F1" s="1079"/>
      <c r="G1" s="1079"/>
    </row>
    <row r="2" spans="1:7">
      <c r="B2" s="36"/>
      <c r="C2" s="36" t="s">
        <v>912</v>
      </c>
      <c r="D2" s="36"/>
      <c r="E2" s="36"/>
      <c r="F2" s="36"/>
      <c r="G2" s="36"/>
    </row>
    <row r="3" spans="1:7">
      <c r="B3" s="36"/>
      <c r="C3" s="36" t="s">
        <v>1602</v>
      </c>
      <c r="D3" s="36"/>
      <c r="E3" s="36"/>
      <c r="F3" s="36"/>
      <c r="G3" s="36"/>
    </row>
    <row r="4" spans="1:7">
      <c r="B4" s="1079" t="s">
        <v>83</v>
      </c>
      <c r="C4" s="1079"/>
      <c r="D4" s="1079"/>
      <c r="E4" s="1079"/>
      <c r="F4" s="1079"/>
      <c r="G4" s="1079"/>
    </row>
    <row r="5" spans="1:7">
      <c r="B5" s="1079" t="s">
        <v>906</v>
      </c>
      <c r="C5" s="1079"/>
      <c r="D5" s="1079"/>
      <c r="E5" s="1079"/>
      <c r="F5" s="1079"/>
      <c r="G5" s="1079"/>
    </row>
    <row r="6" spans="1:7">
      <c r="B6" s="39"/>
      <c r="C6" s="39"/>
      <c r="D6" s="39"/>
      <c r="E6" s="39"/>
      <c r="F6" s="39"/>
      <c r="G6" s="39"/>
    </row>
    <row r="7" spans="1:7">
      <c r="B7" s="33" t="s">
        <v>1629</v>
      </c>
      <c r="C7" s="33" t="s">
        <v>1627</v>
      </c>
      <c r="D7" s="33" t="s">
        <v>1628</v>
      </c>
      <c r="E7" s="33" t="s">
        <v>1631</v>
      </c>
      <c r="F7" s="33" t="s">
        <v>1632</v>
      </c>
      <c r="G7" s="2" t="s">
        <v>1641</v>
      </c>
    </row>
    <row r="8" spans="1:7">
      <c r="B8" s="506"/>
      <c r="C8" s="506"/>
      <c r="D8" s="506"/>
      <c r="E8" s="1080" t="s">
        <v>984</v>
      </c>
      <c r="F8" s="506"/>
      <c r="G8" s="506"/>
    </row>
    <row r="9" spans="1:7">
      <c r="A9" s="15" t="s">
        <v>812</v>
      </c>
      <c r="B9" s="506"/>
      <c r="C9" s="506"/>
      <c r="D9" s="33" t="s">
        <v>983</v>
      </c>
      <c r="E9" s="1081"/>
      <c r="F9" s="33" t="s">
        <v>985</v>
      </c>
      <c r="G9" s="506"/>
    </row>
    <row r="10" spans="1:7">
      <c r="A10" s="8">
        <v>1</v>
      </c>
      <c r="B10" s="530" t="s">
        <v>957</v>
      </c>
      <c r="C10" s="531" t="s">
        <v>967</v>
      </c>
      <c r="D10" s="532">
        <v>0.25</v>
      </c>
      <c r="E10" s="532"/>
      <c r="F10" s="532">
        <v>0.25</v>
      </c>
      <c r="G10" s="530">
        <v>913</v>
      </c>
    </row>
    <row r="11" spans="1:7">
      <c r="A11" s="8">
        <v>2</v>
      </c>
      <c r="B11" s="530" t="s">
        <v>958</v>
      </c>
      <c r="C11" s="531" t="s">
        <v>968</v>
      </c>
      <c r="D11" s="532">
        <v>20</v>
      </c>
      <c r="E11" s="532"/>
      <c r="F11" s="532">
        <v>20</v>
      </c>
      <c r="G11" s="530">
        <v>913</v>
      </c>
    </row>
    <row r="12" spans="1:7">
      <c r="A12" s="8">
        <v>3</v>
      </c>
      <c r="B12" s="530" t="s">
        <v>959</v>
      </c>
      <c r="C12" s="531" t="s">
        <v>969</v>
      </c>
      <c r="D12" s="532">
        <v>250</v>
      </c>
      <c r="E12" s="532"/>
      <c r="F12" s="532"/>
      <c r="G12" s="530">
        <v>913</v>
      </c>
    </row>
    <row r="13" spans="1:7">
      <c r="A13" s="8">
        <v>4</v>
      </c>
      <c r="B13" s="530" t="s">
        <v>960</v>
      </c>
      <c r="C13" s="531" t="s">
        <v>970</v>
      </c>
      <c r="D13" s="532">
        <v>200</v>
      </c>
      <c r="E13" s="532"/>
      <c r="F13" s="532"/>
      <c r="G13" s="530">
        <v>913</v>
      </c>
    </row>
    <row r="14" spans="1:7">
      <c r="A14" s="8">
        <v>5</v>
      </c>
      <c r="B14" s="530" t="s">
        <v>961</v>
      </c>
      <c r="C14" s="531" t="s">
        <v>971</v>
      </c>
      <c r="D14" s="532">
        <v>1300</v>
      </c>
      <c r="E14" s="532">
        <v>978.51</v>
      </c>
      <c r="F14" s="532"/>
      <c r="G14" s="530">
        <v>913</v>
      </c>
    </row>
    <row r="15" spans="1:7">
      <c r="A15" s="8">
        <v>6</v>
      </c>
      <c r="B15" s="530" t="s">
        <v>962</v>
      </c>
      <c r="C15" s="531" t="s">
        <v>972</v>
      </c>
      <c r="D15" s="532">
        <v>9.3699999999999992</v>
      </c>
      <c r="E15" s="532">
        <v>7.05</v>
      </c>
      <c r="F15" s="532"/>
      <c r="G15" s="530">
        <v>913</v>
      </c>
    </row>
    <row r="16" spans="1:7">
      <c r="A16" s="8">
        <v>7</v>
      </c>
      <c r="B16" s="530" t="s">
        <v>963</v>
      </c>
      <c r="C16" s="531" t="s">
        <v>973</v>
      </c>
      <c r="D16" s="532">
        <v>1.1299999999999999</v>
      </c>
      <c r="E16" s="532">
        <v>0.85</v>
      </c>
      <c r="F16" s="532"/>
      <c r="G16" s="530">
        <v>913</v>
      </c>
    </row>
    <row r="17" spans="1:7">
      <c r="A17" s="8">
        <v>8</v>
      </c>
      <c r="B17" s="530" t="s">
        <v>964</v>
      </c>
      <c r="C17" s="531" t="s">
        <v>974</v>
      </c>
      <c r="D17" s="532">
        <v>30.6</v>
      </c>
      <c r="E17" s="532">
        <v>23.03</v>
      </c>
      <c r="F17" s="532"/>
      <c r="G17" s="530">
        <v>913</v>
      </c>
    </row>
    <row r="18" spans="1:7">
      <c r="A18" s="8">
        <v>9</v>
      </c>
      <c r="B18" s="530" t="s">
        <v>839</v>
      </c>
      <c r="C18" s="531" t="s">
        <v>975</v>
      </c>
      <c r="D18" s="532">
        <v>875</v>
      </c>
      <c r="E18" s="532">
        <v>658.61</v>
      </c>
      <c r="F18" s="532"/>
      <c r="G18" s="530">
        <v>913</v>
      </c>
    </row>
    <row r="19" spans="1:7">
      <c r="A19" s="8">
        <v>10</v>
      </c>
      <c r="B19" s="530" t="s">
        <v>839</v>
      </c>
      <c r="C19" s="531" t="s">
        <v>976</v>
      </c>
      <c r="D19" s="532">
        <v>537.5</v>
      </c>
      <c r="E19" s="532">
        <v>404.58</v>
      </c>
      <c r="F19" s="532"/>
      <c r="G19" s="530">
        <v>913</v>
      </c>
    </row>
    <row r="20" spans="1:7">
      <c r="A20" s="8">
        <v>11</v>
      </c>
      <c r="B20" s="530" t="s">
        <v>834</v>
      </c>
      <c r="C20" s="531" t="s">
        <v>977</v>
      </c>
      <c r="D20" s="532">
        <v>800</v>
      </c>
      <c r="E20" s="532">
        <v>602.16</v>
      </c>
      <c r="F20" s="532"/>
      <c r="G20" s="530">
        <v>913</v>
      </c>
    </row>
    <row r="21" spans="1:7">
      <c r="A21" s="8">
        <v>12</v>
      </c>
      <c r="B21" s="530" t="s">
        <v>965</v>
      </c>
      <c r="C21" s="531" t="s">
        <v>978</v>
      </c>
      <c r="D21" s="532">
        <v>537.5</v>
      </c>
      <c r="E21" s="532">
        <v>404.58</v>
      </c>
      <c r="F21" s="532"/>
      <c r="G21" s="530">
        <v>913</v>
      </c>
    </row>
    <row r="22" spans="1:7">
      <c r="A22" s="8">
        <v>13</v>
      </c>
      <c r="B22" s="530" t="s">
        <v>966</v>
      </c>
      <c r="C22" s="531" t="s">
        <v>979</v>
      </c>
      <c r="D22" s="532">
        <v>13.93</v>
      </c>
      <c r="E22" s="532">
        <v>10.49</v>
      </c>
      <c r="F22" s="532"/>
      <c r="G22" s="530">
        <v>913</v>
      </c>
    </row>
    <row r="23" spans="1:7">
      <c r="A23" s="8">
        <v>14</v>
      </c>
      <c r="B23" s="530" t="s">
        <v>834</v>
      </c>
      <c r="C23" s="531" t="s">
        <v>980</v>
      </c>
      <c r="D23" s="532">
        <v>800</v>
      </c>
      <c r="E23" s="532">
        <v>602.16</v>
      </c>
      <c r="F23" s="532"/>
      <c r="G23" s="530">
        <v>913</v>
      </c>
    </row>
    <row r="24" spans="1:7">
      <c r="A24" s="8">
        <v>15</v>
      </c>
      <c r="B24" s="530" t="s">
        <v>834</v>
      </c>
      <c r="C24" s="531" t="s">
        <v>981</v>
      </c>
      <c r="D24" s="532">
        <v>800</v>
      </c>
      <c r="E24" s="532">
        <v>602.16</v>
      </c>
      <c r="F24" s="532"/>
      <c r="G24" s="530">
        <v>913</v>
      </c>
    </row>
    <row r="25" spans="1:7">
      <c r="A25" s="8">
        <v>16</v>
      </c>
      <c r="B25" s="530" t="s">
        <v>834</v>
      </c>
      <c r="C25" s="531" t="s">
        <v>982</v>
      </c>
      <c r="D25" s="532">
        <v>800</v>
      </c>
      <c r="E25" s="532">
        <v>602.16</v>
      </c>
      <c r="F25" s="532"/>
      <c r="G25" s="530">
        <v>913</v>
      </c>
    </row>
    <row r="26" spans="1:7">
      <c r="A26" s="8">
        <v>17</v>
      </c>
      <c r="B26" s="530"/>
      <c r="C26" s="531"/>
      <c r="D26" s="532"/>
      <c r="E26" s="532"/>
      <c r="F26" s="532"/>
      <c r="G26" s="530"/>
    </row>
    <row r="27" spans="1:7">
      <c r="B27" s="506"/>
      <c r="C27" s="506"/>
      <c r="D27" s="506"/>
      <c r="E27" s="506"/>
      <c r="F27" s="506"/>
      <c r="G27" s="506"/>
    </row>
    <row r="28" spans="1:7">
      <c r="A28" s="533">
        <v>18</v>
      </c>
      <c r="B28" s="506"/>
      <c r="C28" s="506"/>
      <c r="D28" s="506"/>
      <c r="E28" s="534">
        <f>SUM(E10:E26)</f>
        <v>4896.3399999999992</v>
      </c>
      <c r="F28" s="534">
        <f>SUM(F10:F26)</f>
        <v>20.25</v>
      </c>
      <c r="G28" s="506"/>
    </row>
    <row r="29" spans="1:7">
      <c r="A29" s="533">
        <v>19</v>
      </c>
      <c r="B29" s="506" t="s">
        <v>840</v>
      </c>
      <c r="C29" s="506"/>
      <c r="D29" s="506"/>
      <c r="E29" s="506"/>
      <c r="F29" s="534">
        <f>+F28+E28</f>
        <v>4916.5899999999992</v>
      </c>
      <c r="G29" s="506"/>
    </row>
    <row r="30" spans="1:7">
      <c r="B30" s="506"/>
      <c r="C30" s="506"/>
      <c r="D30" s="506"/>
      <c r="E30" s="506"/>
      <c r="F30" s="506"/>
      <c r="G30" s="506"/>
    </row>
    <row r="32" spans="1:7">
      <c r="B32" s="33" t="s">
        <v>1629</v>
      </c>
      <c r="C32" s="33" t="s">
        <v>1627</v>
      </c>
      <c r="D32" s="33" t="s">
        <v>1628</v>
      </c>
      <c r="E32" s="33" t="s">
        <v>1631</v>
      </c>
      <c r="F32" s="33" t="s">
        <v>1632</v>
      </c>
      <c r="G32" s="2" t="s">
        <v>1641</v>
      </c>
    </row>
    <row r="33" spans="1:7">
      <c r="A33" s="15" t="s">
        <v>812</v>
      </c>
      <c r="D33" s="33" t="s">
        <v>983</v>
      </c>
      <c r="E33" s="33" t="s">
        <v>984</v>
      </c>
      <c r="F33" s="33" t="s">
        <v>985</v>
      </c>
    </row>
    <row r="34" spans="1:7">
      <c r="A34" s="8">
        <v>20</v>
      </c>
      <c r="B34" s="530" t="s">
        <v>986</v>
      </c>
      <c r="C34" s="530" t="s">
        <v>1013</v>
      </c>
      <c r="D34" s="532">
        <v>250</v>
      </c>
      <c r="E34" s="532"/>
      <c r="F34" s="532">
        <v>250</v>
      </c>
      <c r="G34" s="530">
        <v>930.1</v>
      </c>
    </row>
    <row r="35" spans="1:7">
      <c r="A35" s="8">
        <v>21</v>
      </c>
      <c r="B35" s="530" t="s">
        <v>987</v>
      </c>
      <c r="C35" s="530" t="s">
        <v>1014</v>
      </c>
      <c r="D35" s="532">
        <v>5000</v>
      </c>
      <c r="E35" s="532"/>
      <c r="F35" s="532">
        <v>5000</v>
      </c>
      <c r="G35" s="530">
        <v>930.1</v>
      </c>
    </row>
    <row r="36" spans="1:7">
      <c r="A36" s="8">
        <v>22</v>
      </c>
      <c r="B36" s="530" t="s">
        <v>988</v>
      </c>
      <c r="C36" s="530" t="s">
        <v>1015</v>
      </c>
      <c r="D36" s="532">
        <v>500</v>
      </c>
      <c r="E36" s="532"/>
      <c r="F36" s="532">
        <v>500</v>
      </c>
      <c r="G36" s="530">
        <v>930.1</v>
      </c>
    </row>
    <row r="37" spans="1:7">
      <c r="A37" s="8">
        <v>23</v>
      </c>
      <c r="B37" s="530" t="s">
        <v>835</v>
      </c>
      <c r="C37" s="530" t="s">
        <v>1016</v>
      </c>
      <c r="D37" s="532">
        <v>250</v>
      </c>
      <c r="E37" s="532"/>
      <c r="F37" s="532">
        <v>250</v>
      </c>
      <c r="G37" s="530">
        <v>930.1</v>
      </c>
    </row>
    <row r="38" spans="1:7">
      <c r="A38" s="8">
        <v>24</v>
      </c>
      <c r="B38" s="530" t="s">
        <v>829</v>
      </c>
      <c r="C38" s="530" t="s">
        <v>1017</v>
      </c>
      <c r="D38" s="532">
        <v>367</v>
      </c>
      <c r="E38" s="532"/>
      <c r="F38" s="532">
        <v>367</v>
      </c>
      <c r="G38" s="530">
        <v>930.1</v>
      </c>
    </row>
    <row r="39" spans="1:7">
      <c r="A39" s="8">
        <v>25</v>
      </c>
      <c r="B39" s="530" t="s">
        <v>836</v>
      </c>
      <c r="C39" s="530" t="s">
        <v>1018</v>
      </c>
      <c r="D39" s="532">
        <v>125</v>
      </c>
      <c r="E39" s="532"/>
      <c r="F39" s="532">
        <v>125</v>
      </c>
      <c r="G39" s="530">
        <v>930.1</v>
      </c>
    </row>
    <row r="40" spans="1:7">
      <c r="A40" s="8">
        <v>26</v>
      </c>
      <c r="B40" s="530" t="s">
        <v>989</v>
      </c>
      <c r="C40" s="530" t="s">
        <v>1019</v>
      </c>
      <c r="D40" s="532">
        <v>250</v>
      </c>
      <c r="E40" s="532"/>
      <c r="F40" s="532">
        <v>250</v>
      </c>
      <c r="G40" s="530">
        <v>930.1</v>
      </c>
    </row>
    <row r="41" spans="1:7">
      <c r="A41" s="8">
        <v>27</v>
      </c>
      <c r="B41" s="530" t="s">
        <v>831</v>
      </c>
      <c r="C41" s="530" t="s">
        <v>1020</v>
      </c>
      <c r="D41" s="532">
        <v>135</v>
      </c>
      <c r="E41" s="532"/>
      <c r="F41" s="532">
        <v>135</v>
      </c>
      <c r="G41" s="530">
        <v>930.1</v>
      </c>
    </row>
    <row r="42" spans="1:7">
      <c r="A42" s="8">
        <v>28</v>
      </c>
      <c r="B42" s="530" t="s">
        <v>990</v>
      </c>
      <c r="C42" s="530" t="s">
        <v>1021</v>
      </c>
      <c r="D42" s="532">
        <v>1518</v>
      </c>
      <c r="E42" s="532"/>
      <c r="F42" s="532">
        <v>1518</v>
      </c>
      <c r="G42" s="530">
        <v>930.1</v>
      </c>
    </row>
    <row r="43" spans="1:7">
      <c r="A43" s="8">
        <v>29</v>
      </c>
      <c r="B43" s="530" t="s">
        <v>991</v>
      </c>
      <c r="C43" s="530" t="s">
        <v>1022</v>
      </c>
      <c r="D43" s="532">
        <v>71</v>
      </c>
      <c r="E43" s="532"/>
      <c r="F43" s="532"/>
      <c r="G43" s="530">
        <v>930.1</v>
      </c>
    </row>
    <row r="44" spans="1:7">
      <c r="A44" s="8">
        <v>30</v>
      </c>
      <c r="B44" s="530" t="s">
        <v>991</v>
      </c>
      <c r="C44" s="530" t="s">
        <v>1023</v>
      </c>
      <c r="D44" s="532">
        <v>71</v>
      </c>
      <c r="E44" s="532"/>
      <c r="F44" s="532"/>
      <c r="G44" s="530">
        <v>930.1</v>
      </c>
    </row>
    <row r="45" spans="1:7">
      <c r="A45" s="8">
        <v>31</v>
      </c>
      <c r="B45" s="530" t="s">
        <v>991</v>
      </c>
      <c r="C45" s="530" t="s">
        <v>1024</v>
      </c>
      <c r="D45" s="532">
        <v>71</v>
      </c>
      <c r="E45" s="532"/>
      <c r="F45" s="532"/>
      <c r="G45" s="530">
        <v>930.1</v>
      </c>
    </row>
    <row r="46" spans="1:7">
      <c r="A46" s="8">
        <v>32</v>
      </c>
      <c r="B46" s="530" t="s">
        <v>957</v>
      </c>
      <c r="C46" s="530" t="s">
        <v>1025</v>
      </c>
      <c r="D46" s="532">
        <v>13.9</v>
      </c>
      <c r="E46" s="532"/>
      <c r="F46" s="532"/>
      <c r="G46" s="530">
        <v>930.1</v>
      </c>
    </row>
    <row r="47" spans="1:7">
      <c r="A47" s="8">
        <v>33</v>
      </c>
      <c r="B47" s="530" t="s">
        <v>992</v>
      </c>
      <c r="C47" s="530" t="s">
        <v>1026</v>
      </c>
      <c r="D47" s="532">
        <v>135</v>
      </c>
      <c r="E47" s="532"/>
      <c r="F47" s="532"/>
      <c r="G47" s="530">
        <v>930.1</v>
      </c>
    </row>
    <row r="48" spans="1:7">
      <c r="A48" s="8">
        <v>34</v>
      </c>
      <c r="B48" s="530" t="s">
        <v>993</v>
      </c>
      <c r="C48" s="530" t="s">
        <v>1027</v>
      </c>
      <c r="D48" s="532">
        <v>17142.41</v>
      </c>
      <c r="E48" s="532">
        <v>12903.09</v>
      </c>
      <c r="F48" s="532"/>
      <c r="G48" s="530">
        <v>930.1</v>
      </c>
    </row>
    <row r="49" spans="1:7">
      <c r="A49" s="8">
        <v>35</v>
      </c>
      <c r="B49" s="530" t="s">
        <v>994</v>
      </c>
      <c r="C49" s="530" t="s">
        <v>837</v>
      </c>
      <c r="D49" s="532">
        <v>883.44</v>
      </c>
      <c r="E49" s="532">
        <v>664.97</v>
      </c>
      <c r="F49" s="532"/>
      <c r="G49" s="530">
        <v>930.1</v>
      </c>
    </row>
    <row r="50" spans="1:7">
      <c r="A50" s="8">
        <v>36</v>
      </c>
      <c r="B50" s="530" t="s">
        <v>995</v>
      </c>
      <c r="C50" s="530" t="s">
        <v>837</v>
      </c>
      <c r="D50" s="532">
        <v>263.25</v>
      </c>
      <c r="E50" s="532">
        <v>198.15</v>
      </c>
      <c r="F50" s="532"/>
      <c r="G50" s="530">
        <v>930.1</v>
      </c>
    </row>
    <row r="51" spans="1:7">
      <c r="A51" s="8">
        <v>37</v>
      </c>
      <c r="B51" s="530" t="s">
        <v>996</v>
      </c>
      <c r="C51" s="530" t="s">
        <v>837</v>
      </c>
      <c r="D51" s="532">
        <v>1761.06</v>
      </c>
      <c r="E51" s="532">
        <v>1325.55</v>
      </c>
      <c r="F51" s="532"/>
      <c r="G51" s="530">
        <v>930.1</v>
      </c>
    </row>
    <row r="52" spans="1:7">
      <c r="A52" s="8">
        <v>38</v>
      </c>
      <c r="B52" s="530" t="s">
        <v>997</v>
      </c>
      <c r="C52" s="530" t="s">
        <v>837</v>
      </c>
      <c r="D52" s="532">
        <v>1159.3900000000001</v>
      </c>
      <c r="E52" s="532">
        <v>872.67</v>
      </c>
      <c r="F52" s="532"/>
      <c r="G52" s="530">
        <v>930.1</v>
      </c>
    </row>
    <row r="53" spans="1:7">
      <c r="A53" s="8">
        <v>39</v>
      </c>
      <c r="B53" s="530" t="s">
        <v>998</v>
      </c>
      <c r="C53" s="530" t="s">
        <v>1028</v>
      </c>
      <c r="D53" s="532">
        <v>136.9</v>
      </c>
      <c r="E53" s="532">
        <v>103.04</v>
      </c>
      <c r="F53" s="532"/>
      <c r="G53" s="530">
        <v>930.1</v>
      </c>
    </row>
    <row r="54" spans="1:7">
      <c r="A54" s="8">
        <v>40</v>
      </c>
      <c r="B54" s="530" t="s">
        <v>999</v>
      </c>
      <c r="C54" s="530" t="s">
        <v>1028</v>
      </c>
      <c r="D54" s="532">
        <v>61.15</v>
      </c>
      <c r="E54" s="532">
        <v>46.03</v>
      </c>
      <c r="F54" s="532"/>
      <c r="G54" s="530">
        <v>930.1</v>
      </c>
    </row>
    <row r="55" spans="1:7">
      <c r="A55" s="8">
        <v>41</v>
      </c>
      <c r="B55" s="530" t="s">
        <v>1000</v>
      </c>
      <c r="C55" s="530" t="s">
        <v>837</v>
      </c>
      <c r="D55" s="532">
        <v>980.15</v>
      </c>
      <c r="E55" s="532">
        <v>737.76</v>
      </c>
      <c r="F55" s="532"/>
      <c r="G55" s="530">
        <v>930.1</v>
      </c>
    </row>
    <row r="56" spans="1:7">
      <c r="A56" s="8">
        <v>42</v>
      </c>
      <c r="B56" s="530" t="s">
        <v>1001</v>
      </c>
      <c r="C56" s="530" t="s">
        <v>837</v>
      </c>
      <c r="D56" s="532">
        <v>471.98</v>
      </c>
      <c r="E56" s="532">
        <v>355.26</v>
      </c>
      <c r="F56" s="532"/>
      <c r="G56" s="530">
        <v>930.1</v>
      </c>
    </row>
    <row r="57" spans="1:7">
      <c r="A57" s="8">
        <v>43</v>
      </c>
      <c r="B57" s="530" t="s">
        <v>1002</v>
      </c>
      <c r="C57" s="530" t="s">
        <v>837</v>
      </c>
      <c r="D57" s="532">
        <v>227.74</v>
      </c>
      <c r="E57" s="532">
        <v>171.42</v>
      </c>
      <c r="F57" s="532"/>
      <c r="G57" s="530">
        <v>930.1</v>
      </c>
    </row>
    <row r="58" spans="1:7">
      <c r="A58" s="8">
        <v>44</v>
      </c>
      <c r="B58" s="530" t="s">
        <v>1003</v>
      </c>
      <c r="C58" s="530" t="s">
        <v>837</v>
      </c>
      <c r="D58" s="532">
        <v>423</v>
      </c>
      <c r="E58" s="532">
        <v>318.39</v>
      </c>
      <c r="F58" s="532"/>
      <c r="G58" s="530">
        <v>930.1</v>
      </c>
    </row>
    <row r="59" spans="1:7">
      <c r="A59" s="8">
        <v>45</v>
      </c>
      <c r="B59" s="530" t="s">
        <v>1004</v>
      </c>
      <c r="C59" s="530" t="s">
        <v>837</v>
      </c>
      <c r="D59" s="532">
        <v>1327.52</v>
      </c>
      <c r="E59" s="532">
        <v>999.22</v>
      </c>
      <c r="F59" s="532"/>
      <c r="G59" s="530">
        <v>930.1</v>
      </c>
    </row>
    <row r="60" spans="1:7">
      <c r="A60" s="8">
        <v>46</v>
      </c>
      <c r="B60" s="530" t="s">
        <v>1005</v>
      </c>
      <c r="C60" s="530" t="s">
        <v>837</v>
      </c>
      <c r="D60" s="532">
        <v>1192.3699999999999</v>
      </c>
      <c r="E60" s="532">
        <v>897.5</v>
      </c>
      <c r="F60" s="532"/>
      <c r="G60" s="530">
        <v>930.1</v>
      </c>
    </row>
    <row r="61" spans="1:7">
      <c r="A61" s="8">
        <v>47</v>
      </c>
      <c r="B61" s="530" t="s">
        <v>1006</v>
      </c>
      <c r="C61" s="530" t="s">
        <v>837</v>
      </c>
      <c r="D61" s="532">
        <v>4898.2</v>
      </c>
      <c r="E61" s="532">
        <v>3686.88</v>
      </c>
      <c r="F61" s="532"/>
      <c r="G61" s="530">
        <v>930.1</v>
      </c>
    </row>
    <row r="62" spans="1:7">
      <c r="A62" s="8">
        <v>48</v>
      </c>
      <c r="B62" s="530" t="s">
        <v>1007</v>
      </c>
      <c r="C62" s="530" t="s">
        <v>837</v>
      </c>
      <c r="D62" s="532">
        <v>6137.3</v>
      </c>
      <c r="E62" s="532">
        <v>4619.55</v>
      </c>
      <c r="F62" s="532"/>
      <c r="G62" s="530">
        <v>930.1</v>
      </c>
    </row>
    <row r="63" spans="1:7">
      <c r="A63" s="8">
        <v>49</v>
      </c>
      <c r="B63" s="530" t="s">
        <v>838</v>
      </c>
      <c r="C63" s="530">
        <v>6540</v>
      </c>
      <c r="D63" s="532">
        <v>13875</v>
      </c>
      <c r="E63" s="532">
        <v>10443.709999999999</v>
      </c>
      <c r="F63" s="532"/>
      <c r="G63" s="530">
        <v>930.1</v>
      </c>
    </row>
    <row r="64" spans="1:7">
      <c r="A64" s="8">
        <v>50</v>
      </c>
      <c r="B64" s="530" t="s">
        <v>838</v>
      </c>
      <c r="C64" s="530" t="s">
        <v>1029</v>
      </c>
      <c r="D64" s="532">
        <v>500</v>
      </c>
      <c r="E64" s="532">
        <v>376.35</v>
      </c>
      <c r="F64" s="532"/>
      <c r="G64" s="530">
        <v>930.1</v>
      </c>
    </row>
    <row r="65" spans="1:7">
      <c r="A65" s="8">
        <v>51</v>
      </c>
      <c r="B65" s="530" t="s">
        <v>833</v>
      </c>
      <c r="C65" s="530" t="s">
        <v>1030</v>
      </c>
      <c r="D65" s="532">
        <v>1500</v>
      </c>
      <c r="E65" s="532">
        <v>1129.05</v>
      </c>
      <c r="F65" s="532"/>
      <c r="G65" s="530">
        <v>930.1</v>
      </c>
    </row>
    <row r="66" spans="1:7">
      <c r="A66" s="8">
        <v>52</v>
      </c>
      <c r="B66" s="530" t="s">
        <v>1008</v>
      </c>
      <c r="C66" s="530" t="s">
        <v>1031</v>
      </c>
      <c r="D66" s="532">
        <v>109.67</v>
      </c>
      <c r="E66" s="532">
        <v>82.55</v>
      </c>
      <c r="F66" s="532"/>
      <c r="G66" s="530">
        <v>930.1</v>
      </c>
    </row>
    <row r="67" spans="1:7">
      <c r="A67" s="8">
        <v>53</v>
      </c>
      <c r="B67" s="530" t="s">
        <v>1009</v>
      </c>
      <c r="C67" s="530" t="s">
        <v>1032</v>
      </c>
      <c r="D67" s="532">
        <v>120.85</v>
      </c>
      <c r="E67" s="532">
        <v>90.96</v>
      </c>
      <c r="F67" s="532"/>
      <c r="G67" s="530">
        <v>930.1</v>
      </c>
    </row>
    <row r="68" spans="1:7">
      <c r="A68" s="8">
        <v>54</v>
      </c>
      <c r="B68" s="530" t="s">
        <v>1010</v>
      </c>
      <c r="C68" s="530" t="s">
        <v>830</v>
      </c>
      <c r="D68" s="532">
        <v>650</v>
      </c>
      <c r="E68" s="532">
        <v>489.26</v>
      </c>
      <c r="F68" s="532"/>
      <c r="G68" s="530">
        <v>930.1</v>
      </c>
    </row>
    <row r="69" spans="1:7">
      <c r="A69" s="8">
        <v>55</v>
      </c>
      <c r="B69" s="530" t="s">
        <v>1011</v>
      </c>
      <c r="C69" s="530" t="s">
        <v>1033</v>
      </c>
      <c r="D69" s="532">
        <v>42.5</v>
      </c>
      <c r="E69" s="532">
        <v>31.99</v>
      </c>
      <c r="F69" s="532"/>
      <c r="G69" s="530">
        <v>930.1</v>
      </c>
    </row>
    <row r="70" spans="1:7">
      <c r="A70" s="8">
        <v>56</v>
      </c>
      <c r="B70" s="530" t="s">
        <v>1012</v>
      </c>
      <c r="C70" s="530" t="s">
        <v>832</v>
      </c>
      <c r="D70" s="532">
        <v>1133.3399999999999</v>
      </c>
      <c r="E70" s="532">
        <v>853.07</v>
      </c>
      <c r="F70" s="532"/>
      <c r="G70" s="530">
        <v>930.1</v>
      </c>
    </row>
    <row r="71" spans="1:7">
      <c r="A71" s="8">
        <v>57</v>
      </c>
      <c r="B71" s="530" t="s">
        <v>1012</v>
      </c>
      <c r="C71" s="530" t="s">
        <v>1034</v>
      </c>
      <c r="D71" s="532">
        <v>12</v>
      </c>
      <c r="E71" s="532">
        <v>9.0299999999999994</v>
      </c>
      <c r="F71" s="532"/>
      <c r="G71" s="530">
        <v>930.1</v>
      </c>
    </row>
    <row r="72" spans="1:7">
      <c r="A72" s="8">
        <v>58</v>
      </c>
      <c r="B72" s="530"/>
      <c r="C72" s="530"/>
      <c r="D72" s="532"/>
      <c r="E72" s="532"/>
      <c r="F72" s="532"/>
      <c r="G72" s="530"/>
    </row>
    <row r="74" spans="1:7">
      <c r="A74" s="533">
        <v>59</v>
      </c>
      <c r="E74" s="91">
        <f>SUM(E34:E72)</f>
        <v>41405.449999999997</v>
      </c>
      <c r="F74" s="91">
        <f>SUM(F34:F72)</f>
        <v>8395</v>
      </c>
    </row>
    <row r="75" spans="1:7">
      <c r="A75" s="533">
        <v>60</v>
      </c>
      <c r="B75" s="6" t="s">
        <v>841</v>
      </c>
      <c r="F75" s="91">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M58"/>
  <sheetViews>
    <sheetView view="pageBreakPreview" zoomScale="60" zoomScaleNormal="85" workbookViewId="0">
      <selection activeCell="A3" sqref="A3:H3"/>
    </sheetView>
  </sheetViews>
  <sheetFormatPr defaultRowHeight="15.75"/>
  <cols>
    <col min="1" max="1" width="9.28515625" style="6" bestFit="1" customWidth="1"/>
    <col min="2" max="2" width="9.42578125" style="6" customWidth="1"/>
    <col min="3" max="3" width="27.28515625" style="6" customWidth="1"/>
    <col min="4" max="4" width="16.5703125" style="6" bestFit="1" customWidth="1"/>
    <col min="5" max="5" width="3" style="6" customWidth="1"/>
    <col min="6" max="6" width="16.7109375" style="6" bestFit="1" customWidth="1"/>
    <col min="7" max="7" width="3.140625" style="6" customWidth="1"/>
    <col min="8" max="8" width="23.5703125" style="6" customWidth="1"/>
    <col min="9" max="9" width="17.7109375" style="6" customWidth="1"/>
    <col min="10" max="10" width="19" style="6" bestFit="1" customWidth="1"/>
    <col min="11" max="11" width="3" style="6" customWidth="1"/>
    <col min="12" max="12" width="17.28515625" style="6" bestFit="1" customWidth="1"/>
    <col min="13" max="13" width="19.42578125" style="6" bestFit="1" customWidth="1"/>
    <col min="14" max="14" width="9.140625" style="6"/>
    <col min="15" max="15" width="11.28515625" style="6" bestFit="1" customWidth="1"/>
    <col min="16" max="16" width="3.85546875" style="6" customWidth="1"/>
    <col min="17" max="17" width="9.140625" style="6"/>
    <col min="18" max="18" width="4.5703125" style="6" customWidth="1"/>
    <col min="19" max="19" width="10" style="6" bestFit="1" customWidth="1"/>
    <col min="20" max="20" width="9.140625" style="6"/>
    <col min="21" max="21" width="16.28515625" style="6" bestFit="1" customWidth="1"/>
    <col min="22" max="22" width="9.140625" style="6"/>
    <col min="23" max="23" width="19.42578125" style="6" bestFit="1" customWidth="1"/>
    <col min="24" max="16384" width="9.140625" style="6"/>
  </cols>
  <sheetData>
    <row r="1" spans="1:13">
      <c r="B1" s="1045"/>
      <c r="C1" s="1045"/>
      <c r="D1" s="1045"/>
      <c r="E1" s="1045"/>
      <c r="F1" s="1045"/>
      <c r="G1" s="1045"/>
      <c r="H1" s="1045"/>
    </row>
    <row r="2" spans="1:13">
      <c r="B2" s="1039" t="s">
        <v>60</v>
      </c>
      <c r="C2" s="1039"/>
      <c r="D2" s="1039"/>
      <c r="E2" s="1039"/>
      <c r="F2" s="1039"/>
      <c r="G2" s="1039"/>
      <c r="H2" s="1039"/>
      <c r="I2" s="1039"/>
      <c r="J2" s="1039"/>
      <c r="K2" s="1039"/>
      <c r="L2" s="1039"/>
      <c r="M2" s="1039"/>
    </row>
    <row r="3" spans="1:13">
      <c r="B3" s="1039" t="s">
        <v>1588</v>
      </c>
      <c r="C3" s="1039"/>
      <c r="D3" s="1039"/>
      <c r="E3" s="1039"/>
      <c r="F3" s="1039"/>
      <c r="G3" s="1039"/>
      <c r="H3" s="1039"/>
      <c r="I3" s="1039"/>
      <c r="J3" s="1039"/>
      <c r="K3" s="1039"/>
      <c r="L3" s="1039"/>
      <c r="M3" s="1039"/>
    </row>
    <row r="4" spans="1:13">
      <c r="B4" s="1039" t="s">
        <v>1603</v>
      </c>
      <c r="C4" s="1039"/>
      <c r="D4" s="1039"/>
      <c r="E4" s="1039"/>
      <c r="F4" s="1039"/>
      <c r="G4" s="1039"/>
      <c r="H4" s="1039"/>
      <c r="I4" s="1039"/>
      <c r="J4" s="1039"/>
      <c r="K4" s="1039"/>
      <c r="L4" s="1039"/>
      <c r="M4" s="1039"/>
    </row>
    <row r="5" spans="1:13">
      <c r="B5" s="1039" t="s">
        <v>1614</v>
      </c>
      <c r="C5" s="1039"/>
      <c r="D5" s="1039"/>
      <c r="E5" s="1039"/>
      <c r="F5" s="1039"/>
      <c r="G5" s="1039"/>
      <c r="H5" s="1039"/>
      <c r="I5" s="1039"/>
      <c r="J5" s="1039"/>
      <c r="K5" s="1039"/>
      <c r="L5" s="1039"/>
      <c r="M5" s="1039"/>
    </row>
    <row r="6" spans="1:13">
      <c r="B6" s="1039" t="s">
        <v>906</v>
      </c>
      <c r="C6" s="1039"/>
      <c r="D6" s="1039"/>
      <c r="E6" s="1039"/>
      <c r="F6" s="1039"/>
      <c r="G6" s="1039"/>
      <c r="H6" s="1039"/>
      <c r="I6" s="1039"/>
      <c r="J6" s="1039"/>
      <c r="K6" s="1039"/>
      <c r="L6" s="1039"/>
      <c r="M6" s="1039"/>
    </row>
    <row r="7" spans="1:13">
      <c r="D7" s="37"/>
    </row>
    <row r="8" spans="1:13" s="8" customFormat="1">
      <c r="B8" s="8" t="s">
        <v>1629</v>
      </c>
      <c r="C8" s="8" t="s">
        <v>1627</v>
      </c>
      <c r="D8" s="8" t="s">
        <v>1628</v>
      </c>
      <c r="F8" s="8" t="s">
        <v>1631</v>
      </c>
      <c r="H8" s="8" t="s">
        <v>1632</v>
      </c>
      <c r="I8" s="8" t="s">
        <v>1641</v>
      </c>
      <c r="J8" s="535" t="s">
        <v>1642</v>
      </c>
      <c r="L8" s="8" t="s">
        <v>1643</v>
      </c>
      <c r="M8" s="8" t="s">
        <v>1644</v>
      </c>
    </row>
    <row r="9" spans="1:13">
      <c r="A9" s="536" t="s">
        <v>1098</v>
      </c>
      <c r="D9" s="37"/>
    </row>
    <row r="10" spans="1:13">
      <c r="A10" s="536"/>
      <c r="D10" s="8" t="s">
        <v>1057</v>
      </c>
    </row>
    <row r="11" spans="1:13">
      <c r="A11" s="536"/>
      <c r="D11" s="8" t="s">
        <v>1058</v>
      </c>
      <c r="F11" s="8" t="s">
        <v>818</v>
      </c>
      <c r="H11" s="537" t="s">
        <v>818</v>
      </c>
    </row>
    <row r="12" spans="1:13">
      <c r="A12" s="15" t="s">
        <v>812</v>
      </c>
      <c r="D12" s="32" t="s">
        <v>813</v>
      </c>
      <c r="F12" s="8" t="s">
        <v>1284</v>
      </c>
      <c r="H12" s="537" t="s">
        <v>890</v>
      </c>
    </row>
    <row r="13" spans="1:13">
      <c r="A13" s="8">
        <v>1</v>
      </c>
      <c r="B13" s="8">
        <v>503</v>
      </c>
      <c r="C13" s="6" t="s">
        <v>1971</v>
      </c>
      <c r="D13" s="538">
        <v>120189407</v>
      </c>
      <c r="F13" s="130">
        <v>0.49569000000000002</v>
      </c>
      <c r="H13" s="539">
        <f>+D13*F13</f>
        <v>59576687.155830003</v>
      </c>
    </row>
    <row r="14" spans="1:13">
      <c r="A14" s="8"/>
      <c r="B14" s="8"/>
      <c r="D14" s="538"/>
      <c r="F14" s="130"/>
      <c r="H14" s="539"/>
    </row>
    <row r="15" spans="1:13">
      <c r="A15" s="8">
        <v>2</v>
      </c>
      <c r="B15" s="8">
        <v>504</v>
      </c>
      <c r="C15" s="6" t="s">
        <v>1972</v>
      </c>
      <c r="D15" s="538">
        <v>81344242</v>
      </c>
      <c r="F15" s="130">
        <v>0.49303999999999998</v>
      </c>
      <c r="H15" s="539">
        <f>+D15*F15</f>
        <v>40105965.075679995</v>
      </c>
    </row>
    <row r="16" spans="1:13">
      <c r="A16" s="8"/>
      <c r="B16" s="8"/>
      <c r="D16" s="538"/>
      <c r="F16" s="130"/>
      <c r="H16" s="539"/>
    </row>
    <row r="17" spans="1:13">
      <c r="A17" s="8">
        <v>3</v>
      </c>
      <c r="B17" s="8">
        <v>505</v>
      </c>
      <c r="C17" s="6" t="s">
        <v>1973</v>
      </c>
      <c r="D17" s="538">
        <v>11417671</v>
      </c>
      <c r="F17" s="130">
        <v>0.47993000000000002</v>
      </c>
      <c r="H17" s="539">
        <f>+D17*F17</f>
        <v>5479682.8430300001</v>
      </c>
    </row>
    <row r="18" spans="1:13">
      <c r="A18" s="8"/>
      <c r="B18" s="8"/>
      <c r="D18" s="538"/>
      <c r="F18" s="130"/>
      <c r="H18" s="539"/>
    </row>
    <row r="19" spans="1:13">
      <c r="A19" s="8">
        <v>4</v>
      </c>
      <c r="B19" s="8">
        <v>511</v>
      </c>
      <c r="C19" s="6" t="s">
        <v>1974</v>
      </c>
      <c r="D19" s="538">
        <v>11107096</v>
      </c>
      <c r="F19" s="130">
        <v>0.47993000000000002</v>
      </c>
      <c r="H19" s="539">
        <f>+D19*F19</f>
        <v>5330628.5832799999</v>
      </c>
    </row>
    <row r="20" spans="1:13">
      <c r="A20" s="8"/>
      <c r="B20" s="8"/>
      <c r="D20" s="538"/>
      <c r="F20" s="130"/>
      <c r="H20" s="539"/>
    </row>
    <row r="21" spans="1:13">
      <c r="A21" s="8">
        <v>5</v>
      </c>
      <c r="B21" s="8">
        <v>570</v>
      </c>
      <c r="C21" s="6" t="s">
        <v>1975</v>
      </c>
      <c r="D21" s="538">
        <v>3848935</v>
      </c>
      <c r="F21" s="130">
        <v>0.46687000000000001</v>
      </c>
      <c r="H21" s="540">
        <f>+D21*F21</f>
        <v>1796952.28345</v>
      </c>
    </row>
    <row r="22" spans="1:13">
      <c r="A22" s="8"/>
      <c r="B22" s="8"/>
      <c r="D22" s="37"/>
      <c r="H22" s="236"/>
    </row>
    <row r="23" spans="1:13">
      <c r="A23" s="8">
        <v>6</v>
      </c>
      <c r="B23" s="6" t="s">
        <v>1902</v>
      </c>
      <c r="D23" s="37"/>
      <c r="H23" s="236">
        <f>SUM(H13:H22)</f>
        <v>112289915.94126999</v>
      </c>
    </row>
    <row r="24" spans="1:13">
      <c r="A24" s="8"/>
      <c r="G24" s="541"/>
      <c r="H24" s="541"/>
      <c r="I24" s="541"/>
    </row>
    <row r="25" spans="1:13">
      <c r="A25" s="8"/>
      <c r="B25" s="6" t="s">
        <v>1060</v>
      </c>
      <c r="G25" s="541"/>
      <c r="H25" s="541"/>
      <c r="I25" s="541"/>
      <c r="M25" s="535" t="s">
        <v>890</v>
      </c>
    </row>
    <row r="26" spans="1:13">
      <c r="A26" s="8">
        <v>7</v>
      </c>
      <c r="C26" s="6" t="s">
        <v>1965</v>
      </c>
      <c r="G26" s="541"/>
      <c r="H26" s="541"/>
      <c r="I26" s="541"/>
      <c r="J26" s="90">
        <v>110133416.64</v>
      </c>
      <c r="M26" s="535" t="s">
        <v>62</v>
      </c>
    </row>
    <row r="27" spans="1:13">
      <c r="A27" s="8">
        <v>8</v>
      </c>
      <c r="C27" s="6" t="s">
        <v>1966</v>
      </c>
      <c r="G27" s="541"/>
      <c r="H27" s="541"/>
      <c r="I27" s="541"/>
      <c r="J27" s="90">
        <f>+'Weather Normalization'!F21-'Weather Normalization'!H21</f>
        <v>10051636.126770001</v>
      </c>
      <c r="M27" s="236"/>
    </row>
    <row r="28" spans="1:13">
      <c r="A28" s="8">
        <v>9</v>
      </c>
      <c r="C28" s="6" t="s">
        <v>1903</v>
      </c>
      <c r="G28" s="541"/>
      <c r="I28" s="542" t="s">
        <v>15</v>
      </c>
      <c r="J28" s="90">
        <v>488031.55000002589</v>
      </c>
      <c r="L28" s="236">
        <f>+J28+J27+J26</f>
        <v>120673084.31677003</v>
      </c>
      <c r="M28" s="543">
        <f>+H23-L28</f>
        <v>-8383168.3755000383</v>
      </c>
    </row>
    <row r="29" spans="1:13">
      <c r="A29" s="8">
        <v>10</v>
      </c>
      <c r="C29" s="6" t="s">
        <v>1976</v>
      </c>
      <c r="G29" s="541"/>
      <c r="I29" s="542" t="s">
        <v>1507</v>
      </c>
      <c r="J29" s="90">
        <v>346008.79999999795</v>
      </c>
      <c r="L29" s="236">
        <f>J29</f>
        <v>346008.79999999795</v>
      </c>
      <c r="M29" s="544">
        <f>-L29</f>
        <v>-346008.79999999795</v>
      </c>
    </row>
    <row r="30" spans="1:13">
      <c r="A30" s="536" t="s">
        <v>1097</v>
      </c>
      <c r="G30" s="541"/>
      <c r="H30" s="541"/>
      <c r="I30" s="541"/>
      <c r="J30" s="90"/>
      <c r="L30" s="236"/>
      <c r="M30" s="236"/>
    </row>
    <row r="32" spans="1:13">
      <c r="B32" s="8" t="s">
        <v>1054</v>
      </c>
      <c r="C32" s="8"/>
      <c r="D32" s="8" t="s">
        <v>1057</v>
      </c>
      <c r="E32" s="8"/>
      <c r="F32" s="8" t="s">
        <v>1055</v>
      </c>
      <c r="G32" s="8"/>
      <c r="H32" s="8" t="s">
        <v>1056</v>
      </c>
      <c r="I32" s="8"/>
      <c r="J32" s="8" t="s">
        <v>58</v>
      </c>
      <c r="K32" s="8"/>
      <c r="L32" s="8" t="s">
        <v>905</v>
      </c>
    </row>
    <row r="33" spans="1:13">
      <c r="B33" s="8"/>
      <c r="D33" s="8" t="s">
        <v>1058</v>
      </c>
      <c r="F33" s="8" t="s">
        <v>1059</v>
      </c>
      <c r="G33" s="8"/>
      <c r="H33" s="8" t="s">
        <v>1059</v>
      </c>
      <c r="J33" s="8" t="s">
        <v>1977</v>
      </c>
    </row>
    <row r="34" spans="1:13">
      <c r="B34" s="8"/>
      <c r="D34" s="8" t="s">
        <v>813</v>
      </c>
      <c r="J34" s="8" t="s">
        <v>1978</v>
      </c>
    </row>
    <row r="35" spans="1:13">
      <c r="A35" s="15" t="s">
        <v>812</v>
      </c>
      <c r="B35" s="8"/>
      <c r="D35" s="37"/>
      <c r="L35" s="236"/>
    </row>
    <row r="36" spans="1:13">
      <c r="A36" s="8">
        <v>11</v>
      </c>
      <c r="B36" s="8">
        <v>503</v>
      </c>
      <c r="D36" s="538">
        <v>120189407</v>
      </c>
      <c r="F36" s="130">
        <v>0.30640000000000001</v>
      </c>
      <c r="H36" s="6">
        <v>0.16864000000000001</v>
      </c>
      <c r="J36" s="130">
        <f>+F36+H36</f>
        <v>0.47504000000000002</v>
      </c>
      <c r="L36" s="539">
        <f>+D36*J36</f>
        <v>57094775.901280001</v>
      </c>
    </row>
    <row r="37" spans="1:13">
      <c r="A37" s="8"/>
      <c r="B37" s="8"/>
      <c r="D37" s="538"/>
      <c r="F37" s="130"/>
      <c r="J37" s="130"/>
      <c r="L37" s="539"/>
    </row>
    <row r="38" spans="1:13">
      <c r="A38" s="8">
        <v>12</v>
      </c>
      <c r="B38" s="8">
        <v>504</v>
      </c>
      <c r="D38" s="538">
        <v>81344242</v>
      </c>
      <c r="F38" s="130">
        <v>0.30640000000000001</v>
      </c>
      <c r="H38" s="130">
        <v>0.1661</v>
      </c>
      <c r="J38" s="130">
        <f t="shared" ref="J38:J44" si="0">+F38+H38</f>
        <v>0.47250000000000003</v>
      </c>
      <c r="L38" s="539">
        <f t="shared" ref="L38:L44" si="1">+D38*J38</f>
        <v>38435154.344999999</v>
      </c>
    </row>
    <row r="39" spans="1:13">
      <c r="A39" s="8"/>
      <c r="B39" s="8"/>
      <c r="D39" s="538"/>
      <c r="F39" s="130"/>
      <c r="J39" s="130"/>
      <c r="L39" s="539"/>
    </row>
    <row r="40" spans="1:13">
      <c r="A40" s="8">
        <v>13</v>
      </c>
      <c r="B40" s="8">
        <v>505</v>
      </c>
      <c r="D40" s="538">
        <v>11417671</v>
      </c>
      <c r="F40" s="130">
        <v>0.30640000000000001</v>
      </c>
      <c r="H40" s="6">
        <v>0.15354999999999999</v>
      </c>
      <c r="J40" s="130">
        <f t="shared" si="0"/>
        <v>0.45994999999999997</v>
      </c>
      <c r="L40" s="539">
        <f t="shared" si="1"/>
        <v>5251557.7764499998</v>
      </c>
    </row>
    <row r="41" spans="1:13">
      <c r="A41" s="8"/>
      <c r="B41" s="8"/>
      <c r="D41" s="538"/>
      <c r="F41" s="130"/>
      <c r="J41" s="130"/>
      <c r="L41" s="539"/>
    </row>
    <row r="42" spans="1:13">
      <c r="A42" s="8">
        <v>14</v>
      </c>
      <c r="B42" s="8">
        <v>511</v>
      </c>
      <c r="D42" s="538">
        <v>11107096</v>
      </c>
      <c r="F42" s="130">
        <v>0.30640000000000001</v>
      </c>
      <c r="H42" s="6">
        <v>0.15354999999999999</v>
      </c>
      <c r="J42" s="130">
        <f t="shared" si="0"/>
        <v>0.45994999999999997</v>
      </c>
      <c r="L42" s="539">
        <f t="shared" si="1"/>
        <v>5108708.8051999994</v>
      </c>
    </row>
    <row r="43" spans="1:13">
      <c r="A43" s="8"/>
      <c r="B43" s="8"/>
      <c r="D43" s="538"/>
      <c r="F43" s="130"/>
      <c r="J43" s="130"/>
      <c r="L43" s="539"/>
    </row>
    <row r="44" spans="1:13">
      <c r="A44" s="8">
        <v>15</v>
      </c>
      <c r="B44" s="8">
        <v>570</v>
      </c>
      <c r="D44" s="538">
        <v>3848935</v>
      </c>
      <c r="F44" s="130">
        <v>0.30640000000000001</v>
      </c>
      <c r="H44" s="6">
        <v>0.14105000000000001</v>
      </c>
      <c r="J44" s="130">
        <f t="shared" si="0"/>
        <v>0.44745000000000001</v>
      </c>
      <c r="L44" s="540">
        <f t="shared" si="1"/>
        <v>1722205.96575</v>
      </c>
    </row>
    <row r="45" spans="1:13">
      <c r="A45" s="8"/>
      <c r="B45" s="8"/>
      <c r="D45" s="37"/>
      <c r="M45" s="8" t="s">
        <v>818</v>
      </c>
    </row>
    <row r="46" spans="1:13">
      <c r="A46" s="8">
        <v>16</v>
      </c>
      <c r="B46" s="6" t="s">
        <v>1901</v>
      </c>
      <c r="L46" s="236">
        <f>SUM(L36:L44)</f>
        <v>107612402.79367998</v>
      </c>
      <c r="M46" s="8" t="s">
        <v>62</v>
      </c>
    </row>
    <row r="47" spans="1:13">
      <c r="A47" s="8"/>
    </row>
    <row r="48" spans="1:13">
      <c r="A48" s="8">
        <v>17</v>
      </c>
      <c r="B48" s="6" t="s">
        <v>1899</v>
      </c>
      <c r="L48" s="236">
        <f>+'Exh MPP-8 - ROO Summary Sheet'!D19+'Weather Normalization'!F37</f>
        <v>113645500.64677002</v>
      </c>
      <c r="M48" s="545">
        <f>+L46-L48</f>
        <v>-6033097.8530900329</v>
      </c>
    </row>
    <row r="49" spans="3:13">
      <c r="C49" s="6" t="s">
        <v>1900</v>
      </c>
    </row>
    <row r="50" spans="3:13">
      <c r="L50" s="236"/>
      <c r="M50" s="236"/>
    </row>
    <row r="52" spans="3:13">
      <c r="L52" s="236"/>
      <c r="M52" s="236"/>
    </row>
    <row r="53" spans="3:13">
      <c r="J53" s="90"/>
      <c r="L53" s="236"/>
    </row>
    <row r="54" spans="3:13">
      <c r="L54" s="236"/>
    </row>
    <row r="55" spans="3:13">
      <c r="L55" s="236"/>
    </row>
    <row r="57" spans="3:13">
      <c r="J57" s="90"/>
      <c r="L57" s="236"/>
      <c r="M57" s="236"/>
    </row>
    <row r="58" spans="3:13">
      <c r="J58" s="90"/>
      <c r="L58" s="236"/>
      <c r="M58" s="400"/>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K21"/>
  <sheetViews>
    <sheetView zoomScaleNormal="100" workbookViewId="0">
      <selection activeCell="A3" sqref="A3:I3"/>
    </sheetView>
  </sheetViews>
  <sheetFormatPr defaultRowHeight="15.75"/>
  <cols>
    <col min="1" max="5" width="9.140625" style="6"/>
    <col min="6" max="6" width="20.7109375" style="6" customWidth="1"/>
    <col min="7" max="16384" width="9.140625" style="6"/>
  </cols>
  <sheetData>
    <row r="1" spans="1:11">
      <c r="A1" s="1039" t="s">
        <v>60</v>
      </c>
      <c r="B1" s="1039"/>
      <c r="C1" s="1039"/>
      <c r="D1" s="1039"/>
      <c r="E1" s="1039"/>
      <c r="F1" s="1039"/>
      <c r="G1" s="1039"/>
      <c r="H1" s="1039"/>
      <c r="I1" s="1039"/>
      <c r="J1" s="5"/>
      <c r="K1" s="5"/>
    </row>
    <row r="2" spans="1:11">
      <c r="A2" s="1039" t="s">
        <v>1588</v>
      </c>
      <c r="B2" s="1039"/>
      <c r="C2" s="1039"/>
      <c r="D2" s="1039"/>
      <c r="E2" s="1039"/>
      <c r="F2" s="1039"/>
      <c r="G2" s="1039"/>
      <c r="H2" s="1039"/>
      <c r="I2" s="1039"/>
      <c r="J2" s="5"/>
      <c r="K2" s="5"/>
    </row>
    <row r="3" spans="1:11">
      <c r="A3" s="1039" t="s">
        <v>1604</v>
      </c>
      <c r="B3" s="1039"/>
      <c r="C3" s="1039"/>
      <c r="D3" s="1039"/>
      <c r="E3" s="1039"/>
      <c r="F3" s="1039"/>
      <c r="G3" s="1039"/>
      <c r="H3" s="1039"/>
      <c r="I3" s="1039"/>
      <c r="J3" s="5"/>
      <c r="K3" s="5"/>
    </row>
    <row r="4" spans="1:11">
      <c r="A4" s="1039" t="s">
        <v>1044</v>
      </c>
      <c r="B4" s="1039"/>
      <c r="C4" s="1039"/>
      <c r="D4" s="1039"/>
      <c r="E4" s="1039"/>
      <c r="F4" s="1039"/>
      <c r="G4" s="1039"/>
      <c r="H4" s="1039"/>
      <c r="I4" s="1039"/>
      <c r="J4" s="5"/>
      <c r="K4" s="5"/>
    </row>
    <row r="5" spans="1:11">
      <c r="A5" s="1039" t="s">
        <v>906</v>
      </c>
      <c r="B5" s="1039"/>
      <c r="C5" s="1039"/>
      <c r="D5" s="1039"/>
      <c r="E5" s="1039"/>
      <c r="F5" s="1039"/>
      <c r="G5" s="1039"/>
      <c r="H5" s="1039"/>
      <c r="I5" s="1039"/>
      <c r="J5" s="5"/>
      <c r="K5" s="5"/>
    </row>
    <row r="8" spans="1:11">
      <c r="A8" s="546" t="s">
        <v>1045</v>
      </c>
      <c r="B8" s="37"/>
      <c r="C8" s="37"/>
      <c r="D8" s="37"/>
      <c r="E8" s="37"/>
      <c r="F8" s="37"/>
      <c r="G8" s="37"/>
      <c r="H8" s="37"/>
      <c r="I8" s="37"/>
      <c r="J8" s="37"/>
      <c r="K8" s="37"/>
    </row>
    <row r="10" spans="1:11">
      <c r="D10" s="8" t="s">
        <v>812</v>
      </c>
      <c r="E10" s="8" t="s">
        <v>1629</v>
      </c>
      <c r="F10" s="8" t="s">
        <v>1627</v>
      </c>
    </row>
    <row r="11" spans="1:11" ht="63">
      <c r="D11" s="8"/>
      <c r="E11" s="547" t="s">
        <v>1623</v>
      </c>
      <c r="F11" s="548" t="s">
        <v>1875</v>
      </c>
    </row>
    <row r="12" spans="1:11">
      <c r="D12" s="8">
        <v>1</v>
      </c>
      <c r="E12" s="8" t="s">
        <v>1046</v>
      </c>
      <c r="F12" s="528">
        <v>66666.67</v>
      </c>
    </row>
    <row r="13" spans="1:11">
      <c r="D13" s="8">
        <v>2</v>
      </c>
      <c r="E13" s="8" t="s">
        <v>1047</v>
      </c>
      <c r="F13" s="528">
        <v>66666.67</v>
      </c>
    </row>
    <row r="14" spans="1:11">
      <c r="D14" s="8">
        <v>3</v>
      </c>
      <c r="E14" s="8" t="s">
        <v>1048</v>
      </c>
      <c r="F14" s="528">
        <v>66666.67</v>
      </c>
    </row>
    <row r="15" spans="1:11">
      <c r="D15" s="8">
        <v>4</v>
      </c>
      <c r="E15" s="8" t="s">
        <v>1049</v>
      </c>
      <c r="F15" s="528">
        <v>66666.67</v>
      </c>
    </row>
    <row r="16" spans="1:11">
      <c r="D16" s="8">
        <v>5</v>
      </c>
      <c r="E16" s="8" t="s">
        <v>1050</v>
      </c>
      <c r="F16" s="528">
        <v>66666.67</v>
      </c>
    </row>
    <row r="17" spans="3:6">
      <c r="D17" s="8">
        <v>6</v>
      </c>
      <c r="E17" s="8" t="s">
        <v>1051</v>
      </c>
      <c r="F17" s="528">
        <v>66666.67</v>
      </c>
    </row>
    <row r="18" spans="3:6">
      <c r="D18" s="8">
        <v>7</v>
      </c>
      <c r="E18" s="8" t="s">
        <v>1052</v>
      </c>
      <c r="F18" s="528">
        <v>66666.67</v>
      </c>
    </row>
    <row r="19" spans="3:6">
      <c r="C19" s="459"/>
      <c r="D19" s="8">
        <v>8</v>
      </c>
      <c r="E19" s="8" t="s">
        <v>1053</v>
      </c>
      <c r="F19" s="528">
        <v>66666.67</v>
      </c>
    </row>
    <row r="20" spans="3:6" ht="16.5" thickBot="1">
      <c r="D20" s="8">
        <v>9</v>
      </c>
      <c r="E20" s="8" t="s">
        <v>58</v>
      </c>
      <c r="F20" s="688">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M21"/>
  <sheetViews>
    <sheetView workbookViewId="0">
      <selection activeCell="B16" sqref="B16"/>
    </sheetView>
  </sheetViews>
  <sheetFormatPr defaultRowHeight="15.75"/>
  <cols>
    <col min="1" max="1" width="9.28515625" style="550" bestFit="1" customWidth="1"/>
    <col min="2" max="2" width="13.5703125" style="146" bestFit="1" customWidth="1"/>
    <col min="3" max="4" width="10.85546875" style="146" bestFit="1" customWidth="1"/>
    <col min="5" max="5" width="15.42578125" style="146" bestFit="1" customWidth="1"/>
    <col min="6" max="6" width="10.85546875" style="146" bestFit="1" customWidth="1"/>
    <col min="7" max="7" width="9.28515625" style="146" bestFit="1" customWidth="1"/>
    <col min="8" max="8" width="12.7109375" style="550" bestFit="1" customWidth="1"/>
    <col min="9" max="16384" width="9.140625" style="146"/>
  </cols>
  <sheetData>
    <row r="1" spans="1:13">
      <c r="A1" s="1039" t="s">
        <v>60</v>
      </c>
      <c r="B1" s="1039"/>
      <c r="C1" s="1039"/>
      <c r="D1" s="1039"/>
      <c r="E1" s="1039"/>
      <c r="F1" s="1039"/>
      <c r="G1" s="1039"/>
      <c r="H1" s="1039"/>
      <c r="I1" s="5"/>
      <c r="J1" s="5"/>
      <c r="K1" s="549"/>
      <c r="L1" s="549"/>
      <c r="M1" s="549"/>
    </row>
    <row r="2" spans="1:13">
      <c r="A2" s="1039" t="s">
        <v>1588</v>
      </c>
      <c r="B2" s="1039"/>
      <c r="C2" s="1039"/>
      <c r="D2" s="1039"/>
      <c r="E2" s="1039"/>
      <c r="F2" s="1039"/>
      <c r="G2" s="1039"/>
      <c r="H2" s="1039"/>
      <c r="I2" s="5"/>
      <c r="J2" s="5"/>
      <c r="K2" s="549"/>
      <c r="L2" s="549"/>
      <c r="M2" s="549"/>
    </row>
    <row r="3" spans="1:13">
      <c r="A3" s="1039" t="s">
        <v>1605</v>
      </c>
      <c r="B3" s="1039"/>
      <c r="C3" s="1039"/>
      <c r="D3" s="1039"/>
      <c r="E3" s="1039"/>
      <c r="F3" s="1039"/>
      <c r="G3" s="1039"/>
      <c r="H3" s="1039"/>
      <c r="I3" s="5"/>
      <c r="J3" s="5"/>
      <c r="K3" s="549"/>
      <c r="L3" s="549"/>
      <c r="M3" s="549"/>
    </row>
    <row r="4" spans="1:13">
      <c r="A4" s="1039" t="s">
        <v>86</v>
      </c>
      <c r="B4" s="1039"/>
      <c r="C4" s="1039"/>
      <c r="D4" s="1039"/>
      <c r="E4" s="1039"/>
      <c r="F4" s="1039"/>
      <c r="G4" s="1039"/>
      <c r="H4" s="1039"/>
      <c r="I4" s="5"/>
      <c r="J4" s="5"/>
      <c r="K4" s="549"/>
      <c r="L4" s="549"/>
      <c r="M4" s="549"/>
    </row>
    <row r="5" spans="1:13">
      <c r="A5" s="1039" t="s">
        <v>906</v>
      </c>
      <c r="B5" s="1039"/>
      <c r="C5" s="1039"/>
      <c r="D5" s="1039"/>
      <c r="E5" s="1039"/>
      <c r="F5" s="1039"/>
      <c r="G5" s="1039"/>
      <c r="H5" s="1039"/>
      <c r="I5" s="5"/>
      <c r="J5" s="5"/>
      <c r="K5" s="549"/>
      <c r="L5" s="549"/>
      <c r="M5" s="549"/>
    </row>
    <row r="6" spans="1:13">
      <c r="K6" s="549"/>
      <c r="L6" s="549"/>
      <c r="M6" s="549"/>
    </row>
    <row r="7" spans="1:13">
      <c r="K7" s="549"/>
      <c r="L7" s="549"/>
      <c r="M7" s="549"/>
    </row>
    <row r="8" spans="1:13">
      <c r="K8" s="549"/>
      <c r="L8" s="549"/>
      <c r="M8" s="549"/>
    </row>
    <row r="9" spans="1:13" s="550" customFormat="1">
      <c r="B9" s="550" t="s">
        <v>1629</v>
      </c>
      <c r="C9" s="550" t="s">
        <v>1627</v>
      </c>
      <c r="D9" s="550" t="s">
        <v>1628</v>
      </c>
      <c r="E9" s="550" t="s">
        <v>1631</v>
      </c>
      <c r="F9" s="550" t="s">
        <v>1632</v>
      </c>
      <c r="G9" s="550" t="s">
        <v>1641</v>
      </c>
      <c r="H9" s="550" t="s">
        <v>1642</v>
      </c>
      <c r="K9" s="551"/>
      <c r="L9" s="551"/>
      <c r="M9" s="551"/>
    </row>
    <row r="10" spans="1:13">
      <c r="B10" s="552" t="s">
        <v>379</v>
      </c>
      <c r="C10" s="549"/>
      <c r="D10" s="549"/>
      <c r="E10" s="549"/>
      <c r="F10" s="549"/>
      <c r="G10" s="549"/>
      <c r="H10" s="551"/>
      <c r="I10" s="549"/>
      <c r="J10" s="549"/>
    </row>
    <row r="11" spans="1:13">
      <c r="B11" s="549"/>
      <c r="C11" s="549"/>
      <c r="D11" s="549"/>
      <c r="E11" s="553"/>
      <c r="F11" s="549"/>
      <c r="G11" s="549"/>
      <c r="H11" s="551"/>
      <c r="I11" s="549"/>
      <c r="J11" s="549"/>
    </row>
    <row r="12" spans="1:13">
      <c r="A12" s="550" t="s">
        <v>812</v>
      </c>
      <c r="B12" s="549" t="s">
        <v>92</v>
      </c>
      <c r="C12" s="551" t="s">
        <v>93</v>
      </c>
      <c r="D12" s="551"/>
      <c r="E12" s="551" t="s">
        <v>94</v>
      </c>
      <c r="F12" s="551"/>
      <c r="G12" s="551" t="s">
        <v>95</v>
      </c>
      <c r="H12" s="551"/>
      <c r="I12" s="549"/>
      <c r="J12" s="549"/>
    </row>
    <row r="13" spans="1:13">
      <c r="A13" s="550">
        <v>1</v>
      </c>
      <c r="B13" s="554">
        <v>42735</v>
      </c>
      <c r="C13" s="551" t="s">
        <v>96</v>
      </c>
      <c r="D13" s="551" t="s">
        <v>97</v>
      </c>
      <c r="E13" s="551" t="s">
        <v>98</v>
      </c>
      <c r="F13" s="551" t="s">
        <v>62</v>
      </c>
      <c r="G13" s="551" t="s">
        <v>99</v>
      </c>
      <c r="H13" s="555" t="s">
        <v>100</v>
      </c>
      <c r="I13" s="549"/>
      <c r="J13" s="549"/>
    </row>
    <row r="14" spans="1:13">
      <c r="B14" s="554"/>
      <c r="C14" s="551"/>
      <c r="D14" s="551"/>
      <c r="E14" s="551"/>
      <c r="F14" s="551"/>
      <c r="G14" s="556"/>
      <c r="H14" s="557"/>
    </row>
    <row r="15" spans="1:13">
      <c r="B15" s="549"/>
      <c r="C15" s="551"/>
      <c r="D15" s="551"/>
      <c r="E15" s="551"/>
      <c r="F15" s="551"/>
      <c r="G15" s="551"/>
      <c r="H15" s="557"/>
    </row>
    <row r="16" spans="1:13" ht="16.5" thickBot="1">
      <c r="A16" s="550">
        <v>2</v>
      </c>
      <c r="B16" s="558">
        <f>+'Exh MPP-8 - ROO Summary Sheet'!P40</f>
        <v>311355995.40782863</v>
      </c>
      <c r="C16" s="559">
        <f>+'Capital Structure Calculation'!J11</f>
        <v>2.648E-2</v>
      </c>
      <c r="D16" s="557">
        <f>B16*C16</f>
        <v>8244706.7583993021</v>
      </c>
      <c r="E16" s="557">
        <f>+'Operating Report'!G159</f>
        <v>8752011.7399999984</v>
      </c>
      <c r="F16" s="551">
        <f>+D16-E16</f>
        <v>-507304.98160069622</v>
      </c>
      <c r="G16" s="560">
        <f>+'Exh MPP-10 - Conversion Factor'!C33</f>
        <v>0.21</v>
      </c>
      <c r="H16" s="561">
        <f>+F16*-G16</f>
        <v>106534.04613614621</v>
      </c>
      <c r="K16" s="549"/>
      <c r="L16" s="549"/>
      <c r="M16" s="549"/>
    </row>
    <row r="17" spans="2:13" ht="16.5" thickTop="1">
      <c r="B17" s="549"/>
      <c r="C17" s="549"/>
      <c r="D17" s="562"/>
      <c r="E17" s="549"/>
      <c r="F17" s="549"/>
      <c r="G17" s="563"/>
      <c r="H17" s="551"/>
      <c r="K17" s="549"/>
      <c r="L17" s="564"/>
      <c r="M17" s="549"/>
    </row>
    <row r="18" spans="2:13">
      <c r="G18" s="549"/>
      <c r="H18" s="551"/>
      <c r="K18" s="549"/>
      <c r="L18" s="549"/>
      <c r="M18" s="549"/>
    </row>
    <row r="19" spans="2:13">
      <c r="B19" s="565"/>
      <c r="C19" s="562"/>
      <c r="D19" s="562"/>
      <c r="E19" s="549"/>
      <c r="F19" s="549"/>
      <c r="I19" s="549"/>
      <c r="J19" s="549"/>
      <c r="K19" s="549"/>
      <c r="L19" s="549"/>
      <c r="M19" s="549"/>
    </row>
    <row r="20" spans="2:13">
      <c r="B20" s="549"/>
      <c r="C20" s="549"/>
      <c r="D20" s="549"/>
      <c r="E20" s="549"/>
      <c r="F20" s="549"/>
      <c r="I20" s="549"/>
      <c r="J20" s="549"/>
      <c r="K20" s="549"/>
      <c r="L20" s="549"/>
      <c r="M20" s="551"/>
    </row>
    <row r="21" spans="2:13">
      <c r="G21" s="549"/>
      <c r="H21" s="551"/>
      <c r="I21" s="549"/>
      <c r="J21" s="549"/>
      <c r="K21" s="549"/>
      <c r="L21" s="549"/>
      <c r="M21" s="549"/>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topLeftCell="A10" workbookViewId="0">
      <selection activeCell="A25" sqref="A25"/>
    </sheetView>
  </sheetViews>
  <sheetFormatPr defaultRowHeight="15"/>
  <cols>
    <col min="1" max="1" width="98.7109375" style="4" customWidth="1"/>
    <col min="2" max="2" width="29.42578125" style="4" customWidth="1"/>
    <col min="3" max="16384" width="9.140625" style="4"/>
  </cols>
  <sheetData>
    <row r="1" spans="1:7" ht="15.75">
      <c r="A1" s="20" t="s">
        <v>2318</v>
      </c>
    </row>
    <row r="2" spans="1:7" ht="15.75">
      <c r="A2" s="20" t="s">
        <v>117</v>
      </c>
    </row>
    <row r="3" spans="1:7" ht="15.75">
      <c r="A3" s="20" t="s">
        <v>1546</v>
      </c>
    </row>
    <row r="4" spans="1:7" ht="15.75">
      <c r="A4" s="21"/>
    </row>
    <row r="5" spans="1:7" ht="15.75">
      <c r="A5" s="22"/>
    </row>
    <row r="6" spans="1:7" ht="15.75">
      <c r="A6" s="22"/>
    </row>
    <row r="7" spans="1:7" ht="15.75">
      <c r="A7" s="22"/>
    </row>
    <row r="8" spans="1:7" ht="15.75">
      <c r="A8" s="22" t="s">
        <v>2316</v>
      </c>
    </row>
    <row r="9" spans="1:7" ht="15.75">
      <c r="A9" s="22"/>
    </row>
    <row r="10" spans="1:7" ht="15.75">
      <c r="A10" s="22"/>
    </row>
    <row r="11" spans="1:7" ht="15.75">
      <c r="A11" s="22"/>
      <c r="G11" s="3"/>
    </row>
    <row r="12" spans="1:7" ht="15.75">
      <c r="A12" s="22"/>
    </row>
    <row r="13" spans="1:7" ht="15.75">
      <c r="A13" s="22"/>
      <c r="C13" s="26"/>
    </row>
    <row r="14" spans="1:7" ht="15.75">
      <c r="A14" s="22"/>
    </row>
    <row r="15" spans="1:7" ht="15.75">
      <c r="A15" s="22"/>
    </row>
    <row r="16" spans="1:7" ht="15.75">
      <c r="A16" s="23"/>
    </row>
    <row r="17" spans="1:1" ht="15.75">
      <c r="A17" s="23"/>
    </row>
    <row r="18" spans="1:1" ht="15.75">
      <c r="A18" s="22"/>
    </row>
    <row r="19" spans="1:1" ht="15.75">
      <c r="A19" s="23" t="s">
        <v>125</v>
      </c>
    </row>
    <row r="20" spans="1:1" ht="15.75">
      <c r="A20" s="23"/>
    </row>
    <row r="21" spans="1:1" ht="15.75">
      <c r="A21" s="23" t="s">
        <v>1547</v>
      </c>
    </row>
    <row r="22" spans="1:1" ht="15.75">
      <c r="A22" s="23"/>
    </row>
    <row r="23" spans="1:1" ht="15.75">
      <c r="A23" s="23"/>
    </row>
    <row r="24" spans="1:1" ht="15.75">
      <c r="A24" s="24" t="s">
        <v>1580</v>
      </c>
    </row>
    <row r="25" spans="1:1" ht="15.75">
      <c r="A25" s="23"/>
    </row>
    <row r="26" spans="1:1" ht="15.75">
      <c r="A26" s="23"/>
    </row>
    <row r="27" spans="1:1" ht="15.75">
      <c r="A27" s="23"/>
    </row>
    <row r="28" spans="1:1" ht="15.75">
      <c r="A28" s="23"/>
    </row>
    <row r="29" spans="1:1" ht="15.75">
      <c r="A29" s="23"/>
    </row>
    <row r="30" spans="1:1" ht="15.75">
      <c r="A30" s="803" t="s">
        <v>2327</v>
      </c>
    </row>
    <row r="31" spans="1:1">
      <c r="A31" s="25"/>
    </row>
    <row r="32" spans="1:1">
      <c r="A32" s="3"/>
    </row>
    <row r="33" spans="1:1">
      <c r="A33" s="3"/>
    </row>
    <row r="34" spans="1:1">
      <c r="A34" s="3"/>
    </row>
    <row r="35" spans="1:1">
      <c r="A35" s="3"/>
    </row>
    <row r="36" spans="1:1">
      <c r="A36" s="3"/>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Q89"/>
  <sheetViews>
    <sheetView view="pageBreakPreview" zoomScale="70" zoomScaleNormal="100" zoomScaleSheetLayoutView="70" workbookViewId="0">
      <selection activeCell="M70" sqref="M70:M84"/>
    </sheetView>
  </sheetViews>
  <sheetFormatPr defaultRowHeight="15.75"/>
  <cols>
    <col min="1" max="1" width="10.140625" style="8" customWidth="1"/>
    <col min="2" max="2" width="46.140625" style="6" customWidth="1"/>
    <col min="3" max="3" width="12.140625" style="6" customWidth="1"/>
    <col min="4" max="4" width="18.42578125" style="6" bestFit="1" customWidth="1"/>
    <col min="5" max="5" width="12.7109375" style="6" bestFit="1" customWidth="1"/>
    <col min="6" max="6" width="19" style="6" bestFit="1" customWidth="1"/>
    <col min="7" max="7" width="8.140625" style="6" bestFit="1" customWidth="1"/>
    <col min="8" max="8" width="17.5703125" style="6" customWidth="1"/>
    <col min="9" max="9" width="19" style="6" customWidth="1"/>
    <col min="10" max="10" width="13.28515625" style="6" customWidth="1"/>
    <col min="11" max="11" width="19.5703125" style="6" customWidth="1"/>
    <col min="12" max="12" width="18.42578125" style="6" customWidth="1"/>
    <col min="13" max="13" width="8.140625" style="6" bestFit="1" customWidth="1"/>
    <col min="14" max="14" width="19" style="6" bestFit="1" customWidth="1"/>
    <col min="15" max="15" width="17.85546875" style="6" bestFit="1" customWidth="1"/>
    <col min="16" max="16" width="17.85546875" style="6" customWidth="1"/>
    <col min="17" max="17" width="22.140625" style="6" bestFit="1" customWidth="1"/>
    <col min="18" max="16384" width="9.140625" style="6"/>
  </cols>
  <sheetData>
    <row r="1" spans="1:17">
      <c r="C1" s="469"/>
      <c r="D1" s="469"/>
      <c r="E1" s="1039" t="s">
        <v>60</v>
      </c>
      <c r="F1" s="1039"/>
      <c r="G1" s="1039"/>
      <c r="H1" s="1039"/>
      <c r="I1" s="1039"/>
      <c r="J1" s="1039"/>
      <c r="K1" s="1039"/>
      <c r="L1" s="1039"/>
      <c r="N1" s="469"/>
      <c r="O1" s="469"/>
      <c r="P1" s="469"/>
      <c r="Q1" s="469"/>
    </row>
    <row r="2" spans="1:17">
      <c r="C2" s="566"/>
      <c r="D2" s="566"/>
      <c r="E2" s="1039" t="s">
        <v>1588</v>
      </c>
      <c r="F2" s="1039"/>
      <c r="G2" s="1039"/>
      <c r="H2" s="1039"/>
      <c r="I2" s="1039"/>
      <c r="J2" s="1039"/>
      <c r="K2" s="1039"/>
      <c r="L2" s="1039"/>
      <c r="N2" s="566"/>
      <c r="O2" s="566"/>
      <c r="P2" s="566"/>
      <c r="Q2" s="566"/>
    </row>
    <row r="3" spans="1:17">
      <c r="C3" s="566"/>
      <c r="D3" s="566"/>
      <c r="E3" s="1039" t="s">
        <v>1606</v>
      </c>
      <c r="F3" s="1039"/>
      <c r="G3" s="1039"/>
      <c r="H3" s="1039"/>
      <c r="I3" s="1039"/>
      <c r="J3" s="1039"/>
      <c r="K3" s="1039"/>
      <c r="L3" s="1039"/>
      <c r="N3" s="566"/>
      <c r="O3" s="566"/>
      <c r="P3" s="566"/>
      <c r="Q3" s="566"/>
    </row>
    <row r="4" spans="1:17">
      <c r="C4" s="566"/>
      <c r="D4" s="566"/>
      <c r="E4" s="1039" t="s">
        <v>901</v>
      </c>
      <c r="F4" s="1039"/>
      <c r="G4" s="1039"/>
      <c r="H4" s="1039"/>
      <c r="I4" s="1039"/>
      <c r="J4" s="1039"/>
      <c r="K4" s="1039"/>
      <c r="L4" s="1039"/>
      <c r="N4" s="566"/>
      <c r="O4" s="566"/>
      <c r="P4" s="566"/>
      <c r="Q4" s="566"/>
    </row>
    <row r="5" spans="1:17">
      <c r="C5" s="567"/>
      <c r="D5" s="567"/>
      <c r="E5" s="1039" t="s">
        <v>906</v>
      </c>
      <c r="F5" s="1039"/>
      <c r="G5" s="1039"/>
      <c r="H5" s="1039"/>
      <c r="I5" s="1039"/>
      <c r="J5" s="1039"/>
      <c r="K5" s="1039"/>
      <c r="L5" s="1039"/>
      <c r="N5" s="568"/>
      <c r="O5" s="568"/>
      <c r="P5" s="568"/>
      <c r="Q5" s="568"/>
    </row>
    <row r="6" spans="1:17">
      <c r="C6" s="567"/>
      <c r="D6" s="567"/>
      <c r="E6" s="567"/>
      <c r="F6" s="38"/>
      <c r="G6" s="38"/>
      <c r="H6" s="38"/>
      <c r="I6" s="38"/>
      <c r="J6" s="38"/>
      <c r="K6" s="38"/>
      <c r="L6" s="38"/>
      <c r="M6" s="38"/>
      <c r="N6" s="568"/>
      <c r="O6" s="568"/>
      <c r="P6" s="568"/>
      <c r="Q6" s="568"/>
    </row>
    <row r="7" spans="1:17" s="8" customFormat="1">
      <c r="B7" s="8" t="s">
        <v>1629</v>
      </c>
      <c r="C7" s="8" t="s">
        <v>1627</v>
      </c>
      <c r="D7" s="8" t="s">
        <v>1628</v>
      </c>
      <c r="E7" s="8" t="s">
        <v>1631</v>
      </c>
      <c r="F7" s="8" t="s">
        <v>1632</v>
      </c>
      <c r="G7" s="8" t="s">
        <v>1641</v>
      </c>
      <c r="H7" s="8" t="s">
        <v>1642</v>
      </c>
      <c r="I7" s="569" t="s">
        <v>1643</v>
      </c>
      <c r="J7" s="569" t="s">
        <v>1644</v>
      </c>
      <c r="K7" s="569" t="s">
        <v>1645</v>
      </c>
      <c r="L7" s="569" t="s">
        <v>1646</v>
      </c>
      <c r="M7" s="569" t="s">
        <v>1647</v>
      </c>
      <c r="N7" s="569" t="s">
        <v>1648</v>
      </c>
      <c r="O7" s="569" t="s">
        <v>1649</v>
      </c>
      <c r="P7" s="569"/>
      <c r="Q7" s="569" t="s">
        <v>1650</v>
      </c>
    </row>
    <row r="8" spans="1:17">
      <c r="D8" s="6" t="s">
        <v>854</v>
      </c>
      <c r="E8" s="6" t="s">
        <v>855</v>
      </c>
      <c r="F8" s="6" t="s">
        <v>856</v>
      </c>
      <c r="G8" s="8"/>
      <c r="H8" s="6" t="s">
        <v>857</v>
      </c>
      <c r="P8" s="6" t="s">
        <v>58</v>
      </c>
      <c r="Q8" s="6" t="s">
        <v>58</v>
      </c>
    </row>
    <row r="9" spans="1:17">
      <c r="C9" s="6" t="s">
        <v>84</v>
      </c>
      <c r="D9" s="8" t="s">
        <v>2036</v>
      </c>
      <c r="E9" s="6" t="s">
        <v>72</v>
      </c>
      <c r="F9" s="6" t="s">
        <v>2037</v>
      </c>
      <c r="G9" s="8" t="s">
        <v>2038</v>
      </c>
      <c r="H9" s="6" t="s">
        <v>953</v>
      </c>
      <c r="I9" s="6" t="s">
        <v>110</v>
      </c>
      <c r="J9" s="6" t="s">
        <v>858</v>
      </c>
      <c r="K9" s="6" t="s">
        <v>858</v>
      </c>
      <c r="L9" s="6" t="s">
        <v>954</v>
      </c>
      <c r="N9" s="6" t="s">
        <v>955</v>
      </c>
      <c r="O9" s="6" t="s">
        <v>955</v>
      </c>
      <c r="P9" s="6" t="s">
        <v>2306</v>
      </c>
      <c r="Q9" s="6" t="s">
        <v>2305</v>
      </c>
    </row>
    <row r="10" spans="1:17">
      <c r="A10" s="15" t="s">
        <v>1625</v>
      </c>
      <c r="C10" s="6" t="s">
        <v>859</v>
      </c>
      <c r="D10" s="6" t="s">
        <v>860</v>
      </c>
      <c r="E10" s="6" t="s">
        <v>861</v>
      </c>
      <c r="F10" s="6" t="s">
        <v>862</v>
      </c>
      <c r="H10" s="6" t="s">
        <v>863</v>
      </c>
      <c r="J10" s="6" t="s">
        <v>2039</v>
      </c>
      <c r="K10" s="6" t="s">
        <v>72</v>
      </c>
      <c r="L10" s="6" t="s">
        <v>113</v>
      </c>
      <c r="N10" s="6" t="s">
        <v>72</v>
      </c>
      <c r="O10" s="6" t="s">
        <v>113</v>
      </c>
      <c r="P10" s="6" t="s">
        <v>62</v>
      </c>
      <c r="Q10" s="6" t="s">
        <v>62</v>
      </c>
    </row>
    <row r="11" spans="1:17">
      <c r="A11" s="8">
        <v>1</v>
      </c>
      <c r="B11" s="6" t="s">
        <v>864</v>
      </c>
      <c r="D11" s="350">
        <f>+D36</f>
        <v>5559294.3251210293</v>
      </c>
      <c r="E11" s="6" t="s">
        <v>956</v>
      </c>
      <c r="F11" s="350">
        <v>0</v>
      </c>
      <c r="G11" s="400">
        <v>0.04</v>
      </c>
      <c r="H11" s="350">
        <f>+F11*G11</f>
        <v>0</v>
      </c>
      <c r="I11" s="350">
        <f>+D11+H11</f>
        <v>5559294.3251210293</v>
      </c>
      <c r="J11" s="400">
        <f>K36/I36</f>
        <v>4.6699999999999992E-2</v>
      </c>
      <c r="K11" s="350">
        <f>+I11*J11</f>
        <v>259619.04498315201</v>
      </c>
      <c r="L11" s="350">
        <f>+I11+K11</f>
        <v>5818913.3701041816</v>
      </c>
      <c r="M11" s="400">
        <f>N36/L36</f>
        <v>3.6399999999999995E-2</v>
      </c>
      <c r="N11" s="491">
        <f>+L11*M11</f>
        <v>211808.44667179219</v>
      </c>
      <c r="O11" s="491">
        <f>+L11+N11</f>
        <v>6030721.8167759739</v>
      </c>
      <c r="P11" s="491">
        <f>+H11</f>
        <v>0</v>
      </c>
      <c r="Q11" s="350">
        <f>+N11+K11</f>
        <v>471427.4916549442</v>
      </c>
    </row>
    <row r="12" spans="1:17">
      <c r="A12" s="8">
        <v>2</v>
      </c>
      <c r="D12" s="350"/>
      <c r="F12" s="350"/>
      <c r="G12" s="400"/>
      <c r="H12" s="350"/>
      <c r="I12" s="350"/>
      <c r="J12" s="400"/>
      <c r="K12" s="350"/>
      <c r="L12" s="350"/>
      <c r="M12" s="400"/>
      <c r="N12" s="491"/>
    </row>
    <row r="13" spans="1:17" ht="16.5" thickBot="1">
      <c r="A13" s="8">
        <v>3</v>
      </c>
      <c r="B13" s="6" t="s">
        <v>865</v>
      </c>
      <c r="D13" s="570">
        <f>+D61</f>
        <v>8859248.0217900351</v>
      </c>
      <c r="E13" s="571" t="s">
        <v>866</v>
      </c>
      <c r="F13" s="570">
        <f>+F61</f>
        <v>2308180.6871949974</v>
      </c>
      <c r="G13" s="572">
        <v>3.1E-2</v>
      </c>
      <c r="H13" s="570">
        <f>+F13*G13</f>
        <v>71553.601303044925</v>
      </c>
      <c r="I13" s="570">
        <f>+D13+H13</f>
        <v>8930801.6230930798</v>
      </c>
      <c r="J13" s="572">
        <v>3.1E-2</v>
      </c>
      <c r="K13" s="570">
        <f>+I13*J13</f>
        <v>276854.85031588544</v>
      </c>
      <c r="L13" s="570">
        <f>+I13+K13</f>
        <v>9207656.4734089654</v>
      </c>
      <c r="M13" s="572">
        <v>3.1E-2</v>
      </c>
      <c r="N13" s="573">
        <f>+L13*M13</f>
        <v>285437.35067567794</v>
      </c>
      <c r="O13" s="573">
        <f>+L13+N13</f>
        <v>9493093.8240846433</v>
      </c>
      <c r="P13" s="573">
        <f>+H13</f>
        <v>71553.601303044925</v>
      </c>
      <c r="Q13" s="570">
        <f>+N13+K13</f>
        <v>562292.20099156338</v>
      </c>
    </row>
    <row r="14" spans="1:17">
      <c r="A14" s="8">
        <v>4</v>
      </c>
      <c r="D14" s="350"/>
      <c r="F14" s="350"/>
      <c r="G14" s="400"/>
      <c r="H14" s="350"/>
      <c r="I14" s="350"/>
      <c r="J14" s="400"/>
      <c r="K14" s="350"/>
      <c r="L14" s="350"/>
      <c r="M14" s="400"/>
      <c r="N14" s="491"/>
    </row>
    <row r="15" spans="1:17" ht="16.5" thickBot="1">
      <c r="A15" s="8">
        <v>5</v>
      </c>
      <c r="D15" s="350">
        <v>13816265.910830002</v>
      </c>
      <c r="F15" s="350">
        <v>8816575.5899999999</v>
      </c>
      <c r="G15" s="400"/>
      <c r="H15" s="574">
        <f>+H11+H13</f>
        <v>71553.601303044925</v>
      </c>
      <c r="I15" s="350">
        <f>+I11+I13</f>
        <v>14490095.94821411</v>
      </c>
      <c r="J15" s="400"/>
      <c r="K15" s="574">
        <f>+K11+K13</f>
        <v>536473.89529903745</v>
      </c>
      <c r="L15" s="350">
        <f>+L11+L13</f>
        <v>15026569.843513146</v>
      </c>
      <c r="N15" s="574">
        <f>+N11+N13</f>
        <v>497245.79734747013</v>
      </c>
      <c r="P15" s="575">
        <f>+P11+P13</f>
        <v>71553.601303044925</v>
      </c>
      <c r="Q15" s="575">
        <f>+Q11+Q13</f>
        <v>1033719.6926465076</v>
      </c>
    </row>
    <row r="16" spans="1:17" ht="16.5" thickTop="1">
      <c r="A16" s="8">
        <v>6</v>
      </c>
      <c r="D16" s="350"/>
      <c r="F16" s="350"/>
      <c r="G16" s="400"/>
      <c r="H16" s="574"/>
      <c r="I16" s="350"/>
      <c r="J16" s="400"/>
      <c r="K16" s="574"/>
      <c r="L16" s="350"/>
      <c r="N16" s="574"/>
      <c r="Q16" s="576"/>
    </row>
    <row r="17" spans="1:17">
      <c r="A17" s="8">
        <v>7</v>
      </c>
      <c r="B17" s="6" t="s">
        <v>889</v>
      </c>
      <c r="D17" s="350"/>
      <c r="F17" s="350"/>
      <c r="G17" s="400"/>
      <c r="H17" s="574"/>
      <c r="I17" s="350"/>
      <c r="J17" s="400"/>
      <c r="K17" s="574"/>
      <c r="L17" s="350"/>
      <c r="N17" s="574"/>
      <c r="O17" s="400">
        <v>7.6499999999999999E-2</v>
      </c>
      <c r="P17" s="576">
        <f>+P15*O17</f>
        <v>5473.850499682937</v>
      </c>
      <c r="Q17" s="576">
        <f>+Q15*O17</f>
        <v>79079.556487457827</v>
      </c>
    </row>
    <row r="18" spans="1:17">
      <c r="A18" s="8">
        <v>8</v>
      </c>
      <c r="D18" s="350"/>
      <c r="G18" s="400"/>
      <c r="K18" s="350"/>
      <c r="L18" s="350"/>
      <c r="N18" s="491"/>
    </row>
    <row r="19" spans="1:17">
      <c r="A19" s="8">
        <v>9</v>
      </c>
      <c r="B19" s="6" t="s">
        <v>864</v>
      </c>
    </row>
    <row r="20" spans="1:17">
      <c r="A20" s="8">
        <v>10</v>
      </c>
      <c r="C20" s="577" t="s">
        <v>867</v>
      </c>
      <c r="D20" s="91">
        <v>198112.25077799964</v>
      </c>
      <c r="G20" s="400"/>
      <c r="H20" s="350">
        <f t="shared" ref="H20:H34" si="0">+F20*G20</f>
        <v>0</v>
      </c>
      <c r="I20" s="350">
        <f t="shared" ref="I20:I34" si="1">+D20+H20</f>
        <v>198112.25077799964</v>
      </c>
      <c r="J20" s="578">
        <v>4.6699999999999998E-2</v>
      </c>
      <c r="K20" s="350">
        <f>+I20*J20</f>
        <v>9251.8421113325821</v>
      </c>
      <c r="L20" s="350">
        <f>+I20+K20</f>
        <v>207364.09288933221</v>
      </c>
      <c r="M20" s="400">
        <v>3.6400000000000002E-2</v>
      </c>
      <c r="N20" s="491">
        <f t="shared" ref="N20:N29" si="2">+L20*M20</f>
        <v>7548.0529811716933</v>
      </c>
      <c r="O20" s="350">
        <f>+N20+L20</f>
        <v>214912.14587050391</v>
      </c>
      <c r="P20" s="350">
        <f>+H20</f>
        <v>0</v>
      </c>
      <c r="Q20" s="350">
        <f>+N20+K20</f>
        <v>16799.895092504274</v>
      </c>
    </row>
    <row r="21" spans="1:17">
      <c r="A21" s="8">
        <v>11</v>
      </c>
      <c r="C21" s="577" t="s">
        <v>868</v>
      </c>
      <c r="D21" s="91">
        <v>1241025.4402469669</v>
      </c>
      <c r="G21" s="400"/>
      <c r="H21" s="350">
        <f t="shared" si="0"/>
        <v>0</v>
      </c>
      <c r="I21" s="350">
        <f t="shared" si="1"/>
        <v>1241025.4402469669</v>
      </c>
      <c r="J21" s="578">
        <v>4.6699999999999998E-2</v>
      </c>
      <c r="K21" s="350">
        <f t="shared" ref="K21:K34" si="3">+I21*J21</f>
        <v>57955.888059533354</v>
      </c>
      <c r="L21" s="350">
        <f t="shared" ref="L21:L34" si="4">+I21+K21</f>
        <v>1298981.3283065003</v>
      </c>
      <c r="M21" s="400">
        <v>3.6400000000000002E-2</v>
      </c>
      <c r="N21" s="491">
        <f t="shared" si="2"/>
        <v>47282.920350356617</v>
      </c>
      <c r="O21" s="350">
        <f t="shared" ref="O21:O34" si="5">+N21+L21</f>
        <v>1346264.2486568571</v>
      </c>
      <c r="P21" s="350">
        <f t="shared" ref="P21:P34" si="6">+H21</f>
        <v>0</v>
      </c>
      <c r="Q21" s="350">
        <f t="shared" ref="Q21:Q34" si="7">+N21+K21</f>
        <v>105238.80840988997</v>
      </c>
    </row>
    <row r="22" spans="1:17">
      <c r="A22" s="8">
        <v>12</v>
      </c>
      <c r="C22" s="577" t="s">
        <v>869</v>
      </c>
      <c r="D22" s="91">
        <v>352014.65952900029</v>
      </c>
      <c r="G22" s="400"/>
      <c r="H22" s="350">
        <f t="shared" si="0"/>
        <v>0</v>
      </c>
      <c r="I22" s="350">
        <f t="shared" si="1"/>
        <v>352014.65952900029</v>
      </c>
      <c r="J22" s="578">
        <v>4.6699999999999998E-2</v>
      </c>
      <c r="K22" s="350">
        <f t="shared" si="3"/>
        <v>16439.084600004313</v>
      </c>
      <c r="L22" s="350">
        <f t="shared" si="4"/>
        <v>368453.7441290046</v>
      </c>
      <c r="M22" s="400">
        <v>3.6400000000000002E-2</v>
      </c>
      <c r="N22" s="491">
        <f t="shared" si="2"/>
        <v>13411.716286295768</v>
      </c>
      <c r="O22" s="350">
        <f t="shared" si="5"/>
        <v>381865.46041530039</v>
      </c>
      <c r="P22" s="350">
        <f t="shared" si="6"/>
        <v>0</v>
      </c>
      <c r="Q22" s="350">
        <f t="shared" si="7"/>
        <v>29850.80088630008</v>
      </c>
    </row>
    <row r="23" spans="1:17">
      <c r="A23" s="8">
        <v>13</v>
      </c>
      <c r="C23" s="577" t="s">
        <v>870</v>
      </c>
      <c r="D23" s="91">
        <v>359591.65829400643</v>
      </c>
      <c r="G23" s="400"/>
      <c r="H23" s="350">
        <f t="shared" si="0"/>
        <v>0</v>
      </c>
      <c r="I23" s="350">
        <f t="shared" si="1"/>
        <v>359591.65829400643</v>
      </c>
      <c r="J23" s="578">
        <v>4.6699999999999998E-2</v>
      </c>
      <c r="K23" s="350">
        <f t="shared" si="3"/>
        <v>16792.9304423301</v>
      </c>
      <c r="L23" s="350">
        <f t="shared" si="4"/>
        <v>376384.5887363365</v>
      </c>
      <c r="M23" s="400">
        <v>3.6400000000000002E-2</v>
      </c>
      <c r="N23" s="491">
        <f t="shared" si="2"/>
        <v>13700.399030002649</v>
      </c>
      <c r="O23" s="350">
        <f t="shared" si="5"/>
        <v>390084.98776633915</v>
      </c>
      <c r="P23" s="350">
        <f t="shared" si="6"/>
        <v>0</v>
      </c>
      <c r="Q23" s="350">
        <f t="shared" si="7"/>
        <v>30493.329472332749</v>
      </c>
    </row>
    <row r="24" spans="1:17">
      <c r="A24" s="8">
        <v>14</v>
      </c>
      <c r="C24" s="577" t="s">
        <v>871</v>
      </c>
      <c r="D24" s="91">
        <v>7309.400000000006</v>
      </c>
      <c r="G24" s="400"/>
      <c r="H24" s="350">
        <f t="shared" si="0"/>
        <v>0</v>
      </c>
      <c r="I24" s="350">
        <f t="shared" si="1"/>
        <v>7309.400000000006</v>
      </c>
      <c r="J24" s="578">
        <v>4.6699999999999998E-2</v>
      </c>
      <c r="K24" s="350">
        <f t="shared" si="3"/>
        <v>341.34898000000027</v>
      </c>
      <c r="L24" s="350">
        <f t="shared" si="4"/>
        <v>7650.7489800000067</v>
      </c>
      <c r="M24" s="400">
        <v>3.6400000000000002E-2</v>
      </c>
      <c r="N24" s="491">
        <f t="shared" si="2"/>
        <v>278.48726287200026</v>
      </c>
      <c r="O24" s="350">
        <f t="shared" si="5"/>
        <v>7929.2362428720071</v>
      </c>
      <c r="P24" s="350">
        <f t="shared" si="6"/>
        <v>0</v>
      </c>
      <c r="Q24" s="350">
        <f t="shared" si="7"/>
        <v>619.83624287200053</v>
      </c>
    </row>
    <row r="25" spans="1:17">
      <c r="A25" s="8">
        <v>15</v>
      </c>
      <c r="C25" s="577" t="s">
        <v>873</v>
      </c>
      <c r="D25" s="91">
        <v>312094.9166350009</v>
      </c>
      <c r="G25" s="400"/>
      <c r="H25" s="350">
        <f t="shared" si="0"/>
        <v>0</v>
      </c>
      <c r="I25" s="350">
        <f t="shared" si="1"/>
        <v>312094.9166350009</v>
      </c>
      <c r="J25" s="578">
        <v>4.6699999999999998E-2</v>
      </c>
      <c r="K25" s="350">
        <f t="shared" si="3"/>
        <v>14574.832606854541</v>
      </c>
      <c r="L25" s="350">
        <f t="shared" si="4"/>
        <v>326669.74924185546</v>
      </c>
      <c r="M25" s="400">
        <v>3.6400000000000002E-2</v>
      </c>
      <c r="N25" s="491">
        <f t="shared" si="2"/>
        <v>11890.77887240354</v>
      </c>
      <c r="O25" s="350">
        <f t="shared" si="5"/>
        <v>338560.52811425901</v>
      </c>
      <c r="P25" s="350">
        <f t="shared" si="6"/>
        <v>0</v>
      </c>
      <c r="Q25" s="350">
        <f t="shared" si="7"/>
        <v>26465.611479258081</v>
      </c>
    </row>
    <row r="26" spans="1:17">
      <c r="A26" s="8">
        <v>16</v>
      </c>
      <c r="C26" s="577">
        <v>28850</v>
      </c>
      <c r="D26" s="91">
        <v>120636.82165100051</v>
      </c>
      <c r="G26" s="400"/>
      <c r="H26" s="350">
        <f t="shared" si="0"/>
        <v>0</v>
      </c>
      <c r="I26" s="350">
        <f t="shared" si="1"/>
        <v>120636.82165100051</v>
      </c>
      <c r="J26" s="578">
        <v>4.6699999999999998E-2</v>
      </c>
      <c r="K26" s="350">
        <f t="shared" si="3"/>
        <v>5633.7395711017234</v>
      </c>
      <c r="L26" s="350">
        <f t="shared" si="4"/>
        <v>126270.56122210223</v>
      </c>
      <c r="M26" s="400">
        <v>3.6400000000000002E-2</v>
      </c>
      <c r="N26" s="491">
        <f t="shared" si="2"/>
        <v>4596.2484284845214</v>
      </c>
      <c r="O26" s="350">
        <f t="shared" si="5"/>
        <v>130866.80965058676</v>
      </c>
      <c r="P26" s="350">
        <f t="shared" si="6"/>
        <v>0</v>
      </c>
      <c r="Q26" s="350">
        <f t="shared" si="7"/>
        <v>10229.987999586245</v>
      </c>
    </row>
    <row r="27" spans="1:17">
      <c r="A27" s="8">
        <v>17</v>
      </c>
      <c r="C27" s="577" t="s">
        <v>874</v>
      </c>
      <c r="D27" s="91">
        <v>8996.492940999995</v>
      </c>
      <c r="G27" s="400"/>
      <c r="H27" s="350">
        <f t="shared" si="0"/>
        <v>0</v>
      </c>
      <c r="I27" s="350">
        <f t="shared" si="1"/>
        <v>8996.492940999995</v>
      </c>
      <c r="J27" s="578">
        <v>4.6699999999999998E-2</v>
      </c>
      <c r="K27" s="350">
        <f t="shared" si="3"/>
        <v>420.13622034469978</v>
      </c>
      <c r="L27" s="350">
        <f t="shared" si="4"/>
        <v>9416.6291613446956</v>
      </c>
      <c r="M27" s="400">
        <v>3.6400000000000002E-2</v>
      </c>
      <c r="N27" s="491">
        <f t="shared" si="2"/>
        <v>342.76530147294693</v>
      </c>
      <c r="O27" s="350">
        <f t="shared" si="5"/>
        <v>9759.3944628176432</v>
      </c>
      <c r="P27" s="350">
        <f t="shared" si="6"/>
        <v>0</v>
      </c>
      <c r="Q27" s="350">
        <f t="shared" si="7"/>
        <v>762.90152181764665</v>
      </c>
    </row>
    <row r="28" spans="1:17">
      <c r="A28" s="8">
        <v>18</v>
      </c>
      <c r="C28" s="577" t="s">
        <v>877</v>
      </c>
      <c r="D28" s="91">
        <v>62790.160000000054</v>
      </c>
      <c r="G28" s="400"/>
      <c r="H28" s="350">
        <f t="shared" si="0"/>
        <v>0</v>
      </c>
      <c r="I28" s="350">
        <f t="shared" si="1"/>
        <v>62790.160000000054</v>
      </c>
      <c r="J28" s="578">
        <v>4.6699999999999998E-2</v>
      </c>
      <c r="K28" s="350">
        <f t="shared" si="3"/>
        <v>2932.3004720000026</v>
      </c>
      <c r="L28" s="350">
        <f t="shared" si="4"/>
        <v>65722.460472000064</v>
      </c>
      <c r="M28" s="400">
        <v>3.6400000000000002E-2</v>
      </c>
      <c r="N28" s="491">
        <f t="shared" si="2"/>
        <v>2392.2975611808024</v>
      </c>
      <c r="O28" s="350">
        <f t="shared" si="5"/>
        <v>68114.758033180871</v>
      </c>
      <c r="P28" s="350">
        <f t="shared" si="6"/>
        <v>0</v>
      </c>
      <c r="Q28" s="350">
        <f t="shared" si="7"/>
        <v>5324.598033180805</v>
      </c>
    </row>
    <row r="29" spans="1:17">
      <c r="A29" s="8">
        <v>19</v>
      </c>
      <c r="C29" s="577" t="s">
        <v>878</v>
      </c>
      <c r="D29" s="91">
        <v>11787.9457</v>
      </c>
      <c r="G29" s="400"/>
      <c r="H29" s="350">
        <f t="shared" si="0"/>
        <v>0</v>
      </c>
      <c r="I29" s="350">
        <f t="shared" si="1"/>
        <v>11787.9457</v>
      </c>
      <c r="J29" s="578">
        <v>4.6699999999999998E-2</v>
      </c>
      <c r="K29" s="350">
        <f t="shared" si="3"/>
        <v>550.49706418999995</v>
      </c>
      <c r="L29" s="350">
        <f t="shared" si="4"/>
        <v>12338.44276419</v>
      </c>
      <c r="M29" s="400">
        <v>3.6400000000000002E-2</v>
      </c>
      <c r="N29" s="491">
        <f t="shared" si="2"/>
        <v>449.11931661651602</v>
      </c>
      <c r="O29" s="350">
        <f t="shared" si="5"/>
        <v>12787.562080806516</v>
      </c>
      <c r="P29" s="350">
        <f t="shared" si="6"/>
        <v>0</v>
      </c>
      <c r="Q29" s="350">
        <f t="shared" si="7"/>
        <v>999.61638080651596</v>
      </c>
    </row>
    <row r="30" spans="1:17">
      <c r="A30" s="8">
        <v>20</v>
      </c>
      <c r="C30" s="577" t="s">
        <v>880</v>
      </c>
      <c r="D30" s="579">
        <f>684342.989486994-D31</f>
        <v>326377.82999999571</v>
      </c>
      <c r="G30" s="400"/>
      <c r="H30" s="350">
        <f t="shared" si="0"/>
        <v>0</v>
      </c>
      <c r="I30" s="350">
        <f t="shared" si="1"/>
        <v>326377.82999999571</v>
      </c>
      <c r="J30" s="578">
        <v>4.6699999999999998E-2</v>
      </c>
      <c r="K30" s="350">
        <f t="shared" si="3"/>
        <v>15241.844660999799</v>
      </c>
      <c r="L30" s="350">
        <f t="shared" si="4"/>
        <v>341619.67466099549</v>
      </c>
      <c r="M30" s="400">
        <v>3.6400000000000002E-2</v>
      </c>
      <c r="N30" s="491">
        <f>+L30*M30</f>
        <v>12434.956157660235</v>
      </c>
      <c r="O30" s="350">
        <f t="shared" si="5"/>
        <v>354054.63081865571</v>
      </c>
      <c r="P30" s="350">
        <f t="shared" si="6"/>
        <v>0</v>
      </c>
      <c r="Q30" s="350">
        <f t="shared" si="7"/>
        <v>27676.800818660035</v>
      </c>
    </row>
    <row r="31" spans="1:17">
      <c r="A31" s="8">
        <v>21</v>
      </c>
      <c r="C31" s="577" t="s">
        <v>1039</v>
      </c>
      <c r="D31" s="579">
        <v>357965.15948699828</v>
      </c>
      <c r="G31" s="400"/>
      <c r="H31" s="350">
        <f t="shared" si="0"/>
        <v>0</v>
      </c>
      <c r="I31" s="350">
        <f t="shared" si="1"/>
        <v>357965.15948699828</v>
      </c>
      <c r="J31" s="578">
        <v>4.6699999999999998E-2</v>
      </c>
      <c r="K31" s="350">
        <f t="shared" si="3"/>
        <v>16716.972948042818</v>
      </c>
      <c r="L31" s="350">
        <f t="shared" si="4"/>
        <v>374682.13243504107</v>
      </c>
      <c r="M31" s="400">
        <v>3.6400000000000002E-2</v>
      </c>
      <c r="N31" s="491">
        <f>+L31*M31</f>
        <v>13638.429620635496</v>
      </c>
      <c r="O31" s="350">
        <f t="shared" si="5"/>
        <v>388320.56205567659</v>
      </c>
      <c r="P31" s="350">
        <f t="shared" si="6"/>
        <v>0</v>
      </c>
      <c r="Q31" s="350">
        <f t="shared" si="7"/>
        <v>30355.402568678313</v>
      </c>
    </row>
    <row r="32" spans="1:17">
      <c r="A32" s="8">
        <v>22</v>
      </c>
      <c r="C32" s="577" t="s">
        <v>881</v>
      </c>
      <c r="D32" s="579">
        <f>2187157.41531306-D33</f>
        <v>1695592.6198770627</v>
      </c>
      <c r="G32" s="400"/>
      <c r="H32" s="350">
        <f t="shared" si="0"/>
        <v>0</v>
      </c>
      <c r="I32" s="350">
        <f t="shared" si="1"/>
        <v>1695592.6198770627</v>
      </c>
      <c r="J32" s="578">
        <v>4.6699999999999998E-2</v>
      </c>
      <c r="K32" s="350">
        <f t="shared" si="3"/>
        <v>79184.175348258825</v>
      </c>
      <c r="L32" s="350">
        <f t="shared" si="4"/>
        <v>1774776.7952253215</v>
      </c>
      <c r="M32" s="400">
        <v>3.6400000000000002E-2</v>
      </c>
      <c r="N32" s="491">
        <f>+L32*M32</f>
        <v>64601.875346201705</v>
      </c>
      <c r="O32" s="350">
        <f t="shared" si="5"/>
        <v>1839378.6705715233</v>
      </c>
      <c r="P32" s="350">
        <f t="shared" si="6"/>
        <v>0</v>
      </c>
      <c r="Q32" s="350">
        <f t="shared" si="7"/>
        <v>143786.05069446051</v>
      </c>
    </row>
    <row r="33" spans="1:17">
      <c r="A33" s="8">
        <v>23</v>
      </c>
      <c r="C33" s="577" t="s">
        <v>1040</v>
      </c>
      <c r="D33" s="579">
        <v>491564.79543599725</v>
      </c>
      <c r="G33" s="400"/>
      <c r="H33" s="350">
        <f t="shared" si="0"/>
        <v>0</v>
      </c>
      <c r="I33" s="350">
        <f t="shared" si="1"/>
        <v>491564.79543599725</v>
      </c>
      <c r="J33" s="578">
        <v>4.6699999999999998E-2</v>
      </c>
      <c r="K33" s="350">
        <f t="shared" si="3"/>
        <v>22956.07594686107</v>
      </c>
      <c r="L33" s="350">
        <f t="shared" si="4"/>
        <v>514520.87138285831</v>
      </c>
      <c r="M33" s="400">
        <v>3.6400000000000002E-2</v>
      </c>
      <c r="N33" s="491">
        <f>+L33*M33</f>
        <v>18728.559718336044</v>
      </c>
      <c r="O33" s="350">
        <f t="shared" si="5"/>
        <v>533249.43110119435</v>
      </c>
      <c r="P33" s="350">
        <f t="shared" si="6"/>
        <v>0</v>
      </c>
      <c r="Q33" s="350">
        <f t="shared" si="7"/>
        <v>41684.635665197115</v>
      </c>
    </row>
    <row r="34" spans="1:17">
      <c r="A34" s="8">
        <v>24</v>
      </c>
      <c r="C34" s="580">
        <v>29260</v>
      </c>
      <c r="D34" s="91">
        <v>13434.174545999997</v>
      </c>
      <c r="G34" s="400"/>
      <c r="H34" s="350">
        <f t="shared" si="0"/>
        <v>0</v>
      </c>
      <c r="I34" s="350">
        <f t="shared" si="1"/>
        <v>13434.174545999997</v>
      </c>
      <c r="J34" s="578">
        <v>4.6699999999999998E-2</v>
      </c>
      <c r="K34" s="350">
        <f t="shared" si="3"/>
        <v>627.37595129819977</v>
      </c>
      <c r="L34" s="350">
        <f t="shared" si="4"/>
        <v>14061.550497298196</v>
      </c>
      <c r="M34" s="400">
        <v>3.6400000000000002E-2</v>
      </c>
      <c r="N34" s="491">
        <f>+L34*M34</f>
        <v>511.84043810165434</v>
      </c>
      <c r="O34" s="350">
        <f t="shared" si="5"/>
        <v>14573.39093539985</v>
      </c>
      <c r="P34" s="350">
        <f t="shared" si="6"/>
        <v>0</v>
      </c>
      <c r="Q34" s="350">
        <f t="shared" si="7"/>
        <v>1139.2163893998541</v>
      </c>
    </row>
    <row r="35" spans="1:17">
      <c r="A35" s="8">
        <v>25</v>
      </c>
      <c r="C35" s="580"/>
      <c r="D35" s="91"/>
      <c r="G35" s="400"/>
      <c r="H35" s="350"/>
      <c r="I35" s="350"/>
      <c r="J35" s="578"/>
      <c r="K35" s="350"/>
      <c r="L35" s="350"/>
      <c r="M35" s="400"/>
      <c r="N35" s="491"/>
      <c r="Q35" s="350"/>
    </row>
    <row r="36" spans="1:17">
      <c r="A36" s="8">
        <v>26</v>
      </c>
      <c r="D36" s="581">
        <f>SUM(D20:D34)</f>
        <v>5559294.3251210293</v>
      </c>
      <c r="F36" s="581">
        <f>SUM(F20:F34)</f>
        <v>0</v>
      </c>
      <c r="H36" s="581">
        <f>SUM(H20:H34)</f>
        <v>0</v>
      </c>
      <c r="I36" s="581">
        <f>SUM(I20:I34)</f>
        <v>5559294.3251210293</v>
      </c>
      <c r="K36" s="581">
        <f>SUM(K20:K34)</f>
        <v>259619.04498315204</v>
      </c>
      <c r="L36" s="581">
        <f>SUM(L20:L34)</f>
        <v>5818913.3701041816</v>
      </c>
      <c r="N36" s="581">
        <f>SUM(N20:N34)</f>
        <v>211808.44667179216</v>
      </c>
      <c r="O36" s="581">
        <f>SUM(O20:O34)</f>
        <v>6030721.8167759739</v>
      </c>
      <c r="P36" s="581">
        <f>SUM(P20:P34)</f>
        <v>0</v>
      </c>
      <c r="Q36" s="581">
        <f>SUM(Q20:Q34)</f>
        <v>471427.4916549442</v>
      </c>
    </row>
    <row r="37" spans="1:17">
      <c r="A37" s="8" t="s">
        <v>1625</v>
      </c>
      <c r="B37" s="6" t="s">
        <v>865</v>
      </c>
    </row>
    <row r="38" spans="1:17">
      <c r="A38" s="8">
        <v>27</v>
      </c>
      <c r="C38" s="580" t="s">
        <v>882</v>
      </c>
      <c r="D38" s="581"/>
    </row>
    <row r="39" spans="1:17">
      <c r="A39" s="8">
        <v>28</v>
      </c>
      <c r="C39" s="577" t="s">
        <v>869</v>
      </c>
      <c r="D39" s="91">
        <v>65642.860590000142</v>
      </c>
      <c r="F39" s="91">
        <v>16091.811392000001</v>
      </c>
      <c r="G39" s="400">
        <v>3.1E-2</v>
      </c>
      <c r="H39" s="350">
        <f>+F39*G39</f>
        <v>498.84615315200006</v>
      </c>
      <c r="I39" s="350">
        <f t="shared" ref="I39:I60" si="8">+D39+H39</f>
        <v>66141.706743152143</v>
      </c>
      <c r="J39" s="400">
        <v>3.1E-2</v>
      </c>
      <c r="K39" s="350">
        <f t="shared" ref="K39:K60" si="9">+I39*J39</f>
        <v>2050.3929090377164</v>
      </c>
      <c r="L39" s="350">
        <f t="shared" ref="L39:L59" si="10">+I39+K39</f>
        <v>68192.099652189863</v>
      </c>
      <c r="M39" s="400">
        <v>3.1E-2</v>
      </c>
      <c r="N39" s="491">
        <f t="shared" ref="N39:N59" si="11">+L39*M39</f>
        <v>2113.9550892178859</v>
      </c>
      <c r="O39" s="491">
        <f>+L39+N39</f>
        <v>70306.054741407745</v>
      </c>
      <c r="P39" s="350">
        <f t="shared" ref="P39:P60" si="12">+H39</f>
        <v>498.84615315200006</v>
      </c>
      <c r="Q39" s="350">
        <f>+N39+K39</f>
        <v>4164.3479982556019</v>
      </c>
    </row>
    <row r="40" spans="1:17">
      <c r="A40" s="8">
        <v>29</v>
      </c>
      <c r="C40" s="577" t="s">
        <v>883</v>
      </c>
      <c r="D40" s="91">
        <v>78031.010000000446</v>
      </c>
      <c r="F40" s="91">
        <v>20963.160000000007</v>
      </c>
      <c r="G40" s="400">
        <v>3.1E-2</v>
      </c>
      <c r="H40" s="350">
        <f>+F40*G40</f>
        <v>649.85796000000016</v>
      </c>
      <c r="I40" s="350">
        <f t="shared" si="8"/>
        <v>78680.86796000044</v>
      </c>
      <c r="J40" s="400">
        <v>3.1E-2</v>
      </c>
      <c r="K40" s="350">
        <f t="shared" si="9"/>
        <v>2439.1069067600138</v>
      </c>
      <c r="L40" s="350">
        <f t="shared" si="10"/>
        <v>81119.974866760458</v>
      </c>
      <c r="M40" s="400">
        <v>3.1E-2</v>
      </c>
      <c r="N40" s="491">
        <f t="shared" si="11"/>
        <v>2514.7192208695742</v>
      </c>
      <c r="O40" s="491">
        <f t="shared" ref="O40:O56" si="13">+L40+N40</f>
        <v>83634.694087630036</v>
      </c>
      <c r="P40" s="350">
        <f t="shared" si="12"/>
        <v>649.85796000000016</v>
      </c>
      <c r="Q40" s="350">
        <f t="shared" ref="Q40:Q60" si="14">+N40+K40</f>
        <v>4953.826127629588</v>
      </c>
    </row>
    <row r="41" spans="1:17">
      <c r="A41" s="8">
        <v>30</v>
      </c>
      <c r="C41" s="577" t="s">
        <v>870</v>
      </c>
      <c r="D41" s="91">
        <v>2069470.9652639814</v>
      </c>
      <c r="F41" s="91">
        <v>497116.51765099907</v>
      </c>
      <c r="G41" s="400">
        <v>3.1E-2</v>
      </c>
      <c r="H41" s="350">
        <f>+F41*G41</f>
        <v>15410.612047180972</v>
      </c>
      <c r="I41" s="350">
        <f t="shared" si="8"/>
        <v>2084881.5773111624</v>
      </c>
      <c r="J41" s="400">
        <v>3.1E-2</v>
      </c>
      <c r="K41" s="350">
        <f t="shared" si="9"/>
        <v>64631.328896646031</v>
      </c>
      <c r="L41" s="350">
        <f t="shared" si="10"/>
        <v>2149512.9062078083</v>
      </c>
      <c r="M41" s="400">
        <v>3.1E-2</v>
      </c>
      <c r="N41" s="491">
        <f t="shared" si="11"/>
        <v>66634.900092442054</v>
      </c>
      <c r="O41" s="491">
        <f t="shared" si="13"/>
        <v>2216147.8063002503</v>
      </c>
      <c r="P41" s="350">
        <f t="shared" si="12"/>
        <v>15410.612047180972</v>
      </c>
      <c r="Q41" s="350">
        <f t="shared" si="14"/>
        <v>131266.22898908809</v>
      </c>
    </row>
    <row r="42" spans="1:17">
      <c r="A42" s="8">
        <v>31</v>
      </c>
      <c r="C42" s="577" t="s">
        <v>884</v>
      </c>
      <c r="D42" s="91">
        <v>304520.09932699846</v>
      </c>
      <c r="F42" s="91">
        <v>73909.680551000114</v>
      </c>
      <c r="G42" s="400">
        <v>3.1E-2</v>
      </c>
      <c r="H42" s="350">
        <f t="shared" ref="H42:H60" si="15">+F42*G42</f>
        <v>2291.2000970810036</v>
      </c>
      <c r="I42" s="350">
        <f t="shared" si="8"/>
        <v>306811.29942407948</v>
      </c>
      <c r="J42" s="400">
        <v>3.1E-2</v>
      </c>
      <c r="K42" s="350">
        <f t="shared" si="9"/>
        <v>9511.1502821464637</v>
      </c>
      <c r="L42" s="350">
        <f t="shared" si="10"/>
        <v>316322.44970622595</v>
      </c>
      <c r="M42" s="400">
        <v>3.1E-2</v>
      </c>
      <c r="N42" s="491">
        <f t="shared" si="11"/>
        <v>9805.9959408930044</v>
      </c>
      <c r="O42" s="491">
        <f t="shared" si="13"/>
        <v>326128.44564711896</v>
      </c>
      <c r="P42" s="350">
        <f t="shared" si="12"/>
        <v>2291.2000970810036</v>
      </c>
      <c r="Q42" s="350">
        <f t="shared" si="14"/>
        <v>19317.146223039468</v>
      </c>
    </row>
    <row r="43" spans="1:17">
      <c r="A43" s="8">
        <v>32</v>
      </c>
      <c r="C43" s="577" t="s">
        <v>885</v>
      </c>
      <c r="D43" s="91">
        <v>68748.616163999861</v>
      </c>
      <c r="F43" s="91">
        <v>21810.994966000002</v>
      </c>
      <c r="G43" s="400">
        <v>3.1E-2</v>
      </c>
      <c r="H43" s="350">
        <f t="shared" si="15"/>
        <v>676.14084394600002</v>
      </c>
      <c r="I43" s="350">
        <f t="shared" si="8"/>
        <v>69424.757007945867</v>
      </c>
      <c r="J43" s="400">
        <v>3.1E-2</v>
      </c>
      <c r="K43" s="350">
        <f t="shared" si="9"/>
        <v>2152.1674672463218</v>
      </c>
      <c r="L43" s="350">
        <f t="shared" si="10"/>
        <v>71576.924475192194</v>
      </c>
      <c r="M43" s="400">
        <v>3.1E-2</v>
      </c>
      <c r="N43" s="491">
        <f t="shared" si="11"/>
        <v>2218.8846587309581</v>
      </c>
      <c r="O43" s="491">
        <f t="shared" si="13"/>
        <v>73795.809133923147</v>
      </c>
      <c r="P43" s="350">
        <f t="shared" si="12"/>
        <v>676.14084394600002</v>
      </c>
      <c r="Q43" s="350">
        <f t="shared" si="14"/>
        <v>4371.0521259772795</v>
      </c>
    </row>
    <row r="44" spans="1:17">
      <c r="A44" s="8">
        <v>33</v>
      </c>
      <c r="C44" s="577" t="s">
        <v>871</v>
      </c>
      <c r="D44" s="91">
        <v>1150953.1000000152</v>
      </c>
      <c r="F44" s="91">
        <v>277047.46000000107</v>
      </c>
      <c r="G44" s="400">
        <v>3.1E-2</v>
      </c>
      <c r="H44" s="350">
        <f t="shared" si="15"/>
        <v>8588.471260000033</v>
      </c>
      <c r="I44" s="350">
        <f t="shared" si="8"/>
        <v>1159541.5712600152</v>
      </c>
      <c r="J44" s="400">
        <v>3.1E-2</v>
      </c>
      <c r="K44" s="350">
        <f t="shared" si="9"/>
        <v>35945.788709060471</v>
      </c>
      <c r="L44" s="350">
        <f t="shared" si="10"/>
        <v>1195487.3599690758</v>
      </c>
      <c r="M44" s="400">
        <v>3.1E-2</v>
      </c>
      <c r="N44" s="491">
        <f t="shared" si="11"/>
        <v>37060.108159041345</v>
      </c>
      <c r="O44" s="491">
        <f t="shared" si="13"/>
        <v>1232547.468128117</v>
      </c>
      <c r="P44" s="350">
        <f t="shared" si="12"/>
        <v>8588.471260000033</v>
      </c>
      <c r="Q44" s="350">
        <f t="shared" si="14"/>
        <v>73005.896868101816</v>
      </c>
    </row>
    <row r="45" spans="1:17">
      <c r="A45" s="8">
        <v>34</v>
      </c>
      <c r="C45" s="577" t="s">
        <v>872</v>
      </c>
      <c r="D45" s="91">
        <v>945193.08999998716</v>
      </c>
      <c r="F45" s="91">
        <v>257382.84999999913</v>
      </c>
      <c r="G45" s="400">
        <v>3.1E-2</v>
      </c>
      <c r="H45" s="350">
        <f t="shared" si="15"/>
        <v>7978.8683499999734</v>
      </c>
      <c r="I45" s="350">
        <f t="shared" si="8"/>
        <v>953171.95834998717</v>
      </c>
      <c r="J45" s="400">
        <v>3.1E-2</v>
      </c>
      <c r="K45" s="350">
        <f t="shared" si="9"/>
        <v>29548.3307088496</v>
      </c>
      <c r="L45" s="350">
        <f t="shared" si="10"/>
        <v>982720.28905883676</v>
      </c>
      <c r="M45" s="400">
        <v>3.1E-2</v>
      </c>
      <c r="N45" s="491">
        <f t="shared" si="11"/>
        <v>30464.328960823939</v>
      </c>
      <c r="O45" s="491">
        <f t="shared" si="13"/>
        <v>1013184.6180196607</v>
      </c>
      <c r="P45" s="350">
        <f t="shared" si="12"/>
        <v>7978.8683499999734</v>
      </c>
      <c r="Q45" s="350">
        <f t="shared" si="14"/>
        <v>60012.659669673536</v>
      </c>
    </row>
    <row r="46" spans="1:17">
      <c r="A46" s="8">
        <v>35</v>
      </c>
      <c r="C46" s="577" t="s">
        <v>873</v>
      </c>
      <c r="D46" s="91">
        <v>1143221.8732780369</v>
      </c>
      <c r="F46" s="91">
        <v>326097.65622899926</v>
      </c>
      <c r="G46" s="400">
        <v>3.1E-2</v>
      </c>
      <c r="H46" s="350">
        <f t="shared" si="15"/>
        <v>10109.027343098976</v>
      </c>
      <c r="I46" s="350">
        <f t="shared" si="8"/>
        <v>1153330.900621136</v>
      </c>
      <c r="J46" s="400">
        <v>3.1E-2</v>
      </c>
      <c r="K46" s="350">
        <f t="shared" si="9"/>
        <v>35753.257919255215</v>
      </c>
      <c r="L46" s="350">
        <f t="shared" si="10"/>
        <v>1189084.1585403911</v>
      </c>
      <c r="M46" s="400">
        <v>3.1E-2</v>
      </c>
      <c r="N46" s="491">
        <f t="shared" si="11"/>
        <v>36861.608914752127</v>
      </c>
      <c r="O46" s="491">
        <f t="shared" si="13"/>
        <v>1225945.7674551432</v>
      </c>
      <c r="P46" s="350">
        <f t="shared" si="12"/>
        <v>10109.027343098976</v>
      </c>
      <c r="Q46" s="350">
        <f t="shared" si="14"/>
        <v>72614.866834007349</v>
      </c>
    </row>
    <row r="47" spans="1:17">
      <c r="A47" s="8">
        <v>36</v>
      </c>
      <c r="C47" s="32">
        <v>28860</v>
      </c>
      <c r="D47" s="91">
        <v>73.92</v>
      </c>
      <c r="F47" s="91">
        <v>0</v>
      </c>
      <c r="G47" s="400">
        <v>3.1E-2</v>
      </c>
      <c r="H47" s="350">
        <f t="shared" si="15"/>
        <v>0</v>
      </c>
      <c r="I47" s="350">
        <f>+D47+H47</f>
        <v>73.92</v>
      </c>
      <c r="J47" s="400">
        <v>3.1E-2</v>
      </c>
      <c r="K47" s="350">
        <f>+I47*J47</f>
        <v>2.2915200000000002</v>
      </c>
      <c r="L47" s="350">
        <f>+I47+K47</f>
        <v>76.211520000000007</v>
      </c>
      <c r="M47" s="400">
        <v>3.1E-2</v>
      </c>
      <c r="N47" s="491">
        <f>+L47*M47</f>
        <v>2.3625571200000004</v>
      </c>
      <c r="O47" s="491">
        <f t="shared" si="13"/>
        <v>78.574077120000013</v>
      </c>
      <c r="P47" s="350">
        <f t="shared" si="12"/>
        <v>0</v>
      </c>
      <c r="Q47" s="350">
        <f t="shared" si="14"/>
        <v>4.6540771200000002</v>
      </c>
    </row>
    <row r="48" spans="1:17">
      <c r="A48" s="8">
        <v>37</v>
      </c>
      <c r="C48" s="577" t="s">
        <v>874</v>
      </c>
      <c r="D48" s="91">
        <v>595618.26032400515</v>
      </c>
      <c r="F48" s="91">
        <v>144258.64363099993</v>
      </c>
      <c r="G48" s="400">
        <v>3.1E-2</v>
      </c>
      <c r="H48" s="350">
        <f t="shared" si="15"/>
        <v>4472.0179525609974</v>
      </c>
      <c r="I48" s="350">
        <f t="shared" si="8"/>
        <v>600090.27827656618</v>
      </c>
      <c r="J48" s="400">
        <v>3.1E-2</v>
      </c>
      <c r="K48" s="350">
        <f t="shared" si="9"/>
        <v>18602.798626573553</v>
      </c>
      <c r="L48" s="350">
        <f t="shared" si="10"/>
        <v>618693.07690313971</v>
      </c>
      <c r="M48" s="400">
        <v>3.1E-2</v>
      </c>
      <c r="N48" s="491">
        <f t="shared" si="11"/>
        <v>19179.485383997329</v>
      </c>
      <c r="O48" s="491">
        <f t="shared" si="13"/>
        <v>637872.56228713703</v>
      </c>
      <c r="P48" s="350">
        <f t="shared" si="12"/>
        <v>4472.0179525609974</v>
      </c>
      <c r="Q48" s="350">
        <f t="shared" si="14"/>
        <v>37782.284010570882</v>
      </c>
    </row>
    <row r="49" spans="1:17">
      <c r="A49" s="8">
        <v>38</v>
      </c>
      <c r="C49" s="577" t="s">
        <v>886</v>
      </c>
      <c r="D49" s="91">
        <v>18538.699999999993</v>
      </c>
      <c r="F49" s="91">
        <v>3423.8999999999992</v>
      </c>
      <c r="G49" s="400">
        <v>3.1E-2</v>
      </c>
      <c r="H49" s="350">
        <f t="shared" si="15"/>
        <v>106.14089999999997</v>
      </c>
      <c r="I49" s="350">
        <f t="shared" si="8"/>
        <v>18644.840899999992</v>
      </c>
      <c r="J49" s="400">
        <v>3.1E-2</v>
      </c>
      <c r="K49" s="350">
        <f t="shared" si="9"/>
        <v>577.99006789999976</v>
      </c>
      <c r="L49" s="350">
        <f t="shared" si="10"/>
        <v>19222.83096789999</v>
      </c>
      <c r="M49" s="400">
        <v>3.1E-2</v>
      </c>
      <c r="N49" s="491">
        <f t="shared" si="11"/>
        <v>595.90776000489973</v>
      </c>
      <c r="O49" s="491">
        <f t="shared" si="13"/>
        <v>19818.738727904889</v>
      </c>
      <c r="P49" s="350">
        <f t="shared" si="12"/>
        <v>106.14089999999997</v>
      </c>
      <c r="Q49" s="350">
        <f t="shared" si="14"/>
        <v>1173.8978279048995</v>
      </c>
    </row>
    <row r="50" spans="1:17">
      <c r="A50" s="8">
        <v>39</v>
      </c>
      <c r="C50" s="577" t="s">
        <v>875</v>
      </c>
      <c r="D50" s="91">
        <v>216222.84648300009</v>
      </c>
      <c r="F50" s="91">
        <v>58968.791257000055</v>
      </c>
      <c r="G50" s="400">
        <v>3.1E-2</v>
      </c>
      <c r="H50" s="350">
        <f t="shared" si="15"/>
        <v>1828.0325289670018</v>
      </c>
      <c r="I50" s="350">
        <f t="shared" si="8"/>
        <v>218050.8790119671</v>
      </c>
      <c r="J50" s="400">
        <v>3.1E-2</v>
      </c>
      <c r="K50" s="350">
        <f t="shared" si="9"/>
        <v>6759.5772493709801</v>
      </c>
      <c r="L50" s="350">
        <f t="shared" si="10"/>
        <v>224810.45626133808</v>
      </c>
      <c r="M50" s="400">
        <v>3.1E-2</v>
      </c>
      <c r="N50" s="491">
        <f t="shared" si="11"/>
        <v>6969.1241441014809</v>
      </c>
      <c r="O50" s="491">
        <f t="shared" si="13"/>
        <v>231779.58040543957</v>
      </c>
      <c r="P50" s="350">
        <f t="shared" si="12"/>
        <v>1828.0325289670018</v>
      </c>
      <c r="Q50" s="350">
        <f t="shared" si="14"/>
        <v>13728.70139347246</v>
      </c>
    </row>
    <row r="51" spans="1:17">
      <c r="A51" s="8">
        <v>40</v>
      </c>
      <c r="C51" s="577" t="s">
        <v>876</v>
      </c>
      <c r="D51" s="91">
        <v>9325.1699999999946</v>
      </c>
      <c r="F51" s="91">
        <v>4589.6200000000008</v>
      </c>
      <c r="G51" s="400">
        <v>3.1E-2</v>
      </c>
      <c r="H51" s="350">
        <f t="shared" si="15"/>
        <v>142.27822000000003</v>
      </c>
      <c r="I51" s="350">
        <f t="shared" si="8"/>
        <v>9467.4482199999948</v>
      </c>
      <c r="J51" s="400">
        <v>3.1E-2</v>
      </c>
      <c r="K51" s="350">
        <f t="shared" si="9"/>
        <v>293.49089481999982</v>
      </c>
      <c r="L51" s="350">
        <f t="shared" si="10"/>
        <v>9760.9391148199938</v>
      </c>
      <c r="M51" s="400">
        <v>3.1E-2</v>
      </c>
      <c r="N51" s="491">
        <f t="shared" si="11"/>
        <v>302.58911255941979</v>
      </c>
      <c r="O51" s="491">
        <f t="shared" si="13"/>
        <v>10063.528227379413</v>
      </c>
      <c r="P51" s="350">
        <f t="shared" si="12"/>
        <v>142.27822000000003</v>
      </c>
      <c r="Q51" s="350">
        <f t="shared" si="14"/>
        <v>596.08000737941961</v>
      </c>
    </row>
    <row r="52" spans="1:17">
      <c r="A52" s="8">
        <v>41</v>
      </c>
      <c r="C52" s="577" t="s">
        <v>877</v>
      </c>
      <c r="D52" s="91">
        <v>764674.29755901697</v>
      </c>
      <c r="F52" s="91">
        <v>203272.48417499993</v>
      </c>
      <c r="G52" s="400">
        <v>3.1E-2</v>
      </c>
      <c r="H52" s="350">
        <f t="shared" si="15"/>
        <v>6301.4470094249982</v>
      </c>
      <c r="I52" s="350">
        <f t="shared" si="8"/>
        <v>770975.74456844199</v>
      </c>
      <c r="J52" s="400">
        <v>3.1E-2</v>
      </c>
      <c r="K52" s="350">
        <f t="shared" si="9"/>
        <v>23900.248081621703</v>
      </c>
      <c r="L52" s="350">
        <f t="shared" si="10"/>
        <v>794875.99265006371</v>
      </c>
      <c r="M52" s="400">
        <v>3.1E-2</v>
      </c>
      <c r="N52" s="491">
        <f t="shared" si="11"/>
        <v>24641.155772151975</v>
      </c>
      <c r="O52" s="491">
        <f t="shared" si="13"/>
        <v>819517.14842221572</v>
      </c>
      <c r="P52" s="350">
        <f t="shared" si="12"/>
        <v>6301.4470094249982</v>
      </c>
      <c r="Q52" s="350">
        <f t="shared" si="14"/>
        <v>48541.403853773678</v>
      </c>
    </row>
    <row r="53" spans="1:17">
      <c r="A53" s="8">
        <v>42</v>
      </c>
      <c r="C53" s="577" t="s">
        <v>878</v>
      </c>
      <c r="D53" s="91">
        <v>879038.63501599082</v>
      </c>
      <c r="F53" s="91">
        <v>258998.25900699937</v>
      </c>
      <c r="G53" s="400">
        <v>3.1E-2</v>
      </c>
      <c r="H53" s="350">
        <f t="shared" si="15"/>
        <v>8028.9460292169806</v>
      </c>
      <c r="I53" s="350">
        <f t="shared" si="8"/>
        <v>887067.5810452078</v>
      </c>
      <c r="J53" s="400">
        <v>3.1E-2</v>
      </c>
      <c r="K53" s="350">
        <f t="shared" si="9"/>
        <v>27499.095012401442</v>
      </c>
      <c r="L53" s="350">
        <f t="shared" si="10"/>
        <v>914566.67605760926</v>
      </c>
      <c r="M53" s="400">
        <v>3.1E-2</v>
      </c>
      <c r="N53" s="491">
        <f t="shared" si="11"/>
        <v>28351.566957785886</v>
      </c>
      <c r="O53" s="491">
        <f t="shared" si="13"/>
        <v>942918.24301539513</v>
      </c>
      <c r="P53" s="350">
        <f t="shared" si="12"/>
        <v>8028.9460292169806</v>
      </c>
      <c r="Q53" s="350">
        <f t="shared" si="14"/>
        <v>55850.661970187328</v>
      </c>
    </row>
    <row r="54" spans="1:17">
      <c r="A54" s="8">
        <v>43</v>
      </c>
      <c r="C54" s="577" t="s">
        <v>887</v>
      </c>
      <c r="D54" s="91">
        <v>61214.120000000185</v>
      </c>
      <c r="F54" s="91">
        <v>19514.749999999964</v>
      </c>
      <c r="G54" s="400">
        <v>3.1E-2</v>
      </c>
      <c r="H54" s="350">
        <f t="shared" si="15"/>
        <v>604.95724999999891</v>
      </c>
      <c r="I54" s="350">
        <f t="shared" si="8"/>
        <v>61819.077250000184</v>
      </c>
      <c r="J54" s="400">
        <v>3.1E-2</v>
      </c>
      <c r="K54" s="350">
        <f t="shared" si="9"/>
        <v>1916.3913947500057</v>
      </c>
      <c r="L54" s="350">
        <f t="shared" si="10"/>
        <v>63735.468644750188</v>
      </c>
      <c r="M54" s="400">
        <v>3.1E-2</v>
      </c>
      <c r="N54" s="491">
        <f t="shared" si="11"/>
        <v>1975.7995279872557</v>
      </c>
      <c r="O54" s="491">
        <f t="shared" si="13"/>
        <v>65711.268172737444</v>
      </c>
      <c r="P54" s="350">
        <f t="shared" si="12"/>
        <v>604.95724999999891</v>
      </c>
      <c r="Q54" s="350">
        <f t="shared" si="14"/>
        <v>3892.1909227372616</v>
      </c>
    </row>
    <row r="55" spans="1:17">
      <c r="A55" s="8">
        <v>44</v>
      </c>
      <c r="C55" s="577" t="s">
        <v>879</v>
      </c>
      <c r="D55" s="91">
        <v>359204.24000000238</v>
      </c>
      <c r="F55" s="91">
        <v>103198.70999999999</v>
      </c>
      <c r="G55" s="400">
        <v>3.1E-2</v>
      </c>
      <c r="H55" s="350">
        <f t="shared" si="15"/>
        <v>3199.1600099999996</v>
      </c>
      <c r="I55" s="350">
        <f t="shared" si="8"/>
        <v>362403.40001000237</v>
      </c>
      <c r="J55" s="400">
        <v>3.1E-2</v>
      </c>
      <c r="K55" s="350">
        <f t="shared" si="9"/>
        <v>11234.505400310074</v>
      </c>
      <c r="L55" s="350">
        <f t="shared" si="10"/>
        <v>373637.90541031247</v>
      </c>
      <c r="M55" s="400">
        <v>3.1E-2</v>
      </c>
      <c r="N55" s="491">
        <f t="shared" si="11"/>
        <v>11582.775067719685</v>
      </c>
      <c r="O55" s="491">
        <f t="shared" si="13"/>
        <v>385220.68047803215</v>
      </c>
      <c r="P55" s="350">
        <f t="shared" si="12"/>
        <v>3199.1600099999996</v>
      </c>
      <c r="Q55" s="350">
        <f t="shared" si="14"/>
        <v>22817.28046802976</v>
      </c>
    </row>
    <row r="56" spans="1:17">
      <c r="A56" s="8">
        <v>45</v>
      </c>
      <c r="C56" s="577" t="s">
        <v>880</v>
      </c>
      <c r="D56" s="91">
        <v>96110.140000000392</v>
      </c>
      <c r="F56" s="91">
        <v>19496.73000000004</v>
      </c>
      <c r="G56" s="400">
        <v>3.1E-2</v>
      </c>
      <c r="H56" s="350">
        <f t="shared" si="15"/>
        <v>604.39863000000128</v>
      </c>
      <c r="I56" s="350">
        <f t="shared" si="8"/>
        <v>96714.538630000388</v>
      </c>
      <c r="J56" s="400">
        <v>3.1E-2</v>
      </c>
      <c r="K56" s="350">
        <f t="shared" si="9"/>
        <v>2998.1506975300122</v>
      </c>
      <c r="L56" s="350">
        <f t="shared" si="10"/>
        <v>99712.689327530403</v>
      </c>
      <c r="M56" s="400">
        <v>3.1E-2</v>
      </c>
      <c r="N56" s="491">
        <f t="shared" si="11"/>
        <v>3091.0933691534424</v>
      </c>
      <c r="O56" s="491">
        <f t="shared" si="13"/>
        <v>102803.78269668385</v>
      </c>
      <c r="P56" s="350">
        <f t="shared" si="12"/>
        <v>604.39863000000128</v>
      </c>
      <c r="Q56" s="350">
        <f t="shared" si="14"/>
        <v>6089.2440666834545</v>
      </c>
    </row>
    <row r="57" spans="1:17">
      <c r="A57" s="8">
        <v>46</v>
      </c>
      <c r="C57" s="577" t="s">
        <v>881</v>
      </c>
      <c r="D57" s="91">
        <v>1779.60861</v>
      </c>
      <c r="F57" s="91">
        <v>222.55833600000003</v>
      </c>
      <c r="G57" s="400">
        <v>3.1E-2</v>
      </c>
      <c r="H57" s="350">
        <f t="shared" si="15"/>
        <v>6.8993084160000011</v>
      </c>
      <c r="I57" s="350">
        <f t="shared" si="8"/>
        <v>1786.5079184159999</v>
      </c>
      <c r="J57" s="400">
        <v>3.1E-2</v>
      </c>
      <c r="K57" s="350">
        <f t="shared" si="9"/>
        <v>55.381745470896</v>
      </c>
      <c r="L57" s="350">
        <f t="shared" si="10"/>
        <v>1841.889663886896</v>
      </c>
      <c r="M57" s="400">
        <v>3.1E-2</v>
      </c>
      <c r="N57" s="491">
        <f t="shared" si="11"/>
        <v>57.098579580493777</v>
      </c>
      <c r="O57" s="491">
        <f>+L57+N57</f>
        <v>1898.9882434673898</v>
      </c>
      <c r="P57" s="350">
        <f t="shared" si="12"/>
        <v>6.8993084160000011</v>
      </c>
      <c r="Q57" s="350">
        <f t="shared" si="14"/>
        <v>112.48032505138977</v>
      </c>
    </row>
    <row r="58" spans="1:17">
      <c r="A58" s="8">
        <v>47</v>
      </c>
      <c r="C58" s="32">
        <v>29210</v>
      </c>
      <c r="D58" s="91">
        <v>387.61039200000005</v>
      </c>
      <c r="F58" s="91">
        <v>0</v>
      </c>
      <c r="G58" s="400">
        <v>3.1E-2</v>
      </c>
      <c r="H58" s="350">
        <f t="shared" si="15"/>
        <v>0</v>
      </c>
      <c r="I58" s="350">
        <f>+D58+H58</f>
        <v>387.61039200000005</v>
      </c>
      <c r="J58" s="400">
        <v>3.1E-2</v>
      </c>
      <c r="K58" s="350">
        <f t="shared" si="9"/>
        <v>12.015922152000002</v>
      </c>
      <c r="L58" s="350">
        <f t="shared" si="10"/>
        <v>399.62631415200008</v>
      </c>
      <c r="M58" s="400">
        <v>3.1E-2</v>
      </c>
      <c r="N58" s="491">
        <f t="shared" si="11"/>
        <v>12.388415738712002</v>
      </c>
      <c r="O58" s="491">
        <f>+L58+N58</f>
        <v>412.01472989071209</v>
      </c>
      <c r="P58" s="350">
        <f t="shared" si="12"/>
        <v>0</v>
      </c>
      <c r="Q58" s="350">
        <f t="shared" si="14"/>
        <v>24.404337890712004</v>
      </c>
    </row>
    <row r="59" spans="1:17">
      <c r="A59" s="8">
        <v>48</v>
      </c>
      <c r="C59" s="32">
        <v>29260</v>
      </c>
      <c r="D59" s="91">
        <v>28313.028782999991</v>
      </c>
      <c r="F59" s="91">
        <v>0</v>
      </c>
      <c r="G59" s="400">
        <v>3.1E-2</v>
      </c>
      <c r="H59" s="350">
        <f t="shared" si="15"/>
        <v>0</v>
      </c>
      <c r="I59" s="350">
        <f t="shared" si="8"/>
        <v>28313.028782999991</v>
      </c>
      <c r="J59" s="400">
        <v>3.1E-2</v>
      </c>
      <c r="K59" s="350">
        <f t="shared" si="9"/>
        <v>877.70389227299972</v>
      </c>
      <c r="L59" s="350">
        <f t="shared" si="10"/>
        <v>29190.73267527299</v>
      </c>
      <c r="M59" s="400">
        <v>3.1E-2</v>
      </c>
      <c r="N59" s="491">
        <f t="shared" si="11"/>
        <v>904.91271293346267</v>
      </c>
      <c r="O59" s="491">
        <f>+L59+N59</f>
        <v>30095.645388206452</v>
      </c>
      <c r="P59" s="350">
        <f t="shared" si="12"/>
        <v>0</v>
      </c>
      <c r="Q59" s="350">
        <f t="shared" si="14"/>
        <v>1782.6166052064623</v>
      </c>
    </row>
    <row r="60" spans="1:17">
      <c r="A60" s="8">
        <v>49</v>
      </c>
      <c r="C60" s="577" t="s">
        <v>888</v>
      </c>
      <c r="D60" s="91">
        <v>2965.83</v>
      </c>
      <c r="E60" s="461"/>
      <c r="F60" s="379">
        <v>1816.1100000000001</v>
      </c>
      <c r="G60" s="582">
        <v>3.1E-2</v>
      </c>
      <c r="H60" s="583">
        <f t="shared" si="15"/>
        <v>56.299410000000002</v>
      </c>
      <c r="I60" s="583">
        <f t="shared" si="8"/>
        <v>3022.12941</v>
      </c>
      <c r="J60" s="582">
        <v>3.1E-2</v>
      </c>
      <c r="K60" s="583">
        <f t="shared" si="9"/>
        <v>93.686011710000002</v>
      </c>
      <c r="L60" s="583">
        <f>+I60+K60</f>
        <v>3115.81542171</v>
      </c>
      <c r="M60" s="582">
        <v>3.1E-2</v>
      </c>
      <c r="N60" s="584">
        <f>+L60*M60</f>
        <v>96.590278073009998</v>
      </c>
      <c r="O60" s="584">
        <f>+L60+N60</f>
        <v>3212.4056997830098</v>
      </c>
      <c r="P60" s="350">
        <f t="shared" si="12"/>
        <v>56.299410000000002</v>
      </c>
      <c r="Q60" s="350">
        <f t="shared" si="14"/>
        <v>190.27628978300999</v>
      </c>
    </row>
    <row r="61" spans="1:17">
      <c r="A61" s="8">
        <v>50</v>
      </c>
      <c r="D61" s="581">
        <f>SUM(D38:D60)</f>
        <v>8859248.0217900351</v>
      </c>
      <c r="F61" s="581">
        <f>SUM(F38:F60)</f>
        <v>2308180.6871949974</v>
      </c>
      <c r="H61" s="581">
        <f>SUM(H38:H60)</f>
        <v>71553.601303044925</v>
      </c>
      <c r="I61" s="581">
        <f>SUM(I38:I60)</f>
        <v>8930801.6230930816</v>
      </c>
      <c r="K61" s="581">
        <f>SUM(K38:K60)</f>
        <v>276854.8503158855</v>
      </c>
      <c r="L61" s="581">
        <f>SUM(L38:L60)</f>
        <v>9207656.4734089654</v>
      </c>
      <c r="N61" s="581">
        <f>SUM(N38:N60)</f>
        <v>285437.35067567788</v>
      </c>
      <c r="O61" s="581">
        <f>SUM(O38:O60)</f>
        <v>9493093.8240846451</v>
      </c>
      <c r="P61" s="581">
        <f>SUM(P38:P60)</f>
        <v>71553.601303044925</v>
      </c>
      <c r="Q61" s="581">
        <f>SUM(Q38:Q60)</f>
        <v>562292.20099156327</v>
      </c>
    </row>
    <row r="64" spans="1:17" ht="16.5" thickBot="1"/>
    <row r="65" spans="1:17">
      <c r="B65" s="1082" t="s">
        <v>1070</v>
      </c>
      <c r="C65" s="1083"/>
      <c r="D65" s="1083"/>
      <c r="E65" s="1084"/>
    </row>
    <row r="66" spans="1:17">
      <c r="B66" s="1085"/>
      <c r="C66" s="1086"/>
      <c r="D66" s="1086"/>
      <c r="E66" s="1087"/>
    </row>
    <row r="67" spans="1:17">
      <c r="B67" s="1085"/>
      <c r="C67" s="1086"/>
      <c r="D67" s="1086"/>
      <c r="E67" s="1087"/>
    </row>
    <row r="68" spans="1:17" ht="16.5" thickBot="1">
      <c r="B68" s="1088"/>
      <c r="C68" s="1089"/>
      <c r="D68" s="1089"/>
      <c r="E68" s="1090"/>
    </row>
    <row r="69" spans="1:17">
      <c r="A69" s="15" t="s">
        <v>812</v>
      </c>
    </row>
    <row r="70" spans="1:17">
      <c r="A70" s="8">
        <v>51</v>
      </c>
      <c r="B70" s="546" t="s">
        <v>1071</v>
      </c>
      <c r="F70" s="314">
        <v>1036861.35</v>
      </c>
      <c r="J70" s="578">
        <v>4.6699999999999998E-2</v>
      </c>
      <c r="K70" s="314">
        <f>+F70*J70</f>
        <v>48421.425044999996</v>
      </c>
      <c r="L70" s="314">
        <f>+F70+K70</f>
        <v>1085282.775045</v>
      </c>
      <c r="M70" s="400">
        <v>3.6400000000000002E-2</v>
      </c>
      <c r="N70" s="6">
        <f>+L70*M70</f>
        <v>39504.293011638001</v>
      </c>
      <c r="O70" s="314">
        <f>+L70+N70</f>
        <v>1124787.0680566381</v>
      </c>
      <c r="P70" s="350">
        <f t="shared" ref="P70:P84" si="16">+H70</f>
        <v>0</v>
      </c>
      <c r="Q70" s="350">
        <f t="shared" ref="Q70:Q84" si="17">+N70+K70</f>
        <v>87925.718056637998</v>
      </c>
    </row>
    <row r="71" spans="1:17">
      <c r="A71" s="8">
        <v>52</v>
      </c>
      <c r="B71" s="546" t="s">
        <v>1072</v>
      </c>
      <c r="F71" s="314">
        <v>115428.85</v>
      </c>
      <c r="J71" s="578">
        <v>4.6699999999999998E-2</v>
      </c>
      <c r="K71" s="314">
        <f>+F71*J71</f>
        <v>5390.5272949999999</v>
      </c>
      <c r="L71" s="314">
        <f t="shared" ref="L71:L84" si="18">+F71+K71</f>
        <v>120819.37729500001</v>
      </c>
      <c r="M71" s="400">
        <v>3.6400000000000002E-2</v>
      </c>
      <c r="N71" s="6">
        <f t="shared" ref="N71:N84" si="19">+L71*M71</f>
        <v>4397.8253335380005</v>
      </c>
      <c r="O71" s="314">
        <f t="shared" ref="O71:O84" si="20">+L71+N71</f>
        <v>125217.20262853801</v>
      </c>
      <c r="P71" s="350">
        <f t="shared" si="16"/>
        <v>0</v>
      </c>
      <c r="Q71" s="350">
        <f t="shared" si="17"/>
        <v>9788.3526285379994</v>
      </c>
    </row>
    <row r="72" spans="1:17">
      <c r="A72" s="8">
        <v>53</v>
      </c>
      <c r="B72" s="546" t="s">
        <v>1073</v>
      </c>
      <c r="F72" s="314">
        <v>423581.69</v>
      </c>
      <c r="J72" s="578">
        <v>4.6699999999999998E-2</v>
      </c>
      <c r="K72" s="314">
        <f t="shared" ref="K72:K84" si="21">+F72*J72</f>
        <v>19781.264922999999</v>
      </c>
      <c r="L72" s="314">
        <f t="shared" si="18"/>
        <v>443362.95492300001</v>
      </c>
      <c r="M72" s="400">
        <v>3.6400000000000002E-2</v>
      </c>
      <c r="N72" s="6">
        <f t="shared" si="19"/>
        <v>16138.4115591972</v>
      </c>
      <c r="O72" s="314">
        <f t="shared" si="20"/>
        <v>459501.36648219719</v>
      </c>
      <c r="P72" s="350">
        <f t="shared" si="16"/>
        <v>0</v>
      </c>
      <c r="Q72" s="350">
        <f t="shared" si="17"/>
        <v>35919.676482197203</v>
      </c>
    </row>
    <row r="73" spans="1:17">
      <c r="A73" s="8">
        <v>54</v>
      </c>
      <c r="B73" s="546" t="s">
        <v>1074</v>
      </c>
      <c r="F73" s="314">
        <v>208965.05</v>
      </c>
      <c r="J73" s="578">
        <v>4.6699999999999998E-2</v>
      </c>
      <c r="K73" s="314">
        <f t="shared" si="21"/>
        <v>9758.6678349999984</v>
      </c>
      <c r="L73" s="314">
        <f t="shared" si="18"/>
        <v>218723.71783499999</v>
      </c>
      <c r="M73" s="400">
        <v>3.6400000000000002E-2</v>
      </c>
      <c r="N73" s="6">
        <f t="shared" si="19"/>
        <v>7961.5433291939999</v>
      </c>
      <c r="O73" s="314">
        <f t="shared" si="20"/>
        <v>226685.261164194</v>
      </c>
      <c r="P73" s="350">
        <f t="shared" si="16"/>
        <v>0</v>
      </c>
      <c r="Q73" s="350">
        <f t="shared" si="17"/>
        <v>17720.211164193999</v>
      </c>
    </row>
    <row r="74" spans="1:17">
      <c r="A74" s="8">
        <v>55</v>
      </c>
      <c r="B74" s="546" t="s">
        <v>1075</v>
      </c>
      <c r="F74" s="314">
        <v>153109.92000000001</v>
      </c>
      <c r="J74" s="578">
        <v>4.6699999999999998E-2</v>
      </c>
      <c r="K74" s="314">
        <f t="shared" si="21"/>
        <v>7150.2332640000004</v>
      </c>
      <c r="L74" s="314">
        <f t="shared" si="18"/>
        <v>160260.15326400002</v>
      </c>
      <c r="M74" s="400">
        <v>3.6400000000000002E-2</v>
      </c>
      <c r="N74" s="6">
        <f t="shared" si="19"/>
        <v>5833.4695788096014</v>
      </c>
      <c r="O74" s="314">
        <f t="shared" si="20"/>
        <v>166093.62284280962</v>
      </c>
      <c r="P74" s="350">
        <f t="shared" si="16"/>
        <v>0</v>
      </c>
      <c r="Q74" s="350">
        <f t="shared" si="17"/>
        <v>12983.702842809602</v>
      </c>
    </row>
    <row r="75" spans="1:17">
      <c r="A75" s="8">
        <v>56</v>
      </c>
      <c r="B75" s="546" t="s">
        <v>1076</v>
      </c>
      <c r="F75" s="314">
        <v>84449.44</v>
      </c>
      <c r="J75" s="578">
        <v>4.6699999999999998E-2</v>
      </c>
      <c r="K75" s="314">
        <f t="shared" si="21"/>
        <v>3943.7888480000001</v>
      </c>
      <c r="L75" s="314">
        <f t="shared" si="18"/>
        <v>88393.228847999999</v>
      </c>
      <c r="M75" s="400">
        <v>3.6400000000000002E-2</v>
      </c>
      <c r="N75" s="6">
        <f t="shared" si="19"/>
        <v>3217.5135300672</v>
      </c>
      <c r="O75" s="314">
        <f t="shared" si="20"/>
        <v>91610.742378067196</v>
      </c>
      <c r="P75" s="350">
        <f t="shared" si="16"/>
        <v>0</v>
      </c>
      <c r="Q75" s="350">
        <f t="shared" si="17"/>
        <v>7161.3023780672002</v>
      </c>
    </row>
    <row r="76" spans="1:17">
      <c r="A76" s="8">
        <v>57</v>
      </c>
      <c r="B76" s="546" t="s">
        <v>1077</v>
      </c>
      <c r="F76" s="314">
        <v>1024805.29</v>
      </c>
      <c r="J76" s="578">
        <v>4.6699999999999998E-2</v>
      </c>
      <c r="K76" s="314">
        <f t="shared" si="21"/>
        <v>47858.407042999999</v>
      </c>
      <c r="L76" s="314">
        <f t="shared" si="18"/>
        <v>1072663.697043</v>
      </c>
      <c r="M76" s="400">
        <v>3.6400000000000002E-2</v>
      </c>
      <c r="N76" s="6">
        <f t="shared" si="19"/>
        <v>39044.958572365205</v>
      </c>
      <c r="O76" s="314">
        <f t="shared" si="20"/>
        <v>1111708.6556153651</v>
      </c>
      <c r="P76" s="350">
        <f t="shared" si="16"/>
        <v>0</v>
      </c>
      <c r="Q76" s="350">
        <f t="shared" si="17"/>
        <v>86903.365615365212</v>
      </c>
    </row>
    <row r="77" spans="1:17">
      <c r="A77" s="8">
        <v>58</v>
      </c>
      <c r="B77" s="546" t="s">
        <v>1078</v>
      </c>
      <c r="F77" s="314">
        <v>208344.85</v>
      </c>
      <c r="J77" s="578">
        <v>4.6699999999999998E-2</v>
      </c>
      <c r="K77" s="314">
        <f t="shared" si="21"/>
        <v>9729.704495</v>
      </c>
      <c r="L77" s="314">
        <f t="shared" si="18"/>
        <v>218074.55449500002</v>
      </c>
      <c r="M77" s="400">
        <v>3.6400000000000002E-2</v>
      </c>
      <c r="N77" s="6">
        <f t="shared" si="19"/>
        <v>7937.9137836180007</v>
      </c>
      <c r="O77" s="314">
        <f t="shared" si="20"/>
        <v>226012.46827861801</v>
      </c>
      <c r="P77" s="350">
        <f t="shared" si="16"/>
        <v>0</v>
      </c>
      <c r="Q77" s="350">
        <f t="shared" si="17"/>
        <v>17667.618278618</v>
      </c>
    </row>
    <row r="78" spans="1:17">
      <c r="A78" s="8">
        <v>59</v>
      </c>
      <c r="B78" s="546" t="s">
        <v>1079</v>
      </c>
      <c r="F78" s="314">
        <v>159743.65</v>
      </c>
      <c r="J78" s="578">
        <v>4.6699999999999998E-2</v>
      </c>
      <c r="K78" s="314">
        <f t="shared" si="21"/>
        <v>7460.0284549999997</v>
      </c>
      <c r="L78" s="314">
        <f t="shared" si="18"/>
        <v>167203.67845499999</v>
      </c>
      <c r="M78" s="400">
        <v>3.6400000000000002E-2</v>
      </c>
      <c r="N78" s="6">
        <f t="shared" si="19"/>
        <v>6086.213895762</v>
      </c>
      <c r="O78" s="314">
        <f t="shared" si="20"/>
        <v>173289.89235076198</v>
      </c>
      <c r="P78" s="350">
        <f t="shared" si="16"/>
        <v>0</v>
      </c>
      <c r="Q78" s="350">
        <f t="shared" si="17"/>
        <v>13546.242350762001</v>
      </c>
    </row>
    <row r="79" spans="1:17">
      <c r="A79" s="8">
        <v>60</v>
      </c>
      <c r="B79" s="546" t="s">
        <v>1080</v>
      </c>
      <c r="F79" s="314">
        <v>250606.53</v>
      </c>
      <c r="J79" s="578">
        <v>4.6699999999999998E-2</v>
      </c>
      <c r="K79" s="314">
        <f t="shared" si="21"/>
        <v>11703.324950999999</v>
      </c>
      <c r="L79" s="314">
        <f t="shared" si="18"/>
        <v>262309.85495100002</v>
      </c>
      <c r="M79" s="400">
        <v>3.6400000000000002E-2</v>
      </c>
      <c r="N79" s="6">
        <f t="shared" si="19"/>
        <v>9548.0787202164011</v>
      </c>
      <c r="O79" s="314">
        <f t="shared" si="20"/>
        <v>271857.93367121642</v>
      </c>
      <c r="P79" s="350">
        <f t="shared" si="16"/>
        <v>0</v>
      </c>
      <c r="Q79" s="350">
        <f t="shared" si="17"/>
        <v>21251.403671216402</v>
      </c>
    </row>
    <row r="80" spans="1:17">
      <c r="A80" s="8">
        <v>61</v>
      </c>
      <c r="B80" s="546" t="s">
        <v>1081</v>
      </c>
      <c r="F80" s="314">
        <v>39737.97</v>
      </c>
      <c r="J80" s="578">
        <v>4.6699999999999998E-2</v>
      </c>
      <c r="K80" s="314">
        <f t="shared" si="21"/>
        <v>1855.763199</v>
      </c>
      <c r="L80" s="314">
        <f t="shared" si="18"/>
        <v>41593.733199000002</v>
      </c>
      <c r="M80" s="400">
        <v>3.6400000000000002E-2</v>
      </c>
      <c r="N80" s="6">
        <f t="shared" si="19"/>
        <v>1514.0118884436001</v>
      </c>
      <c r="O80" s="314">
        <f t="shared" si="20"/>
        <v>43107.745087443604</v>
      </c>
      <c r="P80" s="350">
        <f t="shared" si="16"/>
        <v>0</v>
      </c>
      <c r="Q80" s="350">
        <f t="shared" si="17"/>
        <v>3369.7750874436001</v>
      </c>
    </row>
    <row r="81" spans="1:17">
      <c r="A81" s="8">
        <v>62</v>
      </c>
      <c r="B81" s="546" t="s">
        <v>1082</v>
      </c>
      <c r="F81" s="314">
        <v>29392.47</v>
      </c>
      <c r="J81" s="578">
        <v>4.6699999999999998E-2</v>
      </c>
      <c r="K81" s="314">
        <f t="shared" si="21"/>
        <v>1372.6283490000001</v>
      </c>
      <c r="L81" s="314">
        <f t="shared" si="18"/>
        <v>30765.098349</v>
      </c>
      <c r="M81" s="400">
        <v>3.6400000000000002E-2</v>
      </c>
      <c r="N81" s="6">
        <f t="shared" si="19"/>
        <v>1119.8495799036</v>
      </c>
      <c r="O81" s="314">
        <f t="shared" si="20"/>
        <v>31884.947928903599</v>
      </c>
      <c r="P81" s="350">
        <f t="shared" si="16"/>
        <v>0</v>
      </c>
      <c r="Q81" s="350">
        <f t="shared" si="17"/>
        <v>2492.4779289036001</v>
      </c>
    </row>
    <row r="82" spans="1:17">
      <c r="A82" s="8">
        <v>63</v>
      </c>
      <c r="B82" s="546" t="s">
        <v>1083</v>
      </c>
      <c r="F82" s="314">
        <v>558174.55000000005</v>
      </c>
      <c r="J82" s="578">
        <v>4.6699999999999998E-2</v>
      </c>
      <c r="K82" s="314">
        <f t="shared" si="21"/>
        <v>26066.751485000001</v>
      </c>
      <c r="L82" s="314">
        <f t="shared" si="18"/>
        <v>584241.30148500006</v>
      </c>
      <c r="M82" s="400">
        <v>3.6400000000000002E-2</v>
      </c>
      <c r="N82" s="6">
        <f t="shared" si="19"/>
        <v>21266.383374054003</v>
      </c>
      <c r="O82" s="314">
        <f t="shared" si="20"/>
        <v>605507.68485905405</v>
      </c>
      <c r="P82" s="350">
        <f t="shared" si="16"/>
        <v>0</v>
      </c>
      <c r="Q82" s="350">
        <f t="shared" si="17"/>
        <v>47333.134859054</v>
      </c>
    </row>
    <row r="83" spans="1:17">
      <c r="A83" s="8">
        <v>64</v>
      </c>
      <c r="B83" s="546" t="s">
        <v>1084</v>
      </c>
      <c r="F83" s="314">
        <v>54777.31</v>
      </c>
      <c r="J83" s="578">
        <v>4.6699999999999998E-2</v>
      </c>
      <c r="K83" s="314">
        <f t="shared" si="21"/>
        <v>2558.1003769999998</v>
      </c>
      <c r="L83" s="314">
        <f t="shared" si="18"/>
        <v>57335.410377</v>
      </c>
      <c r="M83" s="400">
        <v>3.6400000000000002E-2</v>
      </c>
      <c r="N83" s="6">
        <f t="shared" si="19"/>
        <v>2087.0089377228001</v>
      </c>
      <c r="O83" s="314">
        <f t="shared" si="20"/>
        <v>59422.4193147228</v>
      </c>
      <c r="P83" s="350">
        <f t="shared" si="16"/>
        <v>0</v>
      </c>
      <c r="Q83" s="350">
        <f t="shared" si="17"/>
        <v>4645.1093147228003</v>
      </c>
    </row>
    <row r="84" spans="1:17">
      <c r="A84" s="8">
        <v>65</v>
      </c>
      <c r="B84" s="546" t="s">
        <v>1085</v>
      </c>
      <c r="F84" s="585">
        <v>9465.5499999999993</v>
      </c>
      <c r="J84" s="578">
        <v>4.6699999999999998E-2</v>
      </c>
      <c r="K84" s="314">
        <f t="shared" si="21"/>
        <v>442.04118499999993</v>
      </c>
      <c r="L84" s="314">
        <f t="shared" si="18"/>
        <v>9907.5911849999993</v>
      </c>
      <c r="M84" s="400">
        <v>3.6400000000000002E-2</v>
      </c>
      <c r="N84" s="6">
        <f t="shared" si="19"/>
        <v>360.63631913400002</v>
      </c>
      <c r="O84" s="314">
        <f t="shared" si="20"/>
        <v>10268.227504134</v>
      </c>
      <c r="P84" s="350">
        <f t="shared" si="16"/>
        <v>0</v>
      </c>
      <c r="Q84" s="350">
        <f t="shared" si="17"/>
        <v>802.67750413399995</v>
      </c>
    </row>
    <row r="85" spans="1:17">
      <c r="F85" s="586">
        <f>SUM(F70:F84)</f>
        <v>4357444.47</v>
      </c>
      <c r="K85" s="586">
        <f>SUM(K70:K84)</f>
        <v>203492.65674899999</v>
      </c>
      <c r="L85" s="586">
        <f>SUM(L70:L84)</f>
        <v>4560937.1267489996</v>
      </c>
      <c r="N85" s="586">
        <f>SUM(N70:N84)</f>
        <v>166018.11141366363</v>
      </c>
      <c r="O85" s="586">
        <f>SUM(O70:O84)</f>
        <v>4726955.2381626638</v>
      </c>
      <c r="P85" s="586">
        <f>SUM(P70:P84)</f>
        <v>0</v>
      </c>
      <c r="Q85" s="586">
        <f>SUM(Q70:Q84)</f>
        <v>369510.76816266362</v>
      </c>
    </row>
    <row r="86" spans="1:17">
      <c r="K86" s="314"/>
    </row>
    <row r="87" spans="1:17">
      <c r="A87" s="787" t="s">
        <v>1497</v>
      </c>
    </row>
    <row r="88" spans="1:17">
      <c r="A88" s="787" t="s">
        <v>2034</v>
      </c>
    </row>
    <row r="89" spans="1:17">
      <c r="A89" s="787" t="s">
        <v>2035</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I37"/>
  <sheetViews>
    <sheetView view="pageBreakPreview" topLeftCell="A7" zoomScaleNormal="100" zoomScaleSheetLayoutView="100" workbookViewId="0">
      <selection activeCell="A3" sqref="A3:H3"/>
    </sheetView>
  </sheetViews>
  <sheetFormatPr defaultRowHeight="15.75"/>
  <cols>
    <col min="1" max="1" width="9.42578125" style="8" bestFit="1" customWidth="1"/>
    <col min="2" max="2" width="33" style="6" bestFit="1" customWidth="1"/>
    <col min="3" max="3" width="10.28515625" style="6" bestFit="1" customWidth="1"/>
    <col min="4" max="4" width="27.28515625" style="6" customWidth="1"/>
    <col min="5" max="5" width="18.140625" style="37" bestFit="1" customWidth="1"/>
    <col min="6" max="6" width="11.28515625" style="6" bestFit="1" customWidth="1"/>
    <col min="7" max="7" width="10.140625" style="6" bestFit="1" customWidth="1"/>
    <col min="8" max="8" width="13.5703125" style="6" bestFit="1" customWidth="1"/>
    <col min="9" max="9" width="9.140625" style="6"/>
    <col min="10" max="10" width="9.7109375" style="6" bestFit="1" customWidth="1"/>
    <col min="11" max="16384" width="9.140625" style="6"/>
  </cols>
  <sheetData>
    <row r="1" spans="1:9">
      <c r="B1" s="1039" t="s">
        <v>60</v>
      </c>
      <c r="C1" s="1039"/>
      <c r="D1" s="1039"/>
      <c r="E1" s="1039"/>
      <c r="F1" s="1039"/>
      <c r="G1" s="5"/>
      <c r="H1" s="5"/>
      <c r="I1" s="5"/>
    </row>
    <row r="2" spans="1:9">
      <c r="B2" s="1039" t="s">
        <v>1588</v>
      </c>
      <c r="C2" s="1039"/>
      <c r="D2" s="1039"/>
      <c r="E2" s="1039"/>
      <c r="F2" s="1039"/>
      <c r="G2" s="5"/>
      <c r="H2" s="5"/>
      <c r="I2" s="5"/>
    </row>
    <row r="3" spans="1:9">
      <c r="B3" s="1039" t="s">
        <v>1607</v>
      </c>
      <c r="C3" s="1039"/>
      <c r="D3" s="1039"/>
      <c r="E3" s="1039"/>
      <c r="F3" s="1039"/>
      <c r="G3" s="5"/>
      <c r="H3" s="5"/>
      <c r="I3" s="5"/>
    </row>
    <row r="4" spans="1:9">
      <c r="B4" s="1039" t="s">
        <v>902</v>
      </c>
      <c r="C4" s="1039"/>
      <c r="D4" s="1039"/>
      <c r="E4" s="1039"/>
      <c r="F4" s="1039"/>
      <c r="G4" s="5"/>
      <c r="H4" s="5"/>
      <c r="I4" s="5"/>
    </row>
    <row r="5" spans="1:9">
      <c r="B5" s="1039" t="s">
        <v>906</v>
      </c>
      <c r="C5" s="1039"/>
      <c r="D5" s="1039"/>
      <c r="E5" s="1039"/>
      <c r="F5" s="1039"/>
      <c r="G5" s="5"/>
      <c r="H5" s="5"/>
      <c r="I5" s="5"/>
    </row>
    <row r="7" spans="1:9" s="8" customFormat="1">
      <c r="B7" s="8" t="s">
        <v>1629</v>
      </c>
      <c r="C7" s="8" t="s">
        <v>1627</v>
      </c>
      <c r="D7" s="8" t="s">
        <v>1628</v>
      </c>
      <c r="E7" s="8" t="s">
        <v>1631</v>
      </c>
      <c r="F7" s="8" t="s">
        <v>1632</v>
      </c>
    </row>
    <row r="8" spans="1:9">
      <c r="A8" s="15" t="s">
        <v>1652</v>
      </c>
    </row>
    <row r="9" spans="1:9">
      <c r="A9" s="8">
        <v>1</v>
      </c>
      <c r="B9" s="6" t="s">
        <v>1543</v>
      </c>
      <c r="E9" s="587">
        <f>+'MPP-12 - Plant Additions'!H208</f>
        <v>17609896.228568003</v>
      </c>
    </row>
    <row r="10" spans="1:9">
      <c r="E10" s="6"/>
    </row>
    <row r="11" spans="1:9">
      <c r="A11" s="8">
        <v>2</v>
      </c>
      <c r="B11" s="99" t="s">
        <v>2044</v>
      </c>
      <c r="C11" s="694">
        <f>E30</f>
        <v>1.1681678480842181E-2</v>
      </c>
      <c r="E11" s="6"/>
    </row>
    <row r="12" spans="1:9">
      <c r="A12" s="8">
        <v>3</v>
      </c>
      <c r="B12" s="6" t="s">
        <v>892</v>
      </c>
      <c r="E12" s="581">
        <f>+E9*C11</f>
        <v>205713.14582312672</v>
      </c>
    </row>
    <row r="13" spans="1:9">
      <c r="E13" s="6"/>
    </row>
    <row r="14" spans="1:9">
      <c r="A14" s="8">
        <v>4</v>
      </c>
      <c r="B14" s="6" t="s">
        <v>2045</v>
      </c>
      <c r="E14" s="120">
        <f>+E33</f>
        <v>199943.9</v>
      </c>
    </row>
    <row r="15" spans="1:9">
      <c r="E15" s="6"/>
    </row>
    <row r="16" spans="1:9">
      <c r="A16" s="8">
        <v>5</v>
      </c>
      <c r="B16" s="6" t="s">
        <v>809</v>
      </c>
      <c r="D16" s="30" t="s">
        <v>1651</v>
      </c>
      <c r="E16" s="314">
        <f>+E9</f>
        <v>17609896.228568003</v>
      </c>
      <c r="F16" s="314"/>
    </row>
    <row r="17" spans="1:7">
      <c r="D17" s="30"/>
      <c r="E17" s="314"/>
      <c r="F17" s="314"/>
    </row>
    <row r="18" spans="1:7">
      <c r="A18" s="8">
        <v>6</v>
      </c>
      <c r="B18" s="6" t="s">
        <v>295</v>
      </c>
      <c r="D18" s="30" t="s">
        <v>1290</v>
      </c>
      <c r="E18" s="314">
        <f>+'MPP-12 - Plant Additions'!J230</f>
        <v>472868.90784800722</v>
      </c>
      <c r="F18" s="314">
        <f>+E18</f>
        <v>472868.90784800722</v>
      </c>
    </row>
    <row r="19" spans="1:7">
      <c r="A19" s="8">
        <v>7</v>
      </c>
      <c r="B19" s="6" t="s">
        <v>822</v>
      </c>
      <c r="D19" s="30" t="s">
        <v>1653</v>
      </c>
      <c r="E19" s="314">
        <f>+E18/2</f>
        <v>236434.45392400361</v>
      </c>
      <c r="F19" s="314"/>
    </row>
    <row r="20" spans="1:7">
      <c r="A20" s="8">
        <v>8</v>
      </c>
      <c r="B20" s="6" t="s">
        <v>823</v>
      </c>
      <c r="D20" s="30" t="s">
        <v>1654</v>
      </c>
      <c r="E20" s="314">
        <f>+E16*0.0375</f>
        <v>660371.10857130005</v>
      </c>
      <c r="F20" s="314"/>
    </row>
    <row r="21" spans="1:7">
      <c r="A21" s="8">
        <v>9</v>
      </c>
      <c r="B21" s="6" t="s">
        <v>105</v>
      </c>
      <c r="D21" s="30" t="s">
        <v>1655</v>
      </c>
      <c r="E21" s="314">
        <f>(+E20-E18)*0.35</f>
        <v>65625.770253152485</v>
      </c>
      <c r="F21" s="314"/>
    </row>
    <row r="22" spans="1:7">
      <c r="A22" s="8">
        <v>10</v>
      </c>
      <c r="B22" s="6" t="s">
        <v>824</v>
      </c>
      <c r="D22" s="30" t="s">
        <v>1656</v>
      </c>
      <c r="E22" s="314">
        <f>+E21/2</f>
        <v>32812.885126576242</v>
      </c>
      <c r="F22" s="314"/>
    </row>
    <row r="23" spans="1:7">
      <c r="A23" s="8">
        <v>11</v>
      </c>
      <c r="B23" s="6" t="s">
        <v>825</v>
      </c>
      <c r="D23" s="30" t="s">
        <v>1657</v>
      </c>
      <c r="E23" s="314"/>
      <c r="F23" s="314">
        <f>+F18*0.35</f>
        <v>165504.11774680251</v>
      </c>
    </row>
    <row r="24" spans="1:7">
      <c r="E24" s="314"/>
      <c r="F24" s="314"/>
    </row>
    <row r="25" spans="1:7">
      <c r="A25" s="8">
        <v>12</v>
      </c>
      <c r="B25" s="6" t="s">
        <v>826</v>
      </c>
      <c r="E25" s="314">
        <f>+E16-E22-E19</f>
        <v>17340648.889517423</v>
      </c>
      <c r="F25" s="314"/>
    </row>
    <row r="26" spans="1:7">
      <c r="F26" s="400"/>
      <c r="G26" s="314"/>
    </row>
    <row r="27" spans="1:7">
      <c r="A27" s="8" t="s">
        <v>1497</v>
      </c>
      <c r="F27" s="314"/>
      <c r="G27" s="314"/>
    </row>
    <row r="28" spans="1:7">
      <c r="A28" s="788" t="s">
        <v>2040</v>
      </c>
      <c r="B28" s="460" t="s">
        <v>2041</v>
      </c>
      <c r="C28" s="460"/>
      <c r="D28" s="460"/>
      <c r="E28" s="789">
        <v>222755000</v>
      </c>
      <c r="F28" s="314"/>
      <c r="G28" s="314"/>
    </row>
    <row r="29" spans="1:7">
      <c r="A29" s="463"/>
      <c r="B29" s="19" t="s">
        <v>2042</v>
      </c>
      <c r="C29" s="19"/>
      <c r="D29" s="19"/>
      <c r="E29" s="790">
        <v>2602152.29</v>
      </c>
      <c r="F29" s="314"/>
      <c r="G29" s="314"/>
    </row>
    <row r="30" spans="1:7">
      <c r="A30" s="464"/>
      <c r="B30" s="461" t="s">
        <v>2043</v>
      </c>
      <c r="C30" s="461"/>
      <c r="D30" s="461"/>
      <c r="E30" s="791">
        <f>E29/E28</f>
        <v>1.1681678480842181E-2</v>
      </c>
      <c r="F30" s="314"/>
      <c r="G30" s="314"/>
    </row>
    <row r="31" spans="1:7">
      <c r="A31" s="788" t="s">
        <v>2038</v>
      </c>
      <c r="B31" s="460" t="s">
        <v>2029</v>
      </c>
      <c r="C31" s="460"/>
      <c r="D31" s="460"/>
      <c r="E31" s="792">
        <v>6500000</v>
      </c>
      <c r="F31" s="314"/>
      <c r="G31" s="314"/>
    </row>
    <row r="32" spans="1:7">
      <c r="A32" s="463"/>
      <c r="B32" s="19" t="s">
        <v>2031</v>
      </c>
      <c r="C32" s="19"/>
      <c r="D32" s="19"/>
      <c r="E32" s="793">
        <v>3.0760599999999999E-2</v>
      </c>
      <c r="F32" s="314"/>
      <c r="G32" s="314"/>
    </row>
    <row r="33" spans="1:7">
      <c r="A33" s="464"/>
      <c r="B33" s="461" t="s">
        <v>2030</v>
      </c>
      <c r="C33" s="461"/>
      <c r="D33" s="461"/>
      <c r="E33" s="794">
        <f>+E31*E32</f>
        <v>199943.9</v>
      </c>
      <c r="F33" s="314"/>
      <c r="G33" s="314"/>
    </row>
    <row r="34" spans="1:7">
      <c r="E34" s="6"/>
      <c r="F34" s="314"/>
      <c r="G34" s="314"/>
    </row>
    <row r="35" spans="1:7">
      <c r="F35" s="314"/>
      <c r="G35" s="314"/>
    </row>
    <row r="36" spans="1:7">
      <c r="F36" s="314"/>
      <c r="G36" s="314"/>
    </row>
    <row r="37" spans="1:7">
      <c r="F37" s="314"/>
      <c r="G37" s="314"/>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I21"/>
  <sheetViews>
    <sheetView zoomScaleNormal="100" workbookViewId="0">
      <selection activeCell="G18" sqref="G18"/>
    </sheetView>
  </sheetViews>
  <sheetFormatPr defaultRowHeight="15.75"/>
  <cols>
    <col min="1" max="1" width="9.42578125" style="8" bestFit="1" customWidth="1"/>
    <col min="2" max="3" width="9.140625" style="6"/>
    <col min="4" max="4" width="24.5703125" style="6" bestFit="1" customWidth="1"/>
    <col min="5" max="5" width="14.85546875" style="6" bestFit="1" customWidth="1"/>
    <col min="6" max="6" width="3.7109375" style="6" customWidth="1"/>
    <col min="7" max="7" width="15.7109375" style="6" bestFit="1" customWidth="1"/>
    <col min="8" max="8" width="9.140625" style="6"/>
    <col min="9" max="10" width="12.5703125" style="6" bestFit="1" customWidth="1"/>
    <col min="11" max="16384" width="9.140625" style="6"/>
  </cols>
  <sheetData>
    <row r="1" spans="1:9">
      <c r="B1" s="1039" t="s">
        <v>60</v>
      </c>
      <c r="C1" s="1039"/>
      <c r="D1" s="1039"/>
      <c r="E1" s="1039"/>
      <c r="F1" s="1039"/>
      <c r="G1" s="1039"/>
      <c r="H1" s="1039"/>
      <c r="I1" s="30"/>
    </row>
    <row r="2" spans="1:9">
      <c r="B2" s="1039" t="s">
        <v>1588</v>
      </c>
      <c r="C2" s="1039"/>
      <c r="D2" s="1039"/>
      <c r="E2" s="1039"/>
      <c r="F2" s="1039"/>
      <c r="G2" s="1039"/>
      <c r="H2" s="1039"/>
      <c r="I2" s="30"/>
    </row>
    <row r="3" spans="1:9">
      <c r="B3" s="1039" t="s">
        <v>1608</v>
      </c>
      <c r="C3" s="1039"/>
      <c r="D3" s="1039"/>
      <c r="E3" s="1039"/>
      <c r="F3" s="1039"/>
      <c r="G3" s="1039"/>
      <c r="H3" s="1039"/>
      <c r="I3" s="30"/>
    </row>
    <row r="4" spans="1:9">
      <c r="B4" s="1039" t="s">
        <v>903</v>
      </c>
      <c r="C4" s="1039"/>
      <c r="D4" s="1039"/>
      <c r="E4" s="1039"/>
      <c r="F4" s="1039"/>
      <c r="G4" s="1039"/>
      <c r="H4" s="1039"/>
      <c r="I4" s="30"/>
    </row>
    <row r="5" spans="1:9">
      <c r="B5" s="1039" t="s">
        <v>906</v>
      </c>
      <c r="C5" s="1039"/>
      <c r="D5" s="1039"/>
      <c r="E5" s="1039"/>
      <c r="F5" s="1039"/>
      <c r="G5" s="1039"/>
      <c r="H5" s="1039"/>
      <c r="I5" s="30"/>
    </row>
    <row r="6" spans="1:9">
      <c r="E6" s="30"/>
      <c r="F6" s="30"/>
      <c r="G6" s="30"/>
      <c r="H6" s="30"/>
      <c r="I6" s="30"/>
    </row>
    <row r="7" spans="1:9">
      <c r="D7" s="8" t="s">
        <v>2309</v>
      </c>
      <c r="E7" s="32" t="s">
        <v>2311</v>
      </c>
      <c r="F7" s="30"/>
      <c r="G7" s="30" t="s">
        <v>2313</v>
      </c>
      <c r="H7" s="30"/>
      <c r="I7" s="30"/>
    </row>
    <row r="8" spans="1:9" s="8" customFormat="1">
      <c r="D8" s="8" t="s">
        <v>2310</v>
      </c>
      <c r="E8" s="32" t="s">
        <v>2312</v>
      </c>
      <c r="G8" s="8" t="s">
        <v>903</v>
      </c>
    </row>
    <row r="9" spans="1:9" ht="16.5" thickBot="1">
      <c r="A9" s="588" t="s">
        <v>812</v>
      </c>
      <c r="B9" s="6" t="s">
        <v>1629</v>
      </c>
      <c r="D9" s="785" t="s">
        <v>1627</v>
      </c>
      <c r="E9" s="785" t="s">
        <v>1628</v>
      </c>
      <c r="F9" s="8"/>
      <c r="G9" s="592" t="s">
        <v>1631</v>
      </c>
    </row>
    <row r="10" spans="1:9">
      <c r="A10" s="8">
        <v>1</v>
      </c>
      <c r="B10" s="6" t="s">
        <v>820</v>
      </c>
      <c r="D10" s="589">
        <v>55430.080000000002</v>
      </c>
      <c r="E10" s="589">
        <v>13125</v>
      </c>
      <c r="G10" s="587">
        <f>+D10+E10</f>
        <v>68555.08</v>
      </c>
    </row>
    <row r="11" spans="1:9">
      <c r="A11" s="8">
        <v>2</v>
      </c>
      <c r="B11" s="6" t="s">
        <v>106</v>
      </c>
      <c r="D11" s="589">
        <v>261953.9</v>
      </c>
      <c r="E11" s="589">
        <v>18125</v>
      </c>
      <c r="G11" s="587">
        <f t="shared" ref="G11:G13" si="0">+D11+E11</f>
        <v>280078.90000000002</v>
      </c>
    </row>
    <row r="12" spans="1:9">
      <c r="A12" s="8">
        <v>3</v>
      </c>
      <c r="B12" s="6" t="s">
        <v>107</v>
      </c>
      <c r="D12" s="589">
        <v>17660.12</v>
      </c>
      <c r="E12" s="589">
        <v>86250</v>
      </c>
      <c r="G12" s="587">
        <f t="shared" si="0"/>
        <v>103910.12</v>
      </c>
    </row>
    <row r="13" spans="1:9">
      <c r="A13" s="8">
        <v>4</v>
      </c>
      <c r="B13" s="6" t="s">
        <v>2307</v>
      </c>
      <c r="D13" s="589">
        <v>16016</v>
      </c>
      <c r="E13" s="589">
        <v>13500</v>
      </c>
      <c r="G13" s="587">
        <f t="shared" si="0"/>
        <v>29516</v>
      </c>
    </row>
    <row r="14" spans="1:9">
      <c r="D14" s="589"/>
      <c r="E14" s="589"/>
    </row>
    <row r="15" spans="1:9">
      <c r="A15" s="8">
        <v>5</v>
      </c>
      <c r="B15" s="6" t="s">
        <v>108</v>
      </c>
      <c r="D15" s="589">
        <f>SUM(D10:D14)</f>
        <v>351060.1</v>
      </c>
      <c r="E15" s="589">
        <f>SUM(E10:E14)</f>
        <v>131000</v>
      </c>
      <c r="G15" s="589">
        <f>SUM(G10:G14)</f>
        <v>482060.10000000003</v>
      </c>
    </row>
    <row r="16" spans="1:9">
      <c r="D16" s="832" t="s">
        <v>2314</v>
      </c>
      <c r="E16" s="589"/>
      <c r="G16" s="589">
        <f>+G15/2</f>
        <v>241030.05000000002</v>
      </c>
    </row>
    <row r="17" spans="1:9">
      <c r="A17" s="8">
        <v>6</v>
      </c>
      <c r="D17" s="6" t="s">
        <v>1035</v>
      </c>
      <c r="G17" s="590">
        <v>109633</v>
      </c>
      <c r="H17" s="120"/>
    </row>
    <row r="18" spans="1:9" ht="16.5" thickBot="1">
      <c r="A18" s="8">
        <v>7</v>
      </c>
      <c r="B18" s="6" t="s">
        <v>62</v>
      </c>
      <c r="G18" s="591">
        <f>+G16-G17</f>
        <v>131397.05000000002</v>
      </c>
      <c r="I18" s="587"/>
    </row>
    <row r="19" spans="1:9" ht="16.5" thickTop="1"/>
    <row r="21" spans="1:9">
      <c r="A21" s="546" t="s">
        <v>2308</v>
      </c>
    </row>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L19"/>
  <sheetViews>
    <sheetView view="pageBreakPreview" zoomScale="90" zoomScaleNormal="100" zoomScaleSheetLayoutView="90" workbookViewId="0">
      <selection activeCell="K18" sqref="K18"/>
    </sheetView>
  </sheetViews>
  <sheetFormatPr defaultRowHeight="15.75"/>
  <cols>
    <col min="1" max="1" width="8.85546875" style="8" bestFit="1" customWidth="1"/>
    <col min="2" max="2" width="36.28515625" style="6" bestFit="1" customWidth="1"/>
    <col min="3" max="3" width="25.7109375" style="6" bestFit="1" customWidth="1"/>
    <col min="4" max="4" width="8.140625" style="6" bestFit="1" customWidth="1"/>
    <col min="5" max="5" width="9" style="6" bestFit="1" customWidth="1"/>
    <col min="6" max="6" width="6.42578125" style="6" customWidth="1"/>
    <col min="7" max="7" width="5.42578125" style="6" bestFit="1" customWidth="1"/>
    <col min="8" max="8" width="10" style="6" bestFit="1" customWidth="1"/>
    <col min="9" max="9" width="5.42578125" style="6" bestFit="1" customWidth="1"/>
    <col min="10" max="10" width="11.140625" style="6" bestFit="1" customWidth="1"/>
    <col min="11" max="11" width="16.85546875" style="6" bestFit="1" customWidth="1"/>
    <col min="12" max="12" width="14.5703125" style="6" bestFit="1" customWidth="1"/>
    <col min="13" max="16384" width="9.140625" style="6"/>
  </cols>
  <sheetData>
    <row r="1" spans="1:12">
      <c r="C1" s="1039" t="s">
        <v>60</v>
      </c>
      <c r="D1" s="1039"/>
      <c r="E1" s="1039"/>
      <c r="F1" s="1039"/>
      <c r="G1" s="1039"/>
      <c r="H1" s="1039"/>
      <c r="I1" s="1039"/>
      <c r="J1" s="1039"/>
    </row>
    <row r="2" spans="1:12">
      <c r="C2" s="1039" t="s">
        <v>1588</v>
      </c>
      <c r="D2" s="1039"/>
      <c r="E2" s="1039"/>
      <c r="F2" s="1039"/>
      <c r="G2" s="1039"/>
      <c r="H2" s="1039"/>
      <c r="I2" s="1039"/>
      <c r="J2" s="1039"/>
    </row>
    <row r="3" spans="1:12">
      <c r="C3" s="1039" t="s">
        <v>1609</v>
      </c>
      <c r="D3" s="1039"/>
      <c r="E3" s="1039"/>
      <c r="F3" s="1039"/>
      <c r="G3" s="1039"/>
      <c r="H3" s="1039"/>
      <c r="I3" s="1039"/>
      <c r="J3" s="1039"/>
    </row>
    <row r="4" spans="1:12">
      <c r="C4" s="1039" t="s">
        <v>1615</v>
      </c>
      <c r="D4" s="1039"/>
      <c r="E4" s="1039"/>
      <c r="F4" s="1039"/>
      <c r="G4" s="1039"/>
      <c r="H4" s="1039"/>
      <c r="I4" s="1039"/>
      <c r="J4" s="1039"/>
    </row>
    <row r="5" spans="1:12">
      <c r="C5" s="1039" t="s">
        <v>906</v>
      </c>
      <c r="D5" s="1039"/>
      <c r="E5" s="1039"/>
      <c r="F5" s="1039"/>
      <c r="G5" s="1039"/>
      <c r="H5" s="1039"/>
      <c r="I5" s="1039"/>
      <c r="J5" s="1039"/>
    </row>
    <row r="9" spans="1:12" s="8" customFormat="1">
      <c r="B9" s="8" t="s">
        <v>1629</v>
      </c>
      <c r="C9" s="8" t="s">
        <v>1627</v>
      </c>
      <c r="D9" s="8" t="s">
        <v>1628</v>
      </c>
      <c r="E9" s="8" t="s">
        <v>1631</v>
      </c>
      <c r="F9" s="8" t="s">
        <v>1632</v>
      </c>
      <c r="G9" s="8" t="s">
        <v>1641</v>
      </c>
      <c r="H9" s="8" t="s">
        <v>1642</v>
      </c>
      <c r="I9" s="8" t="s">
        <v>1643</v>
      </c>
      <c r="J9" s="8" t="s">
        <v>1644</v>
      </c>
      <c r="K9" s="8" t="s">
        <v>1645</v>
      </c>
      <c r="L9" s="8" t="s">
        <v>1646</v>
      </c>
    </row>
    <row r="10" spans="1:12" s="8" customFormat="1" ht="16.5" thickBot="1">
      <c r="A10" s="15" t="s">
        <v>812</v>
      </c>
      <c r="B10" s="592" t="s">
        <v>1089</v>
      </c>
      <c r="C10" s="592" t="s">
        <v>1090</v>
      </c>
      <c r="D10" s="592" t="s">
        <v>855</v>
      </c>
      <c r="E10" s="592"/>
      <c r="F10" s="592" t="s">
        <v>1091</v>
      </c>
      <c r="G10" s="592" t="s">
        <v>1092</v>
      </c>
      <c r="H10" s="592" t="s">
        <v>1091</v>
      </c>
      <c r="I10" s="592" t="s">
        <v>1092</v>
      </c>
      <c r="J10" s="593">
        <v>2017</v>
      </c>
      <c r="K10" s="533" t="s">
        <v>1093</v>
      </c>
      <c r="L10" s="533" t="s">
        <v>1094</v>
      </c>
    </row>
    <row r="12" spans="1:12">
      <c r="A12" s="8">
        <v>1</v>
      </c>
      <c r="B12" s="6" t="s">
        <v>1086</v>
      </c>
      <c r="C12" s="6" t="s">
        <v>1087</v>
      </c>
      <c r="D12" s="350">
        <v>48.08</v>
      </c>
      <c r="E12" s="314">
        <v>2080</v>
      </c>
      <c r="F12" s="6">
        <v>100</v>
      </c>
      <c r="G12" s="6">
        <v>0</v>
      </c>
      <c r="H12" s="594">
        <f>D12*E12*F12*0.01</f>
        <v>100006.40000000001</v>
      </c>
      <c r="I12" s="6">
        <f>D12*E12*G12*0.01</f>
        <v>0</v>
      </c>
      <c r="J12" s="523">
        <f>H12</f>
        <v>100006.40000000001</v>
      </c>
      <c r="K12" s="400">
        <f>'State Allocation Formulas'!L25</f>
        <v>0.77239999999999998</v>
      </c>
      <c r="L12" s="314">
        <f>+J12*K12</f>
        <v>77244.943360000005</v>
      </c>
    </row>
    <row r="13" spans="1:12">
      <c r="A13" s="8">
        <v>2</v>
      </c>
      <c r="B13" s="6" t="s">
        <v>1086</v>
      </c>
      <c r="C13" s="6" t="s">
        <v>1088</v>
      </c>
      <c r="D13" s="350">
        <v>33.15</v>
      </c>
      <c r="E13" s="314">
        <v>2080</v>
      </c>
      <c r="F13" s="6">
        <v>100</v>
      </c>
      <c r="G13" s="6">
        <v>0</v>
      </c>
      <c r="H13" s="594">
        <f>D13*E13*F13*0.01</f>
        <v>68952</v>
      </c>
      <c r="I13" s="6">
        <f>D13*E13*G13*0.01</f>
        <v>0</v>
      </c>
      <c r="J13" s="523">
        <f>H13</f>
        <v>68952</v>
      </c>
      <c r="K13" s="400">
        <f>'State Allocation Formulas'!L25</f>
        <v>0.77239999999999998</v>
      </c>
      <c r="L13" s="314">
        <f>+J13*K13</f>
        <v>53258.524799999999</v>
      </c>
    </row>
    <row r="14" spans="1:12" ht="16.5" thickBot="1">
      <c r="A14" s="8">
        <v>3</v>
      </c>
      <c r="B14" s="6" t="s">
        <v>1086</v>
      </c>
      <c r="C14" s="6" t="s">
        <v>1088</v>
      </c>
      <c r="D14" s="350">
        <v>0</v>
      </c>
      <c r="E14" s="314">
        <v>2080</v>
      </c>
      <c r="F14" s="6">
        <v>100</v>
      </c>
      <c r="G14" s="6">
        <v>0</v>
      </c>
      <c r="H14" s="595">
        <f>D14*E14*F14*0.01</f>
        <v>0</v>
      </c>
      <c r="I14" s="6">
        <f>D14*E14*G14*0.01</f>
        <v>0</v>
      </c>
      <c r="J14" s="596">
        <f>H14</f>
        <v>0</v>
      </c>
      <c r="K14" s="400">
        <f>'State Allocation Formulas'!L25</f>
        <v>0.77239999999999998</v>
      </c>
      <c r="L14" s="314">
        <f>+J14*K14</f>
        <v>0</v>
      </c>
    </row>
    <row r="15" spans="1:12">
      <c r="D15" s="350"/>
      <c r="E15" s="314"/>
      <c r="H15" s="594">
        <f>SUM(H12:H14)</f>
        <v>168958.40000000002</v>
      </c>
      <c r="J15" s="597">
        <f>SUM(J12:J14)</f>
        <v>168958.40000000002</v>
      </c>
      <c r="L15" s="598">
        <f>SUM(L12:L14)</f>
        <v>130503.46816</v>
      </c>
    </row>
    <row r="16" spans="1:12">
      <c r="A16" s="8">
        <v>4</v>
      </c>
      <c r="C16" s="6" t="s">
        <v>1095</v>
      </c>
      <c r="K16" s="400">
        <v>0.45</v>
      </c>
      <c r="L16" s="120">
        <f>+L15*K16</f>
        <v>58726.560672</v>
      </c>
    </row>
    <row r="17" spans="1:12">
      <c r="A17" s="8">
        <v>5</v>
      </c>
      <c r="C17" s="6" t="s">
        <v>1096</v>
      </c>
      <c r="K17" s="400">
        <v>7.6499999999999999E-2</v>
      </c>
      <c r="L17" s="120">
        <f>+L15*K17</f>
        <v>9983.5153142399995</v>
      </c>
    </row>
    <row r="19" spans="1:12">
      <c r="A19" s="8">
        <v>6</v>
      </c>
      <c r="B19" s="6" t="s">
        <v>1573</v>
      </c>
      <c r="L19" s="599">
        <f>+L15+L16+L17</f>
        <v>199213.54414624002</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I19"/>
  <sheetViews>
    <sheetView workbookViewId="0">
      <selection activeCell="I32" sqref="I32"/>
    </sheetView>
  </sheetViews>
  <sheetFormatPr defaultRowHeight="15.75"/>
  <cols>
    <col min="1" max="1" width="9.140625" style="146"/>
    <col min="2" max="2" width="35.140625" style="146" bestFit="1" customWidth="1"/>
    <col min="3" max="3" width="2.85546875" style="146" customWidth="1"/>
    <col min="4" max="4" width="10.140625" style="146" bestFit="1" customWidth="1"/>
    <col min="5" max="5" width="9.140625" style="146"/>
    <col min="6" max="6" width="10.140625" style="146" bestFit="1" customWidth="1"/>
    <col min="7" max="16384" width="9.140625" style="146"/>
  </cols>
  <sheetData>
    <row r="1" spans="1:9">
      <c r="A1" s="1039" t="s">
        <v>60</v>
      </c>
      <c r="B1" s="1039"/>
      <c r="C1" s="1039"/>
      <c r="D1" s="1039"/>
      <c r="E1" s="1039"/>
      <c r="F1" s="5"/>
      <c r="G1" s="5"/>
      <c r="H1" s="5"/>
      <c r="I1" s="5"/>
    </row>
    <row r="2" spans="1:9">
      <c r="A2" s="1039" t="s">
        <v>1588</v>
      </c>
      <c r="B2" s="1039"/>
      <c r="C2" s="1039"/>
      <c r="D2" s="1039"/>
      <c r="E2" s="1039"/>
      <c r="F2" s="5"/>
      <c r="G2" s="5"/>
      <c r="H2" s="5"/>
      <c r="I2" s="5"/>
    </row>
    <row r="3" spans="1:9">
      <c r="A3" s="1039" t="s">
        <v>1619</v>
      </c>
      <c r="B3" s="1039"/>
      <c r="C3" s="1039"/>
      <c r="D3" s="1039"/>
      <c r="E3" s="1039"/>
      <c r="F3" s="5"/>
      <c r="G3" s="5"/>
      <c r="H3" s="5"/>
      <c r="I3" s="5"/>
    </row>
    <row r="4" spans="1:9">
      <c r="A4" s="1039" t="s">
        <v>943</v>
      </c>
      <c r="B4" s="1039"/>
      <c r="C4" s="1039"/>
      <c r="D4" s="1039"/>
      <c r="E4" s="1039"/>
      <c r="F4" s="5"/>
      <c r="G4" s="5"/>
      <c r="H4" s="5"/>
      <c r="I4" s="5"/>
    </row>
    <row r="5" spans="1:9">
      <c r="A5" s="1039" t="s">
        <v>906</v>
      </c>
      <c r="B5" s="1039"/>
      <c r="C5" s="1039"/>
      <c r="D5" s="1039"/>
      <c r="E5" s="1039"/>
      <c r="F5" s="5"/>
      <c r="G5" s="5"/>
      <c r="H5" s="5"/>
      <c r="I5" s="5"/>
    </row>
    <row r="7" spans="1:9">
      <c r="A7" s="600" t="s">
        <v>812</v>
      </c>
      <c r="B7" s="550" t="s">
        <v>1629</v>
      </c>
      <c r="C7" s="550"/>
      <c r="D7" s="550" t="s">
        <v>1627</v>
      </c>
    </row>
    <row r="8" spans="1:9">
      <c r="A8" s="550">
        <v>1</v>
      </c>
      <c r="B8" s="146" t="s">
        <v>2051</v>
      </c>
      <c r="D8" s="601">
        <v>2219857.09</v>
      </c>
    </row>
    <row r="9" spans="1:9">
      <c r="A9" s="550">
        <v>2</v>
      </c>
      <c r="B9" s="146" t="s">
        <v>2298</v>
      </c>
      <c r="D9" s="602">
        <f>6038694.49-D8</f>
        <v>3818837.4000000004</v>
      </c>
    </row>
    <row r="10" spans="1:9">
      <c r="A10" s="550">
        <v>3</v>
      </c>
      <c r="B10" s="146" t="s">
        <v>1069</v>
      </c>
      <c r="D10" s="603">
        <v>0</v>
      </c>
    </row>
    <row r="11" spans="1:9">
      <c r="A11" s="550">
        <v>4</v>
      </c>
      <c r="B11" s="146" t="s">
        <v>938</v>
      </c>
      <c r="D11" s="601">
        <f>+D8+D9+D10</f>
        <v>6038694.4900000002</v>
      </c>
    </row>
    <row r="12" spans="1:9" ht="18">
      <c r="A12" s="550">
        <v>5</v>
      </c>
      <c r="B12" s="146" t="s">
        <v>1959</v>
      </c>
      <c r="D12" s="603">
        <v>10</v>
      </c>
    </row>
    <row r="13" spans="1:9" ht="16.5" thickBot="1">
      <c r="A13" s="550">
        <v>6</v>
      </c>
      <c r="B13" s="146" t="s">
        <v>939</v>
      </c>
      <c r="D13" s="604">
        <f>+D11/D12</f>
        <v>603869.44900000002</v>
      </c>
    </row>
    <row r="14" spans="1:9" ht="16.5" thickTop="1"/>
    <row r="16" spans="1:9" ht="18">
      <c r="A16" s="146" t="s">
        <v>1960</v>
      </c>
    </row>
    <row r="19" spans="1:1">
      <c r="A19" s="550"/>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22"/>
  <sheetViews>
    <sheetView zoomScaleNormal="100" workbookViewId="0">
      <selection activeCell="A3" sqref="A3:H3"/>
    </sheetView>
  </sheetViews>
  <sheetFormatPr defaultColWidth="11.42578125" defaultRowHeight="15.75"/>
  <cols>
    <col min="1" max="1" width="9.28515625" style="6" bestFit="1" customWidth="1"/>
    <col min="2" max="2" width="25" style="6" bestFit="1" customWidth="1"/>
    <col min="3" max="3" width="12.5703125" style="6" customWidth="1"/>
    <col min="4" max="4" width="5.85546875" style="6" customWidth="1"/>
    <col min="5" max="5" width="12.28515625" style="6" bestFit="1" customWidth="1"/>
    <col min="6" max="6" width="5.42578125" style="6" customWidth="1"/>
    <col min="7" max="7" width="10.28515625" style="6" bestFit="1" customWidth="1"/>
    <col min="8" max="8" width="4.85546875" style="6" customWidth="1"/>
    <col min="9" max="9" width="9.85546875" style="6" bestFit="1" customWidth="1"/>
    <col min="10" max="10" width="4.7109375" style="6" customWidth="1"/>
    <col min="11" max="11" width="9.85546875" style="6" bestFit="1" customWidth="1"/>
    <col min="12" max="12" width="3.28515625" style="6" customWidth="1"/>
    <col min="13" max="13" width="11" style="6" bestFit="1" customWidth="1"/>
    <col min="14" max="14" width="3.5703125" style="6" customWidth="1"/>
    <col min="15" max="15" width="11.85546875" style="6" customWidth="1"/>
    <col min="16" max="16384" width="11.42578125" style="6"/>
  </cols>
  <sheetData>
    <row r="1" spans="1:15">
      <c r="B1" s="1039" t="s">
        <v>60</v>
      </c>
      <c r="C1" s="1039"/>
      <c r="D1" s="1039"/>
      <c r="E1" s="1039"/>
      <c r="F1" s="1039"/>
      <c r="G1" s="1039"/>
      <c r="H1" s="1039"/>
      <c r="I1" s="1039"/>
      <c r="J1" s="1039"/>
      <c r="K1" s="1039"/>
      <c r="L1" s="1039"/>
      <c r="M1" s="1039"/>
    </row>
    <row r="2" spans="1:15">
      <c r="B2" s="1039" t="s">
        <v>1588</v>
      </c>
      <c r="C2" s="1039"/>
      <c r="D2" s="1039"/>
      <c r="E2" s="1039"/>
      <c r="F2" s="1039"/>
      <c r="G2" s="1039"/>
      <c r="H2" s="1039"/>
      <c r="I2" s="1039"/>
      <c r="J2" s="1039"/>
      <c r="K2" s="1039"/>
      <c r="L2" s="1039"/>
      <c r="M2" s="1039"/>
    </row>
    <row r="3" spans="1:15">
      <c r="B3" s="1039" t="s">
        <v>1620</v>
      </c>
      <c r="C3" s="1039"/>
      <c r="D3" s="1039"/>
      <c r="E3" s="1039"/>
      <c r="F3" s="1039"/>
      <c r="G3" s="1039"/>
      <c r="H3" s="1039"/>
      <c r="I3" s="1039"/>
      <c r="J3" s="1039"/>
      <c r="K3" s="1039"/>
      <c r="L3" s="1039"/>
      <c r="M3" s="1039"/>
    </row>
    <row r="4" spans="1:15">
      <c r="B4" s="1039" t="s">
        <v>944</v>
      </c>
      <c r="C4" s="1039"/>
      <c r="D4" s="1039"/>
      <c r="E4" s="1039"/>
      <c r="F4" s="1039"/>
      <c r="G4" s="1039"/>
      <c r="H4" s="1039"/>
      <c r="I4" s="1039"/>
      <c r="J4" s="1039"/>
      <c r="K4" s="1039"/>
      <c r="L4" s="1039"/>
      <c r="M4" s="1039"/>
    </row>
    <row r="5" spans="1:15">
      <c r="B5" s="1039" t="s">
        <v>906</v>
      </c>
      <c r="C5" s="1039"/>
      <c r="D5" s="1039"/>
      <c r="E5" s="1039"/>
      <c r="F5" s="1039"/>
      <c r="G5" s="1039"/>
      <c r="H5" s="1039"/>
      <c r="I5" s="1039"/>
      <c r="J5" s="1039"/>
      <c r="K5" s="1039"/>
      <c r="L5" s="1039"/>
      <c r="M5" s="1039"/>
    </row>
    <row r="7" spans="1:15" s="8" customFormat="1">
      <c r="B7" s="8" t="s">
        <v>1629</v>
      </c>
      <c r="C7" s="8" t="s">
        <v>1627</v>
      </c>
      <c r="E7" s="8" t="s">
        <v>1628</v>
      </c>
      <c r="G7" s="8" t="s">
        <v>1631</v>
      </c>
      <c r="I7" s="8" t="s">
        <v>1632</v>
      </c>
      <c r="K7" s="8" t="s">
        <v>1641</v>
      </c>
      <c r="M7" s="8" t="s">
        <v>1642</v>
      </c>
      <c r="O7" s="8" t="s">
        <v>1643</v>
      </c>
    </row>
    <row r="8" spans="1:15" ht="78.75">
      <c r="A8" s="605" t="s">
        <v>812</v>
      </c>
      <c r="B8" s="605" t="s">
        <v>945</v>
      </c>
      <c r="C8" s="606" t="s">
        <v>2048</v>
      </c>
      <c r="D8" s="605"/>
      <c r="E8" s="606" t="s">
        <v>2049</v>
      </c>
      <c r="F8" s="605"/>
      <c r="G8" s="607" t="s">
        <v>952</v>
      </c>
      <c r="H8" s="14"/>
      <c r="I8" s="606" t="s">
        <v>2050</v>
      </c>
      <c r="J8" s="606"/>
      <c r="K8" s="606" t="s">
        <v>951</v>
      </c>
      <c r="L8" s="14"/>
      <c r="M8" s="606" t="s">
        <v>946</v>
      </c>
      <c r="O8" s="606" t="s">
        <v>1658</v>
      </c>
    </row>
    <row r="9" spans="1:15">
      <c r="B9" s="608"/>
      <c r="C9" s="608"/>
      <c r="D9" s="608"/>
      <c r="E9" s="609"/>
      <c r="F9" s="608"/>
      <c r="G9" s="605"/>
      <c r="H9" s="605"/>
      <c r="I9" s="605"/>
      <c r="J9" s="605"/>
      <c r="K9" s="605"/>
      <c r="L9" s="605"/>
      <c r="M9" s="605"/>
    </row>
    <row r="10" spans="1:15">
      <c r="A10" s="8">
        <v>1</v>
      </c>
      <c r="B10" s="610" t="s">
        <v>1884</v>
      </c>
      <c r="C10" s="611">
        <v>10</v>
      </c>
      <c r="D10" s="610"/>
      <c r="E10" s="612">
        <v>1297</v>
      </c>
      <c r="F10" s="610"/>
      <c r="G10" s="613">
        <f t="shared" ref="G10:G15" si="0">+C10*E10</f>
        <v>12970</v>
      </c>
      <c r="H10" s="614"/>
      <c r="I10" s="615">
        <v>12</v>
      </c>
      <c r="J10" s="616"/>
      <c r="K10" s="616">
        <f t="shared" ref="K10:K15" si="1">+I10*E10</f>
        <v>15564</v>
      </c>
      <c r="L10" s="614"/>
      <c r="M10" s="613">
        <f t="shared" ref="M10:M15" si="2">+K10-G10</f>
        <v>2594</v>
      </c>
      <c r="N10" s="614"/>
      <c r="O10" s="617">
        <f>(I10-C10)/C10</f>
        <v>0.2</v>
      </c>
    </row>
    <row r="11" spans="1:15">
      <c r="A11" s="8">
        <v>2</v>
      </c>
      <c r="B11" s="618" t="s">
        <v>1885</v>
      </c>
      <c r="C11" s="619">
        <v>18</v>
      </c>
      <c r="D11" s="618"/>
      <c r="E11" s="16">
        <v>4059</v>
      </c>
      <c r="F11" s="618"/>
      <c r="G11" s="620">
        <f t="shared" si="0"/>
        <v>73062</v>
      </c>
      <c r="H11" s="618"/>
      <c r="I11" s="621">
        <v>21</v>
      </c>
      <c r="J11" s="622"/>
      <c r="K11" s="622">
        <f t="shared" si="1"/>
        <v>85239</v>
      </c>
      <c r="L11" s="618"/>
      <c r="M11" s="623">
        <f t="shared" si="2"/>
        <v>12177</v>
      </c>
      <c r="O11" s="624">
        <f t="shared" ref="O11:O15" si="3">(I11-C11)/C11</f>
        <v>0.16666666666666666</v>
      </c>
    </row>
    <row r="12" spans="1:15">
      <c r="A12" s="8">
        <v>3</v>
      </c>
      <c r="B12" s="610" t="s">
        <v>947</v>
      </c>
      <c r="C12" s="611">
        <v>20</v>
      </c>
      <c r="D12" s="610"/>
      <c r="E12" s="612">
        <v>271</v>
      </c>
      <c r="F12" s="610"/>
      <c r="G12" s="625">
        <f t="shared" si="0"/>
        <v>5420</v>
      </c>
      <c r="H12" s="610"/>
      <c r="I12" s="626">
        <v>24</v>
      </c>
      <c r="J12" s="627"/>
      <c r="K12" s="627">
        <f t="shared" si="1"/>
        <v>6504</v>
      </c>
      <c r="L12" s="610"/>
      <c r="M12" s="628">
        <f t="shared" si="2"/>
        <v>1084</v>
      </c>
      <c r="N12" s="628"/>
      <c r="O12" s="629">
        <f t="shared" si="3"/>
        <v>0.2</v>
      </c>
    </row>
    <row r="13" spans="1:15">
      <c r="A13" s="8">
        <v>4</v>
      </c>
      <c r="B13" s="618" t="s">
        <v>948</v>
      </c>
      <c r="C13" s="619">
        <v>45</v>
      </c>
      <c r="D13" s="618"/>
      <c r="E13" s="16">
        <v>2916</v>
      </c>
      <c r="F13" s="618"/>
      <c r="G13" s="630">
        <f t="shared" si="0"/>
        <v>131220</v>
      </c>
      <c r="H13" s="618"/>
      <c r="I13" s="621">
        <v>0</v>
      </c>
      <c r="J13" s="622"/>
      <c r="K13" s="622">
        <f t="shared" si="1"/>
        <v>0</v>
      </c>
      <c r="L13" s="618"/>
      <c r="M13" s="623">
        <f t="shared" si="2"/>
        <v>-131220</v>
      </c>
      <c r="O13" s="631">
        <f t="shared" si="3"/>
        <v>-1</v>
      </c>
    </row>
    <row r="14" spans="1:15">
      <c r="A14" s="8">
        <v>5</v>
      </c>
      <c r="B14" s="610" t="s">
        <v>949</v>
      </c>
      <c r="C14" s="611">
        <v>24</v>
      </c>
      <c r="D14" s="610"/>
      <c r="E14" s="612">
        <v>1865</v>
      </c>
      <c r="F14" s="610"/>
      <c r="G14" s="625">
        <f t="shared" si="0"/>
        <v>44760</v>
      </c>
      <c r="H14" s="610"/>
      <c r="I14" s="626">
        <v>28</v>
      </c>
      <c r="J14" s="627"/>
      <c r="K14" s="627">
        <f t="shared" si="1"/>
        <v>52220</v>
      </c>
      <c r="L14" s="610"/>
      <c r="M14" s="628">
        <f t="shared" si="2"/>
        <v>7460</v>
      </c>
      <c r="N14" s="628"/>
      <c r="O14" s="629">
        <f t="shared" si="3"/>
        <v>0.16666666666666666</v>
      </c>
    </row>
    <row r="15" spans="1:15">
      <c r="A15" s="8">
        <v>6</v>
      </c>
      <c r="B15" s="618" t="s">
        <v>950</v>
      </c>
      <c r="C15" s="619">
        <v>60</v>
      </c>
      <c r="D15" s="618"/>
      <c r="E15" s="16">
        <v>626</v>
      </c>
      <c r="F15" s="618"/>
      <c r="G15" s="620">
        <f t="shared" si="0"/>
        <v>37560</v>
      </c>
      <c r="H15" s="618"/>
      <c r="I15" s="621">
        <v>70</v>
      </c>
      <c r="J15" s="622"/>
      <c r="K15" s="622">
        <f t="shared" si="1"/>
        <v>43820</v>
      </c>
      <c r="L15" s="618"/>
      <c r="M15" s="622">
        <f t="shared" si="2"/>
        <v>6260</v>
      </c>
      <c r="O15" s="624">
        <f t="shared" si="3"/>
        <v>0.16666666666666666</v>
      </c>
    </row>
    <row r="16" spans="1:15">
      <c r="B16" s="14"/>
      <c r="C16" s="14"/>
      <c r="D16" s="14"/>
      <c r="E16" s="14"/>
      <c r="F16" s="14"/>
      <c r="G16" s="14"/>
      <c r="H16" s="14"/>
      <c r="I16" s="14"/>
      <c r="J16" s="14"/>
      <c r="K16" s="14"/>
      <c r="L16" s="14"/>
      <c r="M16" s="620">
        <f>SUM(M10:M15)</f>
        <v>-101645</v>
      </c>
    </row>
    <row r="17" spans="1:13">
      <c r="B17" s="1091" t="s">
        <v>1961</v>
      </c>
      <c r="C17" s="1091"/>
      <c r="D17" s="1091"/>
      <c r="E17" s="1091"/>
      <c r="F17" s="1091"/>
      <c r="G17" s="1091"/>
      <c r="H17" s="1091"/>
      <c r="I17" s="1091"/>
      <c r="J17" s="1091"/>
      <c r="K17" s="1091"/>
      <c r="L17" s="1091"/>
      <c r="M17" s="14"/>
    </row>
    <row r="18" spans="1:13">
      <c r="B18" s="1091"/>
      <c r="C18" s="1091"/>
      <c r="D18" s="1091"/>
      <c r="E18" s="1091"/>
      <c r="F18" s="1091"/>
      <c r="G18" s="1091"/>
      <c r="H18" s="1091"/>
      <c r="I18" s="1091"/>
      <c r="J18" s="1091"/>
      <c r="K18" s="1091"/>
      <c r="L18" s="1091"/>
    </row>
    <row r="20" spans="1:13">
      <c r="A20" s="6" t="s">
        <v>1497</v>
      </c>
    </row>
    <row r="21" spans="1:13">
      <c r="A21" s="8" t="s">
        <v>2040</v>
      </c>
      <c r="B21" s="6" t="s">
        <v>2046</v>
      </c>
    </row>
    <row r="22" spans="1:13">
      <c r="A22" s="8" t="s">
        <v>2038</v>
      </c>
      <c r="B22" s="6" t="s">
        <v>2047</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L35"/>
  <sheetViews>
    <sheetView zoomScaleNormal="100" workbookViewId="0">
      <selection activeCell="A3" sqref="A3:H3"/>
    </sheetView>
  </sheetViews>
  <sheetFormatPr defaultRowHeight="15.75"/>
  <cols>
    <col min="1" max="1" width="10.140625" style="550" customWidth="1"/>
    <col min="2" max="2" width="61.85546875" style="146" bestFit="1" customWidth="1"/>
    <col min="3" max="3" width="18" style="146" bestFit="1" customWidth="1"/>
    <col min="4" max="4" width="12.7109375" style="146" bestFit="1" customWidth="1"/>
    <col min="5" max="16384" width="9.140625" style="146"/>
  </cols>
  <sheetData>
    <row r="1" spans="1:12">
      <c r="A1" s="1039" t="s">
        <v>60</v>
      </c>
      <c r="B1" s="1039"/>
      <c r="C1" s="1039"/>
      <c r="D1" s="1039"/>
      <c r="E1" s="1039"/>
      <c r="F1" s="5"/>
      <c r="G1" s="5"/>
      <c r="H1" s="5"/>
      <c r="I1" s="5"/>
      <c r="J1" s="5"/>
      <c r="K1" s="5"/>
      <c r="L1" s="5"/>
    </row>
    <row r="2" spans="1:12">
      <c r="A2" s="1039" t="s">
        <v>1588</v>
      </c>
      <c r="B2" s="1039"/>
      <c r="C2" s="1039"/>
      <c r="D2" s="1039"/>
      <c r="E2" s="1039"/>
      <c r="F2" s="5"/>
      <c r="G2" s="5"/>
      <c r="H2" s="5"/>
      <c r="I2" s="5"/>
      <c r="J2" s="5"/>
      <c r="K2" s="5"/>
      <c r="L2" s="5"/>
    </row>
    <row r="3" spans="1:12">
      <c r="A3" s="1039" t="s">
        <v>1621</v>
      </c>
      <c r="B3" s="1039"/>
      <c r="C3" s="1039"/>
      <c r="D3" s="1039"/>
      <c r="E3" s="1039"/>
      <c r="F3" s="5"/>
      <c r="G3" s="5"/>
      <c r="H3" s="5"/>
      <c r="I3" s="5"/>
      <c r="J3" s="5"/>
      <c r="K3" s="5"/>
      <c r="L3" s="5"/>
    </row>
    <row r="4" spans="1:12">
      <c r="A4" s="1039" t="s">
        <v>1616</v>
      </c>
      <c r="B4" s="1039"/>
      <c r="C4" s="1039"/>
      <c r="D4" s="1039"/>
      <c r="E4" s="1039"/>
      <c r="F4" s="5"/>
      <c r="G4" s="5"/>
      <c r="H4" s="5"/>
      <c r="I4" s="5"/>
      <c r="J4" s="5"/>
      <c r="K4" s="5"/>
      <c r="L4" s="5"/>
    </row>
    <row r="5" spans="1:12">
      <c r="A5" s="1039" t="s">
        <v>906</v>
      </c>
      <c r="B5" s="1039"/>
      <c r="C5" s="1039"/>
      <c r="D5" s="1039"/>
      <c r="E5" s="1039"/>
      <c r="F5" s="5"/>
      <c r="G5" s="5"/>
      <c r="H5" s="5"/>
      <c r="I5" s="5"/>
      <c r="J5" s="5"/>
      <c r="K5" s="5"/>
      <c r="L5" s="5"/>
    </row>
    <row r="8" spans="1:12" s="550" customFormat="1">
      <c r="A8" s="600" t="s">
        <v>812</v>
      </c>
      <c r="B8" s="550" t="s">
        <v>1629</v>
      </c>
      <c r="C8" s="550" t="s">
        <v>1627</v>
      </c>
      <c r="D8" s="550" t="s">
        <v>1628</v>
      </c>
      <c r="E8" s="550" t="s">
        <v>1631</v>
      </c>
    </row>
    <row r="9" spans="1:12">
      <c r="A9" s="550">
        <v>1</v>
      </c>
      <c r="B9" s="146" t="s">
        <v>1281</v>
      </c>
      <c r="C9" s="632"/>
      <c r="D9" s="632">
        <v>14908023</v>
      </c>
    </row>
    <row r="10" spans="1:12" ht="16.5" thickBot="1">
      <c r="A10" s="550">
        <v>2</v>
      </c>
      <c r="B10" s="146" t="s">
        <v>1282</v>
      </c>
      <c r="C10" s="632"/>
      <c r="D10" s="633">
        <f>+'CRM Adjustment (b)'!AA79</f>
        <v>11884345.086249998</v>
      </c>
    </row>
    <row r="11" spans="1:12">
      <c r="A11" s="550">
        <v>3</v>
      </c>
      <c r="B11" s="146" t="s">
        <v>1283</v>
      </c>
      <c r="C11" s="632"/>
      <c r="D11" s="634">
        <f>+D9-D10</f>
        <v>3023677.9137500022</v>
      </c>
    </row>
    <row r="12" spans="1:12">
      <c r="C12" s="632"/>
      <c r="D12" s="632"/>
    </row>
    <row r="13" spans="1:12">
      <c r="C13" s="632"/>
      <c r="D13" s="632"/>
    </row>
    <row r="14" spans="1:12">
      <c r="A14" s="550">
        <v>4</v>
      </c>
      <c r="B14" s="146" t="s">
        <v>809</v>
      </c>
      <c r="C14" s="634">
        <f>+D11</f>
        <v>3023677.9137500022</v>
      </c>
      <c r="D14" s="632"/>
    </row>
    <row r="15" spans="1:12">
      <c r="C15" s="632"/>
      <c r="D15" s="632"/>
      <c r="E15" s="601" t="s">
        <v>1883</v>
      </c>
    </row>
    <row r="16" spans="1:12">
      <c r="A16" s="550">
        <v>5</v>
      </c>
      <c r="B16" s="146" t="s">
        <v>821</v>
      </c>
      <c r="C16" s="632">
        <f>+C14*0.0258</f>
        <v>78010.890174750049</v>
      </c>
      <c r="D16" s="632"/>
      <c r="E16" s="601">
        <f>+C16</f>
        <v>78010.890174750049</v>
      </c>
    </row>
    <row r="17" spans="1:6">
      <c r="A17" s="550">
        <v>6</v>
      </c>
      <c r="B17" s="146" t="s">
        <v>822</v>
      </c>
      <c r="C17" s="634">
        <f>+C16/2</f>
        <v>39005.445087375025</v>
      </c>
      <c r="D17" s="632"/>
      <c r="E17" s="601"/>
      <c r="F17" s="601"/>
    </row>
    <row r="18" spans="1:6">
      <c r="A18" s="550">
        <v>7</v>
      </c>
      <c r="B18" s="146" t="s">
        <v>823</v>
      </c>
      <c r="C18" s="632">
        <f>+C14*0.0375</f>
        <v>113387.92176562508</v>
      </c>
      <c r="D18" s="632"/>
      <c r="E18" s="601"/>
      <c r="F18" s="601"/>
    </row>
    <row r="19" spans="1:6">
      <c r="A19" s="550">
        <v>8</v>
      </c>
      <c r="B19" s="146" t="s">
        <v>105</v>
      </c>
      <c r="C19" s="632">
        <f>(+C18-C16)*0.35</f>
        <v>12381.961056806262</v>
      </c>
      <c r="D19" s="632"/>
      <c r="E19" s="601"/>
      <c r="F19" s="601"/>
    </row>
    <row r="20" spans="1:6">
      <c r="A20" s="550">
        <v>9</v>
      </c>
      <c r="B20" s="146" t="s">
        <v>824</v>
      </c>
      <c r="C20" s="634">
        <f>+C19/2</f>
        <v>6190.9805284031308</v>
      </c>
      <c r="D20" s="632"/>
      <c r="E20" s="601"/>
      <c r="F20" s="601"/>
    </row>
    <row r="21" spans="1:6">
      <c r="C21" s="632"/>
      <c r="D21" s="632"/>
      <c r="E21" s="601"/>
      <c r="F21" s="601"/>
    </row>
    <row r="22" spans="1:6">
      <c r="C22" s="632"/>
      <c r="D22" s="632"/>
      <c r="E22" s="601"/>
      <c r="F22" s="601"/>
    </row>
    <row r="23" spans="1:6">
      <c r="A23" s="550">
        <v>10</v>
      </c>
      <c r="B23" s="146" t="s">
        <v>826</v>
      </c>
      <c r="C23" s="635">
        <f>+C14-C17-C20</f>
        <v>2978481.488134224</v>
      </c>
      <c r="D23" s="632"/>
      <c r="E23" s="601"/>
    </row>
    <row r="24" spans="1:6">
      <c r="C24" s="632"/>
      <c r="D24" s="632"/>
    </row>
    <row r="25" spans="1:6">
      <c r="C25" s="632"/>
      <c r="D25" s="632"/>
      <c r="F25" s="636"/>
    </row>
    <row r="26" spans="1:6">
      <c r="C26" s="636"/>
      <c r="D26" s="636"/>
      <c r="E26" s="636"/>
      <c r="F26" s="636"/>
    </row>
    <row r="27" spans="1:6">
      <c r="C27" s="636"/>
      <c r="D27" s="636"/>
      <c r="E27" s="636"/>
    </row>
    <row r="28" spans="1:6">
      <c r="F28" s="637"/>
    </row>
    <row r="29" spans="1:6">
      <c r="C29" s="637"/>
      <c r="E29" s="637"/>
      <c r="F29" s="636"/>
    </row>
    <row r="30" spans="1:6">
      <c r="C30" s="637"/>
      <c r="E30" s="637"/>
      <c r="F30" s="636"/>
    </row>
    <row r="31" spans="1:6">
      <c r="E31" s="637"/>
    </row>
    <row r="32" spans="1:6">
      <c r="C32" s="637"/>
      <c r="E32" s="637"/>
    </row>
    <row r="33" spans="3:5">
      <c r="C33" s="637"/>
      <c r="E33" s="637"/>
    </row>
    <row r="34" spans="3:5">
      <c r="C34" s="637"/>
      <c r="E34" s="637"/>
    </row>
    <row r="35" spans="3:5">
      <c r="C35" s="637"/>
      <c r="E35" s="637"/>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AC80"/>
  <sheetViews>
    <sheetView view="pageBreakPreview" zoomScaleNormal="100" zoomScaleSheetLayoutView="100" workbookViewId="0">
      <selection activeCell="U2" sqref="U2"/>
    </sheetView>
  </sheetViews>
  <sheetFormatPr defaultRowHeight="15.75"/>
  <cols>
    <col min="1" max="1" width="12.140625" style="35" bestFit="1" customWidth="1"/>
    <col min="2" max="2" width="12.7109375" style="6" bestFit="1" customWidth="1"/>
    <col min="3" max="3" width="17.5703125" style="6" bestFit="1" customWidth="1"/>
    <col min="4" max="4" width="61.85546875" style="6" bestFit="1" customWidth="1"/>
    <col min="5" max="5" width="14" style="6" bestFit="1" customWidth="1"/>
    <col min="6" max="6" width="16.140625" style="6" bestFit="1" customWidth="1"/>
    <col min="7" max="7" width="9.42578125" style="6" bestFit="1" customWidth="1"/>
    <col min="8" max="8" width="9.28515625" style="6" bestFit="1" customWidth="1"/>
    <col min="9" max="9" width="13" style="6" bestFit="1" customWidth="1"/>
    <col min="10" max="10" width="12.28515625" style="6" customWidth="1"/>
    <col min="11" max="11" width="16.140625" style="6" bestFit="1" customWidth="1"/>
    <col min="12" max="12" width="18.28515625" style="6" bestFit="1" customWidth="1"/>
    <col min="13" max="13" width="17.7109375" style="6" bestFit="1" customWidth="1"/>
    <col min="14" max="15" width="17.28515625" style="6" bestFit="1" customWidth="1"/>
    <col min="16" max="19" width="18.28515625" style="6" bestFit="1" customWidth="1"/>
    <col min="20" max="20" width="18.7109375" style="6" bestFit="1" customWidth="1"/>
    <col min="21" max="22" width="18.28515625" style="6" bestFit="1" customWidth="1"/>
    <col min="23" max="25" width="19.140625" style="6" bestFit="1" customWidth="1"/>
    <col min="26" max="26" width="18.7109375" style="6" bestFit="1" customWidth="1"/>
    <col min="27" max="27" width="19.140625" style="6" bestFit="1" customWidth="1"/>
    <col min="28" max="28" width="6.5703125" style="6" customWidth="1"/>
    <col min="29" max="29" width="19.140625" style="6" bestFit="1" customWidth="1"/>
    <col min="30" max="16384" width="9.140625" style="6"/>
  </cols>
  <sheetData>
    <row r="1" spans="2:29">
      <c r="B1" s="1039" t="s">
        <v>60</v>
      </c>
      <c r="C1" s="1039"/>
      <c r="D1" s="1039"/>
      <c r="E1" s="1039"/>
      <c r="F1" s="1039"/>
      <c r="G1" s="1039"/>
      <c r="H1" s="1039"/>
      <c r="M1" s="5"/>
      <c r="N1" s="1039" t="s">
        <v>60</v>
      </c>
      <c r="O1" s="1039"/>
      <c r="P1" s="1039"/>
      <c r="Q1" s="1039"/>
      <c r="R1" s="5"/>
      <c r="X1" s="1039" t="s">
        <v>60</v>
      </c>
      <c r="Y1" s="1039"/>
      <c r="Z1" s="1039"/>
      <c r="AA1" s="5"/>
      <c r="AB1" s="5"/>
    </row>
    <row r="2" spans="2:29">
      <c r="B2" s="1039" t="s">
        <v>1588</v>
      </c>
      <c r="C2" s="1039"/>
      <c r="D2" s="1039"/>
      <c r="E2" s="1039"/>
      <c r="F2" s="1039"/>
      <c r="G2" s="1039"/>
      <c r="H2" s="1039"/>
      <c r="M2" s="5"/>
      <c r="N2" s="1039" t="s">
        <v>1588</v>
      </c>
      <c r="O2" s="1039"/>
      <c r="P2" s="1039"/>
      <c r="Q2" s="1039"/>
      <c r="R2" s="5"/>
      <c r="X2" s="1039" t="s">
        <v>1588</v>
      </c>
      <c r="Y2" s="1039"/>
      <c r="Z2" s="1039"/>
      <c r="AA2" s="5"/>
      <c r="AB2" s="5"/>
    </row>
    <row r="3" spans="2:29">
      <c r="B3" s="1039" t="s">
        <v>1938</v>
      </c>
      <c r="C3" s="1039"/>
      <c r="D3" s="1039"/>
      <c r="E3" s="1039"/>
      <c r="F3" s="1039"/>
      <c r="G3" s="1039"/>
      <c r="H3" s="1039"/>
      <c r="M3" s="5"/>
      <c r="N3" s="1039" t="s">
        <v>1938</v>
      </c>
      <c r="O3" s="1039"/>
      <c r="P3" s="1039"/>
      <c r="Q3" s="1039"/>
      <c r="R3" s="5"/>
      <c r="X3" s="1039" t="s">
        <v>1938</v>
      </c>
      <c r="Y3" s="1039"/>
      <c r="Z3" s="1039"/>
      <c r="AA3" s="5"/>
      <c r="AB3" s="5"/>
    </row>
    <row r="4" spans="2:29">
      <c r="B4" s="1039" t="s">
        <v>1617</v>
      </c>
      <c r="C4" s="1039"/>
      <c r="D4" s="1039"/>
      <c r="E4" s="1039"/>
      <c r="F4" s="1039"/>
      <c r="G4" s="1039"/>
      <c r="H4" s="1039"/>
      <c r="M4" s="5"/>
      <c r="N4" s="1039" t="s">
        <v>1617</v>
      </c>
      <c r="O4" s="1039"/>
      <c r="P4" s="1039"/>
      <c r="Q4" s="1039"/>
      <c r="R4" s="5"/>
      <c r="X4" s="1039" t="s">
        <v>1617</v>
      </c>
      <c r="Y4" s="1039"/>
      <c r="Z4" s="1039"/>
      <c r="AA4" s="5"/>
      <c r="AB4" s="5"/>
    </row>
    <row r="5" spans="2:29">
      <c r="B5" s="1039" t="s">
        <v>906</v>
      </c>
      <c r="C5" s="1039"/>
      <c r="D5" s="1039"/>
      <c r="E5" s="1039"/>
      <c r="F5" s="1039"/>
      <c r="G5" s="1039"/>
      <c r="H5" s="1039"/>
      <c r="M5" s="5"/>
      <c r="N5" s="1039" t="s">
        <v>906</v>
      </c>
      <c r="O5" s="1039"/>
      <c r="P5" s="1039"/>
      <c r="Q5" s="1039"/>
      <c r="R5" s="5"/>
      <c r="X5" s="1039" t="s">
        <v>906</v>
      </c>
      <c r="Y5" s="1039"/>
      <c r="Z5" s="1039"/>
      <c r="AA5" s="5"/>
      <c r="AB5" s="5"/>
    </row>
    <row r="6" spans="2:29">
      <c r="B6" s="34"/>
      <c r="C6" s="34"/>
      <c r="D6" s="34"/>
      <c r="E6" s="34"/>
      <c r="F6" s="34"/>
      <c r="G6" s="34"/>
      <c r="H6" s="34"/>
    </row>
    <row r="7" spans="2:29" s="35" customFormat="1">
      <c r="B7" s="35" t="s">
        <v>1629</v>
      </c>
      <c r="C7" s="35" t="s">
        <v>1627</v>
      </c>
      <c r="D7" s="35" t="s">
        <v>1628</v>
      </c>
      <c r="E7" s="35" t="s">
        <v>1631</v>
      </c>
      <c r="F7" s="35" t="s">
        <v>1641</v>
      </c>
      <c r="G7" s="35" t="s">
        <v>1642</v>
      </c>
      <c r="H7" s="35" t="s">
        <v>1643</v>
      </c>
      <c r="I7" s="35" t="s">
        <v>1644</v>
      </c>
      <c r="J7" s="35" t="s">
        <v>1645</v>
      </c>
      <c r="K7" s="35" t="s">
        <v>1646</v>
      </c>
      <c r="L7" s="35" t="s">
        <v>1647</v>
      </c>
      <c r="M7" s="35" t="s">
        <v>1648</v>
      </c>
      <c r="N7" s="35" t="s">
        <v>1649</v>
      </c>
      <c r="O7" s="35" t="s">
        <v>1650</v>
      </c>
      <c r="P7" s="35" t="s">
        <v>1922</v>
      </c>
      <c r="Q7" s="35" t="s">
        <v>1923</v>
      </c>
      <c r="R7" s="35" t="s">
        <v>1924</v>
      </c>
      <c r="S7" s="35" t="s">
        <v>1925</v>
      </c>
      <c r="T7" s="35" t="s">
        <v>1926</v>
      </c>
      <c r="U7" s="35" t="s">
        <v>1927</v>
      </c>
      <c r="V7" s="35" t="s">
        <v>1928</v>
      </c>
      <c r="W7" s="35" t="s">
        <v>1929</v>
      </c>
      <c r="X7" s="35" t="s">
        <v>1930</v>
      </c>
      <c r="Y7" s="35" t="s">
        <v>1931</v>
      </c>
      <c r="Z7" s="35" t="s">
        <v>1932</v>
      </c>
      <c r="AA7" s="35" t="s">
        <v>1099</v>
      </c>
      <c r="AC7" s="35" t="s">
        <v>1933</v>
      </c>
    </row>
    <row r="8" spans="2:29">
      <c r="B8" s="34"/>
      <c r="C8" s="34"/>
      <c r="D8" s="34"/>
      <c r="E8" s="34"/>
      <c r="F8" s="34"/>
      <c r="G8" s="34"/>
      <c r="H8" s="34"/>
    </row>
    <row r="9" spans="2:29">
      <c r="I9" s="405" t="s">
        <v>1099</v>
      </c>
      <c r="J9" s="405" t="s">
        <v>1099</v>
      </c>
      <c r="K9" s="405" t="s">
        <v>1099</v>
      </c>
      <c r="L9" s="405" t="s">
        <v>1099</v>
      </c>
      <c r="M9" s="405" t="s">
        <v>1099</v>
      </c>
      <c r="N9" s="405" t="s">
        <v>1099</v>
      </c>
      <c r="O9" s="405" t="s">
        <v>1099</v>
      </c>
      <c r="P9" s="405" t="s">
        <v>1099</v>
      </c>
      <c r="Q9" s="405" t="s">
        <v>1099</v>
      </c>
      <c r="R9" s="405" t="s">
        <v>1099</v>
      </c>
      <c r="S9" s="405" t="s">
        <v>1099</v>
      </c>
      <c r="T9" s="405" t="s">
        <v>1099</v>
      </c>
      <c r="U9" s="405" t="s">
        <v>1099</v>
      </c>
      <c r="V9" s="405" t="s">
        <v>1099</v>
      </c>
      <c r="W9" s="405" t="s">
        <v>1099</v>
      </c>
      <c r="X9" s="405" t="s">
        <v>58</v>
      </c>
      <c r="Y9" s="405" t="s">
        <v>1099</v>
      </c>
      <c r="Z9" s="405" t="s">
        <v>1099</v>
      </c>
      <c r="AA9" s="405" t="s">
        <v>1099</v>
      </c>
      <c r="AC9" s="407"/>
    </row>
    <row r="10" spans="2:29">
      <c r="I10" s="638">
        <v>2015</v>
      </c>
      <c r="J10" s="638">
        <v>2015</v>
      </c>
      <c r="K10" s="638">
        <v>2015</v>
      </c>
      <c r="L10" s="638">
        <v>2015</v>
      </c>
      <c r="M10" s="638">
        <v>2015</v>
      </c>
      <c r="N10" s="638">
        <v>2015</v>
      </c>
      <c r="O10" s="638">
        <v>2016</v>
      </c>
      <c r="P10" s="638">
        <v>2016</v>
      </c>
      <c r="Q10" s="638">
        <v>2016</v>
      </c>
      <c r="R10" s="638">
        <v>2016</v>
      </c>
      <c r="S10" s="638">
        <v>2016</v>
      </c>
      <c r="T10" s="638">
        <v>2016</v>
      </c>
      <c r="U10" s="638">
        <v>2016</v>
      </c>
      <c r="V10" s="638">
        <v>2016</v>
      </c>
      <c r="W10" s="638">
        <v>2016</v>
      </c>
      <c r="X10" s="638" t="s">
        <v>1908</v>
      </c>
      <c r="Y10" s="638">
        <v>2016</v>
      </c>
      <c r="Z10" s="638">
        <v>2016</v>
      </c>
      <c r="AA10" s="638">
        <v>2016</v>
      </c>
      <c r="AC10" s="639"/>
    </row>
    <row r="11" spans="2:29">
      <c r="B11" s="8"/>
      <c r="C11" s="32"/>
      <c r="E11" s="8"/>
      <c r="G11" s="640"/>
      <c r="H11" s="641"/>
      <c r="I11" s="405" t="s">
        <v>1100</v>
      </c>
      <c r="J11" s="405" t="s">
        <v>1100</v>
      </c>
      <c r="K11" s="405" t="s">
        <v>1100</v>
      </c>
      <c r="L11" s="405" t="s">
        <v>1100</v>
      </c>
      <c r="M11" s="405" t="s">
        <v>1100</v>
      </c>
      <c r="N11" s="405" t="s">
        <v>1100</v>
      </c>
      <c r="O11" s="405" t="s">
        <v>1100</v>
      </c>
      <c r="P11" s="405" t="s">
        <v>1100</v>
      </c>
      <c r="Q11" s="405" t="s">
        <v>1100</v>
      </c>
      <c r="R11" s="405" t="s">
        <v>1100</v>
      </c>
      <c r="S11" s="405" t="s">
        <v>1100</v>
      </c>
      <c r="T11" s="405" t="s">
        <v>1100</v>
      </c>
      <c r="U11" s="405" t="s">
        <v>1100</v>
      </c>
      <c r="V11" s="405" t="s">
        <v>1100</v>
      </c>
      <c r="W11" s="405" t="s">
        <v>1101</v>
      </c>
      <c r="X11" s="405" t="s">
        <v>1909</v>
      </c>
      <c r="Y11" s="405" t="s">
        <v>1101</v>
      </c>
      <c r="Z11" s="405" t="s">
        <v>1101</v>
      </c>
      <c r="AA11" s="405" t="s">
        <v>1101</v>
      </c>
      <c r="AC11" s="407"/>
    </row>
    <row r="12" spans="2:29">
      <c r="B12" s="8"/>
      <c r="C12" s="32"/>
      <c r="E12" s="8"/>
      <c r="G12" s="640"/>
      <c r="H12" s="641"/>
      <c r="I12" s="638" t="s">
        <v>1293</v>
      </c>
      <c r="J12" s="638" t="s">
        <v>1294</v>
      </c>
      <c r="K12" s="638" t="s">
        <v>1904</v>
      </c>
      <c r="L12" s="638" t="s">
        <v>1905</v>
      </c>
      <c r="M12" s="638" t="s">
        <v>1906</v>
      </c>
      <c r="N12" s="638" t="s">
        <v>1907</v>
      </c>
      <c r="O12" s="638" t="s">
        <v>1046</v>
      </c>
      <c r="P12" s="638" t="s">
        <v>1047</v>
      </c>
      <c r="Q12" s="638" t="s">
        <v>1048</v>
      </c>
      <c r="R12" s="638" t="s">
        <v>1049</v>
      </c>
      <c r="S12" s="638" t="s">
        <v>1050</v>
      </c>
      <c r="T12" s="638" t="s">
        <v>1051</v>
      </c>
      <c r="U12" s="638" t="s">
        <v>1052</v>
      </c>
      <c r="V12" s="638" t="s">
        <v>1053</v>
      </c>
      <c r="W12" s="638" t="s">
        <v>1904</v>
      </c>
      <c r="X12" s="638" t="s">
        <v>1910</v>
      </c>
      <c r="Y12" s="638" t="s">
        <v>1905</v>
      </c>
      <c r="Z12" s="638" t="s">
        <v>1906</v>
      </c>
      <c r="AA12" s="638" t="s">
        <v>1907</v>
      </c>
      <c r="AC12" s="639"/>
    </row>
    <row r="13" spans="2:29">
      <c r="B13" s="8"/>
      <c r="C13" s="32"/>
      <c r="E13" s="8"/>
      <c r="G13" s="640"/>
      <c r="H13" s="641"/>
      <c r="I13" s="405" t="s">
        <v>913</v>
      </c>
      <c r="J13" s="405" t="s">
        <v>913</v>
      </c>
      <c r="K13" s="405" t="s">
        <v>913</v>
      </c>
      <c r="L13" s="405" t="s">
        <v>913</v>
      </c>
      <c r="M13" s="405" t="s">
        <v>913</v>
      </c>
      <c r="N13" s="405" t="s">
        <v>913</v>
      </c>
      <c r="O13" s="405" t="s">
        <v>913</v>
      </c>
      <c r="P13" s="405" t="s">
        <v>913</v>
      </c>
      <c r="Q13" s="405" t="s">
        <v>913</v>
      </c>
      <c r="R13" s="405" t="s">
        <v>913</v>
      </c>
      <c r="S13" s="405" t="s">
        <v>913</v>
      </c>
      <c r="T13" s="405" t="s">
        <v>913</v>
      </c>
      <c r="U13" s="405" t="s">
        <v>913</v>
      </c>
      <c r="V13" s="405" t="s">
        <v>913</v>
      </c>
      <c r="W13" s="405" t="s">
        <v>913</v>
      </c>
      <c r="X13" s="405" t="s">
        <v>1911</v>
      </c>
      <c r="Y13" s="405" t="s">
        <v>913</v>
      </c>
      <c r="Z13" s="405" t="s">
        <v>913</v>
      </c>
      <c r="AA13" s="405" t="s">
        <v>913</v>
      </c>
      <c r="AC13" s="407"/>
    </row>
    <row r="14" spans="2:29">
      <c r="B14" s="8"/>
      <c r="C14" s="32"/>
      <c r="E14" s="8"/>
      <c r="G14" s="640"/>
      <c r="H14" s="641"/>
      <c r="I14" s="405" t="s">
        <v>1102</v>
      </c>
      <c r="J14" s="405" t="s">
        <v>1102</v>
      </c>
      <c r="K14" s="405" t="s">
        <v>1102</v>
      </c>
      <c r="L14" s="405" t="s">
        <v>1102</v>
      </c>
      <c r="M14" s="405" t="s">
        <v>1102</v>
      </c>
      <c r="N14" s="405" t="s">
        <v>1102</v>
      </c>
      <c r="O14" s="405" t="s">
        <v>1102</v>
      </c>
      <c r="P14" s="405" t="s">
        <v>1102</v>
      </c>
      <c r="Q14" s="405" t="s">
        <v>1102</v>
      </c>
      <c r="R14" s="405" t="s">
        <v>1102</v>
      </c>
      <c r="S14" s="405" t="s">
        <v>1102</v>
      </c>
      <c r="T14" s="405" t="s">
        <v>1102</v>
      </c>
      <c r="U14" s="405" t="s">
        <v>1102</v>
      </c>
      <c r="V14" s="405" t="s">
        <v>1102</v>
      </c>
      <c r="W14" s="405" t="s">
        <v>1102</v>
      </c>
      <c r="X14" s="405" t="s">
        <v>1912</v>
      </c>
      <c r="Y14" s="405" t="s">
        <v>1102</v>
      </c>
      <c r="Z14" s="405" t="s">
        <v>1102</v>
      </c>
      <c r="AA14" s="405" t="s">
        <v>1102</v>
      </c>
      <c r="AC14" s="407"/>
    </row>
    <row r="15" spans="2:29">
      <c r="B15" s="8"/>
      <c r="C15" s="32"/>
      <c r="E15" s="8"/>
      <c r="G15" s="640"/>
      <c r="H15" s="641"/>
      <c r="I15" s="405" t="s">
        <v>389</v>
      </c>
      <c r="J15" s="405" t="s">
        <v>389</v>
      </c>
      <c r="K15" s="405" t="s">
        <v>389</v>
      </c>
      <c r="L15" s="405" t="s">
        <v>389</v>
      </c>
      <c r="M15" s="405" t="s">
        <v>389</v>
      </c>
      <c r="N15" s="405" t="s">
        <v>389</v>
      </c>
      <c r="O15" s="405" t="s">
        <v>389</v>
      </c>
      <c r="P15" s="405" t="s">
        <v>389</v>
      </c>
      <c r="Q15" s="405" t="s">
        <v>389</v>
      </c>
      <c r="R15" s="405" t="s">
        <v>389</v>
      </c>
      <c r="S15" s="405" t="s">
        <v>389</v>
      </c>
      <c r="T15" s="405" t="s">
        <v>389</v>
      </c>
      <c r="U15" s="405" t="s">
        <v>389</v>
      </c>
      <c r="V15" s="405" t="s">
        <v>389</v>
      </c>
      <c r="W15" s="405" t="s">
        <v>389</v>
      </c>
      <c r="X15" s="405"/>
      <c r="Y15" s="405" t="s">
        <v>389</v>
      </c>
      <c r="Z15" s="405" t="s">
        <v>389</v>
      </c>
      <c r="AA15" s="405" t="s">
        <v>389</v>
      </c>
      <c r="AC15" s="407"/>
    </row>
    <row r="16" spans="2:29">
      <c r="B16" s="8"/>
      <c r="C16" s="32"/>
      <c r="E16" s="8"/>
      <c r="G16" s="642"/>
      <c r="H16" s="643"/>
      <c r="I16" s="413"/>
      <c r="J16" s="413"/>
      <c r="K16" s="413"/>
      <c r="L16" s="413"/>
      <c r="M16" s="413"/>
      <c r="N16" s="413"/>
      <c r="O16" s="413"/>
      <c r="P16" s="413"/>
      <c r="Q16" s="413"/>
      <c r="R16" s="413"/>
      <c r="S16" s="413"/>
      <c r="T16" s="413"/>
      <c r="U16" s="413"/>
      <c r="V16" s="413"/>
      <c r="W16" s="413"/>
      <c r="X16" s="413"/>
      <c r="Y16" s="413"/>
      <c r="Z16" s="413"/>
      <c r="AA16" s="413"/>
      <c r="AC16" s="413"/>
    </row>
    <row r="17" spans="1:29">
      <c r="A17" s="35" t="s">
        <v>812</v>
      </c>
      <c r="B17" s="32" t="s">
        <v>1103</v>
      </c>
      <c r="C17" s="32" t="s">
        <v>1104</v>
      </c>
      <c r="D17" s="32" t="s">
        <v>1105</v>
      </c>
      <c r="E17" s="32" t="s">
        <v>1106</v>
      </c>
      <c r="F17" s="8" t="s">
        <v>1107</v>
      </c>
      <c r="G17" s="640" t="s">
        <v>895</v>
      </c>
      <c r="H17" s="644" t="s">
        <v>1108</v>
      </c>
      <c r="I17" s="18"/>
      <c r="J17" s="18"/>
      <c r="K17" s="18"/>
      <c r="L17" s="18"/>
      <c r="M17" s="18"/>
      <c r="N17" s="18"/>
      <c r="O17" s="18"/>
      <c r="P17" s="18"/>
      <c r="Q17" s="18"/>
      <c r="R17" s="18"/>
      <c r="S17" s="18"/>
      <c r="T17" s="18"/>
      <c r="U17" s="18"/>
      <c r="V17" s="18"/>
      <c r="W17" s="18"/>
      <c r="X17" s="18"/>
      <c r="Y17" s="18"/>
      <c r="Z17" s="18"/>
      <c r="AA17" s="18"/>
      <c r="AB17" s="8"/>
      <c r="AC17" s="465" t="s">
        <v>808</v>
      </c>
    </row>
    <row r="18" spans="1:29">
      <c r="A18" s="35">
        <v>1</v>
      </c>
      <c r="B18" s="645"/>
      <c r="C18" s="645" t="s">
        <v>1109</v>
      </c>
      <c r="D18" s="646" t="s">
        <v>1110</v>
      </c>
      <c r="E18" s="647"/>
      <c r="F18" s="648"/>
      <c r="G18" s="645"/>
      <c r="H18" s="649"/>
      <c r="I18" s="650"/>
      <c r="J18" s="650"/>
      <c r="K18" s="650"/>
      <c r="L18" s="650"/>
      <c r="M18" s="650"/>
      <c r="N18" s="650"/>
      <c r="O18" s="650"/>
      <c r="P18" s="650"/>
      <c r="Q18" s="650"/>
      <c r="R18" s="650"/>
      <c r="S18" s="650"/>
      <c r="T18" s="650"/>
      <c r="U18" s="650"/>
      <c r="V18" s="650"/>
      <c r="W18" s="650"/>
      <c r="X18" s="650"/>
      <c r="Y18" s="650"/>
      <c r="Z18" s="650"/>
      <c r="AA18" s="650"/>
      <c r="AB18" s="19"/>
      <c r="AC18" s="651"/>
    </row>
    <row r="19" spans="1:29">
      <c r="A19" s="35">
        <v>2</v>
      </c>
      <c r="B19" s="405" t="s">
        <v>1111</v>
      </c>
      <c r="C19" s="405" t="s">
        <v>1109</v>
      </c>
      <c r="D19" s="99" t="s">
        <v>1112</v>
      </c>
      <c r="E19" s="533" t="s">
        <v>1113</v>
      </c>
      <c r="F19" s="99" t="s">
        <v>1114</v>
      </c>
      <c r="G19" s="405" t="s">
        <v>1115</v>
      </c>
      <c r="H19" s="652">
        <v>4.1300000000000003E-2</v>
      </c>
      <c r="I19" s="653"/>
      <c r="J19" s="653"/>
      <c r="K19" s="653"/>
      <c r="L19" s="653">
        <v>0</v>
      </c>
      <c r="M19" s="653">
        <v>0</v>
      </c>
      <c r="N19" s="653">
        <v>0</v>
      </c>
      <c r="O19" s="653">
        <v>0</v>
      </c>
      <c r="P19" s="653">
        <v>0</v>
      </c>
      <c r="Q19" s="653">
        <v>0</v>
      </c>
      <c r="R19" s="653">
        <v>-47.47</v>
      </c>
      <c r="S19" s="653">
        <v>0</v>
      </c>
      <c r="T19" s="653">
        <v>0</v>
      </c>
      <c r="U19" s="653">
        <v>0</v>
      </c>
      <c r="V19" s="653">
        <v>0</v>
      </c>
      <c r="W19" s="653">
        <v>0</v>
      </c>
      <c r="X19" s="653">
        <f>SUM(I19:W19)</f>
        <v>-47.47</v>
      </c>
      <c r="Y19" s="653">
        <v>0</v>
      </c>
      <c r="Z19" s="653">
        <v>0</v>
      </c>
      <c r="AA19" s="653">
        <v>0</v>
      </c>
      <c r="AB19" s="19"/>
      <c r="AC19" s="654">
        <f t="shared" ref="AC19:AC30" si="0">SUM(I19:AB19)-X19</f>
        <v>-47.47</v>
      </c>
    </row>
    <row r="20" spans="1:29">
      <c r="A20" s="35">
        <v>3</v>
      </c>
      <c r="B20" s="405" t="s">
        <v>1116</v>
      </c>
      <c r="C20" s="405" t="s">
        <v>1109</v>
      </c>
      <c r="D20" s="99" t="s">
        <v>1117</v>
      </c>
      <c r="E20" s="533" t="s">
        <v>1118</v>
      </c>
      <c r="F20" s="99" t="s">
        <v>1114</v>
      </c>
      <c r="G20" s="405" t="s">
        <v>1119</v>
      </c>
      <c r="H20" s="652">
        <v>3.3300000000000003E-2</v>
      </c>
      <c r="I20" s="653"/>
      <c r="J20" s="653"/>
      <c r="K20" s="653"/>
      <c r="L20" s="653">
        <v>0</v>
      </c>
      <c r="M20" s="653">
        <v>0</v>
      </c>
      <c r="N20" s="653">
        <v>0</v>
      </c>
      <c r="O20" s="653">
        <v>0</v>
      </c>
      <c r="P20" s="653">
        <v>0</v>
      </c>
      <c r="Q20" s="653">
        <v>0</v>
      </c>
      <c r="R20" s="653">
        <v>0</v>
      </c>
      <c r="S20" s="653">
        <v>0</v>
      </c>
      <c r="T20" s="653">
        <v>0</v>
      </c>
      <c r="U20" s="653">
        <v>0</v>
      </c>
      <c r="V20" s="653">
        <v>0</v>
      </c>
      <c r="W20" s="653">
        <v>0</v>
      </c>
      <c r="X20" s="653">
        <f t="shared" ref="X20:X71" si="1">SUM(I20:W20)</f>
        <v>0</v>
      </c>
      <c r="Y20" s="653">
        <v>0</v>
      </c>
      <c r="Z20" s="653">
        <v>0</v>
      </c>
      <c r="AA20" s="653">
        <v>0</v>
      </c>
      <c r="AB20" s="19"/>
      <c r="AC20" s="654">
        <f t="shared" si="0"/>
        <v>0</v>
      </c>
    </row>
    <row r="21" spans="1:29">
      <c r="A21" s="35">
        <v>4</v>
      </c>
      <c r="B21" s="405" t="s">
        <v>1120</v>
      </c>
      <c r="C21" s="405" t="s">
        <v>1109</v>
      </c>
      <c r="D21" s="99" t="s">
        <v>1117</v>
      </c>
      <c r="E21" s="533" t="s">
        <v>1121</v>
      </c>
      <c r="F21" s="99" t="s">
        <v>1114</v>
      </c>
      <c r="G21" s="405" t="s">
        <v>1119</v>
      </c>
      <c r="H21" s="652">
        <v>3.3300000000000003E-2</v>
      </c>
      <c r="I21" s="653"/>
      <c r="J21" s="653"/>
      <c r="K21" s="653"/>
      <c r="L21" s="653">
        <v>0</v>
      </c>
      <c r="M21" s="653">
        <v>0</v>
      </c>
      <c r="N21" s="653">
        <v>0</v>
      </c>
      <c r="O21" s="653">
        <v>0</v>
      </c>
      <c r="P21" s="653">
        <v>0</v>
      </c>
      <c r="Q21" s="653">
        <v>0</v>
      </c>
      <c r="R21" s="653">
        <v>0</v>
      </c>
      <c r="S21" s="653">
        <v>0</v>
      </c>
      <c r="T21" s="653">
        <v>0</v>
      </c>
      <c r="U21" s="653">
        <v>0</v>
      </c>
      <c r="V21" s="653">
        <v>0</v>
      </c>
      <c r="W21" s="653">
        <v>0</v>
      </c>
      <c r="X21" s="653">
        <f t="shared" si="1"/>
        <v>0</v>
      </c>
      <c r="Y21" s="653">
        <v>0</v>
      </c>
      <c r="Z21" s="653">
        <v>0</v>
      </c>
      <c r="AA21" s="653">
        <v>0</v>
      </c>
      <c r="AB21" s="19"/>
      <c r="AC21" s="654">
        <f t="shared" si="0"/>
        <v>0</v>
      </c>
    </row>
    <row r="22" spans="1:29">
      <c r="A22" s="35">
        <v>5</v>
      </c>
      <c r="B22" s="405" t="s">
        <v>1122</v>
      </c>
      <c r="C22" s="405" t="s">
        <v>1109</v>
      </c>
      <c r="D22" s="99" t="s">
        <v>1123</v>
      </c>
      <c r="E22" s="533" t="s">
        <v>1124</v>
      </c>
      <c r="F22" s="99" t="s">
        <v>1114</v>
      </c>
      <c r="G22" s="405" t="s">
        <v>1119</v>
      </c>
      <c r="H22" s="652">
        <v>3.3300000000000003E-2</v>
      </c>
      <c r="I22" s="653"/>
      <c r="J22" s="653"/>
      <c r="K22" s="653"/>
      <c r="L22" s="653">
        <v>0</v>
      </c>
      <c r="M22" s="653">
        <v>0</v>
      </c>
      <c r="N22" s="653">
        <v>0</v>
      </c>
      <c r="O22" s="653">
        <v>0</v>
      </c>
      <c r="P22" s="653">
        <v>0</v>
      </c>
      <c r="Q22" s="653">
        <v>0</v>
      </c>
      <c r="R22" s="653">
        <v>47.47</v>
      </c>
      <c r="S22" s="653">
        <v>0</v>
      </c>
      <c r="T22" s="653">
        <v>0</v>
      </c>
      <c r="U22" s="653">
        <v>0</v>
      </c>
      <c r="V22" s="653">
        <v>0</v>
      </c>
      <c r="W22" s="653">
        <v>0</v>
      </c>
      <c r="X22" s="653">
        <f t="shared" si="1"/>
        <v>47.47</v>
      </c>
      <c r="Y22" s="653">
        <v>0</v>
      </c>
      <c r="Z22" s="653">
        <v>0</v>
      </c>
      <c r="AA22" s="653">
        <v>0</v>
      </c>
      <c r="AB22" s="19"/>
      <c r="AC22" s="654">
        <f t="shared" si="0"/>
        <v>47.47</v>
      </c>
    </row>
    <row r="23" spans="1:29">
      <c r="A23" s="35">
        <v>6</v>
      </c>
      <c r="B23" s="405" t="s">
        <v>1125</v>
      </c>
      <c r="C23" s="405" t="s">
        <v>1109</v>
      </c>
      <c r="D23" s="99" t="s">
        <v>1126</v>
      </c>
      <c r="E23" s="533" t="s">
        <v>1127</v>
      </c>
      <c r="F23" s="99" t="s">
        <v>1114</v>
      </c>
      <c r="G23" s="405" t="s">
        <v>1119</v>
      </c>
      <c r="H23" s="652">
        <v>1.2500000000000001E-2</v>
      </c>
      <c r="I23" s="653"/>
      <c r="J23" s="653"/>
      <c r="K23" s="653"/>
      <c r="L23" s="653">
        <v>496358.98</v>
      </c>
      <c r="M23" s="653">
        <v>107295.45</v>
      </c>
      <c r="N23" s="653">
        <v>0</v>
      </c>
      <c r="O23" s="653">
        <v>784.15</v>
      </c>
      <c r="P23" s="653">
        <v>692.25</v>
      </c>
      <c r="Q23" s="653">
        <v>0</v>
      </c>
      <c r="R23" s="653">
        <v>3780.9</v>
      </c>
      <c r="S23" s="653">
        <v>6007.19</v>
      </c>
      <c r="T23" s="653">
        <v>0</v>
      </c>
      <c r="U23" s="653">
        <v>321.2</v>
      </c>
      <c r="V23" s="653">
        <v>0</v>
      </c>
      <c r="W23" s="653">
        <v>0</v>
      </c>
      <c r="X23" s="653">
        <f t="shared" si="1"/>
        <v>615240.11999999988</v>
      </c>
      <c r="Y23" s="653">
        <v>0</v>
      </c>
      <c r="Z23" s="653">
        <v>0</v>
      </c>
      <c r="AA23" s="653">
        <v>0</v>
      </c>
      <c r="AB23" s="19"/>
      <c r="AC23" s="654">
        <f t="shared" si="0"/>
        <v>615240.11999999988</v>
      </c>
    </row>
    <row r="24" spans="1:29">
      <c r="A24" s="35">
        <v>7</v>
      </c>
      <c r="B24" s="405" t="s">
        <v>1128</v>
      </c>
      <c r="C24" s="405" t="s">
        <v>1109</v>
      </c>
      <c r="D24" s="99" t="s">
        <v>1129</v>
      </c>
      <c r="E24" s="533" t="s">
        <v>1130</v>
      </c>
      <c r="F24" s="99" t="s">
        <v>1114</v>
      </c>
      <c r="G24" s="405" t="s">
        <v>1115</v>
      </c>
      <c r="H24" s="652">
        <v>4.1300000000000003E-2</v>
      </c>
      <c r="I24" s="653"/>
      <c r="J24" s="653"/>
      <c r="K24" s="653"/>
      <c r="L24" s="653">
        <v>19344.52</v>
      </c>
      <c r="M24" s="653">
        <v>17842.55</v>
      </c>
      <c r="N24" s="653">
        <v>919.46</v>
      </c>
      <c r="O24" s="653">
        <v>111681.13</v>
      </c>
      <c r="P24" s="653">
        <v>17571.3</v>
      </c>
      <c r="Q24" s="653">
        <v>3957.35</v>
      </c>
      <c r="R24" s="653">
        <v>3756.31</v>
      </c>
      <c r="S24" s="653">
        <v>75505.39</v>
      </c>
      <c r="T24" s="653">
        <v>0</v>
      </c>
      <c r="U24" s="653">
        <v>0</v>
      </c>
      <c r="V24" s="653">
        <v>0</v>
      </c>
      <c r="W24" s="653">
        <v>0</v>
      </c>
      <c r="X24" s="653">
        <f t="shared" si="1"/>
        <v>250578.01</v>
      </c>
      <c r="Y24" s="653">
        <v>0</v>
      </c>
      <c r="Z24" s="653">
        <v>0</v>
      </c>
      <c r="AA24" s="653">
        <v>0</v>
      </c>
      <c r="AB24" s="19"/>
      <c r="AC24" s="654">
        <f t="shared" si="0"/>
        <v>250578.01</v>
      </c>
    </row>
    <row r="25" spans="1:29">
      <c r="A25" s="35">
        <v>8</v>
      </c>
      <c r="B25" s="405" t="s">
        <v>1131</v>
      </c>
      <c r="C25" s="405" t="s">
        <v>1109</v>
      </c>
      <c r="D25" s="99" t="s">
        <v>1132</v>
      </c>
      <c r="E25" s="533" t="s">
        <v>1133</v>
      </c>
      <c r="F25" s="99" t="s">
        <v>1114</v>
      </c>
      <c r="G25" s="405" t="s">
        <v>1115</v>
      </c>
      <c r="H25" s="652">
        <v>4.1300000000000003E-2</v>
      </c>
      <c r="I25" s="653"/>
      <c r="J25" s="653"/>
      <c r="K25" s="653"/>
      <c r="L25" s="653">
        <v>137632.98000000001</v>
      </c>
      <c r="M25" s="653">
        <v>0</v>
      </c>
      <c r="N25" s="653">
        <v>2091.09</v>
      </c>
      <c r="O25" s="653">
        <v>572.14</v>
      </c>
      <c r="P25" s="653">
        <v>2191.7800000000002</v>
      </c>
      <c r="Q25" s="653">
        <v>1446.56</v>
      </c>
      <c r="R25" s="653">
        <v>856.26</v>
      </c>
      <c r="S25" s="653">
        <v>10426.48</v>
      </c>
      <c r="T25" s="653">
        <v>0</v>
      </c>
      <c r="U25" s="653">
        <v>0</v>
      </c>
      <c r="V25" s="653">
        <v>0</v>
      </c>
      <c r="W25" s="653">
        <v>0</v>
      </c>
      <c r="X25" s="653">
        <f t="shared" si="1"/>
        <v>155217.29000000004</v>
      </c>
      <c r="Y25" s="653">
        <v>0</v>
      </c>
      <c r="Z25" s="653">
        <v>0</v>
      </c>
      <c r="AA25" s="653">
        <v>0</v>
      </c>
      <c r="AB25" s="19"/>
      <c r="AC25" s="654">
        <f t="shared" si="0"/>
        <v>155217.29000000004</v>
      </c>
    </row>
    <row r="26" spans="1:29">
      <c r="A26" s="35">
        <v>9</v>
      </c>
      <c r="B26" s="405" t="s">
        <v>1134</v>
      </c>
      <c r="C26" s="405" t="s">
        <v>1109</v>
      </c>
      <c r="D26" s="99" t="s">
        <v>1135</v>
      </c>
      <c r="E26" s="533" t="s">
        <v>1136</v>
      </c>
      <c r="F26" s="99" t="s">
        <v>1114</v>
      </c>
      <c r="G26" s="405" t="s">
        <v>1115</v>
      </c>
      <c r="H26" s="652">
        <v>4.1300000000000003E-2</v>
      </c>
      <c r="I26" s="653"/>
      <c r="J26" s="653"/>
      <c r="K26" s="653"/>
      <c r="L26" s="653">
        <v>87559.86</v>
      </c>
      <c r="M26" s="653">
        <v>100089.63</v>
      </c>
      <c r="N26" s="653">
        <v>63297.49</v>
      </c>
      <c r="O26" s="653">
        <v>29531.54</v>
      </c>
      <c r="P26" s="653">
        <v>14359.95</v>
      </c>
      <c r="Q26" s="653">
        <v>735.72</v>
      </c>
      <c r="R26" s="653">
        <v>1071.99</v>
      </c>
      <c r="S26" s="653">
        <v>54404.55</v>
      </c>
      <c r="T26" s="653">
        <v>0</v>
      </c>
      <c r="U26" s="653">
        <v>0</v>
      </c>
      <c r="V26" s="653">
        <v>0</v>
      </c>
      <c r="W26" s="653">
        <v>0</v>
      </c>
      <c r="X26" s="653">
        <f t="shared" si="1"/>
        <v>351050.72999999992</v>
      </c>
      <c r="Y26" s="653">
        <v>0</v>
      </c>
      <c r="Z26" s="653">
        <v>0</v>
      </c>
      <c r="AA26" s="653">
        <v>0</v>
      </c>
      <c r="AB26" s="19"/>
      <c r="AC26" s="654">
        <f t="shared" si="0"/>
        <v>351050.72999999992</v>
      </c>
    </row>
    <row r="27" spans="1:29">
      <c r="A27" s="35">
        <v>10</v>
      </c>
      <c r="B27" s="405" t="s">
        <v>1137</v>
      </c>
      <c r="C27" s="405" t="s">
        <v>1109</v>
      </c>
      <c r="D27" s="99" t="s">
        <v>1138</v>
      </c>
      <c r="E27" s="533" t="s">
        <v>1139</v>
      </c>
      <c r="F27" s="99" t="s">
        <v>1114</v>
      </c>
      <c r="G27" s="405" t="s">
        <v>1115</v>
      </c>
      <c r="H27" s="652">
        <v>4.1300000000000003E-2</v>
      </c>
      <c r="I27" s="653"/>
      <c r="J27" s="653"/>
      <c r="K27" s="653"/>
      <c r="L27" s="653">
        <v>37813.14</v>
      </c>
      <c r="M27" s="653">
        <v>22981.22</v>
      </c>
      <c r="N27" s="653">
        <v>366999.34</v>
      </c>
      <c r="O27" s="653">
        <v>2520.9499999999998</v>
      </c>
      <c r="P27" s="653">
        <v>22261.99</v>
      </c>
      <c r="Q27" s="653">
        <v>9451.68</v>
      </c>
      <c r="R27" s="653">
        <v>10116.379999999999</v>
      </c>
      <c r="S27" s="653">
        <v>81627.14</v>
      </c>
      <c r="T27" s="653">
        <v>0</v>
      </c>
      <c r="U27" s="653">
        <v>0</v>
      </c>
      <c r="V27" s="653">
        <v>0</v>
      </c>
      <c r="W27" s="653">
        <v>0</v>
      </c>
      <c r="X27" s="653">
        <f t="shared" si="1"/>
        <v>553771.84</v>
      </c>
      <c r="Y27" s="653">
        <v>0</v>
      </c>
      <c r="Z27" s="653">
        <v>0</v>
      </c>
      <c r="AA27" s="653">
        <v>0</v>
      </c>
      <c r="AB27" s="19"/>
      <c r="AC27" s="654">
        <f t="shared" si="0"/>
        <v>553771.84</v>
      </c>
    </row>
    <row r="28" spans="1:29">
      <c r="A28" s="35">
        <v>11</v>
      </c>
      <c r="B28" s="405" t="s">
        <v>1140</v>
      </c>
      <c r="C28" s="405" t="s">
        <v>1109</v>
      </c>
      <c r="D28" s="99" t="s">
        <v>1141</v>
      </c>
      <c r="E28" s="533" t="s">
        <v>1142</v>
      </c>
      <c r="F28" s="99" t="s">
        <v>1114</v>
      </c>
      <c r="G28" s="405" t="s">
        <v>1115</v>
      </c>
      <c r="H28" s="652">
        <v>4.1300000000000003E-2</v>
      </c>
      <c r="I28" s="653"/>
      <c r="J28" s="653"/>
      <c r="K28" s="653"/>
      <c r="L28" s="653">
        <v>56461.45</v>
      </c>
      <c r="M28" s="653">
        <v>8360.2000000000007</v>
      </c>
      <c r="N28" s="653">
        <v>8252.6200000000008</v>
      </c>
      <c r="O28" s="653">
        <v>0</v>
      </c>
      <c r="P28" s="653">
        <v>0</v>
      </c>
      <c r="Q28" s="653">
        <v>0</v>
      </c>
      <c r="R28" s="653">
        <v>0</v>
      </c>
      <c r="S28" s="653">
        <v>37231.06</v>
      </c>
      <c r="T28" s="653">
        <v>0</v>
      </c>
      <c r="U28" s="653">
        <v>0</v>
      </c>
      <c r="V28" s="653">
        <v>0</v>
      </c>
      <c r="W28" s="653">
        <v>0</v>
      </c>
      <c r="X28" s="653">
        <f t="shared" si="1"/>
        <v>110305.32999999999</v>
      </c>
      <c r="Y28" s="653">
        <v>0</v>
      </c>
      <c r="Z28" s="653">
        <v>0</v>
      </c>
      <c r="AA28" s="653">
        <v>0</v>
      </c>
      <c r="AB28" s="19"/>
      <c r="AC28" s="654">
        <f t="shared" si="0"/>
        <v>110305.32999999999</v>
      </c>
    </row>
    <row r="29" spans="1:29">
      <c r="A29" s="35">
        <v>12</v>
      </c>
      <c r="B29" s="655" t="s">
        <v>1143</v>
      </c>
      <c r="C29" s="656" t="s">
        <v>1109</v>
      </c>
      <c r="D29" s="657" t="s">
        <v>1144</v>
      </c>
      <c r="E29" s="658" t="s">
        <v>1145</v>
      </c>
      <c r="F29" s="657" t="s">
        <v>1114</v>
      </c>
      <c r="G29" s="656" t="s">
        <v>1115</v>
      </c>
      <c r="H29" s="652">
        <v>4.1300000000000003E-2</v>
      </c>
      <c r="I29" s="653"/>
      <c r="J29" s="653"/>
      <c r="K29" s="653"/>
      <c r="L29" s="653">
        <v>0</v>
      </c>
      <c r="M29" s="653">
        <v>0</v>
      </c>
      <c r="N29" s="653">
        <v>0</v>
      </c>
      <c r="O29" s="653">
        <v>0</v>
      </c>
      <c r="P29" s="653">
        <v>0</v>
      </c>
      <c r="Q29" s="653">
        <v>0</v>
      </c>
      <c r="R29" s="653">
        <v>0</v>
      </c>
      <c r="S29" s="653">
        <v>143.84</v>
      </c>
      <c r="T29" s="653">
        <v>1678.71</v>
      </c>
      <c r="U29" s="653">
        <v>45350.63</v>
      </c>
      <c r="V29" s="653">
        <v>17059.03</v>
      </c>
      <c r="W29" s="653">
        <v>10396.68</v>
      </c>
      <c r="X29" s="653">
        <f t="shared" si="1"/>
        <v>74628.89</v>
      </c>
      <c r="Y29" s="653">
        <v>491494.78</v>
      </c>
      <c r="Z29" s="653">
        <v>378425.64</v>
      </c>
      <c r="AA29" s="653">
        <v>1349738.71</v>
      </c>
      <c r="AB29" s="19"/>
      <c r="AC29" s="654">
        <f t="shared" si="0"/>
        <v>2294288.02</v>
      </c>
    </row>
    <row r="30" spans="1:29">
      <c r="A30" s="35">
        <v>13</v>
      </c>
      <c r="B30" s="645" t="s">
        <v>1146</v>
      </c>
      <c r="C30" s="645" t="s">
        <v>1147</v>
      </c>
      <c r="D30" s="648" t="s">
        <v>1148</v>
      </c>
      <c r="E30" s="659" t="s">
        <v>1145</v>
      </c>
      <c r="F30" s="648" t="s">
        <v>1114</v>
      </c>
      <c r="G30" s="645" t="s">
        <v>1149</v>
      </c>
      <c r="H30" s="649">
        <v>1.2500000000000001E-2</v>
      </c>
      <c r="I30" s="650">
        <v>0</v>
      </c>
      <c r="J30" s="650">
        <v>0</v>
      </c>
      <c r="K30" s="650">
        <v>0</v>
      </c>
      <c r="L30" s="650">
        <v>0</v>
      </c>
      <c r="M30" s="650">
        <v>0</v>
      </c>
      <c r="N30" s="650">
        <v>0</v>
      </c>
      <c r="O30" s="650">
        <v>0</v>
      </c>
      <c r="P30" s="650">
        <v>0</v>
      </c>
      <c r="Q30" s="650">
        <v>0</v>
      </c>
      <c r="R30" s="650">
        <v>34057.68</v>
      </c>
      <c r="S30" s="650">
        <v>16919.71</v>
      </c>
      <c r="T30" s="650">
        <v>57710.06</v>
      </c>
      <c r="U30" s="650">
        <v>16298.62</v>
      </c>
      <c r="V30" s="650">
        <v>159971.60999999999</v>
      </c>
      <c r="W30" s="650">
        <v>2178.64</v>
      </c>
      <c r="X30" s="653">
        <f t="shared" si="1"/>
        <v>287136.32</v>
      </c>
      <c r="Y30" s="650">
        <v>140721.99</v>
      </c>
      <c r="Z30" s="650">
        <v>2111.88</v>
      </c>
      <c r="AA30" s="650">
        <v>53927.27</v>
      </c>
      <c r="AB30" s="19"/>
      <c r="AC30" s="660">
        <f t="shared" si="0"/>
        <v>483897.46</v>
      </c>
    </row>
    <row r="31" spans="1:29">
      <c r="A31" s="35">
        <v>14</v>
      </c>
      <c r="B31" s="645"/>
      <c r="C31" s="645" t="s">
        <v>1150</v>
      </c>
      <c r="D31" s="646" t="s">
        <v>1151</v>
      </c>
      <c r="E31" s="647"/>
      <c r="F31" s="648"/>
      <c r="G31" s="645"/>
      <c r="H31" s="649"/>
      <c r="I31" s="650">
        <v>0</v>
      </c>
      <c r="J31" s="650">
        <v>0</v>
      </c>
      <c r="K31" s="650">
        <v>0</v>
      </c>
      <c r="L31" s="650">
        <v>0</v>
      </c>
      <c r="M31" s="650">
        <v>0</v>
      </c>
      <c r="N31" s="650">
        <v>0</v>
      </c>
      <c r="O31" s="650">
        <v>0</v>
      </c>
      <c r="P31" s="650">
        <v>0</v>
      </c>
      <c r="Q31" s="650">
        <v>0</v>
      </c>
      <c r="R31" s="650">
        <v>0</v>
      </c>
      <c r="S31" s="650">
        <v>0</v>
      </c>
      <c r="T31" s="650">
        <v>0</v>
      </c>
      <c r="U31" s="650">
        <v>0</v>
      </c>
      <c r="V31" s="650">
        <v>0</v>
      </c>
      <c r="W31" s="650">
        <v>0</v>
      </c>
      <c r="X31" s="653">
        <f t="shared" si="1"/>
        <v>0</v>
      </c>
      <c r="Y31" s="650">
        <v>0</v>
      </c>
      <c r="Z31" s="650">
        <v>0</v>
      </c>
      <c r="AA31" s="650">
        <v>0</v>
      </c>
      <c r="AB31" s="19"/>
      <c r="AC31" s="654"/>
    </row>
    <row r="32" spans="1:29">
      <c r="A32" s="35">
        <v>15</v>
      </c>
      <c r="B32" s="405" t="s">
        <v>1152</v>
      </c>
      <c r="C32" s="405" t="s">
        <v>1150</v>
      </c>
      <c r="D32" s="99" t="s">
        <v>1153</v>
      </c>
      <c r="E32" s="533" t="s">
        <v>1145</v>
      </c>
      <c r="F32" s="99" t="s">
        <v>1154</v>
      </c>
      <c r="G32" s="405" t="s">
        <v>1155</v>
      </c>
      <c r="H32" s="652">
        <v>1.9199999999999998E-2</v>
      </c>
      <c r="I32" s="653">
        <v>0</v>
      </c>
      <c r="J32" s="653">
        <v>0</v>
      </c>
      <c r="K32" s="653">
        <v>577.02</v>
      </c>
      <c r="L32" s="653">
        <v>3.24</v>
      </c>
      <c r="M32" s="653">
        <v>2952.26</v>
      </c>
      <c r="N32" s="653">
        <v>918.6</v>
      </c>
      <c r="O32" s="653">
        <v>13201.96</v>
      </c>
      <c r="P32" s="653">
        <v>9068.6299999999992</v>
      </c>
      <c r="Q32" s="653">
        <v>137.9</v>
      </c>
      <c r="R32" s="653">
        <v>84.77</v>
      </c>
      <c r="S32" s="653">
        <v>192.36</v>
      </c>
      <c r="T32" s="653">
        <v>130.05000000000001</v>
      </c>
      <c r="U32" s="653">
        <v>123.06</v>
      </c>
      <c r="V32" s="653">
        <v>144.04</v>
      </c>
      <c r="W32" s="653">
        <v>210.51</v>
      </c>
      <c r="X32" s="653">
        <f t="shared" si="1"/>
        <v>27744.400000000001</v>
      </c>
      <c r="Y32" s="653">
        <v>151.09</v>
      </c>
      <c r="Z32" s="653">
        <v>-62.45</v>
      </c>
      <c r="AA32" s="653">
        <v>136.83000000000001</v>
      </c>
      <c r="AB32" s="99"/>
      <c r="AC32" s="654">
        <f t="shared" ref="AC32:AC39" si="2">SUM(I32:AB32)-X32</f>
        <v>27969.870000000003</v>
      </c>
    </row>
    <row r="33" spans="1:29">
      <c r="A33" s="35">
        <v>16</v>
      </c>
      <c r="B33" s="405" t="s">
        <v>1156</v>
      </c>
      <c r="C33" s="405" t="s">
        <v>1150</v>
      </c>
      <c r="D33" s="661" t="s">
        <v>1157</v>
      </c>
      <c r="E33" s="405" t="s">
        <v>1145</v>
      </c>
      <c r="F33" s="661" t="s">
        <v>1154</v>
      </c>
      <c r="G33" s="405" t="s">
        <v>1158</v>
      </c>
      <c r="H33" s="652">
        <v>1.8200000000000001E-2</v>
      </c>
      <c r="I33" s="653">
        <v>0</v>
      </c>
      <c r="J33" s="653">
        <v>0</v>
      </c>
      <c r="K33" s="653">
        <v>0</v>
      </c>
      <c r="L33" s="653">
        <v>0</v>
      </c>
      <c r="M33" s="653">
        <v>0</v>
      </c>
      <c r="N33" s="653">
        <v>1056.42</v>
      </c>
      <c r="O33" s="653">
        <v>-1235.98</v>
      </c>
      <c r="P33" s="653">
        <v>0</v>
      </c>
      <c r="Q33" s="653">
        <v>0</v>
      </c>
      <c r="R33" s="653">
        <v>0</v>
      </c>
      <c r="S33" s="653">
        <v>0</v>
      </c>
      <c r="T33" s="653">
        <v>0</v>
      </c>
      <c r="U33" s="653">
        <v>0</v>
      </c>
      <c r="V33" s="653">
        <v>0</v>
      </c>
      <c r="W33" s="653">
        <v>0</v>
      </c>
      <c r="X33" s="653">
        <f t="shared" si="1"/>
        <v>-179.55999999999995</v>
      </c>
      <c r="Y33" s="653">
        <v>0</v>
      </c>
      <c r="Z33" s="653">
        <v>0</v>
      </c>
      <c r="AA33" s="653">
        <v>0</v>
      </c>
      <c r="AB33" s="19"/>
      <c r="AC33" s="654">
        <f t="shared" si="2"/>
        <v>-179.55999999999995</v>
      </c>
    </row>
    <row r="34" spans="1:29">
      <c r="A34" s="35">
        <v>17</v>
      </c>
      <c r="B34" s="405" t="s">
        <v>1159</v>
      </c>
      <c r="C34" s="405" t="s">
        <v>1150</v>
      </c>
      <c r="D34" s="661" t="s">
        <v>1160</v>
      </c>
      <c r="E34" s="405" t="s">
        <v>1161</v>
      </c>
      <c r="F34" s="661" t="s">
        <v>1154</v>
      </c>
      <c r="G34" s="405" t="s">
        <v>1158</v>
      </c>
      <c r="H34" s="652">
        <v>1.8200000000000001E-2</v>
      </c>
      <c r="I34" s="653">
        <v>0</v>
      </c>
      <c r="J34" s="653">
        <v>0</v>
      </c>
      <c r="K34" s="653">
        <v>0</v>
      </c>
      <c r="L34" s="653">
        <v>0</v>
      </c>
      <c r="M34" s="653">
        <v>2283.4</v>
      </c>
      <c r="N34" s="653">
        <v>102941.2</v>
      </c>
      <c r="O34" s="653">
        <v>28654.240000000002</v>
      </c>
      <c r="P34" s="653">
        <v>40385.589999999997</v>
      </c>
      <c r="Q34" s="653">
        <v>140584.06</v>
      </c>
      <c r="R34" s="653">
        <v>14479.45</v>
      </c>
      <c r="S34" s="653">
        <v>14623.13</v>
      </c>
      <c r="T34" s="653">
        <v>0</v>
      </c>
      <c r="U34" s="653">
        <v>0</v>
      </c>
      <c r="V34" s="653">
        <v>0</v>
      </c>
      <c r="W34" s="653">
        <v>0</v>
      </c>
      <c r="X34" s="653">
        <f t="shared" si="1"/>
        <v>343951.07</v>
      </c>
      <c r="Y34" s="653">
        <v>0</v>
      </c>
      <c r="Z34" s="653">
        <v>0</v>
      </c>
      <c r="AA34" s="653">
        <v>0</v>
      </c>
      <c r="AB34" s="19"/>
      <c r="AC34" s="654">
        <f t="shared" si="2"/>
        <v>343951.07</v>
      </c>
    </row>
    <row r="35" spans="1:29">
      <c r="A35" s="35">
        <v>18</v>
      </c>
      <c r="B35" s="656" t="s">
        <v>1162</v>
      </c>
      <c r="C35" s="405" t="s">
        <v>1150</v>
      </c>
      <c r="D35" s="657" t="s">
        <v>1163</v>
      </c>
      <c r="E35" s="533" t="s">
        <v>1164</v>
      </c>
      <c r="F35" s="661" t="s">
        <v>1154</v>
      </c>
      <c r="G35" s="656" t="s">
        <v>1149</v>
      </c>
      <c r="H35" s="662">
        <v>1.2500000000000001E-2</v>
      </c>
      <c r="I35" s="663">
        <v>0</v>
      </c>
      <c r="J35" s="663">
        <v>0</v>
      </c>
      <c r="K35" s="663">
        <v>0</v>
      </c>
      <c r="L35" s="663">
        <v>0</v>
      </c>
      <c r="M35" s="663">
        <v>0</v>
      </c>
      <c r="N35" s="663">
        <v>19581.27</v>
      </c>
      <c r="O35" s="663">
        <v>15841.61</v>
      </c>
      <c r="P35" s="663">
        <v>7001.95</v>
      </c>
      <c r="Q35" s="663">
        <v>0</v>
      </c>
      <c r="R35" s="663">
        <v>0</v>
      </c>
      <c r="S35" s="663">
        <v>921.69</v>
      </c>
      <c r="T35" s="663">
        <v>0</v>
      </c>
      <c r="U35" s="663">
        <v>0</v>
      </c>
      <c r="V35" s="663">
        <v>0</v>
      </c>
      <c r="W35" s="663">
        <v>0</v>
      </c>
      <c r="X35" s="653">
        <f t="shared" si="1"/>
        <v>43346.520000000004</v>
      </c>
      <c r="Y35" s="663">
        <v>0</v>
      </c>
      <c r="Z35" s="663">
        <v>0</v>
      </c>
      <c r="AA35" s="663">
        <v>0</v>
      </c>
      <c r="AB35" s="19"/>
      <c r="AC35" s="654">
        <f t="shared" si="2"/>
        <v>43346.520000000004</v>
      </c>
    </row>
    <row r="36" spans="1:29">
      <c r="A36" s="35">
        <v>19</v>
      </c>
      <c r="B36" s="664" t="s">
        <v>1165</v>
      </c>
      <c r="C36" s="664" t="s">
        <v>1166</v>
      </c>
      <c r="D36" s="665" t="s">
        <v>1167</v>
      </c>
      <c r="E36" s="666" t="s">
        <v>1168</v>
      </c>
      <c r="F36" s="665" t="s">
        <v>1169</v>
      </c>
      <c r="G36" s="667" t="s">
        <v>1149</v>
      </c>
      <c r="H36" s="668">
        <v>1.2500000000000001E-2</v>
      </c>
      <c r="I36" s="669">
        <v>936.32</v>
      </c>
      <c r="J36" s="669">
        <v>269.57</v>
      </c>
      <c r="K36" s="669">
        <v>16480.060000000001</v>
      </c>
      <c r="L36" s="669">
        <v>11692.24</v>
      </c>
      <c r="M36" s="669">
        <v>753238.6</v>
      </c>
      <c r="N36" s="669">
        <v>475027.76</v>
      </c>
      <c r="O36" s="669">
        <v>2852.36</v>
      </c>
      <c r="P36" s="669">
        <v>20.93</v>
      </c>
      <c r="Q36" s="669">
        <v>0</v>
      </c>
      <c r="R36" s="669">
        <v>0</v>
      </c>
      <c r="S36" s="669">
        <v>0</v>
      </c>
      <c r="T36" s="669">
        <v>-417.25</v>
      </c>
      <c r="U36" s="669">
        <v>0</v>
      </c>
      <c r="V36" s="669">
        <v>0</v>
      </c>
      <c r="W36" s="669">
        <v>0</v>
      </c>
      <c r="X36" s="653">
        <f t="shared" si="1"/>
        <v>1260100.5900000001</v>
      </c>
      <c r="Y36" s="669">
        <v>0</v>
      </c>
      <c r="Z36" s="669">
        <v>0</v>
      </c>
      <c r="AA36" s="669">
        <v>0</v>
      </c>
      <c r="AB36" s="19"/>
      <c r="AC36" s="660">
        <f t="shared" si="2"/>
        <v>1260100.5900000001</v>
      </c>
    </row>
    <row r="37" spans="1:29">
      <c r="A37" s="35">
        <v>20</v>
      </c>
      <c r="B37" s="670" t="s">
        <v>1170</v>
      </c>
      <c r="C37" s="670" t="s">
        <v>1171</v>
      </c>
      <c r="D37" s="648" t="s">
        <v>1172</v>
      </c>
      <c r="E37" s="659" t="s">
        <v>1173</v>
      </c>
      <c r="F37" s="648" t="s">
        <v>1174</v>
      </c>
      <c r="G37" s="645" t="s">
        <v>1149</v>
      </c>
      <c r="H37" s="671">
        <v>1.2500000000000001E-2</v>
      </c>
      <c r="I37" s="650">
        <v>0</v>
      </c>
      <c r="J37" s="650">
        <v>42746</v>
      </c>
      <c r="K37" s="650">
        <v>646272.68000000005</v>
      </c>
      <c r="L37" s="650">
        <v>646741.66</v>
      </c>
      <c r="M37" s="650">
        <v>389376.8</v>
      </c>
      <c r="N37" s="650">
        <v>96345.52</v>
      </c>
      <c r="O37" s="650">
        <v>7803.93</v>
      </c>
      <c r="P37" s="650">
        <v>112.47</v>
      </c>
      <c r="Q37" s="650">
        <v>62.62</v>
      </c>
      <c r="R37" s="650">
        <v>912.03</v>
      </c>
      <c r="S37" s="650">
        <v>300.18</v>
      </c>
      <c r="T37" s="650">
        <v>0</v>
      </c>
      <c r="U37" s="650">
        <v>0</v>
      </c>
      <c r="V37" s="650">
        <v>0</v>
      </c>
      <c r="W37" s="650">
        <v>0</v>
      </c>
      <c r="X37" s="653">
        <f t="shared" si="1"/>
        <v>1830673.8900000001</v>
      </c>
      <c r="Y37" s="650">
        <v>0</v>
      </c>
      <c r="Z37" s="650">
        <v>0</v>
      </c>
      <c r="AA37" s="650">
        <v>0</v>
      </c>
      <c r="AB37" s="19"/>
      <c r="AC37" s="660">
        <f t="shared" si="2"/>
        <v>1830673.8900000001</v>
      </c>
    </row>
    <row r="38" spans="1:29">
      <c r="A38" s="35">
        <v>21</v>
      </c>
      <c r="B38" s="664" t="s">
        <v>1175</v>
      </c>
      <c r="C38" s="664" t="s">
        <v>1176</v>
      </c>
      <c r="D38" s="665" t="s">
        <v>1177</v>
      </c>
      <c r="E38" s="666" t="s">
        <v>1178</v>
      </c>
      <c r="F38" s="665" t="s">
        <v>1154</v>
      </c>
      <c r="G38" s="667" t="s">
        <v>1149</v>
      </c>
      <c r="H38" s="668">
        <v>1.2500000000000001E-2</v>
      </c>
      <c r="I38" s="650">
        <v>0</v>
      </c>
      <c r="J38" s="650">
        <v>0</v>
      </c>
      <c r="K38" s="650">
        <v>0</v>
      </c>
      <c r="L38" s="650">
        <v>0</v>
      </c>
      <c r="M38" s="650">
        <v>32262.57</v>
      </c>
      <c r="N38" s="650">
        <v>0</v>
      </c>
      <c r="O38" s="650">
        <v>0</v>
      </c>
      <c r="P38" s="650">
        <v>0</v>
      </c>
      <c r="Q38" s="650">
        <v>0</v>
      </c>
      <c r="R38" s="650">
        <v>0</v>
      </c>
      <c r="S38" s="650">
        <v>0</v>
      </c>
      <c r="T38" s="650">
        <v>0</v>
      </c>
      <c r="U38" s="650">
        <v>0</v>
      </c>
      <c r="V38" s="650">
        <v>0</v>
      </c>
      <c r="W38" s="650">
        <v>0</v>
      </c>
      <c r="X38" s="653">
        <f t="shared" si="1"/>
        <v>32262.57</v>
      </c>
      <c r="Y38" s="650">
        <v>0</v>
      </c>
      <c r="Z38" s="650">
        <v>0</v>
      </c>
      <c r="AA38" s="650">
        <v>0</v>
      </c>
      <c r="AB38" s="19"/>
      <c r="AC38" s="660">
        <f t="shared" si="2"/>
        <v>32262.57</v>
      </c>
    </row>
    <row r="39" spans="1:29">
      <c r="A39" s="35">
        <v>22</v>
      </c>
      <c r="B39" s="670" t="s">
        <v>1179</v>
      </c>
      <c r="C39" s="670" t="s">
        <v>1180</v>
      </c>
      <c r="D39" s="648" t="s">
        <v>1181</v>
      </c>
      <c r="E39" s="659" t="s">
        <v>1182</v>
      </c>
      <c r="F39" s="648" t="s">
        <v>1174</v>
      </c>
      <c r="G39" s="645"/>
      <c r="H39" s="671">
        <v>2.1999999999999999E-2</v>
      </c>
      <c r="I39" s="650">
        <v>0</v>
      </c>
      <c r="J39" s="650">
        <v>0</v>
      </c>
      <c r="K39" s="650">
        <v>0</v>
      </c>
      <c r="L39" s="650">
        <v>3917.49</v>
      </c>
      <c r="M39" s="650">
        <v>14511.94</v>
      </c>
      <c r="N39" s="650">
        <v>61616.03</v>
      </c>
      <c r="O39" s="650">
        <v>503.21</v>
      </c>
      <c r="P39" s="650">
        <v>466.24</v>
      </c>
      <c r="Q39" s="650">
        <v>11529.23</v>
      </c>
      <c r="R39" s="650">
        <v>0</v>
      </c>
      <c r="S39" s="650">
        <v>0</v>
      </c>
      <c r="T39" s="650">
        <v>0</v>
      </c>
      <c r="U39" s="650">
        <v>0</v>
      </c>
      <c r="V39" s="650">
        <v>0</v>
      </c>
      <c r="W39" s="650">
        <v>0</v>
      </c>
      <c r="X39" s="653">
        <f t="shared" si="1"/>
        <v>92544.14</v>
      </c>
      <c r="Y39" s="650">
        <v>0</v>
      </c>
      <c r="Z39" s="650">
        <v>0</v>
      </c>
      <c r="AA39" s="650">
        <v>0</v>
      </c>
      <c r="AB39" s="19"/>
      <c r="AC39" s="660">
        <f t="shared" si="2"/>
        <v>92544.14</v>
      </c>
    </row>
    <row r="40" spans="1:29">
      <c r="A40" s="35">
        <v>23</v>
      </c>
      <c r="B40" s="670"/>
      <c r="C40" s="670" t="s">
        <v>1183</v>
      </c>
      <c r="D40" s="646" t="s">
        <v>1184</v>
      </c>
      <c r="E40" s="647"/>
      <c r="F40" s="648" t="s">
        <v>1185</v>
      </c>
      <c r="G40" s="645"/>
      <c r="H40" s="671"/>
      <c r="I40" s="650">
        <v>0</v>
      </c>
      <c r="J40" s="650">
        <v>0</v>
      </c>
      <c r="K40" s="650">
        <v>0</v>
      </c>
      <c r="L40" s="650">
        <v>0</v>
      </c>
      <c r="M40" s="650">
        <v>0</v>
      </c>
      <c r="N40" s="650">
        <v>0</v>
      </c>
      <c r="O40" s="650">
        <v>0</v>
      </c>
      <c r="P40" s="650">
        <v>0</v>
      </c>
      <c r="Q40" s="650">
        <v>0</v>
      </c>
      <c r="R40" s="650">
        <v>0</v>
      </c>
      <c r="S40" s="650">
        <v>0</v>
      </c>
      <c r="T40" s="650">
        <v>0</v>
      </c>
      <c r="U40" s="650">
        <v>0</v>
      </c>
      <c r="V40" s="650">
        <v>0</v>
      </c>
      <c r="W40" s="650">
        <v>0</v>
      </c>
      <c r="X40" s="653">
        <f t="shared" si="1"/>
        <v>0</v>
      </c>
      <c r="Y40" s="650">
        <v>0</v>
      </c>
      <c r="Z40" s="650">
        <v>0</v>
      </c>
      <c r="AA40" s="650">
        <v>0</v>
      </c>
      <c r="AB40" s="19"/>
      <c r="AC40" s="651"/>
    </row>
    <row r="41" spans="1:29">
      <c r="A41" s="35">
        <v>24</v>
      </c>
      <c r="B41" s="405" t="s">
        <v>1186</v>
      </c>
      <c r="C41" s="672" t="s">
        <v>1183</v>
      </c>
      <c r="D41" s="99" t="s">
        <v>1187</v>
      </c>
      <c r="E41" s="533" t="s">
        <v>1188</v>
      </c>
      <c r="F41" s="99" t="s">
        <v>1185</v>
      </c>
      <c r="G41" s="405" t="s">
        <v>1189</v>
      </c>
      <c r="H41" s="673"/>
      <c r="I41" s="653"/>
      <c r="J41" s="653"/>
      <c r="K41" s="653"/>
      <c r="L41" s="653">
        <v>0</v>
      </c>
      <c r="M41" s="653">
        <v>0</v>
      </c>
      <c r="N41" s="653">
        <v>0</v>
      </c>
      <c r="O41" s="653">
        <v>0</v>
      </c>
      <c r="P41" s="653">
        <v>0</v>
      </c>
      <c r="Q41" s="653">
        <v>0</v>
      </c>
      <c r="R41" s="653">
        <v>0</v>
      </c>
      <c r="S41" s="653">
        <v>0</v>
      </c>
      <c r="T41" s="653">
        <v>0</v>
      </c>
      <c r="U41" s="653">
        <v>0</v>
      </c>
      <c r="V41" s="653">
        <v>0</v>
      </c>
      <c r="W41" s="653">
        <v>0</v>
      </c>
      <c r="X41" s="653">
        <f t="shared" si="1"/>
        <v>0</v>
      </c>
      <c r="Y41" s="653">
        <v>0</v>
      </c>
      <c r="Z41" s="653">
        <v>0</v>
      </c>
      <c r="AA41" s="653">
        <v>0</v>
      </c>
      <c r="AB41" s="19"/>
      <c r="AC41" s="654">
        <f t="shared" ref="AC41:AC54" si="3">SUM(I41:AB41)-X41</f>
        <v>0</v>
      </c>
    </row>
    <row r="42" spans="1:29">
      <c r="A42" s="35">
        <v>25</v>
      </c>
      <c r="B42" s="672" t="s">
        <v>1190</v>
      </c>
      <c r="C42" s="672" t="s">
        <v>1183</v>
      </c>
      <c r="D42" s="99" t="s">
        <v>1191</v>
      </c>
      <c r="E42" s="533" t="s">
        <v>1192</v>
      </c>
      <c r="F42" s="99" t="s">
        <v>1185</v>
      </c>
      <c r="G42" s="405" t="s">
        <v>1189</v>
      </c>
      <c r="H42" s="673"/>
      <c r="I42" s="653"/>
      <c r="J42" s="653"/>
      <c r="K42" s="653"/>
      <c r="L42" s="653">
        <v>0</v>
      </c>
      <c r="M42" s="653">
        <v>0</v>
      </c>
      <c r="N42" s="653">
        <v>194.57</v>
      </c>
      <c r="O42" s="653">
        <v>0</v>
      </c>
      <c r="P42" s="653">
        <v>0</v>
      </c>
      <c r="Q42" s="653">
        <v>0</v>
      </c>
      <c r="R42" s="653">
        <v>0</v>
      </c>
      <c r="S42" s="653">
        <v>0</v>
      </c>
      <c r="T42" s="653">
        <v>0</v>
      </c>
      <c r="U42" s="653">
        <v>0</v>
      </c>
      <c r="V42" s="653">
        <v>0</v>
      </c>
      <c r="W42" s="653">
        <v>0</v>
      </c>
      <c r="X42" s="653">
        <f t="shared" si="1"/>
        <v>194.57</v>
      </c>
      <c r="Y42" s="653">
        <v>0</v>
      </c>
      <c r="Z42" s="653">
        <v>0</v>
      </c>
      <c r="AA42" s="653">
        <v>0</v>
      </c>
      <c r="AB42" s="19"/>
      <c r="AC42" s="654">
        <f t="shared" si="3"/>
        <v>194.57</v>
      </c>
    </row>
    <row r="43" spans="1:29">
      <c r="A43" s="35">
        <v>26</v>
      </c>
      <c r="B43" s="672"/>
      <c r="C43" s="672"/>
      <c r="D43" s="99" t="s">
        <v>1193</v>
      </c>
      <c r="E43" s="533"/>
      <c r="F43" s="99" t="s">
        <v>1185</v>
      </c>
      <c r="G43" s="405"/>
      <c r="H43" s="673"/>
      <c r="I43" s="653"/>
      <c r="J43" s="653"/>
      <c r="K43" s="653"/>
      <c r="L43" s="653">
        <v>0</v>
      </c>
      <c r="M43" s="653">
        <v>0</v>
      </c>
      <c r="N43" s="653">
        <v>0</v>
      </c>
      <c r="O43" s="653">
        <v>0</v>
      </c>
      <c r="P43" s="653">
        <v>0</v>
      </c>
      <c r="Q43" s="653">
        <v>0</v>
      </c>
      <c r="R43" s="653">
        <v>0</v>
      </c>
      <c r="S43" s="653">
        <v>0</v>
      </c>
      <c r="T43" s="653">
        <v>0</v>
      </c>
      <c r="U43" s="653">
        <v>0</v>
      </c>
      <c r="V43" s="653">
        <v>0</v>
      </c>
      <c r="W43" s="653">
        <v>0</v>
      </c>
      <c r="X43" s="653">
        <f t="shared" si="1"/>
        <v>0</v>
      </c>
      <c r="Y43" s="653">
        <v>0</v>
      </c>
      <c r="Z43" s="653">
        <v>0</v>
      </c>
      <c r="AA43" s="653">
        <v>0</v>
      </c>
      <c r="AB43" s="19"/>
      <c r="AC43" s="654">
        <f t="shared" si="3"/>
        <v>0</v>
      </c>
    </row>
    <row r="44" spans="1:29">
      <c r="A44" s="35">
        <v>27</v>
      </c>
      <c r="B44" s="672" t="s">
        <v>1194</v>
      </c>
      <c r="C44" s="672" t="s">
        <v>1183</v>
      </c>
      <c r="D44" s="661" t="s">
        <v>1195</v>
      </c>
      <c r="E44" s="533" t="s">
        <v>1196</v>
      </c>
      <c r="F44" s="99" t="s">
        <v>1185</v>
      </c>
      <c r="G44" s="405" t="s">
        <v>1189</v>
      </c>
      <c r="H44" s="673"/>
      <c r="I44" s="653"/>
      <c r="J44" s="653"/>
      <c r="K44" s="653"/>
      <c r="L44" s="653">
        <v>371622.84</v>
      </c>
      <c r="M44" s="653">
        <v>246610.39</v>
      </c>
      <c r="N44" s="653">
        <v>351686</v>
      </c>
      <c r="O44" s="653">
        <v>29234.19</v>
      </c>
      <c r="P44" s="653">
        <v>-55401.67</v>
      </c>
      <c r="Q44" s="653">
        <v>541161.93999999994</v>
      </c>
      <c r="R44" s="653">
        <v>2472.11</v>
      </c>
      <c r="S44" s="653">
        <v>288929.71999999997</v>
      </c>
      <c r="T44" s="653">
        <v>24466.59</v>
      </c>
      <c r="U44" s="653">
        <v>343</v>
      </c>
      <c r="V44" s="653">
        <v>0</v>
      </c>
      <c r="W44" s="653">
        <v>0</v>
      </c>
      <c r="X44" s="653">
        <f t="shared" si="1"/>
        <v>1801125.11</v>
      </c>
      <c r="Y44" s="653">
        <v>0</v>
      </c>
      <c r="Z44" s="653">
        <v>0</v>
      </c>
      <c r="AA44" s="653">
        <v>0</v>
      </c>
      <c r="AB44" s="19"/>
      <c r="AC44" s="654">
        <f t="shared" si="3"/>
        <v>1801125.11</v>
      </c>
    </row>
    <row r="45" spans="1:29">
      <c r="A45" s="35">
        <v>28</v>
      </c>
      <c r="B45" s="672" t="s">
        <v>1197</v>
      </c>
      <c r="C45" s="672" t="s">
        <v>1183</v>
      </c>
      <c r="D45" s="661" t="s">
        <v>1198</v>
      </c>
      <c r="E45" s="533" t="s">
        <v>1199</v>
      </c>
      <c r="F45" s="99" t="s">
        <v>1185</v>
      </c>
      <c r="G45" s="405" t="s">
        <v>1189</v>
      </c>
      <c r="H45" s="673"/>
      <c r="I45" s="653"/>
      <c r="J45" s="653"/>
      <c r="K45" s="653"/>
      <c r="L45" s="653">
        <v>0</v>
      </c>
      <c r="M45" s="653">
        <v>0</v>
      </c>
      <c r="N45" s="653">
        <v>0</v>
      </c>
      <c r="O45" s="653">
        <v>0</v>
      </c>
      <c r="P45" s="653">
        <v>0</v>
      </c>
      <c r="Q45" s="653">
        <v>0</v>
      </c>
      <c r="R45" s="653">
        <v>0</v>
      </c>
      <c r="S45" s="653">
        <v>17270.02</v>
      </c>
      <c r="T45" s="653">
        <v>461824.13</v>
      </c>
      <c r="U45" s="653">
        <v>58403.35</v>
      </c>
      <c r="V45" s="653">
        <v>244032.88</v>
      </c>
      <c r="W45" s="653">
        <v>179.58</v>
      </c>
      <c r="X45" s="653">
        <f t="shared" si="1"/>
        <v>781709.96</v>
      </c>
      <c r="Y45" s="653">
        <v>4494.07</v>
      </c>
      <c r="Z45" s="653">
        <v>4656.17</v>
      </c>
      <c r="AA45" s="653">
        <v>0</v>
      </c>
      <c r="AB45" s="19"/>
      <c r="AC45" s="654">
        <f t="shared" si="3"/>
        <v>790860.2</v>
      </c>
    </row>
    <row r="46" spans="1:29">
      <c r="A46" s="35">
        <v>29</v>
      </c>
      <c r="B46" s="672" t="s">
        <v>1200</v>
      </c>
      <c r="C46" s="672" t="s">
        <v>1183</v>
      </c>
      <c r="D46" s="661" t="s">
        <v>1201</v>
      </c>
      <c r="E46" s="533" t="s">
        <v>1202</v>
      </c>
      <c r="F46" s="99" t="s">
        <v>1185</v>
      </c>
      <c r="G46" s="405" t="s">
        <v>1189</v>
      </c>
      <c r="H46" s="673"/>
      <c r="I46" s="653"/>
      <c r="J46" s="653"/>
      <c r="K46" s="653"/>
      <c r="L46" s="653">
        <v>88470.05</v>
      </c>
      <c r="M46" s="653">
        <v>40560.379999999997</v>
      </c>
      <c r="N46" s="653">
        <v>499.53</v>
      </c>
      <c r="O46" s="653">
        <v>63.06</v>
      </c>
      <c r="P46" s="653">
        <v>2087.1799999999998</v>
      </c>
      <c r="Q46" s="653">
        <v>31042.17</v>
      </c>
      <c r="R46" s="653">
        <v>2330.23</v>
      </c>
      <c r="S46" s="653">
        <v>-59787.75</v>
      </c>
      <c r="T46" s="653">
        <v>0</v>
      </c>
      <c r="U46" s="653">
        <v>544.46</v>
      </c>
      <c r="V46" s="653">
        <v>0</v>
      </c>
      <c r="W46" s="653">
        <v>0</v>
      </c>
      <c r="X46" s="653">
        <f t="shared" si="1"/>
        <v>105809.31000000001</v>
      </c>
      <c r="Y46" s="653">
        <v>0</v>
      </c>
      <c r="Z46" s="653">
        <v>0</v>
      </c>
      <c r="AA46" s="653">
        <v>0</v>
      </c>
      <c r="AB46" s="19"/>
      <c r="AC46" s="654">
        <f t="shared" si="3"/>
        <v>105809.31000000001</v>
      </c>
    </row>
    <row r="47" spans="1:29">
      <c r="A47" s="35">
        <v>30</v>
      </c>
      <c r="B47" s="672" t="s">
        <v>1203</v>
      </c>
      <c r="C47" s="672" t="s">
        <v>1183</v>
      </c>
      <c r="D47" s="661" t="s">
        <v>1204</v>
      </c>
      <c r="E47" s="533" t="s">
        <v>1205</v>
      </c>
      <c r="F47" s="99" t="s">
        <v>1185</v>
      </c>
      <c r="G47" s="405" t="s">
        <v>1189</v>
      </c>
      <c r="H47" s="673"/>
      <c r="I47" s="653"/>
      <c r="J47" s="653"/>
      <c r="K47" s="653"/>
      <c r="L47" s="653">
        <v>1023.95</v>
      </c>
      <c r="M47" s="653">
        <v>8647.7000000000007</v>
      </c>
      <c r="N47" s="653">
        <v>939.63</v>
      </c>
      <c r="O47" s="653">
        <v>5016.34</v>
      </c>
      <c r="P47" s="653">
        <v>171.58</v>
      </c>
      <c r="Q47" s="653">
        <v>7496.11</v>
      </c>
      <c r="R47" s="653">
        <v>112.23</v>
      </c>
      <c r="S47" s="653">
        <v>0</v>
      </c>
      <c r="T47" s="653">
        <v>0</v>
      </c>
      <c r="U47" s="653">
        <v>0</v>
      </c>
      <c r="V47" s="653">
        <v>0</v>
      </c>
      <c r="W47" s="653">
        <v>0</v>
      </c>
      <c r="X47" s="653">
        <f t="shared" si="1"/>
        <v>23407.54</v>
      </c>
      <c r="Y47" s="653">
        <v>0</v>
      </c>
      <c r="Z47" s="653">
        <v>0</v>
      </c>
      <c r="AA47" s="653">
        <v>0</v>
      </c>
      <c r="AB47" s="19"/>
      <c r="AC47" s="654">
        <f t="shared" si="3"/>
        <v>23407.54</v>
      </c>
    </row>
    <row r="48" spans="1:29">
      <c r="A48" s="35">
        <v>31</v>
      </c>
      <c r="B48" s="672" t="s">
        <v>1206</v>
      </c>
      <c r="C48" s="672" t="s">
        <v>1183</v>
      </c>
      <c r="D48" s="661" t="s">
        <v>1195</v>
      </c>
      <c r="E48" s="533" t="s">
        <v>1207</v>
      </c>
      <c r="F48" s="99" t="s">
        <v>1185</v>
      </c>
      <c r="G48" s="405" t="s">
        <v>1189</v>
      </c>
      <c r="H48" s="673"/>
      <c r="I48" s="653"/>
      <c r="J48" s="653"/>
      <c r="K48" s="653"/>
      <c r="L48" s="653">
        <v>0</v>
      </c>
      <c r="M48" s="653">
        <v>0</v>
      </c>
      <c r="N48" s="653">
        <v>0</v>
      </c>
      <c r="O48" s="653">
        <v>0</v>
      </c>
      <c r="P48" s="653">
        <v>0</v>
      </c>
      <c r="Q48" s="653">
        <v>2962.67</v>
      </c>
      <c r="R48" s="653">
        <v>9.35</v>
      </c>
      <c r="S48" s="653">
        <v>2525.69</v>
      </c>
      <c r="T48" s="653">
        <v>8728.11</v>
      </c>
      <c r="U48" s="653">
        <v>75935.210000000006</v>
      </c>
      <c r="V48" s="653">
        <v>15718.82</v>
      </c>
      <c r="W48" s="653">
        <v>529749.19999999995</v>
      </c>
      <c r="X48" s="653">
        <f t="shared" si="1"/>
        <v>635629.04999999993</v>
      </c>
      <c r="Y48" s="653">
        <v>381778.59</v>
      </c>
      <c r="Z48" s="653">
        <v>110441.86</v>
      </c>
      <c r="AA48" s="653">
        <v>7167.46</v>
      </c>
      <c r="AB48" s="19"/>
      <c r="AC48" s="654">
        <f t="shared" si="3"/>
        <v>1135016.96</v>
      </c>
    </row>
    <row r="49" spans="1:29">
      <c r="A49" s="35">
        <v>32</v>
      </c>
      <c r="B49" s="672" t="s">
        <v>1208</v>
      </c>
      <c r="C49" s="672" t="s">
        <v>1183</v>
      </c>
      <c r="D49" s="661" t="s">
        <v>1198</v>
      </c>
      <c r="E49" s="533" t="s">
        <v>1209</v>
      </c>
      <c r="F49" s="99" t="s">
        <v>1185</v>
      </c>
      <c r="G49" s="405" t="s">
        <v>1189</v>
      </c>
      <c r="H49" s="673"/>
      <c r="I49" s="653"/>
      <c r="J49" s="653"/>
      <c r="K49" s="653"/>
      <c r="L49" s="653">
        <v>0</v>
      </c>
      <c r="M49" s="653">
        <v>0</v>
      </c>
      <c r="N49" s="653">
        <v>0</v>
      </c>
      <c r="O49" s="653">
        <v>0</v>
      </c>
      <c r="P49" s="653">
        <v>0</v>
      </c>
      <c r="Q49" s="653">
        <v>0</v>
      </c>
      <c r="R49" s="653">
        <v>0</v>
      </c>
      <c r="S49" s="653">
        <v>0</v>
      </c>
      <c r="T49" s="653">
        <v>0</v>
      </c>
      <c r="U49" s="653">
        <v>35.909999999999997</v>
      </c>
      <c r="V49" s="653">
        <v>0.19</v>
      </c>
      <c r="W49" s="653">
        <v>0.28000000000000003</v>
      </c>
      <c r="X49" s="653">
        <f t="shared" si="1"/>
        <v>36.379999999999995</v>
      </c>
      <c r="Y49" s="653">
        <v>256635.69</v>
      </c>
      <c r="Z49" s="653">
        <v>131442.23000000001</v>
      </c>
      <c r="AA49" s="653">
        <v>23357.8</v>
      </c>
      <c r="AB49" s="19"/>
      <c r="AC49" s="654">
        <f t="shared" si="3"/>
        <v>411472.10000000003</v>
      </c>
    </row>
    <row r="50" spans="1:29">
      <c r="A50" s="35">
        <v>33</v>
      </c>
      <c r="B50" s="672" t="s">
        <v>1210</v>
      </c>
      <c r="C50" s="672" t="s">
        <v>1183</v>
      </c>
      <c r="D50" s="661" t="s">
        <v>1201</v>
      </c>
      <c r="E50" s="533" t="s">
        <v>1211</v>
      </c>
      <c r="F50" s="99" t="s">
        <v>1185</v>
      </c>
      <c r="G50" s="405" t="s">
        <v>1189</v>
      </c>
      <c r="H50" s="673"/>
      <c r="I50" s="653"/>
      <c r="J50" s="653"/>
      <c r="K50" s="653"/>
      <c r="L50" s="653">
        <v>0</v>
      </c>
      <c r="M50" s="653">
        <v>0</v>
      </c>
      <c r="N50" s="653">
        <v>0</v>
      </c>
      <c r="O50" s="653">
        <v>0</v>
      </c>
      <c r="P50" s="653">
        <v>0</v>
      </c>
      <c r="Q50" s="653">
        <v>0</v>
      </c>
      <c r="R50" s="653">
        <v>0</v>
      </c>
      <c r="S50" s="653">
        <v>0</v>
      </c>
      <c r="T50" s="653">
        <v>0</v>
      </c>
      <c r="U50" s="653">
        <v>915.2</v>
      </c>
      <c r="V50" s="653">
        <v>4.8</v>
      </c>
      <c r="W50" s="653">
        <v>75831.44</v>
      </c>
      <c r="X50" s="653">
        <f t="shared" si="1"/>
        <v>76751.44</v>
      </c>
      <c r="Y50" s="653">
        <v>528141.15</v>
      </c>
      <c r="Z50" s="653">
        <v>38419.31</v>
      </c>
      <c r="AA50" s="653">
        <v>8714.77</v>
      </c>
      <c r="AB50" s="19"/>
      <c r="AC50" s="654">
        <f t="shared" si="3"/>
        <v>652026.67000000016</v>
      </c>
    </row>
    <row r="51" spans="1:29">
      <c r="A51" s="35">
        <v>34</v>
      </c>
      <c r="B51" s="672" t="s">
        <v>1212</v>
      </c>
      <c r="C51" s="672" t="s">
        <v>1183</v>
      </c>
      <c r="D51" s="661" t="s">
        <v>1204</v>
      </c>
      <c r="E51" s="533" t="s">
        <v>1211</v>
      </c>
      <c r="F51" s="99" t="s">
        <v>1185</v>
      </c>
      <c r="G51" s="405" t="s">
        <v>1189</v>
      </c>
      <c r="H51" s="673"/>
      <c r="I51" s="653"/>
      <c r="J51" s="653"/>
      <c r="K51" s="653"/>
      <c r="L51" s="653">
        <v>0</v>
      </c>
      <c r="M51" s="653">
        <v>0</v>
      </c>
      <c r="N51" s="653">
        <v>0</v>
      </c>
      <c r="O51" s="653">
        <v>0</v>
      </c>
      <c r="P51" s="653">
        <v>0</v>
      </c>
      <c r="Q51" s="653">
        <v>0</v>
      </c>
      <c r="R51" s="653">
        <v>0</v>
      </c>
      <c r="S51" s="653">
        <v>0</v>
      </c>
      <c r="T51" s="653">
        <v>0</v>
      </c>
      <c r="U51" s="653">
        <v>509.38</v>
      </c>
      <c r="V51" s="653">
        <v>969.02</v>
      </c>
      <c r="W51" s="653">
        <v>122182.59</v>
      </c>
      <c r="X51" s="653">
        <f t="shared" si="1"/>
        <v>123660.98999999999</v>
      </c>
      <c r="Y51" s="653">
        <v>170420.55</v>
      </c>
      <c r="Z51" s="653">
        <v>64640.17</v>
      </c>
      <c r="AA51" s="653">
        <v>3653.56</v>
      </c>
      <c r="AB51" s="19"/>
      <c r="AC51" s="654">
        <f t="shared" si="3"/>
        <v>362375.26999999996</v>
      </c>
    </row>
    <row r="52" spans="1:29">
      <c r="A52" s="35">
        <v>35</v>
      </c>
      <c r="B52" s="670" t="s">
        <v>1213</v>
      </c>
      <c r="C52" s="670" t="s">
        <v>1214</v>
      </c>
      <c r="D52" s="648" t="s">
        <v>1215</v>
      </c>
      <c r="E52" s="659" t="s">
        <v>1216</v>
      </c>
      <c r="F52" s="648" t="s">
        <v>1185</v>
      </c>
      <c r="G52" s="645" t="s">
        <v>1158</v>
      </c>
      <c r="H52" s="671">
        <v>1.8200000000000001E-2</v>
      </c>
      <c r="I52" s="650">
        <v>0</v>
      </c>
      <c r="J52" s="650">
        <v>0</v>
      </c>
      <c r="K52" s="650">
        <v>0</v>
      </c>
      <c r="L52" s="650">
        <v>32.72</v>
      </c>
      <c r="M52" s="650">
        <v>0.18</v>
      </c>
      <c r="N52" s="650">
        <v>325875.51</v>
      </c>
      <c r="O52" s="650">
        <v>-172058.38</v>
      </c>
      <c r="P52" s="650">
        <v>19451.61</v>
      </c>
      <c r="Q52" s="650">
        <v>0</v>
      </c>
      <c r="R52" s="650">
        <v>0</v>
      </c>
      <c r="S52" s="650">
        <v>0</v>
      </c>
      <c r="T52" s="650">
        <v>0</v>
      </c>
      <c r="U52" s="650">
        <v>0</v>
      </c>
      <c r="V52" s="650">
        <v>0</v>
      </c>
      <c r="W52" s="650">
        <v>0</v>
      </c>
      <c r="X52" s="653">
        <f t="shared" si="1"/>
        <v>173301.64</v>
      </c>
      <c r="Y52" s="650">
        <v>0</v>
      </c>
      <c r="Z52" s="650">
        <v>0</v>
      </c>
      <c r="AA52" s="650">
        <v>0</v>
      </c>
      <c r="AB52" s="19"/>
      <c r="AC52" s="660">
        <f t="shared" si="3"/>
        <v>173301.64</v>
      </c>
    </row>
    <row r="53" spans="1:29">
      <c r="A53" s="35">
        <v>36</v>
      </c>
      <c r="B53" s="670" t="s">
        <v>1217</v>
      </c>
      <c r="C53" s="670" t="s">
        <v>1218</v>
      </c>
      <c r="D53" s="648" t="s">
        <v>1219</v>
      </c>
      <c r="E53" s="659" t="s">
        <v>1145</v>
      </c>
      <c r="F53" s="648" t="s">
        <v>1185</v>
      </c>
      <c r="G53" s="645" t="s">
        <v>1158</v>
      </c>
      <c r="H53" s="671">
        <v>1.8200000000000001E-2</v>
      </c>
      <c r="I53" s="650">
        <v>539.79</v>
      </c>
      <c r="J53" s="650">
        <v>199.99</v>
      </c>
      <c r="K53" s="650">
        <v>193.6</v>
      </c>
      <c r="L53" s="650">
        <v>223.26</v>
      </c>
      <c r="M53" s="650">
        <v>189.63</v>
      </c>
      <c r="N53" s="650">
        <v>869.97</v>
      </c>
      <c r="O53" s="650">
        <v>185.13</v>
      </c>
      <c r="P53" s="650">
        <v>6302.55</v>
      </c>
      <c r="Q53" s="650">
        <v>11256.46</v>
      </c>
      <c r="R53" s="650">
        <v>4007.87</v>
      </c>
      <c r="S53" s="650">
        <v>406.81</v>
      </c>
      <c r="T53" s="650">
        <v>275.04000000000002</v>
      </c>
      <c r="U53" s="650">
        <v>1235.31</v>
      </c>
      <c r="V53" s="650">
        <v>1200.93</v>
      </c>
      <c r="W53" s="650">
        <v>459.48</v>
      </c>
      <c r="X53" s="653">
        <f t="shared" si="1"/>
        <v>27545.82</v>
      </c>
      <c r="Y53" s="650">
        <v>14974.03</v>
      </c>
      <c r="Z53" s="650">
        <v>818.31</v>
      </c>
      <c r="AA53" s="650">
        <v>3641.05</v>
      </c>
      <c r="AB53" s="19"/>
      <c r="AC53" s="660">
        <f t="shared" si="3"/>
        <v>46979.21</v>
      </c>
    </row>
    <row r="54" spans="1:29">
      <c r="A54" s="35">
        <v>37</v>
      </c>
      <c r="B54" s="670" t="s">
        <v>1220</v>
      </c>
      <c r="C54" s="670" t="s">
        <v>1221</v>
      </c>
      <c r="D54" s="648" t="s">
        <v>1222</v>
      </c>
      <c r="E54" s="659" t="s">
        <v>1223</v>
      </c>
      <c r="F54" s="648" t="s">
        <v>1224</v>
      </c>
      <c r="G54" s="645" t="s">
        <v>1149</v>
      </c>
      <c r="H54" s="671">
        <v>1.2500000000000001E-2</v>
      </c>
      <c r="I54" s="650">
        <v>0</v>
      </c>
      <c r="J54" s="650"/>
      <c r="K54" s="650"/>
      <c r="L54" s="650">
        <v>3398.4</v>
      </c>
      <c r="M54" s="650">
        <v>1108.17</v>
      </c>
      <c r="N54" s="650">
        <v>-242.74</v>
      </c>
      <c r="O54" s="650">
        <v>0</v>
      </c>
      <c r="P54" s="650">
        <v>0</v>
      </c>
      <c r="Q54" s="650">
        <v>0</v>
      </c>
      <c r="R54" s="650">
        <v>0</v>
      </c>
      <c r="S54" s="650">
        <v>0</v>
      </c>
      <c r="T54" s="650">
        <v>0</v>
      </c>
      <c r="U54" s="650">
        <v>0</v>
      </c>
      <c r="V54" s="650">
        <v>0</v>
      </c>
      <c r="W54" s="650">
        <v>0</v>
      </c>
      <c r="X54" s="653">
        <f t="shared" si="1"/>
        <v>4263.83</v>
      </c>
      <c r="Y54" s="650">
        <v>0</v>
      </c>
      <c r="Z54" s="650">
        <v>0</v>
      </c>
      <c r="AA54" s="650">
        <v>0</v>
      </c>
      <c r="AB54" s="19"/>
      <c r="AC54" s="660">
        <f t="shared" si="3"/>
        <v>4263.83</v>
      </c>
    </row>
    <row r="55" spans="1:29">
      <c r="A55" s="35">
        <v>38</v>
      </c>
      <c r="B55" s="670"/>
      <c r="C55" s="670" t="s">
        <v>1225</v>
      </c>
      <c r="D55" s="646" t="s">
        <v>1226</v>
      </c>
      <c r="E55" s="647"/>
      <c r="F55" s="648"/>
      <c r="G55" s="645"/>
      <c r="H55" s="671"/>
      <c r="I55" s="650">
        <v>0</v>
      </c>
      <c r="J55" s="650">
        <v>0</v>
      </c>
      <c r="K55" s="650">
        <v>0</v>
      </c>
      <c r="L55" s="650">
        <v>0</v>
      </c>
      <c r="M55" s="650">
        <v>0</v>
      </c>
      <c r="N55" s="650">
        <v>0</v>
      </c>
      <c r="O55" s="650">
        <v>0</v>
      </c>
      <c r="P55" s="650">
        <v>0</v>
      </c>
      <c r="Q55" s="650">
        <v>0</v>
      </c>
      <c r="R55" s="650">
        <v>0</v>
      </c>
      <c r="S55" s="650">
        <v>0</v>
      </c>
      <c r="T55" s="650">
        <v>0</v>
      </c>
      <c r="U55" s="650">
        <v>0</v>
      </c>
      <c r="V55" s="650">
        <v>0</v>
      </c>
      <c r="W55" s="650">
        <v>0</v>
      </c>
      <c r="X55" s="653">
        <f t="shared" si="1"/>
        <v>0</v>
      </c>
      <c r="Y55" s="650">
        <v>0</v>
      </c>
      <c r="Z55" s="650">
        <v>0</v>
      </c>
      <c r="AA55" s="650">
        <v>0</v>
      </c>
      <c r="AB55" s="19"/>
      <c r="AC55" s="651"/>
    </row>
    <row r="56" spans="1:29">
      <c r="A56" s="35">
        <v>39</v>
      </c>
      <c r="B56" s="672" t="s">
        <v>1227</v>
      </c>
      <c r="C56" s="672" t="s">
        <v>1225</v>
      </c>
      <c r="D56" s="99" t="s">
        <v>1226</v>
      </c>
      <c r="E56" s="533" t="s">
        <v>1228</v>
      </c>
      <c r="F56" s="99" t="s">
        <v>1229</v>
      </c>
      <c r="G56" s="405" t="s">
        <v>1149</v>
      </c>
      <c r="H56" s="673">
        <v>1.2500000000000001E-2</v>
      </c>
      <c r="I56" s="653">
        <v>66.92</v>
      </c>
      <c r="J56" s="653">
        <v>71.430000000000007</v>
      </c>
      <c r="K56" s="653">
        <v>69.11</v>
      </c>
      <c r="L56" s="653">
        <v>68.03</v>
      </c>
      <c r="M56" s="653">
        <v>67.66</v>
      </c>
      <c r="N56" s="653">
        <v>74.25</v>
      </c>
      <c r="O56" s="653">
        <v>64.81</v>
      </c>
      <c r="P56" s="653">
        <v>39341.33</v>
      </c>
      <c r="Q56" s="653">
        <v>129811.98</v>
      </c>
      <c r="R56" s="653">
        <v>17072.509999999998</v>
      </c>
      <c r="S56" s="653">
        <v>41156.53</v>
      </c>
      <c r="T56" s="653">
        <v>1685393.66</v>
      </c>
      <c r="U56" s="653">
        <v>127739.12</v>
      </c>
      <c r="V56" s="653">
        <v>7210.71</v>
      </c>
      <c r="W56" s="653">
        <v>162.74</v>
      </c>
      <c r="X56" s="653">
        <f t="shared" si="1"/>
        <v>2048370.7899999998</v>
      </c>
      <c r="Y56" s="653">
        <v>0</v>
      </c>
      <c r="Z56" s="653">
        <v>0</v>
      </c>
      <c r="AA56" s="653">
        <v>0</v>
      </c>
      <c r="AB56" s="19"/>
      <c r="AC56" s="654">
        <f>SUM(I56:AB56)-X56</f>
        <v>2048370.7899999998</v>
      </c>
    </row>
    <row r="57" spans="1:29">
      <c r="A57" s="35">
        <v>40</v>
      </c>
      <c r="B57" s="672" t="s">
        <v>1230</v>
      </c>
      <c r="C57" s="674" t="s">
        <v>1225</v>
      </c>
      <c r="D57" s="657" t="s">
        <v>1226</v>
      </c>
      <c r="E57" s="533" t="s">
        <v>1145</v>
      </c>
      <c r="F57" s="657" t="s">
        <v>1229</v>
      </c>
      <c r="G57" s="656" t="s">
        <v>1149</v>
      </c>
      <c r="H57" s="675">
        <v>1.2500000000000001E-2</v>
      </c>
      <c r="I57" s="653">
        <v>0</v>
      </c>
      <c r="J57" s="653">
        <v>0</v>
      </c>
      <c r="K57" s="653">
        <v>5863.38</v>
      </c>
      <c r="L57" s="653">
        <v>0</v>
      </c>
      <c r="M57" s="653">
        <v>0</v>
      </c>
      <c r="N57" s="653">
        <v>0</v>
      </c>
      <c r="O57" s="653">
        <v>0</v>
      </c>
      <c r="P57" s="653">
        <v>0</v>
      </c>
      <c r="Q57" s="653">
        <v>0</v>
      </c>
      <c r="R57" s="653">
        <v>0</v>
      </c>
      <c r="S57" s="653">
        <v>0</v>
      </c>
      <c r="T57" s="653">
        <v>0</v>
      </c>
      <c r="U57" s="653">
        <v>0</v>
      </c>
      <c r="V57" s="653">
        <v>0</v>
      </c>
      <c r="W57" s="653">
        <v>0</v>
      </c>
      <c r="X57" s="653">
        <f t="shared" si="1"/>
        <v>5863.38</v>
      </c>
      <c r="Y57" s="653">
        <v>0</v>
      </c>
      <c r="Z57" s="653">
        <v>0</v>
      </c>
      <c r="AA57" s="653">
        <v>0</v>
      </c>
      <c r="AB57" s="19"/>
      <c r="AC57" s="654">
        <f>SUM(I57:AB57)-X57</f>
        <v>5863.38</v>
      </c>
    </row>
    <row r="58" spans="1:29">
      <c r="A58" s="35">
        <v>41</v>
      </c>
      <c r="B58" s="670"/>
      <c r="C58" s="670" t="s">
        <v>1231</v>
      </c>
      <c r="D58" s="646" t="s">
        <v>1232</v>
      </c>
      <c r="E58" s="647"/>
      <c r="F58" s="648"/>
      <c r="G58" s="645"/>
      <c r="H58" s="671"/>
      <c r="I58" s="650">
        <v>0</v>
      </c>
      <c r="J58" s="650">
        <v>0</v>
      </c>
      <c r="K58" s="650">
        <v>0</v>
      </c>
      <c r="L58" s="650">
        <v>0</v>
      </c>
      <c r="M58" s="650">
        <v>0</v>
      </c>
      <c r="N58" s="650">
        <v>0</v>
      </c>
      <c r="O58" s="650">
        <v>0</v>
      </c>
      <c r="P58" s="650">
        <v>0</v>
      </c>
      <c r="Q58" s="650">
        <v>0</v>
      </c>
      <c r="R58" s="650">
        <v>0</v>
      </c>
      <c r="S58" s="650">
        <v>0</v>
      </c>
      <c r="T58" s="650">
        <v>0</v>
      </c>
      <c r="U58" s="650">
        <v>0</v>
      </c>
      <c r="V58" s="650">
        <v>0</v>
      </c>
      <c r="W58" s="650">
        <v>0</v>
      </c>
      <c r="X58" s="653">
        <f t="shared" si="1"/>
        <v>0</v>
      </c>
      <c r="Y58" s="650">
        <v>0</v>
      </c>
      <c r="Z58" s="650">
        <v>0</v>
      </c>
      <c r="AA58" s="650">
        <v>0</v>
      </c>
      <c r="AB58" s="19"/>
      <c r="AC58" s="651"/>
    </row>
    <row r="59" spans="1:29">
      <c r="A59" s="35">
        <v>42</v>
      </c>
      <c r="B59" s="672" t="s">
        <v>1233</v>
      </c>
      <c r="C59" s="672" t="s">
        <v>1231</v>
      </c>
      <c r="D59" s="99" t="s">
        <v>1232</v>
      </c>
      <c r="E59" s="533" t="s">
        <v>1234</v>
      </c>
      <c r="F59" s="99" t="s">
        <v>1229</v>
      </c>
      <c r="G59" s="405" t="s">
        <v>1158</v>
      </c>
      <c r="H59" s="673">
        <v>1.8200000000000001E-2</v>
      </c>
      <c r="I59" s="653"/>
      <c r="J59" s="653"/>
      <c r="K59" s="653"/>
      <c r="L59" s="653">
        <v>468670.37</v>
      </c>
      <c r="M59" s="653">
        <v>187096.71</v>
      </c>
      <c r="N59" s="653">
        <v>12381.81</v>
      </c>
      <c r="O59" s="653">
        <v>0</v>
      </c>
      <c r="P59" s="653">
        <v>269.22000000000003</v>
      </c>
      <c r="Q59" s="653">
        <v>32822.75</v>
      </c>
      <c r="R59" s="653">
        <v>204.53</v>
      </c>
      <c r="S59" s="653">
        <v>2895.95</v>
      </c>
      <c r="T59" s="653">
        <v>0</v>
      </c>
      <c r="U59" s="653">
        <v>0</v>
      </c>
      <c r="V59" s="653">
        <v>0</v>
      </c>
      <c r="W59" s="653">
        <v>0</v>
      </c>
      <c r="X59" s="653">
        <f t="shared" si="1"/>
        <v>704341.34</v>
      </c>
      <c r="Y59" s="653">
        <v>0</v>
      </c>
      <c r="Z59" s="653">
        <v>0</v>
      </c>
      <c r="AA59" s="653">
        <v>0</v>
      </c>
      <c r="AB59" s="19"/>
      <c r="AC59" s="654">
        <f>SUM(I59:AB59)-X59</f>
        <v>704341.34</v>
      </c>
    </row>
    <row r="60" spans="1:29">
      <c r="A60" s="35">
        <v>43</v>
      </c>
      <c r="B60" s="672" t="s">
        <v>1235</v>
      </c>
      <c r="C60" s="674" t="s">
        <v>1231</v>
      </c>
      <c r="D60" s="657" t="s">
        <v>1232</v>
      </c>
      <c r="E60" s="533" t="s">
        <v>1236</v>
      </c>
      <c r="F60" s="657" t="s">
        <v>1229</v>
      </c>
      <c r="G60" s="656" t="s">
        <v>1158</v>
      </c>
      <c r="H60" s="675">
        <v>1.8200000000000001E-2</v>
      </c>
      <c r="I60" s="653">
        <v>0</v>
      </c>
      <c r="J60" s="653">
        <v>0</v>
      </c>
      <c r="K60" s="653">
        <v>0</v>
      </c>
      <c r="L60" s="653">
        <v>0</v>
      </c>
      <c r="M60" s="653">
        <v>0</v>
      </c>
      <c r="N60" s="653">
        <v>8013.21</v>
      </c>
      <c r="O60" s="653">
        <v>127932.66</v>
      </c>
      <c r="P60" s="653">
        <v>12763.48</v>
      </c>
      <c r="Q60" s="653">
        <v>15168.48</v>
      </c>
      <c r="R60" s="653">
        <v>51271.85</v>
      </c>
      <c r="S60" s="653">
        <v>125594.34</v>
      </c>
      <c r="T60" s="653">
        <v>409365.38</v>
      </c>
      <c r="U60" s="653">
        <v>239947.11</v>
      </c>
      <c r="V60" s="653">
        <v>272308.28999999998</v>
      </c>
      <c r="W60" s="653">
        <v>51565.26</v>
      </c>
      <c r="X60" s="653">
        <f t="shared" si="1"/>
        <v>1313930.06</v>
      </c>
      <c r="Y60" s="653">
        <v>0</v>
      </c>
      <c r="Z60" s="653">
        <v>216.65</v>
      </c>
      <c r="AA60" s="653">
        <v>529.94000000000005</v>
      </c>
      <c r="AB60" s="19"/>
      <c r="AC60" s="654">
        <f>SUM(I60:AB60)-X60</f>
        <v>1314676.6499999999</v>
      </c>
    </row>
    <row r="61" spans="1:29">
      <c r="A61" s="35">
        <v>44</v>
      </c>
      <c r="B61" s="664" t="s">
        <v>1237</v>
      </c>
      <c r="C61" s="664" t="s">
        <v>1238</v>
      </c>
      <c r="D61" s="665" t="s">
        <v>1239</v>
      </c>
      <c r="E61" s="659" t="s">
        <v>1240</v>
      </c>
      <c r="F61" s="665" t="s">
        <v>1241</v>
      </c>
      <c r="G61" s="667" t="s">
        <v>1158</v>
      </c>
      <c r="H61" s="668">
        <v>1.8200000000000001E-2</v>
      </c>
      <c r="I61" s="669">
        <v>941</v>
      </c>
      <c r="J61" s="669">
        <v>29.3</v>
      </c>
      <c r="K61" s="669">
        <v>5917.89</v>
      </c>
      <c r="L61" s="669">
        <v>11980.05</v>
      </c>
      <c r="M61" s="669">
        <v>2617.8000000000002</v>
      </c>
      <c r="N61" s="669">
        <v>142.19999999999999</v>
      </c>
      <c r="O61" s="669">
        <v>10712.37</v>
      </c>
      <c r="P61" s="669">
        <v>197.52</v>
      </c>
      <c r="Q61" s="669">
        <v>144039.29</v>
      </c>
      <c r="R61" s="669">
        <v>16280.67</v>
      </c>
      <c r="S61" s="669">
        <v>10247.120000000001</v>
      </c>
      <c r="T61" s="669">
        <v>0</v>
      </c>
      <c r="U61" s="669">
        <v>0</v>
      </c>
      <c r="V61" s="669">
        <v>0</v>
      </c>
      <c r="W61" s="669">
        <v>0</v>
      </c>
      <c r="X61" s="653">
        <f t="shared" si="1"/>
        <v>203105.21000000002</v>
      </c>
      <c r="Y61" s="669">
        <v>0</v>
      </c>
      <c r="Z61" s="669">
        <v>0</v>
      </c>
      <c r="AA61" s="669">
        <v>0</v>
      </c>
      <c r="AB61" s="19"/>
      <c r="AC61" s="660">
        <f>SUM(I61:AB61)-X61</f>
        <v>203105.21000000002</v>
      </c>
    </row>
    <row r="62" spans="1:29">
      <c r="A62" s="35">
        <v>45</v>
      </c>
      <c r="B62" s="664" t="s">
        <v>1242</v>
      </c>
      <c r="C62" s="664" t="s">
        <v>1243</v>
      </c>
      <c r="D62" s="665" t="s">
        <v>1244</v>
      </c>
      <c r="E62" s="659" t="s">
        <v>1245</v>
      </c>
      <c r="F62" s="665" t="s">
        <v>1241</v>
      </c>
      <c r="G62" s="667" t="s">
        <v>1158</v>
      </c>
      <c r="H62" s="668">
        <v>1.8200000000000001E-2</v>
      </c>
      <c r="I62" s="669">
        <v>0</v>
      </c>
      <c r="J62" s="669">
        <v>0</v>
      </c>
      <c r="K62" s="669">
        <v>0</v>
      </c>
      <c r="L62" s="669">
        <v>0</v>
      </c>
      <c r="M62" s="669">
        <v>0</v>
      </c>
      <c r="N62" s="669">
        <v>0</v>
      </c>
      <c r="O62" s="669">
        <v>0</v>
      </c>
      <c r="P62" s="669">
        <v>0</v>
      </c>
      <c r="Q62" s="669">
        <v>40697.07</v>
      </c>
      <c r="R62" s="669">
        <v>101061.64</v>
      </c>
      <c r="S62" s="669">
        <v>10209.25</v>
      </c>
      <c r="T62" s="669">
        <v>56.69</v>
      </c>
      <c r="U62" s="669">
        <v>0</v>
      </c>
      <c r="V62" s="669">
        <v>0</v>
      </c>
      <c r="W62" s="669">
        <v>0</v>
      </c>
      <c r="X62" s="653">
        <f t="shared" si="1"/>
        <v>152024.65</v>
      </c>
      <c r="Y62" s="669">
        <v>0</v>
      </c>
      <c r="Z62" s="669">
        <v>0</v>
      </c>
      <c r="AA62" s="669">
        <v>0</v>
      </c>
      <c r="AB62" s="19"/>
      <c r="AC62" s="660">
        <f>SUM(I62:AB62)-X62</f>
        <v>152024.65</v>
      </c>
    </row>
    <row r="63" spans="1:29">
      <c r="A63" s="35">
        <v>46</v>
      </c>
      <c r="B63" s="670" t="s">
        <v>1246</v>
      </c>
      <c r="C63" s="670" t="s">
        <v>1247</v>
      </c>
      <c r="D63" s="648" t="s">
        <v>1248</v>
      </c>
      <c r="E63" s="659" t="s">
        <v>1145</v>
      </c>
      <c r="F63" s="648" t="s">
        <v>1249</v>
      </c>
      <c r="G63" s="645" t="s">
        <v>1158</v>
      </c>
      <c r="H63" s="671">
        <v>1.8200000000000001E-2</v>
      </c>
      <c r="I63" s="669">
        <v>59.46</v>
      </c>
      <c r="J63" s="669">
        <v>63.47</v>
      </c>
      <c r="K63" s="669">
        <v>61.44</v>
      </c>
      <c r="L63" s="669">
        <v>60.45</v>
      </c>
      <c r="M63" s="669">
        <v>60.13</v>
      </c>
      <c r="N63" s="669">
        <v>65.97</v>
      </c>
      <c r="O63" s="669">
        <v>57.6</v>
      </c>
      <c r="P63" s="669">
        <v>4879.1099999999997</v>
      </c>
      <c r="Q63" s="669">
        <v>82.03</v>
      </c>
      <c r="R63" s="669">
        <v>50.42</v>
      </c>
      <c r="S63" s="669">
        <v>114.43</v>
      </c>
      <c r="T63" s="669">
        <v>77.38</v>
      </c>
      <c r="U63" s="669">
        <v>73.209999999999994</v>
      </c>
      <c r="V63" s="669">
        <v>85.69</v>
      </c>
      <c r="W63" s="669">
        <v>125.23</v>
      </c>
      <c r="X63" s="653">
        <f t="shared" si="1"/>
        <v>5916.0199999999986</v>
      </c>
      <c r="Y63" s="669">
        <v>89.88</v>
      </c>
      <c r="Z63" s="669">
        <v>618.11</v>
      </c>
      <c r="AA63" s="669">
        <v>85074.18</v>
      </c>
      <c r="AB63" s="19"/>
      <c r="AC63" s="660">
        <f>SUM(I63:AB63)-X63</f>
        <v>91698.189999999988</v>
      </c>
    </row>
    <row r="64" spans="1:29">
      <c r="A64" s="35">
        <v>47</v>
      </c>
      <c r="B64" s="670" t="s">
        <v>1250</v>
      </c>
      <c r="C64" s="670" t="s">
        <v>1251</v>
      </c>
      <c r="D64" s="648" t="s">
        <v>1252</v>
      </c>
      <c r="E64" s="659" t="s">
        <v>1253</v>
      </c>
      <c r="F64" s="648" t="s">
        <v>1114</v>
      </c>
      <c r="G64" s="645" t="s">
        <v>1149</v>
      </c>
      <c r="H64" s="671">
        <v>1.2500000000000001E-2</v>
      </c>
      <c r="I64" s="650">
        <v>0</v>
      </c>
      <c r="J64" s="650">
        <v>0</v>
      </c>
      <c r="K64" s="650">
        <v>0</v>
      </c>
      <c r="L64" s="650">
        <v>0</v>
      </c>
      <c r="M64" s="650">
        <v>0</v>
      </c>
      <c r="N64" s="650">
        <v>0</v>
      </c>
      <c r="O64" s="650">
        <v>0</v>
      </c>
      <c r="P64" s="650">
        <v>0</v>
      </c>
      <c r="Q64" s="650">
        <v>0</v>
      </c>
      <c r="R64" s="650">
        <v>0</v>
      </c>
      <c r="S64" s="650">
        <v>0</v>
      </c>
      <c r="T64" s="650">
        <v>0</v>
      </c>
      <c r="U64" s="650">
        <v>0</v>
      </c>
      <c r="V64" s="650">
        <v>0</v>
      </c>
      <c r="W64" s="650">
        <v>0</v>
      </c>
      <c r="X64" s="653">
        <f t="shared" si="1"/>
        <v>0</v>
      </c>
      <c r="Y64" s="650">
        <v>0</v>
      </c>
      <c r="Z64" s="650">
        <v>0</v>
      </c>
      <c r="AA64" s="650">
        <v>0</v>
      </c>
      <c r="AB64" s="19"/>
      <c r="AC64" s="651">
        <f>SUM(I64:AB64)</f>
        <v>0</v>
      </c>
    </row>
    <row r="65" spans="1:29">
      <c r="A65" s="35">
        <v>48</v>
      </c>
      <c r="B65" s="670" t="s">
        <v>1254</v>
      </c>
      <c r="C65" s="670" t="s">
        <v>1255</v>
      </c>
      <c r="D65" s="648" t="s">
        <v>1256</v>
      </c>
      <c r="E65" s="659" t="s">
        <v>1257</v>
      </c>
      <c r="F65" s="648" t="s">
        <v>1154</v>
      </c>
      <c r="G65" s="645" t="s">
        <v>1149</v>
      </c>
      <c r="H65" s="671">
        <v>1.2500000000000001E-2</v>
      </c>
      <c r="I65" s="650">
        <v>0</v>
      </c>
      <c r="J65" s="650">
        <v>0</v>
      </c>
      <c r="K65" s="650">
        <v>0</v>
      </c>
      <c r="L65" s="650">
        <v>0</v>
      </c>
      <c r="M65" s="650">
        <v>0</v>
      </c>
      <c r="N65" s="650">
        <v>0</v>
      </c>
      <c r="O65" s="650">
        <v>0</v>
      </c>
      <c r="P65" s="650">
        <v>0</v>
      </c>
      <c r="Q65" s="650">
        <v>0</v>
      </c>
      <c r="R65" s="650">
        <v>0</v>
      </c>
      <c r="S65" s="650">
        <v>0</v>
      </c>
      <c r="T65" s="650">
        <v>0</v>
      </c>
      <c r="U65" s="650">
        <v>0</v>
      </c>
      <c r="V65" s="650">
        <v>0</v>
      </c>
      <c r="W65" s="650">
        <v>0</v>
      </c>
      <c r="X65" s="653">
        <f t="shared" si="1"/>
        <v>0</v>
      </c>
      <c r="Y65" s="650">
        <v>0</v>
      </c>
      <c r="Z65" s="650">
        <v>0</v>
      </c>
      <c r="AA65" s="650">
        <v>0</v>
      </c>
      <c r="AB65" s="19"/>
      <c r="AC65" s="651">
        <f>SUM(I65:AB65)</f>
        <v>0</v>
      </c>
    </row>
    <row r="66" spans="1:29">
      <c r="A66" s="35">
        <v>49</v>
      </c>
      <c r="B66" s="664" t="s">
        <v>1258</v>
      </c>
      <c r="C66" s="664" t="s">
        <v>1259</v>
      </c>
      <c r="D66" s="665" t="s">
        <v>1260</v>
      </c>
      <c r="E66" s="659" t="s">
        <v>1261</v>
      </c>
      <c r="F66" s="665" t="s">
        <v>1114</v>
      </c>
      <c r="G66" s="667" t="s">
        <v>1149</v>
      </c>
      <c r="H66" s="668">
        <v>1.2500000000000001E-2</v>
      </c>
      <c r="I66" s="669">
        <v>0</v>
      </c>
      <c r="J66" s="669">
        <v>0</v>
      </c>
      <c r="K66" s="669">
        <v>0</v>
      </c>
      <c r="L66" s="669">
        <v>0</v>
      </c>
      <c r="M66" s="669">
        <v>0</v>
      </c>
      <c r="N66" s="669">
        <v>0</v>
      </c>
      <c r="O66" s="669">
        <v>0</v>
      </c>
      <c r="P66" s="669">
        <v>0</v>
      </c>
      <c r="Q66" s="669">
        <v>0</v>
      </c>
      <c r="R66" s="669">
        <v>0</v>
      </c>
      <c r="S66" s="669">
        <v>0</v>
      </c>
      <c r="T66" s="669">
        <v>0</v>
      </c>
      <c r="U66" s="669">
        <v>0</v>
      </c>
      <c r="V66" s="669">
        <v>0</v>
      </c>
      <c r="W66" s="669">
        <v>0</v>
      </c>
      <c r="X66" s="653">
        <f t="shared" si="1"/>
        <v>0</v>
      </c>
      <c r="Y66" s="669">
        <v>0</v>
      </c>
      <c r="Z66" s="669">
        <v>0</v>
      </c>
      <c r="AA66" s="669">
        <v>0</v>
      </c>
      <c r="AB66" s="19"/>
      <c r="AC66" s="651">
        <f>SUM(I66:AB66)</f>
        <v>0</v>
      </c>
    </row>
    <row r="67" spans="1:29">
      <c r="A67" s="35">
        <v>50</v>
      </c>
      <c r="B67" s="664" t="s">
        <v>1262</v>
      </c>
      <c r="C67" s="664" t="s">
        <v>1263</v>
      </c>
      <c r="D67" s="665" t="s">
        <v>1264</v>
      </c>
      <c r="E67" s="659" t="s">
        <v>1265</v>
      </c>
      <c r="F67" s="665" t="s">
        <v>1241</v>
      </c>
      <c r="G67" s="676" t="s">
        <v>1149</v>
      </c>
      <c r="H67" s="677">
        <v>1.2500000000000001E-2</v>
      </c>
      <c r="I67" s="669">
        <v>0</v>
      </c>
      <c r="J67" s="669">
        <v>0</v>
      </c>
      <c r="K67" s="669">
        <v>0</v>
      </c>
      <c r="L67" s="669">
        <v>0</v>
      </c>
      <c r="M67" s="669">
        <v>0</v>
      </c>
      <c r="N67" s="669">
        <v>0</v>
      </c>
      <c r="O67" s="669">
        <v>0</v>
      </c>
      <c r="P67" s="669">
        <v>0</v>
      </c>
      <c r="Q67" s="669">
        <v>0</v>
      </c>
      <c r="R67" s="669">
        <v>0</v>
      </c>
      <c r="S67" s="669">
        <v>0</v>
      </c>
      <c r="T67" s="669">
        <v>0</v>
      </c>
      <c r="U67" s="669">
        <v>0</v>
      </c>
      <c r="V67" s="669">
        <v>0</v>
      </c>
      <c r="W67" s="669">
        <v>9051.64</v>
      </c>
      <c r="X67" s="653">
        <f t="shared" si="1"/>
        <v>9051.64</v>
      </c>
      <c r="Y67" s="669">
        <v>487988.5</v>
      </c>
      <c r="Z67" s="669">
        <v>25679.63</v>
      </c>
      <c r="AA67" s="669">
        <v>2777.13</v>
      </c>
      <c r="AB67" s="19"/>
      <c r="AC67" s="654">
        <f t="shared" ref="AC67:AC72" si="4">SUM(I67:AB67)-X67</f>
        <v>525496.9</v>
      </c>
    </row>
    <row r="68" spans="1:29">
      <c r="A68" s="35">
        <v>51</v>
      </c>
      <c r="B68" s="664" t="s">
        <v>1266</v>
      </c>
      <c r="C68" s="664" t="s">
        <v>1267</v>
      </c>
      <c r="D68" s="665" t="s">
        <v>1268</v>
      </c>
      <c r="E68" s="659" t="s">
        <v>1269</v>
      </c>
      <c r="F68" s="665" t="s">
        <v>1241</v>
      </c>
      <c r="G68" s="676" t="s">
        <v>1149</v>
      </c>
      <c r="H68" s="677">
        <v>1.2500000000000001E-2</v>
      </c>
      <c r="I68" s="669">
        <v>0</v>
      </c>
      <c r="J68" s="669">
        <v>0</v>
      </c>
      <c r="K68" s="669">
        <v>0</v>
      </c>
      <c r="L68" s="669">
        <v>0</v>
      </c>
      <c r="M68" s="669">
        <v>0</v>
      </c>
      <c r="N68" s="669">
        <v>0</v>
      </c>
      <c r="O68" s="669">
        <v>0</v>
      </c>
      <c r="P68" s="669">
        <v>0</v>
      </c>
      <c r="Q68" s="669">
        <v>0</v>
      </c>
      <c r="R68" s="669">
        <v>0</v>
      </c>
      <c r="S68" s="669">
        <v>0</v>
      </c>
      <c r="T68" s="669">
        <v>0</v>
      </c>
      <c r="U68" s="669">
        <v>0</v>
      </c>
      <c r="V68" s="669">
        <v>0</v>
      </c>
      <c r="W68" s="669">
        <v>11892.46</v>
      </c>
      <c r="X68" s="653">
        <f t="shared" si="1"/>
        <v>11892.46</v>
      </c>
      <c r="Y68" s="669">
        <v>525106.31000000006</v>
      </c>
      <c r="Z68" s="669">
        <v>-14338.9</v>
      </c>
      <c r="AA68" s="669">
        <v>244.91</v>
      </c>
      <c r="AB68" s="19"/>
      <c r="AC68" s="654">
        <f t="shared" si="4"/>
        <v>522904.78000000009</v>
      </c>
    </row>
    <row r="69" spans="1:29">
      <c r="A69" s="35">
        <v>52</v>
      </c>
      <c r="B69" s="664" t="s">
        <v>1270</v>
      </c>
      <c r="C69" s="664" t="s">
        <v>1271</v>
      </c>
      <c r="D69" s="665" t="s">
        <v>1272</v>
      </c>
      <c r="E69" s="659" t="s">
        <v>1273</v>
      </c>
      <c r="F69" s="665" t="s">
        <v>1185</v>
      </c>
      <c r="G69" s="676" t="s">
        <v>1149</v>
      </c>
      <c r="H69" s="677">
        <v>1.2500000000000001E-2</v>
      </c>
      <c r="I69" s="669">
        <v>0</v>
      </c>
      <c r="J69" s="669">
        <v>0</v>
      </c>
      <c r="K69" s="669">
        <v>0</v>
      </c>
      <c r="L69" s="669">
        <v>0</v>
      </c>
      <c r="M69" s="669">
        <v>0</v>
      </c>
      <c r="N69" s="669">
        <v>0</v>
      </c>
      <c r="O69" s="669">
        <v>0</v>
      </c>
      <c r="P69" s="669">
        <v>0</v>
      </c>
      <c r="Q69" s="669">
        <v>0</v>
      </c>
      <c r="R69" s="669">
        <v>0</v>
      </c>
      <c r="S69" s="669">
        <v>0</v>
      </c>
      <c r="T69" s="669">
        <v>0</v>
      </c>
      <c r="U69" s="669">
        <v>0</v>
      </c>
      <c r="V69" s="669">
        <v>0</v>
      </c>
      <c r="W69" s="669">
        <v>0</v>
      </c>
      <c r="X69" s="653">
        <f t="shared" si="1"/>
        <v>0</v>
      </c>
      <c r="Y69" s="669">
        <v>0</v>
      </c>
      <c r="Z69" s="669">
        <v>0</v>
      </c>
      <c r="AA69" s="669">
        <v>0</v>
      </c>
      <c r="AB69" s="19"/>
      <c r="AC69" s="654">
        <f t="shared" si="4"/>
        <v>0</v>
      </c>
    </row>
    <row r="70" spans="1:29">
      <c r="A70" s="35">
        <v>53</v>
      </c>
      <c r="B70" s="664" t="s">
        <v>1274</v>
      </c>
      <c r="C70" s="664" t="s">
        <v>1275</v>
      </c>
      <c r="D70" s="665" t="s">
        <v>1276</v>
      </c>
      <c r="E70" s="659" t="s">
        <v>1145</v>
      </c>
      <c r="F70" s="665" t="s">
        <v>1174</v>
      </c>
      <c r="G70" s="676" t="s">
        <v>1158</v>
      </c>
      <c r="H70" s="677">
        <v>1.8200000000000001E-2</v>
      </c>
      <c r="I70" s="678">
        <v>0</v>
      </c>
      <c r="J70" s="678">
        <v>0</v>
      </c>
      <c r="K70" s="678">
        <v>0</v>
      </c>
      <c r="L70" s="678">
        <v>0</v>
      </c>
      <c r="M70" s="678">
        <v>0</v>
      </c>
      <c r="N70" s="678">
        <v>0</v>
      </c>
      <c r="O70" s="678">
        <v>0</v>
      </c>
      <c r="P70" s="678">
        <v>0</v>
      </c>
      <c r="Q70" s="678">
        <v>0</v>
      </c>
      <c r="R70" s="678">
        <v>0</v>
      </c>
      <c r="S70" s="678">
        <v>0</v>
      </c>
      <c r="T70" s="678">
        <v>0</v>
      </c>
      <c r="U70" s="678">
        <v>0</v>
      </c>
      <c r="V70" s="678">
        <v>0</v>
      </c>
      <c r="W70" s="678">
        <v>0</v>
      </c>
      <c r="X70" s="653">
        <f t="shared" si="1"/>
        <v>0</v>
      </c>
      <c r="Y70" s="678">
        <v>0</v>
      </c>
      <c r="Z70" s="678">
        <v>0</v>
      </c>
      <c r="AA70" s="678">
        <v>8554.0400000000009</v>
      </c>
      <c r="AB70" s="19"/>
      <c r="AC70" s="654">
        <f t="shared" si="4"/>
        <v>8554.0400000000009</v>
      </c>
    </row>
    <row r="71" spans="1:29">
      <c r="A71" s="35">
        <v>54</v>
      </c>
      <c r="B71" s="664" t="s">
        <v>1277</v>
      </c>
      <c r="C71" s="664" t="s">
        <v>1278</v>
      </c>
      <c r="D71" s="665" t="s">
        <v>1279</v>
      </c>
      <c r="E71" s="666" t="s">
        <v>1145</v>
      </c>
      <c r="F71" s="665" t="s">
        <v>1249</v>
      </c>
      <c r="G71" s="667" t="s">
        <v>1115</v>
      </c>
      <c r="H71" s="668">
        <v>1.2500000000000001E-2</v>
      </c>
      <c r="I71" s="669">
        <v>0</v>
      </c>
      <c r="J71" s="669">
        <v>0</v>
      </c>
      <c r="K71" s="669">
        <v>0</v>
      </c>
      <c r="L71" s="669">
        <v>0</v>
      </c>
      <c r="M71" s="669">
        <v>0</v>
      </c>
      <c r="N71" s="669">
        <v>0</v>
      </c>
      <c r="O71" s="669">
        <v>0</v>
      </c>
      <c r="P71" s="669">
        <v>0</v>
      </c>
      <c r="Q71" s="669">
        <v>0</v>
      </c>
      <c r="R71" s="669">
        <v>0</v>
      </c>
      <c r="S71" s="669">
        <v>0</v>
      </c>
      <c r="T71" s="669">
        <v>0</v>
      </c>
      <c r="U71" s="669">
        <v>0</v>
      </c>
      <c r="V71" s="669">
        <v>0</v>
      </c>
      <c r="W71" s="669">
        <v>0</v>
      </c>
      <c r="X71" s="653">
        <f t="shared" si="1"/>
        <v>0</v>
      </c>
      <c r="Y71" s="669">
        <v>0</v>
      </c>
      <c r="Z71" s="669">
        <v>26682.07</v>
      </c>
      <c r="AA71" s="669">
        <v>1462.08</v>
      </c>
      <c r="AB71" s="19"/>
      <c r="AC71" s="654">
        <f t="shared" si="4"/>
        <v>28144.15</v>
      </c>
    </row>
    <row r="72" spans="1:29">
      <c r="A72" s="35">
        <v>55</v>
      </c>
      <c r="B72" s="672"/>
      <c r="C72" s="672"/>
      <c r="D72" s="99" t="s">
        <v>1574</v>
      </c>
      <c r="E72" s="533"/>
      <c r="F72" s="99"/>
      <c r="G72" s="405"/>
      <c r="H72" s="673"/>
      <c r="I72" s="653"/>
      <c r="J72" s="653"/>
      <c r="K72" s="653"/>
      <c r="L72" s="653"/>
      <c r="M72" s="653"/>
      <c r="N72" s="653"/>
      <c r="O72" s="653"/>
      <c r="P72" s="653"/>
      <c r="Q72" s="653"/>
      <c r="R72" s="653"/>
      <c r="S72" s="653"/>
      <c r="T72" s="653"/>
      <c r="U72" s="653"/>
      <c r="V72" s="653"/>
      <c r="W72" s="653"/>
      <c r="X72" s="653"/>
      <c r="Y72" s="653"/>
      <c r="Z72" s="653">
        <v>15452.49</v>
      </c>
      <c r="AA72" s="653">
        <v>537465.21</v>
      </c>
      <c r="AB72" s="19"/>
      <c r="AC72" s="654">
        <f t="shared" si="4"/>
        <v>552917.69999999995</v>
      </c>
    </row>
    <row r="73" spans="1:29">
      <c r="A73" s="35">
        <v>56</v>
      </c>
      <c r="B73" s="672"/>
      <c r="C73" s="672"/>
      <c r="D73" s="99" t="s">
        <v>1280</v>
      </c>
      <c r="E73" s="533"/>
      <c r="F73" s="99"/>
      <c r="G73" s="405"/>
      <c r="H73" s="673"/>
      <c r="I73" s="653"/>
      <c r="J73" s="653"/>
      <c r="K73" s="653"/>
      <c r="L73" s="653"/>
      <c r="M73" s="653"/>
      <c r="N73" s="653"/>
      <c r="O73" s="653"/>
      <c r="P73" s="653"/>
      <c r="Q73" s="653"/>
      <c r="R73" s="653"/>
      <c r="S73" s="653"/>
      <c r="T73" s="653"/>
      <c r="U73" s="653"/>
      <c r="V73" s="653"/>
      <c r="W73" s="653"/>
      <c r="X73" s="653"/>
      <c r="Y73" s="653"/>
      <c r="Z73" s="653"/>
      <c r="AA73" s="653"/>
      <c r="AB73" s="19"/>
      <c r="AC73" s="654"/>
    </row>
    <row r="74" spans="1:29">
      <c r="B74" s="672"/>
      <c r="C74" s="672"/>
      <c r="D74" s="19"/>
      <c r="E74" s="18"/>
      <c r="F74" s="19"/>
      <c r="G74" s="407"/>
      <c r="H74" s="679"/>
      <c r="I74" s="680"/>
      <c r="J74" s="680"/>
      <c r="K74" s="680"/>
      <c r="L74" s="680"/>
      <c r="M74" s="680"/>
      <c r="N74" s="680"/>
      <c r="O74" s="680"/>
      <c r="P74" s="680"/>
      <c r="Q74" s="680"/>
      <c r="R74" s="680"/>
      <c r="S74" s="680"/>
      <c r="T74" s="680"/>
      <c r="U74" s="680"/>
      <c r="V74" s="680"/>
      <c r="W74" s="680"/>
      <c r="X74" s="680"/>
      <c r="Y74" s="680"/>
      <c r="Z74" s="680"/>
      <c r="AA74" s="680"/>
      <c r="AB74" s="19"/>
      <c r="AC74" s="681"/>
    </row>
    <row r="75" spans="1:29">
      <c r="A75" s="35">
        <v>57</v>
      </c>
      <c r="B75" s="672"/>
      <c r="C75" s="672"/>
      <c r="D75" s="19"/>
      <c r="E75" s="18"/>
      <c r="F75" s="19"/>
      <c r="G75" s="407"/>
      <c r="H75" s="679"/>
      <c r="I75" s="680">
        <f>SUM(I17:I74)</f>
        <v>2543.4900000000002</v>
      </c>
      <c r="J75" s="680">
        <f t="shared" ref="J75:AA75" si="5">SUM(J17:J74)</f>
        <v>43379.76</v>
      </c>
      <c r="K75" s="680">
        <f t="shared" si="5"/>
        <v>675435.17999999993</v>
      </c>
      <c r="L75" s="680">
        <f t="shared" si="5"/>
        <v>2443075.6799999997</v>
      </c>
      <c r="M75" s="680">
        <f t="shared" si="5"/>
        <v>1938153.3699999996</v>
      </c>
      <c r="N75" s="680">
        <f t="shared" si="5"/>
        <v>1899546.71</v>
      </c>
      <c r="O75" s="680">
        <f t="shared" si="5"/>
        <v>213919.01999999996</v>
      </c>
      <c r="P75" s="680">
        <f t="shared" si="5"/>
        <v>144194.99</v>
      </c>
      <c r="Q75" s="680">
        <f t="shared" si="5"/>
        <v>1124446.07</v>
      </c>
      <c r="R75" s="680">
        <f t="shared" si="5"/>
        <v>263989.18</v>
      </c>
      <c r="S75" s="680">
        <f t="shared" si="5"/>
        <v>737864.83</v>
      </c>
      <c r="T75" s="680">
        <f t="shared" si="5"/>
        <v>2649288.5499999998</v>
      </c>
      <c r="U75" s="680">
        <f t="shared" si="5"/>
        <v>567774.77</v>
      </c>
      <c r="V75" s="680">
        <f t="shared" si="5"/>
        <v>718706.01</v>
      </c>
      <c r="W75" s="680">
        <f t="shared" si="5"/>
        <v>813985.73</v>
      </c>
      <c r="X75" s="680">
        <f t="shared" si="5"/>
        <v>14236303.340000004</v>
      </c>
      <c r="Y75" s="680">
        <f t="shared" si="5"/>
        <v>3001996.63</v>
      </c>
      <c r="Z75" s="680">
        <f t="shared" si="5"/>
        <v>785203.16999999993</v>
      </c>
      <c r="AA75" s="680">
        <f t="shared" si="5"/>
        <v>2086444.94</v>
      </c>
      <c r="AB75" s="19"/>
      <c r="AC75" s="681">
        <f>SUM(AC17:AC74)</f>
        <v>20109948.079999994</v>
      </c>
    </row>
    <row r="76" spans="1:29" ht="27">
      <c r="B76" s="802" t="s">
        <v>2032</v>
      </c>
      <c r="C76" s="786"/>
      <c r="E76" s="8"/>
      <c r="G76" s="642"/>
      <c r="H76" s="643"/>
      <c r="I76" s="413"/>
      <c r="J76" s="413"/>
      <c r="K76" s="802" t="s">
        <v>2032</v>
      </c>
      <c r="L76" s="413"/>
      <c r="M76" s="413"/>
      <c r="N76" s="413"/>
      <c r="O76" s="413"/>
      <c r="P76" s="413"/>
      <c r="Q76" s="413"/>
      <c r="R76" s="413"/>
      <c r="S76" s="413"/>
      <c r="T76" s="413"/>
      <c r="U76" s="802" t="s">
        <v>2032</v>
      </c>
      <c r="V76" s="413"/>
      <c r="W76" s="413"/>
      <c r="X76" s="413"/>
      <c r="Y76" s="413"/>
      <c r="Z76" s="413"/>
      <c r="AA76" s="413"/>
      <c r="AC76" s="413"/>
    </row>
    <row r="77" spans="1:29">
      <c r="A77" s="35">
        <v>58</v>
      </c>
      <c r="B77" s="8"/>
      <c r="C77" s="32"/>
      <c r="E77" s="8"/>
      <c r="G77" s="642"/>
      <c r="H77" s="643"/>
      <c r="I77" s="413"/>
      <c r="J77" s="682">
        <f>+J75+I75</f>
        <v>45923.25</v>
      </c>
      <c r="K77" s="682">
        <f>+J77+K75</f>
        <v>721358.42999999993</v>
      </c>
      <c r="L77" s="682">
        <f t="shared" ref="L77:AA77" si="6">+K77+L75</f>
        <v>3164434.1099999994</v>
      </c>
      <c r="M77" s="682">
        <f t="shared" si="6"/>
        <v>5102587.4799999986</v>
      </c>
      <c r="N77" s="682">
        <f t="shared" si="6"/>
        <v>7002134.1899999985</v>
      </c>
      <c r="O77" s="682">
        <f t="shared" si="6"/>
        <v>7216053.2099999981</v>
      </c>
      <c r="P77" s="682">
        <f t="shared" si="6"/>
        <v>7360248.1999999983</v>
      </c>
      <c r="Q77" s="682">
        <f t="shared" si="6"/>
        <v>8484694.2699999977</v>
      </c>
      <c r="R77" s="682">
        <f t="shared" si="6"/>
        <v>8748683.4499999974</v>
      </c>
      <c r="S77" s="682">
        <f t="shared" si="6"/>
        <v>9486548.2799999975</v>
      </c>
      <c r="T77" s="682">
        <f t="shared" si="6"/>
        <v>12135836.829999998</v>
      </c>
      <c r="U77" s="682">
        <f t="shared" si="6"/>
        <v>12703611.599999998</v>
      </c>
      <c r="V77" s="682">
        <f t="shared" si="6"/>
        <v>13422317.609999998</v>
      </c>
      <c r="W77" s="682">
        <f t="shared" si="6"/>
        <v>14236303.339999998</v>
      </c>
      <c r="X77" s="682"/>
      <c r="Y77" s="682">
        <f>+W77+Y75</f>
        <v>17238299.969999999</v>
      </c>
      <c r="Z77" s="682">
        <f t="shared" si="6"/>
        <v>18023503.140000001</v>
      </c>
      <c r="AA77" s="682">
        <f t="shared" si="6"/>
        <v>20109948.080000002</v>
      </c>
      <c r="AC77" s="413"/>
    </row>
    <row r="78" spans="1:29">
      <c r="B78" s="8"/>
      <c r="C78" s="32"/>
      <c r="E78" s="8"/>
      <c r="G78" s="642"/>
      <c r="H78" s="643"/>
      <c r="I78" s="413"/>
      <c r="J78" s="413"/>
      <c r="K78" s="413"/>
      <c r="L78" s="413"/>
      <c r="M78" s="413"/>
      <c r="N78" s="413"/>
      <c r="O78" s="413"/>
      <c r="P78" s="413"/>
      <c r="Q78" s="413"/>
      <c r="R78" s="413"/>
      <c r="S78" s="413"/>
      <c r="T78" s="413"/>
      <c r="U78" s="413"/>
      <c r="V78" s="413"/>
      <c r="W78" s="413"/>
      <c r="X78" s="413"/>
      <c r="Y78" s="413"/>
      <c r="Z78" s="413"/>
      <c r="AA78" s="413"/>
      <c r="AC78" s="413"/>
    </row>
    <row r="79" spans="1:29">
      <c r="A79" s="35">
        <v>59</v>
      </c>
      <c r="B79" s="8"/>
      <c r="C79" s="32"/>
      <c r="D79" s="6" t="s">
        <v>1913</v>
      </c>
      <c r="E79" s="8"/>
      <c r="G79" s="642"/>
      <c r="H79" s="643"/>
      <c r="I79" s="413"/>
      <c r="J79" s="413"/>
      <c r="K79" s="413"/>
      <c r="L79" s="413"/>
      <c r="M79" s="413"/>
      <c r="N79" s="413"/>
      <c r="O79" s="413"/>
      <c r="P79" s="413"/>
      <c r="Q79" s="413"/>
      <c r="R79" s="413"/>
      <c r="S79" s="413"/>
      <c r="T79" s="413"/>
      <c r="U79" s="413"/>
      <c r="V79" s="413"/>
      <c r="W79" s="413"/>
      <c r="X79" s="413"/>
      <c r="Y79" s="413"/>
      <c r="Z79" s="413"/>
      <c r="AA79" s="683">
        <f>(((+AA77+N77)/2)+SUM(O77:Z77))/12</f>
        <v>11884345.086249998</v>
      </c>
      <c r="AC79" s="413"/>
    </row>
    <row r="80" spans="1:29">
      <c r="B80" s="8"/>
      <c r="C80" s="32"/>
      <c r="E80" s="8"/>
      <c r="G80" s="642"/>
      <c r="H80" s="643"/>
      <c r="I80" s="413"/>
      <c r="J80" s="413"/>
      <c r="K80" s="413"/>
      <c r="L80" s="413"/>
      <c r="M80" s="413"/>
      <c r="N80" s="413"/>
      <c r="O80" s="413"/>
      <c r="P80" s="413"/>
      <c r="Q80" s="413"/>
      <c r="R80" s="413"/>
      <c r="S80" s="413"/>
      <c r="T80" s="413"/>
      <c r="U80" s="413"/>
      <c r="V80" s="413"/>
      <c r="W80" s="413"/>
      <c r="X80" s="413"/>
      <c r="Y80" s="413"/>
      <c r="Z80" s="413"/>
      <c r="AA80" s="413"/>
      <c r="AC80" s="413"/>
    </row>
  </sheetData>
  <mergeCells count="15">
    <mergeCell ref="B1:H1"/>
    <mergeCell ref="B2:H2"/>
    <mergeCell ref="B3:H3"/>
    <mergeCell ref="B4:H4"/>
    <mergeCell ref="B5:H5"/>
    <mergeCell ref="N1:Q1"/>
    <mergeCell ref="N2:Q2"/>
    <mergeCell ref="N3:Q3"/>
    <mergeCell ref="N4:Q4"/>
    <mergeCell ref="N5:Q5"/>
    <mergeCell ref="X1:Z1"/>
    <mergeCell ref="X2:Z2"/>
    <mergeCell ref="X3:Z3"/>
    <mergeCell ref="X4:Z4"/>
    <mergeCell ref="X5:Z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G25"/>
  <sheetViews>
    <sheetView zoomScaleNormal="100" workbookViewId="0">
      <selection activeCell="A3" sqref="A3:H3"/>
    </sheetView>
  </sheetViews>
  <sheetFormatPr defaultRowHeight="15.75"/>
  <cols>
    <col min="1" max="1" width="9.28515625" style="6" bestFit="1" customWidth="1"/>
    <col min="2" max="2" width="10.42578125" style="6" customWidth="1"/>
    <col min="3" max="3" width="50.28515625" style="6" customWidth="1"/>
    <col min="4" max="4" width="6.7109375" style="6" customWidth="1"/>
    <col min="5" max="5" width="12.28515625" style="6" customWidth="1"/>
    <col min="6" max="6" width="4.140625" style="6" customWidth="1"/>
    <col min="7" max="7" width="14.5703125" style="6" bestFit="1" customWidth="1"/>
    <col min="8" max="16384" width="9.140625" style="6"/>
  </cols>
  <sheetData>
    <row r="1" spans="1:7">
      <c r="A1" s="1039" t="s">
        <v>60</v>
      </c>
      <c r="B1" s="1039"/>
      <c r="C1" s="1039"/>
      <c r="D1" s="1039"/>
      <c r="E1" s="1039"/>
      <c r="F1" s="1039"/>
      <c r="G1" s="1039"/>
    </row>
    <row r="2" spans="1:7">
      <c r="A2" s="1039" t="s">
        <v>1588</v>
      </c>
      <c r="B2" s="1039"/>
      <c r="C2" s="1039"/>
      <c r="D2" s="1039"/>
      <c r="E2" s="1039"/>
      <c r="F2" s="1039"/>
      <c r="G2" s="1039"/>
    </row>
    <row r="3" spans="1:7">
      <c r="A3" s="1039" t="s">
        <v>1939</v>
      </c>
      <c r="B3" s="1039"/>
      <c r="C3" s="1039"/>
      <c r="D3" s="1039"/>
      <c r="E3" s="1039"/>
      <c r="F3" s="1039"/>
      <c r="G3" s="1039"/>
    </row>
    <row r="4" spans="1:7">
      <c r="A4" s="1039" t="s">
        <v>904</v>
      </c>
      <c r="B4" s="1039"/>
      <c r="C4" s="1039"/>
      <c r="D4" s="1039"/>
      <c r="E4" s="1039"/>
      <c r="F4" s="1039"/>
      <c r="G4" s="1039"/>
    </row>
    <row r="5" spans="1:7">
      <c r="A5" s="1039" t="s">
        <v>906</v>
      </c>
      <c r="B5" s="1039"/>
      <c r="C5" s="1039"/>
      <c r="D5" s="1039"/>
      <c r="E5" s="1039"/>
      <c r="F5" s="1039"/>
      <c r="G5" s="1039"/>
    </row>
    <row r="8" spans="1:7" s="8" customFormat="1">
      <c r="A8" s="15" t="s">
        <v>812</v>
      </c>
      <c r="B8" s="8" t="s">
        <v>1629</v>
      </c>
      <c r="C8" s="8" t="s">
        <v>1627</v>
      </c>
      <c r="E8" s="8" t="s">
        <v>1628</v>
      </c>
      <c r="G8" s="8" t="s">
        <v>1631</v>
      </c>
    </row>
    <row r="9" spans="1:7">
      <c r="A9" s="6">
        <v>1</v>
      </c>
      <c r="B9" s="387" t="s">
        <v>1575</v>
      </c>
      <c r="C9" s="387"/>
      <c r="D9" s="387"/>
      <c r="E9" s="387"/>
      <c r="F9" s="387"/>
      <c r="G9" s="581"/>
    </row>
    <row r="10" spans="1:7">
      <c r="A10" s="6">
        <v>2</v>
      </c>
      <c r="B10" s="387"/>
      <c r="C10" s="387" t="s">
        <v>1967</v>
      </c>
      <c r="D10" s="387"/>
      <c r="E10" s="387"/>
      <c r="F10" s="387"/>
      <c r="G10" s="581">
        <v>8908259.5399999991</v>
      </c>
    </row>
    <row r="11" spans="1:7">
      <c r="B11" s="387"/>
      <c r="C11" s="387"/>
      <c r="D11" s="387"/>
      <c r="E11" s="387"/>
      <c r="F11" s="387"/>
      <c r="G11" s="581"/>
    </row>
    <row r="12" spans="1:7">
      <c r="A12" s="6">
        <v>3</v>
      </c>
      <c r="B12" s="387" t="s">
        <v>1968</v>
      </c>
      <c r="C12" s="387"/>
      <c r="D12" s="387"/>
      <c r="E12" s="387"/>
      <c r="F12" s="387"/>
      <c r="G12" s="684">
        <f>-'Weather Normalization'!F21+'Weather Normalization'!F37</f>
        <v>-5420395.6576899998</v>
      </c>
    </row>
    <row r="13" spans="1:7">
      <c r="B13" s="387"/>
      <c r="C13" s="387"/>
      <c r="D13" s="387"/>
      <c r="E13" s="387"/>
      <c r="F13" s="387"/>
      <c r="G13" s="684"/>
    </row>
    <row r="14" spans="1:7">
      <c r="A14" s="6">
        <v>4</v>
      </c>
      <c r="B14" s="387" t="s">
        <v>1969</v>
      </c>
      <c r="C14" s="387"/>
      <c r="D14" s="387"/>
      <c r="E14" s="387"/>
      <c r="F14" s="387"/>
      <c r="G14" s="581">
        <v>1996287.22</v>
      </c>
    </row>
    <row r="15" spans="1:7">
      <c r="B15" s="387"/>
      <c r="C15" s="387"/>
      <c r="D15" s="387"/>
      <c r="E15" s="387"/>
      <c r="F15" s="387"/>
      <c r="G15" s="581"/>
    </row>
    <row r="16" spans="1:7">
      <c r="A16" s="6">
        <v>5</v>
      </c>
      <c r="B16" s="387" t="s">
        <v>1970</v>
      </c>
      <c r="C16" s="387"/>
      <c r="D16" s="387"/>
      <c r="E16" s="387"/>
      <c r="F16" s="387"/>
      <c r="G16" s="581">
        <v>-264059.74</v>
      </c>
    </row>
    <row r="17" spans="1:7" ht="16.5" thickBot="1">
      <c r="B17" s="387"/>
      <c r="C17" s="387"/>
      <c r="D17" s="387"/>
      <c r="E17" s="387"/>
      <c r="F17" s="387"/>
      <c r="G17" s="581"/>
    </row>
    <row r="18" spans="1:7" ht="16.5" thickBot="1">
      <c r="A18" s="6">
        <v>6</v>
      </c>
      <c r="B18" s="6" t="s">
        <v>891</v>
      </c>
      <c r="G18" s="685">
        <f>+G10+G12+G14+G16</f>
        <v>5220091.3623099988</v>
      </c>
    </row>
    <row r="19" spans="1:7" ht="16.5" thickTop="1"/>
    <row r="21" spans="1:7">
      <c r="A21" s="6">
        <v>7</v>
      </c>
      <c r="C21" s="695" t="s">
        <v>1979</v>
      </c>
      <c r="E21" s="6" t="s">
        <v>896</v>
      </c>
      <c r="G21" s="686">
        <f>2625126-104804</f>
        <v>2520322</v>
      </c>
    </row>
    <row r="22" spans="1:7">
      <c r="A22" s="6">
        <v>8</v>
      </c>
      <c r="C22" s="695" t="s">
        <v>1980</v>
      </c>
      <c r="E22" s="6" t="s">
        <v>897</v>
      </c>
      <c r="G22" s="686">
        <f>759405+6847</f>
        <v>766252</v>
      </c>
    </row>
    <row r="23" spans="1:7">
      <c r="A23" s="6">
        <v>9</v>
      </c>
      <c r="C23" s="695" t="s">
        <v>1981</v>
      </c>
      <c r="E23" s="6" t="s">
        <v>898</v>
      </c>
      <c r="G23" s="459">
        <v>1933517</v>
      </c>
    </row>
    <row r="24" spans="1:7">
      <c r="G24" s="687" t="s">
        <v>899</v>
      </c>
    </row>
    <row r="25" spans="1:7">
      <c r="A25" s="6">
        <v>10</v>
      </c>
      <c r="E25" s="6" t="s">
        <v>58</v>
      </c>
      <c r="G25" s="459">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5"/>
  <sheetViews>
    <sheetView workbookViewId="0">
      <selection activeCell="A25" sqref="A25"/>
    </sheetView>
  </sheetViews>
  <sheetFormatPr defaultColWidth="14" defaultRowHeight="15.75"/>
  <cols>
    <col min="1" max="1" width="2.140625" style="6" bestFit="1" customWidth="1"/>
    <col min="2" max="2" width="14" style="6"/>
    <col min="3" max="3" width="25.140625" style="6" customWidth="1"/>
    <col min="4" max="16384" width="14" style="6"/>
  </cols>
  <sheetData>
    <row r="1" spans="1:7">
      <c r="A1" s="117"/>
      <c r="B1" s="117"/>
      <c r="C1" s="117"/>
      <c r="D1" s="117"/>
    </row>
    <row r="5" spans="1:7">
      <c r="B5" s="1028" t="s">
        <v>118</v>
      </c>
      <c r="C5" s="1029"/>
      <c r="D5" s="1030"/>
    </row>
    <row r="6" spans="1:7">
      <c r="B6" s="1031" t="s">
        <v>117</v>
      </c>
      <c r="C6" s="1032"/>
      <c r="D6" s="1033"/>
    </row>
    <row r="7" spans="1:7">
      <c r="B7" s="1031" t="s">
        <v>911</v>
      </c>
      <c r="C7" s="1032"/>
      <c r="D7" s="1033"/>
    </row>
    <row r="8" spans="1:7">
      <c r="A8" s="7"/>
      <c r="B8" s="795"/>
      <c r="C8" s="796"/>
      <c r="D8" s="797"/>
    </row>
    <row r="9" spans="1:7">
      <c r="A9" s="118"/>
      <c r="B9" s="118"/>
      <c r="C9" s="118"/>
      <c r="D9" s="118"/>
    </row>
    <row r="11" spans="1:7">
      <c r="A11" s="6">
        <v>1</v>
      </c>
      <c r="B11" s="6" t="s">
        <v>73</v>
      </c>
      <c r="D11" s="116">
        <f>+'Exh MPP-8 - ROO Summary Sheet'!J40</f>
        <v>311355995.40782863</v>
      </c>
      <c r="G11" s="19"/>
    </row>
    <row r="12" spans="1:7">
      <c r="A12" s="6">
        <v>2</v>
      </c>
      <c r="B12" s="6" t="s">
        <v>19</v>
      </c>
      <c r="D12" s="119">
        <f>+'Capital Structure Calculation'!J14</f>
        <v>7.5980000000000006E-2</v>
      </c>
    </row>
    <row r="14" spans="1:7">
      <c r="A14" s="6">
        <v>3</v>
      </c>
      <c r="B14" s="6" t="s">
        <v>74</v>
      </c>
      <c r="D14" s="120">
        <f>+D11*D12</f>
        <v>23656828.531086821</v>
      </c>
    </row>
    <row r="15" spans="1:7">
      <c r="A15" s="6">
        <v>4</v>
      </c>
      <c r="B15" s="6" t="s">
        <v>75</v>
      </c>
      <c r="D15" s="121">
        <f>+'Exh MPP-8 - ROO Summary Sheet'!J32</f>
        <v>24923112.981147796</v>
      </c>
    </row>
    <row r="16" spans="1:7">
      <c r="D16" s="120"/>
    </row>
    <row r="17" spans="1:4">
      <c r="A17" s="6">
        <v>5</v>
      </c>
      <c r="B17" s="6" t="s">
        <v>78</v>
      </c>
      <c r="D17" s="120">
        <f>+D14-D15</f>
        <v>-1266284.4500609748</v>
      </c>
    </row>
    <row r="19" spans="1:4">
      <c r="A19" s="6">
        <v>6</v>
      </c>
      <c r="B19" s="6" t="s">
        <v>76</v>
      </c>
      <c r="D19" s="122">
        <f>+'Exh MPP-10 - Conversion Factor'!C25</f>
        <v>0.75499270250948436</v>
      </c>
    </row>
    <row r="21" spans="1:4" ht="16.5" thickBot="1">
      <c r="A21" s="6">
        <v>7</v>
      </c>
      <c r="B21" s="6" t="s">
        <v>77</v>
      </c>
      <c r="D21" s="123">
        <f>+D17/D19</f>
        <v>-1677214.1582985267</v>
      </c>
    </row>
    <row r="22" spans="1:4" ht="16.5" thickTop="1">
      <c r="D22" s="120"/>
    </row>
    <row r="23" spans="1:4">
      <c r="A23" s="6">
        <v>8</v>
      </c>
      <c r="B23" s="6" t="s">
        <v>114</v>
      </c>
      <c r="D23" s="120">
        <f>+'Exh MPP-8 - ROO Summary Sheet'!J16</f>
        <v>217191906.73895997</v>
      </c>
    </row>
    <row r="25" spans="1:4">
      <c r="A25" s="6">
        <v>9</v>
      </c>
      <c r="B25" s="6" t="s">
        <v>1549</v>
      </c>
      <c r="D25" s="124">
        <f>+D21/D23</f>
        <v>-7.722268216533261E-3</v>
      </c>
    </row>
  </sheetData>
  <mergeCells count="3">
    <mergeCell ref="B5:D5"/>
    <mergeCell ref="B6:D6"/>
    <mergeCell ref="B7:D7"/>
  </mergeCells>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topLeftCell="A10" workbookViewId="0">
      <selection activeCell="A25" sqref="A25"/>
    </sheetView>
  </sheetViews>
  <sheetFormatPr defaultRowHeight="15.75"/>
  <cols>
    <col min="1" max="1" width="98.7109375" style="6" customWidth="1"/>
    <col min="2" max="2" width="29.42578125" style="6" customWidth="1"/>
    <col min="3" max="16384" width="9.140625" style="6"/>
  </cols>
  <sheetData>
    <row r="1" spans="1:7">
      <c r="A1" s="20" t="s">
        <v>2319</v>
      </c>
    </row>
    <row r="2" spans="1:7">
      <c r="A2" s="20" t="s">
        <v>1585</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1581</v>
      </c>
    </row>
    <row r="25" spans="1:1">
      <c r="A25" s="23"/>
    </row>
    <row r="26" spans="1:1">
      <c r="A26" s="23"/>
    </row>
    <row r="27" spans="1:1">
      <c r="A27" s="23"/>
    </row>
    <row r="28" spans="1:1">
      <c r="A28" s="23"/>
    </row>
    <row r="29" spans="1:1">
      <c r="A29" s="23"/>
    </row>
    <row r="30" spans="1:1">
      <c r="A30" s="803" t="s">
        <v>2327</v>
      </c>
    </row>
    <row r="31" spans="1:1">
      <c r="A31" s="40"/>
    </row>
    <row r="32" spans="1:1">
      <c r="A32" s="19"/>
    </row>
    <row r="33" spans="1:1">
      <c r="A33" s="19"/>
    </row>
    <row r="34" spans="1:1">
      <c r="A34" s="19"/>
    </row>
    <row r="35" spans="1:1">
      <c r="A35" s="19"/>
    </row>
    <row r="36" spans="1:1">
      <c r="A36" s="19"/>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A25" sqref="A25"/>
    </sheetView>
  </sheetViews>
  <sheetFormatPr defaultRowHeight="15.75"/>
  <cols>
    <col min="1" max="1" width="34" style="6" bestFit="1" customWidth="1"/>
    <col min="2" max="2" width="9.140625" style="6"/>
    <col min="3" max="3" width="21.28515625" style="130" customWidth="1"/>
    <col min="4" max="16384" width="9.140625" style="6"/>
  </cols>
  <sheetData>
    <row r="1" spans="1:7">
      <c r="A1" s="1026" t="s">
        <v>118</v>
      </c>
      <c r="B1" s="1026"/>
      <c r="C1" s="1026"/>
    </row>
    <row r="2" spans="1:7">
      <c r="A2" s="1026" t="s">
        <v>1577</v>
      </c>
      <c r="B2" s="1026"/>
      <c r="C2" s="1026"/>
    </row>
    <row r="3" spans="1:7">
      <c r="A3" s="1037" t="s">
        <v>906</v>
      </c>
      <c r="B3" s="1037"/>
      <c r="C3" s="1037"/>
    </row>
    <row r="4" spans="1:7">
      <c r="A4" s="1034" t="s">
        <v>20</v>
      </c>
      <c r="B4" s="1035"/>
      <c r="C4" s="1036"/>
    </row>
    <row r="5" spans="1:7">
      <c r="A5" s="125"/>
      <c r="B5" s="126"/>
      <c r="C5" s="127"/>
    </row>
    <row r="6" spans="1:7">
      <c r="A6" s="125" t="s">
        <v>21</v>
      </c>
      <c r="B6" s="126"/>
      <c r="C6" s="127">
        <v>1</v>
      </c>
    </row>
    <row r="7" spans="1:7">
      <c r="A7" s="128" t="s">
        <v>22</v>
      </c>
      <c r="B7" s="126"/>
      <c r="C7" s="127"/>
    </row>
    <row r="8" spans="1:7">
      <c r="A8" s="129" t="s">
        <v>23</v>
      </c>
      <c r="B8" s="126"/>
      <c r="C8" s="825">
        <f>+'Operating Report'!G90/'Operating Report'!G27</f>
        <v>3.7930347981210235E-3</v>
      </c>
    </row>
    <row r="9" spans="1:7">
      <c r="A9" s="129" t="s">
        <v>828</v>
      </c>
      <c r="B9" s="126"/>
      <c r="C9" s="825">
        <v>3.8519999999999999E-2</v>
      </c>
    </row>
    <row r="10" spans="1:7">
      <c r="A10" s="129" t="s">
        <v>827</v>
      </c>
      <c r="B10" s="126"/>
      <c r="C10" s="825">
        <v>2E-3</v>
      </c>
      <c r="D10" s="130">
        <f>+C8+C9+C10</f>
        <v>4.4313034798121022E-2</v>
      </c>
    </row>
    <row r="11" spans="1:7">
      <c r="A11" s="128" t="s">
        <v>24</v>
      </c>
      <c r="B11" s="126"/>
      <c r="C11" s="131"/>
      <c r="G11" s="19"/>
    </row>
    <row r="12" spans="1:7" ht="16.5" thickBot="1">
      <c r="A12" s="128" t="s">
        <v>25</v>
      </c>
      <c r="B12" s="126"/>
      <c r="C12" s="132">
        <f>+C6-SUM(C8:C11)</f>
        <v>0.95568696520187901</v>
      </c>
    </row>
    <row r="13" spans="1:7">
      <c r="A13" s="133"/>
      <c r="B13" s="126"/>
      <c r="C13" s="127"/>
    </row>
    <row r="14" spans="1:7" ht="16.5" thickBot="1">
      <c r="A14" s="128" t="s">
        <v>26</v>
      </c>
      <c r="B14" s="126"/>
      <c r="C14" s="134">
        <v>0</v>
      </c>
    </row>
    <row r="15" spans="1:7">
      <c r="A15" s="133"/>
      <c r="B15" s="126"/>
      <c r="C15" s="127"/>
    </row>
    <row r="16" spans="1:7" ht="16.5" thickBot="1">
      <c r="A16" s="133" t="s">
        <v>27</v>
      </c>
      <c r="B16" s="126"/>
      <c r="C16" s="134">
        <f>+C12-C14</f>
        <v>0.95568696520187901</v>
      </c>
    </row>
    <row r="17" spans="1:3">
      <c r="A17" s="133"/>
      <c r="B17" s="126"/>
      <c r="C17" s="127"/>
    </row>
    <row r="18" spans="1:3" ht="16.5" thickBot="1">
      <c r="A18" s="827" t="s">
        <v>2061</v>
      </c>
      <c r="B18" s="126"/>
      <c r="C18" s="826">
        <f>+C16*0.21</f>
        <v>0.2006942626923946</v>
      </c>
    </row>
    <row r="19" spans="1:3">
      <c r="A19" s="133"/>
      <c r="B19" s="126"/>
      <c r="C19" s="131"/>
    </row>
    <row r="20" spans="1:3" ht="16.5" thickBot="1">
      <c r="A20" s="133" t="s">
        <v>68</v>
      </c>
      <c r="B20" s="126"/>
      <c r="C20" s="132">
        <f>+C14+C18</f>
        <v>0.2006942626923946</v>
      </c>
    </row>
    <row r="21" spans="1:3">
      <c r="A21" s="133"/>
      <c r="B21" s="126"/>
      <c r="C21" s="127"/>
    </row>
    <row r="22" spans="1:3" ht="16.5" thickBot="1">
      <c r="A22" s="133" t="s">
        <v>28</v>
      </c>
      <c r="B22" s="126"/>
      <c r="C22" s="134">
        <f>SUM(C8:C11)+C20</f>
        <v>0.24500729749051561</v>
      </c>
    </row>
    <row r="23" spans="1:3">
      <c r="A23" s="133"/>
      <c r="B23" s="126"/>
      <c r="C23" s="127"/>
    </row>
    <row r="24" spans="1:3">
      <c r="A24" s="133" t="s">
        <v>1576</v>
      </c>
      <c r="B24" s="126"/>
      <c r="C24" s="127"/>
    </row>
    <row r="25" spans="1:3" ht="16.5" thickBot="1">
      <c r="A25" s="133" t="s">
        <v>29</v>
      </c>
      <c r="B25" s="126"/>
      <c r="C25" s="135">
        <f>+C6-C22</f>
        <v>0.75499270250948436</v>
      </c>
    </row>
    <row r="26" spans="1:3">
      <c r="A26" s="136"/>
      <c r="B26" s="137"/>
      <c r="C26" s="131"/>
    </row>
    <row r="27" spans="1:3">
      <c r="A27" s="125"/>
      <c r="B27" s="126"/>
      <c r="C27" s="127"/>
    </row>
    <row r="28" spans="1:3">
      <c r="A28" s="125"/>
      <c r="B28" s="126"/>
      <c r="C28" s="127"/>
    </row>
    <row r="29" spans="1:3">
      <c r="A29" s="138" t="s">
        <v>101</v>
      </c>
      <c r="B29" s="139"/>
      <c r="C29" s="140"/>
    </row>
    <row r="30" spans="1:3">
      <c r="A30" s="138" t="s">
        <v>102</v>
      </c>
      <c r="B30" s="139"/>
      <c r="C30" s="140">
        <v>0</v>
      </c>
    </row>
    <row r="31" spans="1:3">
      <c r="A31" s="138" t="s">
        <v>103</v>
      </c>
      <c r="B31" s="139"/>
      <c r="C31" s="828">
        <v>0.21</v>
      </c>
    </row>
    <row r="32" spans="1:3">
      <c r="A32" s="141"/>
      <c r="B32" s="139"/>
      <c r="C32" s="142"/>
    </row>
    <row r="33" spans="1:3">
      <c r="A33" s="143" t="s">
        <v>104</v>
      </c>
      <c r="B33" s="144"/>
      <c r="C33" s="145">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topLeftCell="A7" workbookViewId="0">
      <selection activeCell="A25" sqref="A25"/>
    </sheetView>
  </sheetViews>
  <sheetFormatPr defaultRowHeight="15.75"/>
  <cols>
    <col min="1" max="1" width="98.7109375" style="6" customWidth="1"/>
    <col min="2" max="2" width="29.42578125" style="6" customWidth="1"/>
    <col min="3" max="16384" width="9.140625" style="6"/>
  </cols>
  <sheetData>
    <row r="1" spans="1:7">
      <c r="A1" s="20" t="s">
        <v>2320</v>
      </c>
    </row>
    <row r="2" spans="1:7">
      <c r="A2" s="20" t="s">
        <v>1584</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1582</v>
      </c>
    </row>
    <row r="25" spans="1:1">
      <c r="A25" s="23"/>
    </row>
    <row r="26" spans="1:1">
      <c r="A26" s="23"/>
    </row>
    <row r="27" spans="1:1">
      <c r="A27" s="23"/>
    </row>
    <row r="28" spans="1:1">
      <c r="A28" s="23"/>
    </row>
    <row r="29" spans="1:1">
      <c r="A29" s="23"/>
    </row>
    <row r="30" spans="1:1">
      <c r="A30" s="803" t="s">
        <v>2327</v>
      </c>
    </row>
    <row r="31" spans="1:1">
      <c r="A31" s="40"/>
    </row>
    <row r="32" spans="1:1">
      <c r="A32" s="19"/>
    </row>
    <row r="33" spans="1:1">
      <c r="A33" s="19"/>
    </row>
    <row r="34" spans="1:1">
      <c r="A34" s="19"/>
    </row>
    <row r="35" spans="1:1">
      <c r="A35" s="19"/>
    </row>
    <row r="36" spans="1:1">
      <c r="A36" s="19"/>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K66"/>
  <sheetViews>
    <sheetView topLeftCell="S7" workbookViewId="0">
      <selection activeCell="A25" sqref="A25"/>
    </sheetView>
  </sheetViews>
  <sheetFormatPr defaultRowHeight="15.75"/>
  <cols>
    <col min="1" max="1" width="3.28515625" style="6" bestFit="1" customWidth="1"/>
    <col min="2" max="2" width="2.85546875" style="6" customWidth="1"/>
    <col min="3" max="3" width="31.140625" style="6" customWidth="1"/>
    <col min="4" max="4" width="1.7109375" style="6" customWidth="1"/>
    <col min="5" max="5" width="1.42578125" style="6" customWidth="1"/>
    <col min="6" max="6" width="1.140625" style="6" customWidth="1"/>
    <col min="7" max="7" width="14.140625" style="6" customWidth="1"/>
    <col min="8" max="8" width="10.42578125" style="6" customWidth="1"/>
    <col min="9" max="9" width="16.42578125" style="6" bestFit="1" customWidth="1"/>
    <col min="10" max="10" width="12.42578125" style="6" customWidth="1"/>
    <col min="11" max="12" width="12.42578125" style="30" customWidth="1"/>
    <col min="13" max="13" width="14.140625" style="30" bestFit="1" customWidth="1"/>
    <col min="14" max="16" width="12.42578125" style="30" customWidth="1"/>
    <col min="17" max="17" width="6" style="6" customWidth="1"/>
    <col min="18" max="18" width="11.42578125" style="6" bestFit="1" customWidth="1"/>
    <col min="19" max="19" width="12.7109375" style="150" bestFit="1" customWidth="1"/>
    <col min="20" max="20" width="13.28515625" style="6" bestFit="1" customWidth="1"/>
    <col min="21" max="22" width="11" style="6" bestFit="1" customWidth="1"/>
    <col min="23" max="23" width="12" style="30" bestFit="1" customWidth="1"/>
    <col min="24" max="24" width="12.7109375" style="6" bestFit="1" customWidth="1"/>
    <col min="25" max="25" width="12.5703125" style="6" customWidth="1"/>
    <col min="26" max="26" width="12.7109375" style="6" bestFit="1" customWidth="1"/>
    <col min="27" max="27" width="21.42578125" style="6" bestFit="1" customWidth="1"/>
    <col min="28" max="28" width="2.140625" style="6" customWidth="1"/>
    <col min="29" max="29" width="13.7109375" style="6" bestFit="1" customWidth="1"/>
    <col min="30" max="16384" width="9.140625" style="6"/>
  </cols>
  <sheetData>
    <row r="1" spans="1:30">
      <c r="A1" s="117"/>
      <c r="B1" s="117"/>
      <c r="C1" s="117"/>
      <c r="D1" s="117"/>
      <c r="E1" s="117"/>
      <c r="F1" s="117"/>
      <c r="G1" s="117"/>
      <c r="H1" s="117"/>
      <c r="I1" s="117"/>
      <c r="J1" s="117"/>
      <c r="K1" s="182"/>
      <c r="L1" s="182"/>
      <c r="M1" s="182"/>
      <c r="N1" s="182"/>
      <c r="O1" s="182"/>
      <c r="P1" s="182"/>
      <c r="Q1" s="117"/>
      <c r="R1" s="117"/>
      <c r="S1" s="149"/>
      <c r="T1" s="117"/>
      <c r="U1" s="117"/>
      <c r="V1" s="117"/>
      <c r="W1" s="182"/>
      <c r="X1" s="117"/>
      <c r="Y1" s="117"/>
      <c r="Z1" s="117"/>
      <c r="AA1" s="117"/>
      <c r="AB1" s="117"/>
      <c r="AC1" s="117"/>
    </row>
    <row r="2" spans="1:30">
      <c r="A2" s="6" t="s">
        <v>56</v>
      </c>
    </row>
    <row r="3" spans="1:30">
      <c r="T3" s="1039"/>
      <c r="U3" s="1039"/>
      <c r="V3" s="1039"/>
      <c r="W3" s="1039"/>
      <c r="X3" s="1039"/>
      <c r="Y3" s="1039"/>
      <c r="Z3" s="1039"/>
      <c r="AA3" s="1039"/>
      <c r="AB3" s="1039"/>
      <c r="AC3" s="1039"/>
      <c r="AD3" s="1039"/>
    </row>
    <row r="4" spans="1:30">
      <c r="T4" s="1039"/>
      <c r="U4" s="1039"/>
      <c r="V4" s="1039"/>
      <c r="W4" s="1039"/>
      <c r="X4" s="1039"/>
      <c r="Y4" s="1039"/>
      <c r="Z4" s="1039"/>
      <c r="AA4" s="1039"/>
      <c r="AB4" s="1039"/>
      <c r="AC4" s="1039"/>
      <c r="AD4" s="1039"/>
    </row>
    <row r="5" spans="1:30">
      <c r="B5" s="1032" t="s">
        <v>119</v>
      </c>
      <c r="C5" s="1032"/>
      <c r="D5" s="1032"/>
      <c r="E5" s="1032"/>
      <c r="F5" s="1032"/>
      <c r="G5" s="1032"/>
      <c r="H5" s="1032"/>
      <c r="I5" s="1032"/>
      <c r="J5" s="1032"/>
      <c r="K5" s="1032"/>
      <c r="L5" s="1032"/>
      <c r="M5" s="1032"/>
      <c r="N5" s="1032"/>
      <c r="O5" s="1032"/>
      <c r="P5" s="1032"/>
      <c r="Q5" s="1032"/>
      <c r="R5" s="1032"/>
      <c r="S5" s="1032"/>
      <c r="T5" s="1038"/>
      <c r="U5" s="1038"/>
      <c r="V5" s="1038"/>
      <c r="W5" s="1038"/>
      <c r="X5" s="1038"/>
      <c r="Y5" s="1038"/>
      <c r="Z5" s="1038"/>
      <c r="AA5" s="1038"/>
      <c r="AB5" s="1038"/>
      <c r="AC5" s="1038"/>
    </row>
    <row r="6" spans="1:30">
      <c r="A6" s="19"/>
      <c r="B6" s="1032" t="s">
        <v>842</v>
      </c>
      <c r="C6" s="1032"/>
      <c r="D6" s="1032"/>
      <c r="E6" s="1032"/>
      <c r="F6" s="1032"/>
      <c r="G6" s="1032"/>
      <c r="H6" s="1032"/>
      <c r="I6" s="1032"/>
      <c r="J6" s="1032"/>
      <c r="K6" s="1032"/>
      <c r="L6" s="1032"/>
      <c r="M6" s="1032"/>
      <c r="N6" s="1032"/>
      <c r="O6" s="1032"/>
      <c r="P6" s="1032"/>
      <c r="Q6" s="1032"/>
      <c r="R6" s="1032"/>
      <c r="S6" s="1032"/>
      <c r="T6" s="1039"/>
      <c r="U6" s="1039"/>
      <c r="V6" s="1039"/>
      <c r="W6" s="1039"/>
      <c r="X6" s="1039"/>
      <c r="Y6" s="1039"/>
      <c r="Z6" s="1039"/>
      <c r="AA6" s="1039"/>
      <c r="AB6" s="1039"/>
      <c r="AC6" s="1039"/>
    </row>
    <row r="7" spans="1:30">
      <c r="A7" s="151" t="s">
        <v>56</v>
      </c>
      <c r="B7" s="1032" t="s">
        <v>906</v>
      </c>
      <c r="C7" s="1032"/>
      <c r="D7" s="1032"/>
      <c r="E7" s="1032"/>
      <c r="F7" s="1032"/>
      <c r="G7" s="1032"/>
      <c r="H7" s="1032"/>
      <c r="I7" s="1032"/>
      <c r="J7" s="1032"/>
      <c r="K7" s="1032"/>
      <c r="L7" s="1032"/>
      <c r="M7" s="1032"/>
      <c r="N7" s="1032"/>
      <c r="O7" s="1032"/>
      <c r="P7" s="1032"/>
      <c r="Q7" s="1032"/>
      <c r="R7" s="1032"/>
      <c r="S7" s="1032"/>
      <c r="T7" s="5"/>
      <c r="U7" s="5"/>
      <c r="V7" s="5"/>
      <c r="W7" s="5"/>
      <c r="X7" s="5"/>
      <c r="Y7" s="5"/>
      <c r="Z7" s="5"/>
      <c r="AA7" s="5"/>
      <c r="AB7" s="152"/>
      <c r="AC7" s="152"/>
    </row>
    <row r="8" spans="1:30">
      <c r="A8" s="151"/>
      <c r="B8" s="153"/>
      <c r="C8" s="153"/>
      <c r="D8" s="153"/>
      <c r="E8" s="153"/>
      <c r="F8" s="153"/>
      <c r="G8" s="153"/>
      <c r="H8" s="153"/>
      <c r="I8" s="153"/>
      <c r="J8" s="153"/>
      <c r="K8" s="152"/>
      <c r="L8" s="152"/>
      <c r="M8" s="152"/>
      <c r="N8" s="152"/>
      <c r="O8" s="152"/>
      <c r="P8" s="152"/>
      <c r="Q8" s="153"/>
      <c r="R8" s="153"/>
      <c r="S8" s="153"/>
      <c r="T8" s="5"/>
      <c r="U8" s="5"/>
      <c r="V8" s="5"/>
      <c r="W8" s="5"/>
      <c r="X8" s="5"/>
      <c r="Y8" s="5"/>
      <c r="Z8" s="5"/>
      <c r="AA8" s="5"/>
      <c r="AB8" s="152"/>
      <c r="AC8" s="152"/>
    </row>
    <row r="9" spans="1:30" ht="16.5" thickBot="1">
      <c r="A9" s="118"/>
      <c r="B9" s="118"/>
      <c r="C9" s="118"/>
      <c r="D9" s="118"/>
      <c r="E9" s="118"/>
      <c r="F9" s="117"/>
      <c r="G9" s="154"/>
      <c r="H9" s="117"/>
      <c r="I9" s="117"/>
      <c r="J9" s="117"/>
      <c r="K9" s="182"/>
      <c r="L9" s="182"/>
      <c r="M9" s="182"/>
      <c r="N9" s="182"/>
      <c r="O9" s="182"/>
      <c r="P9" s="182"/>
      <c r="Q9" s="117"/>
      <c r="R9" s="117"/>
      <c r="S9" s="149"/>
      <c r="T9" s="117"/>
      <c r="U9" s="117"/>
      <c r="V9" s="117"/>
      <c r="W9" s="182"/>
      <c r="X9" s="117"/>
      <c r="Y9" s="117"/>
      <c r="Z9" s="117"/>
      <c r="AA9" s="117"/>
      <c r="AB9" s="117"/>
      <c r="AC9" s="117"/>
    </row>
    <row r="10" spans="1:30">
      <c r="A10" s="155"/>
      <c r="B10" s="156"/>
      <c r="C10" s="157"/>
      <c r="D10" s="158"/>
      <c r="E10" s="159"/>
      <c r="F10" s="117"/>
      <c r="G10" s="160" t="s">
        <v>810</v>
      </c>
      <c r="H10" s="160" t="s">
        <v>61</v>
      </c>
      <c r="I10" s="160" t="s">
        <v>894</v>
      </c>
      <c r="J10" s="842" t="s">
        <v>1041</v>
      </c>
      <c r="K10" s="831" t="s">
        <v>2066</v>
      </c>
      <c r="L10" s="845" t="s">
        <v>2066</v>
      </c>
      <c r="M10" s="831" t="s">
        <v>2060</v>
      </c>
      <c r="N10" s="845" t="s">
        <v>2070</v>
      </c>
      <c r="O10" s="831" t="s">
        <v>2073</v>
      </c>
      <c r="P10" s="839" t="s">
        <v>2075</v>
      </c>
      <c r="Q10" s="160"/>
      <c r="R10" s="836" t="s">
        <v>63</v>
      </c>
      <c r="S10" s="874" t="s">
        <v>851</v>
      </c>
      <c r="T10" s="836" t="s">
        <v>851</v>
      </c>
      <c r="U10" s="836" t="s">
        <v>66</v>
      </c>
      <c r="V10" s="808" t="s">
        <v>851</v>
      </c>
      <c r="W10" s="836" t="s">
        <v>940</v>
      </c>
      <c r="X10" s="161" t="s">
        <v>1036</v>
      </c>
      <c r="Y10" s="161" t="s">
        <v>1065</v>
      </c>
      <c r="Z10" s="161" t="s">
        <v>851</v>
      </c>
      <c r="AA10" s="846" t="s">
        <v>2062</v>
      </c>
      <c r="AB10" s="154"/>
      <c r="AC10" s="162" t="s">
        <v>58</v>
      </c>
    </row>
    <row r="11" spans="1:30">
      <c r="A11" s="155"/>
      <c r="B11" s="163"/>
      <c r="C11" s="164"/>
      <c r="D11" s="155"/>
      <c r="E11" s="159"/>
      <c r="F11" s="117"/>
      <c r="G11" s="165" t="s">
        <v>811</v>
      </c>
      <c r="H11" s="166" t="s">
        <v>57</v>
      </c>
      <c r="I11" s="167" t="s">
        <v>890</v>
      </c>
      <c r="J11" s="852" t="s">
        <v>1042</v>
      </c>
      <c r="K11" s="809" t="s">
        <v>2067</v>
      </c>
      <c r="L11" s="843" t="s">
        <v>2068</v>
      </c>
      <c r="M11" s="809"/>
      <c r="N11" s="843" t="s">
        <v>2071</v>
      </c>
      <c r="O11" s="809" t="s">
        <v>2074</v>
      </c>
      <c r="P11" s="865" t="s">
        <v>2076</v>
      </c>
      <c r="Q11" s="167"/>
      <c r="R11" s="877" t="s">
        <v>64</v>
      </c>
      <c r="S11" s="869" t="s">
        <v>855</v>
      </c>
      <c r="T11" s="877" t="s">
        <v>895</v>
      </c>
      <c r="U11" s="877" t="s">
        <v>67</v>
      </c>
      <c r="V11" s="809" t="s">
        <v>1063</v>
      </c>
      <c r="W11" s="877" t="s">
        <v>941</v>
      </c>
      <c r="X11" s="168" t="s">
        <v>1037</v>
      </c>
      <c r="Y11" s="168" t="s">
        <v>62</v>
      </c>
      <c r="Z11" s="168" t="s">
        <v>890</v>
      </c>
      <c r="AA11" s="877" t="s">
        <v>2063</v>
      </c>
      <c r="AB11" s="154"/>
      <c r="AC11" s="169" t="s">
        <v>1</v>
      </c>
    </row>
    <row r="12" spans="1:30">
      <c r="A12" s="155"/>
      <c r="B12" s="163"/>
      <c r="C12" s="159"/>
      <c r="D12" s="155"/>
      <c r="E12" s="159"/>
      <c r="F12" s="117"/>
      <c r="G12" s="167" t="s">
        <v>62</v>
      </c>
      <c r="H12" s="167" t="s">
        <v>62</v>
      </c>
      <c r="I12" s="167" t="s">
        <v>62</v>
      </c>
      <c r="J12" s="852" t="s">
        <v>1043</v>
      </c>
      <c r="K12" s="809"/>
      <c r="L12" s="843" t="s">
        <v>2069</v>
      </c>
      <c r="M12" s="809"/>
      <c r="N12" s="843" t="s">
        <v>2072</v>
      </c>
      <c r="O12" s="809" t="s">
        <v>1503</v>
      </c>
      <c r="P12" s="865"/>
      <c r="Q12" s="167"/>
      <c r="R12" s="877" t="s">
        <v>62</v>
      </c>
      <c r="S12" s="869" t="s">
        <v>62</v>
      </c>
      <c r="T12" s="877" t="s">
        <v>65</v>
      </c>
      <c r="U12" s="877"/>
      <c r="V12" s="809" t="s">
        <v>1064</v>
      </c>
      <c r="W12" s="877" t="s">
        <v>942</v>
      </c>
      <c r="X12" s="168" t="s">
        <v>1038</v>
      </c>
      <c r="Y12" s="168"/>
      <c r="Z12" s="168"/>
      <c r="AA12" s="877" t="s">
        <v>2064</v>
      </c>
      <c r="AB12" s="154"/>
      <c r="AC12" s="169"/>
    </row>
    <row r="13" spans="1:30">
      <c r="A13" s="155"/>
      <c r="B13" s="163"/>
      <c r="C13" s="159"/>
      <c r="D13" s="155"/>
      <c r="E13" s="159"/>
      <c r="F13" s="117"/>
      <c r="G13" s="168" t="s">
        <v>843</v>
      </c>
      <c r="H13" s="168" t="s">
        <v>844</v>
      </c>
      <c r="I13" s="167" t="s">
        <v>893</v>
      </c>
      <c r="J13" s="840" t="s">
        <v>1062</v>
      </c>
      <c r="K13" s="809" t="s">
        <v>2299</v>
      </c>
      <c r="L13" s="843" t="s">
        <v>2300</v>
      </c>
      <c r="M13" s="809" t="s">
        <v>2301</v>
      </c>
      <c r="N13" s="843" t="s">
        <v>2302</v>
      </c>
      <c r="O13" s="809" t="s">
        <v>2303</v>
      </c>
      <c r="P13" s="865" t="s">
        <v>2304</v>
      </c>
      <c r="Q13" s="168"/>
      <c r="R13" s="877" t="s">
        <v>845</v>
      </c>
      <c r="S13" s="869" t="s">
        <v>846</v>
      </c>
      <c r="T13" s="877" t="s">
        <v>1066</v>
      </c>
      <c r="U13" s="877" t="s">
        <v>847</v>
      </c>
      <c r="V13" s="809" t="s">
        <v>848</v>
      </c>
      <c r="W13" s="877" t="s">
        <v>849</v>
      </c>
      <c r="X13" s="168" t="s">
        <v>850</v>
      </c>
      <c r="Y13" s="168" t="s">
        <v>1067</v>
      </c>
      <c r="Z13" s="168" t="s">
        <v>1068</v>
      </c>
      <c r="AA13" s="877" t="s">
        <v>2065</v>
      </c>
      <c r="AB13" s="154"/>
      <c r="AC13" s="169"/>
    </row>
    <row r="14" spans="1:30">
      <c r="A14" s="155"/>
      <c r="B14" s="170"/>
      <c r="C14" s="171"/>
      <c r="D14" s="172"/>
      <c r="E14" s="159"/>
      <c r="F14" s="117"/>
      <c r="G14" s="173"/>
      <c r="H14" s="173"/>
      <c r="I14" s="174"/>
      <c r="J14" s="854"/>
      <c r="K14" s="821"/>
      <c r="L14" s="861"/>
      <c r="M14" s="821"/>
      <c r="N14" s="861"/>
      <c r="O14" s="821"/>
      <c r="P14" s="837"/>
      <c r="Q14" s="173"/>
      <c r="R14" s="871"/>
      <c r="S14" s="848"/>
      <c r="T14" s="871"/>
      <c r="U14" s="871"/>
      <c r="V14" s="821"/>
      <c r="W14" s="871"/>
      <c r="X14" s="173"/>
      <c r="Y14" s="173"/>
      <c r="Z14" s="173"/>
      <c r="AA14" s="835" t="s">
        <v>2315</v>
      </c>
      <c r="AB14" s="175"/>
      <c r="AC14" s="176"/>
    </row>
    <row r="15" spans="1:30">
      <c r="A15" s="155">
        <v>1</v>
      </c>
      <c r="B15" s="159"/>
      <c r="C15" s="41" t="s">
        <v>11</v>
      </c>
      <c r="D15" s="155"/>
      <c r="E15" s="159"/>
      <c r="F15" s="117"/>
      <c r="G15" s="170"/>
      <c r="H15" s="177"/>
      <c r="I15" s="178"/>
      <c r="J15" s="179"/>
      <c r="K15" s="810"/>
      <c r="L15" s="810"/>
      <c r="M15" s="810"/>
      <c r="N15" s="810"/>
      <c r="O15" s="810"/>
      <c r="P15" s="868"/>
      <c r="Q15" s="179"/>
      <c r="R15" s="863"/>
      <c r="S15" s="847"/>
      <c r="T15" s="870"/>
      <c r="U15" s="870"/>
      <c r="V15" s="822"/>
      <c r="W15" s="870"/>
      <c r="X15" s="177"/>
      <c r="Y15" s="179"/>
      <c r="Z15" s="175"/>
      <c r="AA15" s="868"/>
      <c r="AB15" s="175"/>
      <c r="AC15" s="180"/>
    </row>
    <row r="16" spans="1:30">
      <c r="A16" s="181">
        <v>2</v>
      </c>
      <c r="B16" s="118"/>
      <c r="C16" s="69" t="s">
        <v>30</v>
      </c>
      <c r="D16" s="181"/>
      <c r="E16" s="118"/>
      <c r="F16" s="182"/>
      <c r="G16" s="183">
        <f>+'Weather Normalization'!F21</f>
        <v>15472031.784460001</v>
      </c>
      <c r="H16" s="183"/>
      <c r="I16" s="184">
        <f>+'Restate Revenues'!M28</f>
        <v>-8383168.3755000383</v>
      </c>
      <c r="J16" s="183"/>
      <c r="K16" s="807"/>
      <c r="L16" s="807"/>
      <c r="M16" s="807"/>
      <c r="N16" s="807"/>
      <c r="O16" s="807"/>
      <c r="P16" s="864"/>
      <c r="Q16" s="183"/>
      <c r="R16" s="864"/>
      <c r="S16" s="859"/>
      <c r="T16" s="864"/>
      <c r="U16" s="864">
        <v>0</v>
      </c>
      <c r="V16" s="807"/>
      <c r="W16" s="864"/>
      <c r="X16" s="183">
        <v>0</v>
      </c>
      <c r="Y16" s="183"/>
      <c r="Z16" s="183">
        <f>+'Revenue Adjustment'!G21+'Revenue Adjustment'!G22</f>
        <v>3286574</v>
      </c>
      <c r="AA16" s="864"/>
      <c r="AB16" s="183"/>
      <c r="AC16" s="185">
        <f>SUM(G16:AB16)</f>
        <v>10375437.408959962</v>
      </c>
    </row>
    <row r="17" spans="1:30">
      <c r="A17" s="181">
        <v>3</v>
      </c>
      <c r="B17" s="118"/>
      <c r="C17" s="69" t="s">
        <v>31</v>
      </c>
      <c r="D17" s="181"/>
      <c r="E17" s="118"/>
      <c r="F17" s="182"/>
      <c r="G17" s="186"/>
      <c r="H17" s="186"/>
      <c r="I17" s="186">
        <f>+'Restate Revenues'!M29</f>
        <v>-346008.79999999795</v>
      </c>
      <c r="J17" s="186"/>
      <c r="K17" s="806"/>
      <c r="L17" s="806"/>
      <c r="M17" s="806"/>
      <c r="N17" s="806"/>
      <c r="O17" s="806"/>
      <c r="P17" s="834"/>
      <c r="Q17" s="186"/>
      <c r="R17" s="834"/>
      <c r="S17" s="834"/>
      <c r="T17" s="834">
        <f>+'Pro Forma Plant Additions'!E14</f>
        <v>199943.9</v>
      </c>
      <c r="U17" s="834">
        <v>0</v>
      </c>
      <c r="V17" s="806"/>
      <c r="W17" s="834"/>
      <c r="X17" s="186">
        <v>0</v>
      </c>
      <c r="Y17" s="186"/>
      <c r="Z17" s="186">
        <f>+'Revenue Adjustment'!G23</f>
        <v>1933517</v>
      </c>
      <c r="AA17" s="834"/>
      <c r="AB17" s="187"/>
      <c r="AC17" s="187">
        <f>SUM(G17:AB17)</f>
        <v>1787452.100000002</v>
      </c>
    </row>
    <row r="18" spans="1:30">
      <c r="A18" s="181">
        <v>4</v>
      </c>
      <c r="B18" s="118"/>
      <c r="C18" s="69" t="s">
        <v>32</v>
      </c>
      <c r="D18" s="181"/>
      <c r="E18" s="118"/>
      <c r="F18" s="182"/>
      <c r="G18" s="186"/>
      <c r="H18" s="186"/>
      <c r="I18" s="188"/>
      <c r="J18" s="186"/>
      <c r="K18" s="806"/>
      <c r="L18" s="806"/>
      <c r="M18" s="806"/>
      <c r="N18" s="806"/>
      <c r="O18" s="806"/>
      <c r="P18" s="834"/>
      <c r="Q18" s="186"/>
      <c r="R18" s="834"/>
      <c r="S18" s="834"/>
      <c r="T18" s="834"/>
      <c r="U18" s="834">
        <v>0</v>
      </c>
      <c r="V18" s="806"/>
      <c r="W18" s="834"/>
      <c r="X18" s="186">
        <f>+'Miscellaneous Charges'!M16</f>
        <v>-101645</v>
      </c>
      <c r="Y18" s="186"/>
      <c r="Z18" s="186">
        <v>0</v>
      </c>
      <c r="AA18" s="834"/>
      <c r="AB18" s="187"/>
      <c r="AC18" s="187">
        <f>SUM(G18:AB18)</f>
        <v>-101645</v>
      </c>
    </row>
    <row r="19" spans="1:30" ht="16.5" thickBot="1">
      <c r="A19" s="181">
        <v>5</v>
      </c>
      <c r="B19" s="189"/>
      <c r="C19" s="82" t="s">
        <v>1289</v>
      </c>
      <c r="D19" s="190"/>
      <c r="E19" s="189"/>
      <c r="F19" s="191"/>
      <c r="G19" s="192">
        <f t="shared" ref="G19:AA19" si="0">+G16+G17+G18</f>
        <v>15472031.784460001</v>
      </c>
      <c r="H19" s="192">
        <f t="shared" si="0"/>
        <v>0</v>
      </c>
      <c r="I19" s="193">
        <f>+I16+I17+I18</f>
        <v>-8729177.1755000353</v>
      </c>
      <c r="J19" s="194"/>
      <c r="K19" s="811">
        <f t="shared" ref="K19:P19" si="1">+K16+K17+K18</f>
        <v>0</v>
      </c>
      <c r="L19" s="811">
        <f t="shared" si="1"/>
        <v>0</v>
      </c>
      <c r="M19" s="811">
        <f t="shared" si="1"/>
        <v>0</v>
      </c>
      <c r="N19" s="811">
        <f t="shared" si="1"/>
        <v>0</v>
      </c>
      <c r="O19" s="811">
        <f t="shared" si="1"/>
        <v>0</v>
      </c>
      <c r="P19" s="857">
        <f t="shared" si="1"/>
        <v>0</v>
      </c>
      <c r="Q19" s="192"/>
      <c r="R19" s="857">
        <f t="shared" si="0"/>
        <v>0</v>
      </c>
      <c r="S19" s="857">
        <f t="shared" si="0"/>
        <v>0</v>
      </c>
      <c r="T19" s="857">
        <f t="shared" si="0"/>
        <v>199943.9</v>
      </c>
      <c r="U19" s="857">
        <f t="shared" si="0"/>
        <v>0</v>
      </c>
      <c r="V19" s="811"/>
      <c r="W19" s="857"/>
      <c r="X19" s="192">
        <f t="shared" si="0"/>
        <v>-101645</v>
      </c>
      <c r="Y19" s="192"/>
      <c r="Z19" s="192">
        <f t="shared" si="0"/>
        <v>5220091</v>
      </c>
      <c r="AA19" s="857">
        <f t="shared" si="0"/>
        <v>0</v>
      </c>
      <c r="AB19" s="192"/>
      <c r="AC19" s="192">
        <f>+AC18+AC17+AC16</f>
        <v>12061244.508959964</v>
      </c>
    </row>
    <row r="20" spans="1:30">
      <c r="A20" s="181"/>
      <c r="B20" s="189"/>
      <c r="C20" s="82"/>
      <c r="D20" s="190"/>
      <c r="E20" s="189"/>
      <c r="F20" s="191"/>
      <c r="G20" s="195">
        <f>G16-G22</f>
        <v>5420395.6576899998</v>
      </c>
      <c r="H20" s="195"/>
      <c r="I20" s="196"/>
      <c r="J20" s="197"/>
      <c r="K20" s="812"/>
      <c r="L20" s="812"/>
      <c r="M20" s="812"/>
      <c r="N20" s="812"/>
      <c r="O20" s="812"/>
      <c r="P20" s="866"/>
      <c r="Q20" s="195"/>
      <c r="R20" s="866"/>
      <c r="S20" s="866"/>
      <c r="T20" s="866"/>
      <c r="U20" s="866"/>
      <c r="V20" s="812"/>
      <c r="W20" s="866"/>
      <c r="X20" s="195"/>
      <c r="Y20" s="195"/>
      <c r="Z20" s="195"/>
      <c r="AA20" s="853"/>
      <c r="AB20" s="198"/>
      <c r="AC20" s="198"/>
    </row>
    <row r="21" spans="1:30">
      <c r="A21" s="181"/>
      <c r="B21" s="189"/>
      <c r="C21" s="82" t="s">
        <v>12</v>
      </c>
      <c r="D21" s="190"/>
      <c r="E21" s="189"/>
      <c r="F21" s="191"/>
      <c r="G21" s="195"/>
      <c r="H21" s="195"/>
      <c r="I21" s="196"/>
      <c r="J21" s="197"/>
      <c r="K21" s="812"/>
      <c r="L21" s="812"/>
      <c r="M21" s="812"/>
      <c r="N21" s="812"/>
      <c r="O21" s="812"/>
      <c r="P21" s="866"/>
      <c r="Q21" s="195"/>
      <c r="R21" s="866"/>
      <c r="S21" s="866"/>
      <c r="T21" s="866"/>
      <c r="U21" s="866"/>
      <c r="V21" s="812"/>
      <c r="W21" s="866"/>
      <c r="X21" s="195"/>
      <c r="Y21" s="195"/>
      <c r="Z21" s="195"/>
      <c r="AA21" s="853"/>
      <c r="AB21" s="198"/>
      <c r="AC21" s="198"/>
    </row>
    <row r="22" spans="1:30">
      <c r="A22" s="181">
        <v>6</v>
      </c>
      <c r="B22" s="159"/>
      <c r="C22" s="69" t="s">
        <v>1287</v>
      </c>
      <c r="D22" s="155"/>
      <c r="E22" s="159"/>
      <c r="F22" s="117"/>
      <c r="G22" s="186">
        <f>+'Weather Normalization'!F37</f>
        <v>10051636.126770001</v>
      </c>
      <c r="H22" s="186"/>
      <c r="I22" s="188">
        <f>+'Restate Revenues'!M48</f>
        <v>-6033097.8530900329</v>
      </c>
      <c r="J22" s="186"/>
      <c r="K22" s="806"/>
      <c r="L22" s="806"/>
      <c r="M22" s="806"/>
      <c r="N22" s="806"/>
      <c r="O22" s="806"/>
      <c r="P22" s="834"/>
      <c r="Q22" s="186"/>
      <c r="R22" s="834"/>
      <c r="S22" s="834"/>
      <c r="T22" s="834"/>
      <c r="U22" s="834"/>
      <c r="V22" s="806"/>
      <c r="W22" s="834"/>
      <c r="X22" s="186"/>
      <c r="Y22" s="186"/>
      <c r="Z22" s="186"/>
      <c r="AA22" s="849"/>
      <c r="AB22" s="199"/>
      <c r="AC22" s="200">
        <f t="shared" ref="AC22:AC34" si="2">SUM(G22:AB22)</f>
        <v>4018538.273679968</v>
      </c>
    </row>
    <row r="23" spans="1:30">
      <c r="A23" s="181">
        <v>7</v>
      </c>
      <c r="B23" s="159"/>
      <c r="C23" s="69" t="s">
        <v>1288</v>
      </c>
      <c r="D23" s="155"/>
      <c r="E23" s="159"/>
      <c r="F23" s="117"/>
      <c r="G23" s="186">
        <f>+G16*('Exh MPP-10 - Conversion Factor'!C9+'Exh MPP-10 - Conversion Factor'!C10)</f>
        <v>626926.7279063192</v>
      </c>
      <c r="H23" s="186"/>
      <c r="I23" s="188">
        <f>+I19*('Exh MPP-10 - Conversion Factor'!C9+'Exh MPP-10 - Conversion Factor'!C10)</f>
        <v>-353706.25915126142</v>
      </c>
      <c r="J23" s="186"/>
      <c r="K23" s="806"/>
      <c r="L23" s="806"/>
      <c r="M23" s="806"/>
      <c r="N23" s="806"/>
      <c r="O23" s="806"/>
      <c r="P23" s="834"/>
      <c r="Q23" s="186"/>
      <c r="R23" s="834"/>
      <c r="S23" s="834"/>
      <c r="T23" s="834">
        <f>+T19*('Exh MPP-10 - Conversion Factor'!C9+'Exh MPP-10 - Conversion Factor'!C10)</f>
        <v>8101.7268279999998</v>
      </c>
      <c r="U23" s="834"/>
      <c r="V23" s="806"/>
      <c r="W23" s="834"/>
      <c r="X23" s="186">
        <f>+X19*('Exh MPP-10 - Conversion Factor'!C9+'Exh MPP-10 - Conversion Factor'!C10)</f>
        <v>-4118.6553999999996</v>
      </c>
      <c r="Y23" s="186"/>
      <c r="Z23" s="186">
        <f>+Z19*('Exh MPP-10 - Conversion Factor'!C9+'Exh MPP-10 - Conversion Factor'!C10)</f>
        <v>211518.08731999999</v>
      </c>
      <c r="AA23" s="849"/>
      <c r="AB23" s="199"/>
      <c r="AC23" s="200">
        <f t="shared" si="2"/>
        <v>488721.62750305777</v>
      </c>
    </row>
    <row r="24" spans="1:30">
      <c r="A24" s="181">
        <v>8</v>
      </c>
      <c r="B24" s="159"/>
      <c r="C24" s="88" t="s">
        <v>34</v>
      </c>
      <c r="D24" s="155"/>
      <c r="E24" s="159"/>
      <c r="F24" s="117"/>
      <c r="G24" s="186"/>
      <c r="H24" s="186"/>
      <c r="I24" s="188"/>
      <c r="J24" s="186"/>
      <c r="K24" s="806"/>
      <c r="L24" s="806"/>
      <c r="M24" s="806">
        <f>+'Operating Report'!O56</f>
        <v>0</v>
      </c>
      <c r="N24" s="806">
        <f>+'Operating Report'!P56</f>
        <v>-53000</v>
      </c>
      <c r="O24" s="806"/>
      <c r="P24" s="834"/>
      <c r="Q24" s="186"/>
      <c r="R24" s="834"/>
      <c r="S24" s="834">
        <f>+'Operating Report'!T56</f>
        <v>16799.895092504274</v>
      </c>
      <c r="T24" s="834"/>
      <c r="U24" s="834"/>
      <c r="V24" s="806"/>
      <c r="W24" s="834"/>
      <c r="X24" s="186"/>
      <c r="Y24" s="186"/>
      <c r="Z24" s="186"/>
      <c r="AA24" s="849"/>
      <c r="AB24" s="199"/>
      <c r="AC24" s="183">
        <f t="shared" si="2"/>
        <v>-36200.104907495726</v>
      </c>
    </row>
    <row r="25" spans="1:30">
      <c r="A25" s="181">
        <v>9</v>
      </c>
      <c r="B25" s="159"/>
      <c r="C25" s="88" t="s">
        <v>13</v>
      </c>
      <c r="D25" s="155"/>
      <c r="E25" s="159"/>
      <c r="F25" s="117"/>
      <c r="G25" s="186"/>
      <c r="H25" s="186"/>
      <c r="I25" s="188"/>
      <c r="J25" s="186"/>
      <c r="K25" s="806"/>
      <c r="L25" s="806"/>
      <c r="M25" s="806">
        <f>+'Operating Report'!O84</f>
        <v>67686.843944628941</v>
      </c>
      <c r="N25" s="806"/>
      <c r="O25" s="806"/>
      <c r="P25" s="834"/>
      <c r="Q25" s="186"/>
      <c r="R25" s="834"/>
      <c r="S25" s="834">
        <f>+'Operating Report'!T84</f>
        <v>741261.38932496274</v>
      </c>
      <c r="T25" s="834"/>
      <c r="U25" s="834"/>
      <c r="V25" s="806">
        <f>+'Pro Forma Compliance Department'!L15</f>
        <v>130503.46816</v>
      </c>
      <c r="W25" s="834">
        <f>+'Operating Report'!X60</f>
        <v>603869.44900000002</v>
      </c>
      <c r="X25" s="186"/>
      <c r="Y25" s="186"/>
      <c r="Z25" s="186"/>
      <c r="AA25" s="849"/>
      <c r="AB25" s="199"/>
      <c r="AC25" s="183">
        <f t="shared" si="2"/>
        <v>1543321.1504295918</v>
      </c>
    </row>
    <row r="26" spans="1:30">
      <c r="A26" s="181">
        <v>10</v>
      </c>
      <c r="B26" s="159"/>
      <c r="C26" s="88" t="s">
        <v>35</v>
      </c>
      <c r="D26" s="155"/>
      <c r="E26" s="159"/>
      <c r="F26" s="117"/>
      <c r="G26" s="201">
        <f>+G19*'Exh MPP-10 - Conversion Factor'!C8</f>
        <v>58685.9549560913</v>
      </c>
      <c r="H26" s="202"/>
      <c r="I26" s="203">
        <f>+I19*'Exh MPP-10 - Conversion Factor'!C8</f>
        <v>-33110.072785635421</v>
      </c>
      <c r="J26" s="204"/>
      <c r="K26" s="813"/>
      <c r="L26" s="813"/>
      <c r="M26" s="833">
        <f>+'Operating Report'!O92</f>
        <v>3803.5586400000011</v>
      </c>
      <c r="N26" s="807"/>
      <c r="O26" s="807"/>
      <c r="P26" s="864"/>
      <c r="Q26" s="202"/>
      <c r="R26" s="864"/>
      <c r="S26" s="859">
        <f>+'Operating Report'!T92</f>
        <v>86938.727922051563</v>
      </c>
      <c r="T26" s="864">
        <f>+T19*'Exh MPP-10 - Conversion Factor'!C8</f>
        <v>758.39417037203009</v>
      </c>
      <c r="U26" s="864"/>
      <c r="V26" s="807"/>
      <c r="W26" s="864"/>
      <c r="X26" s="201">
        <f>+X19*'Exh MPP-10 - Conversion Factor'!C8</f>
        <v>-385.54302205501142</v>
      </c>
      <c r="Y26" s="201">
        <f>+Y19*'Exh MPP-10 - Conversion Factor'!D8</f>
        <v>0</v>
      </c>
      <c r="Z26" s="201">
        <f>+Z19*'Exh MPP-10 - Conversion Factor'!C8</f>
        <v>19799.986812358373</v>
      </c>
      <c r="AA26" s="864"/>
      <c r="AB26" s="205"/>
      <c r="AC26" s="183">
        <f t="shared" si="2"/>
        <v>136491.00669318286</v>
      </c>
    </row>
    <row r="27" spans="1:30">
      <c r="A27" s="181">
        <v>11</v>
      </c>
      <c r="B27" s="159"/>
      <c r="C27" s="88" t="s">
        <v>14</v>
      </c>
      <c r="D27" s="155"/>
      <c r="E27" s="159"/>
      <c r="F27" s="117"/>
      <c r="G27" s="206"/>
      <c r="H27" s="186"/>
      <c r="I27" s="188"/>
      <c r="J27" s="188">
        <f>-'Low-Income Bill Assistance'!F20</f>
        <v>-533333.36</v>
      </c>
      <c r="K27" s="806"/>
      <c r="L27" s="806"/>
      <c r="M27" s="806"/>
      <c r="N27" s="806"/>
      <c r="O27" s="806"/>
      <c r="P27" s="834"/>
      <c r="Q27" s="186"/>
      <c r="R27" s="834"/>
      <c r="S27" s="834"/>
      <c r="T27" s="834"/>
      <c r="U27" s="834"/>
      <c r="V27" s="806"/>
      <c r="W27" s="834"/>
      <c r="X27" s="186"/>
      <c r="Y27" s="186"/>
      <c r="Z27" s="186"/>
      <c r="AA27" s="834"/>
      <c r="AB27" s="207"/>
      <c r="AC27" s="183">
        <f t="shared" si="2"/>
        <v>-533333.36</v>
      </c>
    </row>
    <row r="28" spans="1:30">
      <c r="A28" s="181">
        <v>12</v>
      </c>
      <c r="B28" s="159"/>
      <c r="C28" s="88" t="s">
        <v>15</v>
      </c>
      <c r="D28" s="155"/>
      <c r="E28" s="159"/>
      <c r="F28" s="117"/>
      <c r="G28" s="186"/>
      <c r="H28" s="186">
        <f>-'Advertising Adj'!F29</f>
        <v>-4916.5899999999992</v>
      </c>
      <c r="I28" s="188"/>
      <c r="J28" s="186"/>
      <c r="K28" s="806"/>
      <c r="L28" s="806"/>
      <c r="M28" s="806"/>
      <c r="N28" s="806"/>
      <c r="O28" s="806"/>
      <c r="P28" s="834"/>
      <c r="Q28" s="186"/>
      <c r="R28" s="834"/>
      <c r="S28" s="834"/>
      <c r="T28" s="834"/>
      <c r="U28" s="834"/>
      <c r="V28" s="806"/>
      <c r="W28" s="834"/>
      <c r="X28" s="186"/>
      <c r="Y28" s="186"/>
      <c r="Z28" s="186"/>
      <c r="AA28" s="834"/>
      <c r="AB28" s="207"/>
      <c r="AC28" s="183">
        <f t="shared" si="2"/>
        <v>-4916.5899999999992</v>
      </c>
    </row>
    <row r="29" spans="1:30" ht="16.5" thickBot="1">
      <c r="A29" s="181">
        <v>13</v>
      </c>
      <c r="B29" s="189"/>
      <c r="C29" s="88" t="s">
        <v>16</v>
      </c>
      <c r="D29" s="190"/>
      <c r="E29" s="189"/>
      <c r="F29" s="191"/>
      <c r="G29" s="186"/>
      <c r="H29" s="186">
        <f>-'Advertising Adj'!F75</f>
        <v>-49800.45</v>
      </c>
      <c r="I29" s="188"/>
      <c r="J29" s="186"/>
      <c r="K29" s="806">
        <f>+'Operating Report'!M120</f>
        <v>-127508</v>
      </c>
      <c r="L29" s="806">
        <f>+'Operating Report'!N120</f>
        <v>-210756</v>
      </c>
      <c r="M29" s="806">
        <f>+'Operating Report'!O122</f>
        <v>63.198718416000006</v>
      </c>
      <c r="N29" s="806"/>
      <c r="O29" s="806">
        <f>+'Operating Report'!Q120</f>
        <v>-52680</v>
      </c>
      <c r="P29" s="834">
        <f>+'Operating Report'!R120</f>
        <v>-818795.82</v>
      </c>
      <c r="Q29" s="186"/>
      <c r="R29" s="834"/>
      <c r="S29" s="834">
        <f>+'Operating Report'!T122</f>
        <v>558230.44846965256</v>
      </c>
      <c r="T29" s="834"/>
      <c r="U29" s="834">
        <f>+'Rate Case Costs'!G18</f>
        <v>131397.05000000002</v>
      </c>
      <c r="V29" s="806">
        <f>+'Pro Forma Compliance Department'!L16</f>
        <v>58726.560672</v>
      </c>
      <c r="W29" s="834"/>
      <c r="X29" s="186"/>
      <c r="Y29" s="186"/>
      <c r="Z29" s="186"/>
      <c r="AA29" s="856"/>
      <c r="AB29" s="208"/>
      <c r="AC29" s="183">
        <f t="shared" si="2"/>
        <v>-511123.01213993138</v>
      </c>
    </row>
    <row r="30" spans="1:30">
      <c r="A30" s="181">
        <v>14</v>
      </c>
      <c r="B30" s="159"/>
      <c r="C30" s="88" t="s">
        <v>36</v>
      </c>
      <c r="D30" s="155"/>
      <c r="E30" s="159"/>
      <c r="F30" s="117"/>
      <c r="G30" s="209"/>
      <c r="H30" s="209"/>
      <c r="I30" s="210"/>
      <c r="J30" s="209"/>
      <c r="K30" s="814"/>
      <c r="L30" s="814"/>
      <c r="M30" s="806"/>
      <c r="N30" s="814"/>
      <c r="O30" s="814"/>
      <c r="P30" s="855"/>
      <c r="Q30" s="209"/>
      <c r="R30" s="855"/>
      <c r="S30" s="834"/>
      <c r="T30" s="834">
        <f>+'Pro Forma Plant Additions'!F18</f>
        <v>472868.90784800722</v>
      </c>
      <c r="U30" s="834"/>
      <c r="V30" s="806"/>
      <c r="W30" s="834"/>
      <c r="X30" s="186"/>
      <c r="Y30" s="186">
        <f>+'CRM Adjustment (a)'!E16</f>
        <v>78010.890174750049</v>
      </c>
      <c r="Z30" s="186"/>
      <c r="AA30" s="849"/>
      <c r="AB30" s="211"/>
      <c r="AC30" s="183">
        <f t="shared" si="2"/>
        <v>550879.79802275728</v>
      </c>
    </row>
    <row r="31" spans="1:30">
      <c r="A31" s="181">
        <v>15</v>
      </c>
      <c r="B31" s="159"/>
      <c r="C31" s="88" t="s">
        <v>37</v>
      </c>
      <c r="D31" s="155"/>
      <c r="E31" s="159"/>
      <c r="F31" s="117"/>
      <c r="G31" s="186"/>
      <c r="H31" s="186"/>
      <c r="I31" s="188"/>
      <c r="J31" s="186"/>
      <c r="K31" s="806"/>
      <c r="L31" s="806"/>
      <c r="M31" s="806"/>
      <c r="N31" s="806"/>
      <c r="O31" s="806"/>
      <c r="P31" s="834"/>
      <c r="Q31" s="186"/>
      <c r="R31" s="834"/>
      <c r="S31" s="834"/>
      <c r="T31" s="834"/>
      <c r="U31" s="834"/>
      <c r="V31" s="806"/>
      <c r="W31" s="834"/>
      <c r="X31" s="186"/>
      <c r="Y31" s="186"/>
      <c r="Z31" s="186"/>
      <c r="AA31" s="834"/>
      <c r="AB31" s="207"/>
      <c r="AC31" s="183">
        <f t="shared" si="2"/>
        <v>0</v>
      </c>
    </row>
    <row r="32" spans="1:30">
      <c r="A32" s="181">
        <v>16</v>
      </c>
      <c r="B32" s="159"/>
      <c r="C32" s="88" t="s">
        <v>38</v>
      </c>
      <c r="D32" s="155"/>
      <c r="E32" s="159"/>
      <c r="F32" s="117"/>
      <c r="G32" s="186"/>
      <c r="H32" s="186"/>
      <c r="I32" s="188"/>
      <c r="J32" s="186"/>
      <c r="K32" s="806"/>
      <c r="L32" s="806"/>
      <c r="M32" s="806">
        <f>+'Pro Forma Wage Adjustment'!P17</f>
        <v>5473.850499682937</v>
      </c>
      <c r="N32" s="806"/>
      <c r="O32" s="806"/>
      <c r="P32" s="834"/>
      <c r="Q32" s="186"/>
      <c r="R32" s="834"/>
      <c r="S32" s="834">
        <f>+'Pro Forma Wage Adjustment'!Q17</f>
        <v>79079.556487457827</v>
      </c>
      <c r="T32" s="834">
        <f>+'Pro Forma Plant Additions'!E12</f>
        <v>205713.14582312672</v>
      </c>
      <c r="U32" s="834"/>
      <c r="V32" s="806">
        <f>+'Pro Forma Compliance Department'!L17</f>
        <v>9983.5153142399995</v>
      </c>
      <c r="W32" s="834"/>
      <c r="X32" s="186"/>
      <c r="Y32" s="186"/>
      <c r="Z32" s="186"/>
      <c r="AA32" s="834"/>
      <c r="AB32" s="207"/>
      <c r="AC32" s="183">
        <f t="shared" si="2"/>
        <v>300250.0681245075</v>
      </c>
      <c r="AD32" s="117"/>
    </row>
    <row r="33" spans="1:141">
      <c r="A33" s="181">
        <v>17</v>
      </c>
      <c r="B33" s="159"/>
      <c r="C33" s="88" t="s">
        <v>39</v>
      </c>
      <c r="D33" s="155"/>
      <c r="E33" s="159"/>
      <c r="F33" s="117"/>
      <c r="G33" s="188">
        <f>(+G19-SUM(G22:G32))*'Exh MPP-10 - Conversion Factor'!$C$33</f>
        <v>994304.42471379379</v>
      </c>
      <c r="H33" s="188">
        <f>(+H19-SUM(H22:H32))*'Exh MPP-10 - Conversion Factor'!$C$33+0.5</f>
        <v>11491.078399999999</v>
      </c>
      <c r="I33" s="188">
        <f>(+I19-SUM(I22:I32))*'Exh MPP-10 - Conversion Factor'!$C$33</f>
        <v>-484945.22799935215</v>
      </c>
      <c r="J33" s="188">
        <f>(+J19-SUM(J22:J32))*'Exh MPP-10 - Conversion Factor'!$C$33</f>
        <v>112000.00559999999</v>
      </c>
      <c r="K33" s="806">
        <f>(+K19-SUM(K22:K32))*'Exh MPP-10 - Conversion Factor'!$C$33</f>
        <v>26776.68</v>
      </c>
      <c r="L33" s="806">
        <f>(+L19-SUM(L22:L32))*'Exh MPP-10 - Conversion Factor'!$C$33</f>
        <v>44258.759999999995</v>
      </c>
      <c r="M33" s="806">
        <f>(+M19-SUM(M22:M32))*'Exh MPP-10 - Conversion Factor'!$C$33</f>
        <v>-16175.764878572854</v>
      </c>
      <c r="N33" s="806">
        <f>(+N19-SUM(N22:N32))*'Exh MPP-10 - Conversion Factor'!$C$33</f>
        <v>11130</v>
      </c>
      <c r="O33" s="806">
        <f>(+O19-SUM(O22:O32))*'Exh MPP-10 - Conversion Factor'!$C$33</f>
        <v>11062.8</v>
      </c>
      <c r="P33" s="834">
        <f>(+P19-SUM(P22:P32))*'Exh MPP-10 - Conversion Factor'!$C$33</f>
        <v>171947.12219999998</v>
      </c>
      <c r="Q33" s="188"/>
      <c r="R33" s="834">
        <f>+'Interest Coord. Adj.'!H16</f>
        <v>106534.04613614621</v>
      </c>
      <c r="S33" s="834">
        <f>(+S19-SUM(S22:S32))*'Exh MPP-10 - Conversion Factor'!$C$33</f>
        <v>-311285.10363229207</v>
      </c>
      <c r="T33" s="834">
        <f>(+T19-SUM(T22:T32))*'Exh MPP-10 - Conversion Factor'!$C$33</f>
        <v>-102374.63768059625</v>
      </c>
      <c r="U33" s="834">
        <f>(+U19-SUM(U22:U32))*'Exh MPP-10 - Conversion Factor'!$C$33</f>
        <v>-27593.380500000003</v>
      </c>
      <c r="V33" s="806">
        <f>(+V19-SUM(V22:V32))*'Exh MPP-10 - Conversion Factor'!$C$33</f>
        <v>-41834.844270710404</v>
      </c>
      <c r="W33" s="834">
        <f>(+W19-SUM(W22:W32))*'Exh MPP-10 - Conversion Factor'!$C$33</f>
        <v>-126812.58429</v>
      </c>
      <c r="X33" s="188">
        <f>(+X19-SUM(X22:X32))*'Exh MPP-10 - Conversion Factor'!$C$33</f>
        <v>-20399.568331368449</v>
      </c>
      <c r="Y33" s="188">
        <f>(+Y19-SUM(Y22:Y32))*'Exh MPP-10 - Conversion Factor'!$C$33</f>
        <v>-16382.28693669751</v>
      </c>
      <c r="Z33" s="188">
        <f>(+Z19-SUM(Z22:Z32))*'Exh MPP-10 - Conversion Factor'!$C$33</f>
        <v>1047642.3144322047</v>
      </c>
      <c r="AA33" s="834">
        <f>+'Operating Report'!AB144</f>
        <v>-1922476.3265559999</v>
      </c>
      <c r="AB33" s="207"/>
      <c r="AC33" s="183">
        <f t="shared" si="2"/>
        <v>-533132.49359344481</v>
      </c>
      <c r="AD33" s="117"/>
    </row>
    <row r="34" spans="1:141">
      <c r="A34" s="181">
        <v>18</v>
      </c>
      <c r="B34" s="159"/>
      <c r="C34" s="94" t="s">
        <v>40</v>
      </c>
      <c r="D34" s="155"/>
      <c r="E34" s="159"/>
      <c r="F34" s="117"/>
      <c r="G34" s="187">
        <f>SUM(G22:G33)</f>
        <v>11731553.234346205</v>
      </c>
      <c r="H34" s="187">
        <f t="shared" ref="H34:J34" si="3">SUM(H22:H33)</f>
        <v>-43225.961599999995</v>
      </c>
      <c r="I34" s="187">
        <f t="shared" si="3"/>
        <v>-6904859.4130262816</v>
      </c>
      <c r="J34" s="187">
        <f t="shared" si="3"/>
        <v>-421333.35440000001</v>
      </c>
      <c r="K34" s="806">
        <f t="shared" ref="K34:M34" si="4">SUM(K22:K33)</f>
        <v>-100731.32</v>
      </c>
      <c r="L34" s="806">
        <f t="shared" si="4"/>
        <v>-166497.24</v>
      </c>
      <c r="M34" s="806">
        <f t="shared" si="4"/>
        <v>60851.68692415503</v>
      </c>
      <c r="N34" s="806">
        <f t="shared" ref="N34:O34" si="5">SUM(N22:N33)</f>
        <v>-41870</v>
      </c>
      <c r="O34" s="806">
        <f t="shared" si="5"/>
        <v>-41617.199999999997</v>
      </c>
      <c r="P34" s="834">
        <f>SUM(P24:P33)</f>
        <v>-646848.69779999997</v>
      </c>
      <c r="Q34" s="187"/>
      <c r="R34" s="834">
        <f>SUM(R24:R33)</f>
        <v>106534.04613614621</v>
      </c>
      <c r="S34" s="834">
        <f t="shared" ref="S34:Z34" si="6">SUM(S22:S33)</f>
        <v>1171024.913664337</v>
      </c>
      <c r="T34" s="834">
        <f t="shared" si="6"/>
        <v>585067.53698890982</v>
      </c>
      <c r="U34" s="834">
        <f t="shared" si="6"/>
        <v>103803.66950000002</v>
      </c>
      <c r="V34" s="806">
        <f t="shared" si="6"/>
        <v>157378.69987552962</v>
      </c>
      <c r="W34" s="834">
        <f t="shared" si="6"/>
        <v>477056.86470999999</v>
      </c>
      <c r="X34" s="187">
        <f t="shared" si="6"/>
        <v>-24903.766753423461</v>
      </c>
      <c r="Y34" s="187">
        <f>SUM(Y22:Y33)</f>
        <v>61628.603238052543</v>
      </c>
      <c r="Z34" s="187">
        <f t="shared" si="6"/>
        <v>1278960.3885645631</v>
      </c>
      <c r="AA34" s="834">
        <f t="shared" ref="AA34" si="7">SUM(AA22:AA33)</f>
        <v>-1922476.3265559999</v>
      </c>
      <c r="AB34" s="207"/>
      <c r="AC34" s="183">
        <f t="shared" si="2"/>
        <v>5419496.3638121951</v>
      </c>
      <c r="AD34" s="117"/>
    </row>
    <row r="35" spans="1:141" ht="16.5" thickBot="1">
      <c r="A35" s="181">
        <v>19</v>
      </c>
      <c r="B35" s="159"/>
      <c r="C35" s="94" t="s">
        <v>17</v>
      </c>
      <c r="D35" s="155"/>
      <c r="E35" s="159"/>
      <c r="F35" s="117"/>
      <c r="G35" s="212">
        <f>+G19-G34</f>
        <v>3740478.5501137953</v>
      </c>
      <c r="H35" s="212">
        <f t="shared" ref="H35:J35" si="8">+H19-H34</f>
        <v>43225.961599999995</v>
      </c>
      <c r="I35" s="212">
        <f t="shared" si="8"/>
        <v>-1824317.7624737537</v>
      </c>
      <c r="J35" s="212">
        <f t="shared" si="8"/>
        <v>421333.35440000001</v>
      </c>
      <c r="K35" s="815">
        <f t="shared" ref="K35:M35" si="9">+K19-K34</f>
        <v>100731.32</v>
      </c>
      <c r="L35" s="815">
        <f t="shared" si="9"/>
        <v>166497.24</v>
      </c>
      <c r="M35" s="815">
        <f t="shared" si="9"/>
        <v>-60851.68692415503</v>
      </c>
      <c r="N35" s="815">
        <f t="shared" ref="N35:P35" si="10">+N19-N34</f>
        <v>41870</v>
      </c>
      <c r="O35" s="815">
        <f t="shared" si="10"/>
        <v>41617.199999999997</v>
      </c>
      <c r="P35" s="858">
        <f t="shared" si="10"/>
        <v>646848.69779999997</v>
      </c>
      <c r="Q35" s="212"/>
      <c r="R35" s="858">
        <f t="shared" ref="R35:Z35" si="11">+R19-R34</f>
        <v>-106534.04613614621</v>
      </c>
      <c r="S35" s="858">
        <f t="shared" si="11"/>
        <v>-1171024.913664337</v>
      </c>
      <c r="T35" s="858">
        <f t="shared" si="11"/>
        <v>-385123.6369889098</v>
      </c>
      <c r="U35" s="858">
        <f t="shared" si="11"/>
        <v>-103803.66950000002</v>
      </c>
      <c r="V35" s="815">
        <f t="shared" si="11"/>
        <v>-157378.69987552962</v>
      </c>
      <c r="W35" s="858">
        <f t="shared" si="11"/>
        <v>-477056.86470999999</v>
      </c>
      <c r="X35" s="212">
        <f t="shared" si="11"/>
        <v>-76741.233246576536</v>
      </c>
      <c r="Y35" s="212">
        <f t="shared" si="11"/>
        <v>-61628.603238052543</v>
      </c>
      <c r="Z35" s="212">
        <f t="shared" si="11"/>
        <v>3941130.6114354366</v>
      </c>
      <c r="AA35" s="858">
        <f t="shared" ref="AA35" si="12">+AA19-AA34</f>
        <v>1922476.3265559999</v>
      </c>
      <c r="AB35" s="212"/>
      <c r="AC35" s="212">
        <f>+AC19-AC34</f>
        <v>6641748.1451477688</v>
      </c>
      <c r="AD35" s="117"/>
    </row>
    <row r="36" spans="1:141" ht="16.5" thickBot="1">
      <c r="A36" s="181"/>
      <c r="B36" s="159"/>
      <c r="C36" s="94"/>
      <c r="D36" s="155"/>
      <c r="E36" s="159"/>
      <c r="F36" s="117"/>
      <c r="G36" s="213"/>
      <c r="H36" s="213"/>
      <c r="I36" s="214"/>
      <c r="J36" s="213"/>
      <c r="K36" s="816"/>
      <c r="L36" s="816"/>
      <c r="M36" s="816"/>
      <c r="N36" s="816"/>
      <c r="O36" s="816"/>
      <c r="P36" s="838"/>
      <c r="Q36" s="213"/>
      <c r="R36" s="838"/>
      <c r="S36" s="851"/>
      <c r="T36" s="838"/>
      <c r="U36" s="838"/>
      <c r="V36" s="816"/>
      <c r="W36" s="838"/>
      <c r="X36" s="213"/>
      <c r="Y36" s="213"/>
      <c r="Z36" s="213"/>
      <c r="AA36" s="838"/>
      <c r="AB36" s="215"/>
      <c r="AC36" s="213"/>
      <c r="AD36" s="216"/>
    </row>
    <row r="37" spans="1:141" ht="16.5" thickTop="1">
      <c r="A37" s="181">
        <v>20</v>
      </c>
      <c r="B37" s="159"/>
      <c r="C37" s="94" t="s">
        <v>41</v>
      </c>
      <c r="D37" s="155"/>
      <c r="E37" s="159"/>
      <c r="F37" s="117"/>
      <c r="G37" s="199"/>
      <c r="H37" s="199"/>
      <c r="I37" s="217"/>
      <c r="J37" s="199"/>
      <c r="K37" s="817"/>
      <c r="L37" s="817"/>
      <c r="M37" s="817"/>
      <c r="N37" s="817"/>
      <c r="O37" s="817"/>
      <c r="P37" s="862"/>
      <c r="Q37" s="199"/>
      <c r="R37" s="862"/>
      <c r="S37" s="873"/>
      <c r="T37" s="862"/>
      <c r="U37" s="862"/>
      <c r="V37" s="823"/>
      <c r="W37" s="862"/>
      <c r="X37" s="199"/>
      <c r="Y37" s="199"/>
      <c r="Z37" s="199"/>
      <c r="AA37" s="867"/>
      <c r="AB37" s="199"/>
      <c r="AC37" s="218"/>
      <c r="AD37" s="117"/>
    </row>
    <row r="38" spans="1:141">
      <c r="A38" s="181">
        <v>21</v>
      </c>
      <c r="B38" s="159"/>
      <c r="C38" s="69" t="s">
        <v>43</v>
      </c>
      <c r="D38" s="155"/>
      <c r="E38" s="159"/>
      <c r="F38" s="117"/>
      <c r="G38" s="209"/>
      <c r="H38" s="209"/>
      <c r="I38" s="210"/>
      <c r="J38" s="209"/>
      <c r="K38" s="814"/>
      <c r="L38" s="814"/>
      <c r="M38" s="814"/>
      <c r="N38" s="814"/>
      <c r="O38" s="814"/>
      <c r="P38" s="855"/>
      <c r="Q38" s="209"/>
      <c r="R38" s="855"/>
      <c r="S38" s="834"/>
      <c r="T38" s="834">
        <f>+'Pro Forma Plant Additions'!E16</f>
        <v>17609896.228568003</v>
      </c>
      <c r="U38" s="834"/>
      <c r="V38" s="806"/>
      <c r="W38" s="834"/>
      <c r="X38" s="186"/>
      <c r="Y38" s="186">
        <f>+'CRM Adjustment (a)'!C14</f>
        <v>3023677.9137500022</v>
      </c>
      <c r="Z38" s="186"/>
      <c r="AA38" s="834"/>
      <c r="AB38" s="205"/>
      <c r="AC38" s="219">
        <f>SUM(G38:AB38)</f>
        <v>20633574.142318003</v>
      </c>
      <c r="AD38" s="117"/>
    </row>
    <row r="39" spans="1:141">
      <c r="A39" s="181">
        <v>22</v>
      </c>
      <c r="B39" s="159"/>
      <c r="C39" s="69" t="s">
        <v>44</v>
      </c>
      <c r="D39" s="155"/>
      <c r="E39" s="159"/>
      <c r="F39" s="117"/>
      <c r="G39" s="220"/>
      <c r="H39" s="220"/>
      <c r="I39" s="221"/>
      <c r="J39" s="220"/>
      <c r="K39" s="818"/>
      <c r="L39" s="818"/>
      <c r="M39" s="818"/>
      <c r="N39" s="818"/>
      <c r="O39" s="818"/>
      <c r="P39" s="873"/>
      <c r="Q39" s="220"/>
      <c r="R39" s="873"/>
      <c r="S39" s="873"/>
      <c r="T39" s="873">
        <f>-'Pro Forma Plant Additions'!E19</f>
        <v>-236434.45392400361</v>
      </c>
      <c r="U39" s="873"/>
      <c r="V39" s="824"/>
      <c r="W39" s="873"/>
      <c r="X39" s="220"/>
      <c r="Y39" s="220">
        <f>-'CRM Adjustment (a)'!C17</f>
        <v>-39005.445087375025</v>
      </c>
      <c r="Z39" s="220"/>
      <c r="AA39" s="849"/>
      <c r="AB39" s="207"/>
      <c r="AC39" s="219">
        <f>SUM(G39:AB39)</f>
        <v>-275439.89901137864</v>
      </c>
      <c r="AD39" s="117"/>
    </row>
    <row r="40" spans="1:141">
      <c r="A40" s="181">
        <v>23</v>
      </c>
      <c r="B40" s="159"/>
      <c r="C40" s="80" t="s">
        <v>18</v>
      </c>
      <c r="D40" s="155"/>
      <c r="E40" s="159"/>
      <c r="F40" s="117"/>
      <c r="G40" s="220"/>
      <c r="H40" s="220"/>
      <c r="I40" s="221"/>
      <c r="J40" s="220"/>
      <c r="K40" s="818"/>
      <c r="L40" s="818"/>
      <c r="M40" s="818"/>
      <c r="N40" s="818"/>
      <c r="O40" s="818"/>
      <c r="P40" s="873"/>
      <c r="Q40" s="220"/>
      <c r="R40" s="873"/>
      <c r="S40" s="873"/>
      <c r="T40" s="873"/>
      <c r="U40" s="873"/>
      <c r="V40" s="824"/>
      <c r="W40" s="873"/>
      <c r="X40" s="220"/>
      <c r="Y40" s="220"/>
      <c r="Z40" s="220"/>
      <c r="AA40" s="849"/>
      <c r="AB40" s="207"/>
      <c r="AC40" s="219">
        <f>SUM(G40:AB40)</f>
        <v>0</v>
      </c>
      <c r="AD40" s="117"/>
    </row>
    <row r="41" spans="1:141" ht="16.5" thickBot="1">
      <c r="A41" s="181">
        <v>24</v>
      </c>
      <c r="B41" s="159"/>
      <c r="C41" s="80" t="s">
        <v>45</v>
      </c>
      <c r="D41" s="155"/>
      <c r="E41" s="159"/>
      <c r="F41" s="117"/>
      <c r="G41" s="220"/>
      <c r="H41" s="220"/>
      <c r="I41" s="221"/>
      <c r="J41" s="220"/>
      <c r="K41" s="818"/>
      <c r="L41" s="818"/>
      <c r="M41" s="818"/>
      <c r="N41" s="818"/>
      <c r="O41" s="818"/>
      <c r="P41" s="873"/>
      <c r="Q41" s="220"/>
      <c r="R41" s="873"/>
      <c r="S41" s="873"/>
      <c r="T41" s="873">
        <f>-'Pro Forma Plant Additions'!E22</f>
        <v>-32812.885126576242</v>
      </c>
      <c r="U41" s="873"/>
      <c r="V41" s="824"/>
      <c r="W41" s="873"/>
      <c r="X41" s="220"/>
      <c r="Y41" s="220">
        <f>-'CRM Adjustment (a)'!C20</f>
        <v>-6190.9805284031308</v>
      </c>
      <c r="Z41" s="220"/>
      <c r="AA41" s="830"/>
      <c r="AB41" s="222"/>
      <c r="AC41" s="219">
        <f>SUM(G41:AB41)</f>
        <v>-39003.865654979374</v>
      </c>
      <c r="AD41" s="117"/>
    </row>
    <row r="42" spans="1:141">
      <c r="A42" s="181">
        <v>25</v>
      </c>
      <c r="B42" s="159"/>
      <c r="C42" s="80" t="s">
        <v>46</v>
      </c>
      <c r="D42" s="155"/>
      <c r="E42" s="159"/>
      <c r="F42" s="117"/>
      <c r="G42" s="220"/>
      <c r="H42" s="220"/>
      <c r="I42" s="221"/>
      <c r="J42" s="220"/>
      <c r="K42" s="818"/>
      <c r="L42" s="818"/>
      <c r="M42" s="818"/>
      <c r="N42" s="818"/>
      <c r="O42" s="818"/>
      <c r="P42" s="873"/>
      <c r="Q42" s="220"/>
      <c r="R42" s="873"/>
      <c r="S42" s="873"/>
      <c r="T42" s="873"/>
      <c r="U42" s="873"/>
      <c r="V42" s="824"/>
      <c r="W42" s="873"/>
      <c r="X42" s="220"/>
      <c r="Y42" s="220"/>
      <c r="Z42" s="220"/>
      <c r="AA42" s="849"/>
      <c r="AB42" s="207"/>
      <c r="AC42" s="219">
        <f>SUM(G42:AB42)</f>
        <v>0</v>
      </c>
      <c r="AD42" s="117"/>
    </row>
    <row r="43" spans="1:141" ht="16.5" thickBot="1">
      <c r="A43" s="181">
        <v>26</v>
      </c>
      <c r="B43" s="159"/>
      <c r="C43" s="94" t="s">
        <v>42</v>
      </c>
      <c r="D43" s="155"/>
      <c r="E43" s="159"/>
      <c r="F43" s="117"/>
      <c r="G43" s="223">
        <f>SUM(G38:G42)</f>
        <v>0</v>
      </c>
      <c r="H43" s="223">
        <f>SUM(H38:H42)</f>
        <v>0</v>
      </c>
      <c r="I43" s="223">
        <f>SUM(I38:I42)</f>
        <v>0</v>
      </c>
      <c r="J43" s="223">
        <f>SUM(J38:J42)</f>
        <v>0</v>
      </c>
      <c r="K43" s="819">
        <f t="shared" ref="K43:O43" si="13">SUM(K38:K42)</f>
        <v>0</v>
      </c>
      <c r="L43" s="819">
        <f t="shared" si="13"/>
        <v>0</v>
      </c>
      <c r="M43" s="819">
        <f t="shared" si="13"/>
        <v>0</v>
      </c>
      <c r="N43" s="819">
        <f t="shared" si="13"/>
        <v>0</v>
      </c>
      <c r="O43" s="819">
        <f t="shared" si="13"/>
        <v>0</v>
      </c>
      <c r="P43" s="876">
        <f>SUM(P38:P42)</f>
        <v>0</v>
      </c>
      <c r="Q43" s="223"/>
      <c r="R43" s="876">
        <f>SUM(R38:R42)</f>
        <v>0</v>
      </c>
      <c r="S43" s="876">
        <f>SUM(S38:S42)</f>
        <v>0</v>
      </c>
      <c r="T43" s="876">
        <f>SUM(T38:T42)</f>
        <v>17340648.889517423</v>
      </c>
      <c r="U43" s="876">
        <f>SUM(U38:U42)</f>
        <v>0</v>
      </c>
      <c r="V43" s="819"/>
      <c r="W43" s="876"/>
      <c r="X43" s="223">
        <f t="shared" ref="X43:AA43" si="14">SUM(X38:X42)</f>
        <v>0</v>
      </c>
      <c r="Y43" s="223">
        <f t="shared" si="14"/>
        <v>2978481.488134224</v>
      </c>
      <c r="Z43" s="223">
        <f t="shared" si="14"/>
        <v>0</v>
      </c>
      <c r="AA43" s="876">
        <f t="shared" si="14"/>
        <v>0</v>
      </c>
      <c r="AB43" s="222"/>
      <c r="AC43" s="223">
        <f>SUM(AC38:AC42)</f>
        <v>20319130.377651647</v>
      </c>
      <c r="AD43" s="117"/>
    </row>
    <row r="44" spans="1:141" ht="16.5" thickBot="1">
      <c r="A44" s="181"/>
      <c r="B44" s="189"/>
      <c r="C44" s="224"/>
      <c r="D44" s="190"/>
      <c r="E44" s="189"/>
      <c r="F44" s="191"/>
      <c r="G44" s="192"/>
      <c r="H44" s="192"/>
      <c r="I44" s="193"/>
      <c r="J44" s="192"/>
      <c r="K44" s="811"/>
      <c r="L44" s="811"/>
      <c r="M44" s="811"/>
      <c r="N44" s="811"/>
      <c r="O44" s="811"/>
      <c r="P44" s="857"/>
      <c r="Q44" s="192"/>
      <c r="R44" s="857"/>
      <c r="S44" s="850"/>
      <c r="T44" s="860"/>
      <c r="U44" s="857"/>
      <c r="V44" s="811"/>
      <c r="W44" s="857"/>
      <c r="X44" s="192"/>
      <c r="Y44" s="225"/>
      <c r="Z44" s="192"/>
      <c r="AA44" s="857"/>
      <c r="AB44" s="208"/>
      <c r="AC44" s="226"/>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row>
    <row r="45" spans="1:141">
      <c r="A45" s="181">
        <v>27</v>
      </c>
      <c r="B45" s="228"/>
      <c r="C45" s="229" t="s">
        <v>59</v>
      </c>
      <c r="D45" s="230"/>
      <c r="E45" s="189"/>
      <c r="F45" s="191"/>
      <c r="G45" s="231">
        <f>((+G43*'Capital Structure Calculation'!$J$14)-'Exh MPP-11 - Summary of Adj'!G35)/'Exh MPP-10 - Conversion Factor'!$C$25</f>
        <v>-4954324.1115854448</v>
      </c>
      <c r="H45" s="231">
        <f>((+H43*'Capital Structure Calculation'!$J$14)-'Exh MPP-11 - Summary of Adj'!H35)/'Exh MPP-10 - Conversion Factor'!$C$25</f>
        <v>-57253.482657942623</v>
      </c>
      <c r="I45" s="232">
        <f>((+I43*'Capital Structure Calculation'!$J$14)-'Exh MPP-11 - Summary of Adj'!I35)/'Exh MPP-10 - Conversion Factor'!$C$25</f>
        <v>2416338.2724230187</v>
      </c>
      <c r="J45" s="233">
        <f>((+J43*'Capital Structure Calculation'!$J$14)-'Exh MPP-11 - Summary of Adj'!J35)/'Exh MPP-10 - Conversion Factor'!$C$25</f>
        <v>-558062.81703061517</v>
      </c>
      <c r="K45" s="820">
        <f>((+K43*'Capital Structure Calculation'!$J$14)-'Exh MPP-11 - Summary of Adj'!K35)/'Exh MPP-10 - Conversion Factor'!$C$25</f>
        <v>-133420.25646762407</v>
      </c>
      <c r="L45" s="820">
        <f>((+L43*'Capital Structure Calculation'!$J$14)-'Exh MPP-11 - Summary of Adj'!L35)/'Exh MPP-10 - Conversion Factor'!$C$25</f>
        <v>-220528.27722253173</v>
      </c>
      <c r="M45" s="820">
        <f>((+M43*'Capital Structure Calculation'!$J$14)-'Exh MPP-11 - Summary of Adj'!M35)/'Exh MPP-10 - Conversion Factor'!$C$25</f>
        <v>80599.039860773482</v>
      </c>
      <c r="N45" s="820">
        <f>((+N43*'Capital Structure Calculation'!$J$14)-'Exh MPP-11 - Summary of Adj'!N35)/'Exh MPP-10 - Conversion Factor'!$C$25</f>
        <v>-55457.489669542891</v>
      </c>
      <c r="O45" s="820">
        <f>((+O43*'Capital Structure Calculation'!$J$14)-'Exh MPP-11 - Summary of Adj'!O35)/'Exh MPP-10 - Conversion Factor'!$C$25</f>
        <v>-55122.651996066401</v>
      </c>
      <c r="P45" s="872">
        <f>((+P43*'Capital Structure Calculation'!$J$14)-'Exh MPP-11 - Summary of Adj'!P35)/'Exh MPP-10 - Conversion Factor'!$C$25</f>
        <v>-856761.52319084713</v>
      </c>
      <c r="Q45" s="231"/>
      <c r="R45" s="872">
        <f>((+R43*'Capital Structure Calculation'!$J$14)-'Exh MPP-11 - Summary of Adj'!R35)/'Exh MPP-10 - Conversion Factor'!$C$25</f>
        <v>141106.06073680281</v>
      </c>
      <c r="S45" s="872">
        <f>((+S43*'Capital Structure Calculation'!$J$14)-'Exh MPP-11 - Summary of Adj'!S35)/'Exh MPP-10 - Conversion Factor'!$C$25</f>
        <v>1551041.3673827879</v>
      </c>
      <c r="T45" s="872">
        <f>((+T43*'Capital Structure Calculation'!$J$14)-'Exh MPP-11 - Summary of Adj'!T35)/'Exh MPP-10 - Conversion Factor'!$C$25</f>
        <v>2255208.7377202888</v>
      </c>
      <c r="U45" s="872">
        <f>((+U43*'Capital Structure Calculation'!$J$14)-'Exh MPP-11 - Summary of Adj'!U35)/'Exh MPP-10 - Conversion Factor'!$C$25</f>
        <v>137489.63288647949</v>
      </c>
      <c r="V45" s="820">
        <f>((+V43*'Capital Structure Calculation'!$J$14)-'Exh MPP-11 - Summary of Adj'!V35)/'Exh MPP-10 - Conversion Factor'!$C$25</f>
        <v>208450.6238966629</v>
      </c>
      <c r="W45" s="872">
        <f>((+W43*'Capital Structure Calculation'!$J$14)-'Exh MPP-11 - Summary of Adj'!W35)/'Exh MPP-10 - Conversion Factor'!$C$25</f>
        <v>631869.50433339737</v>
      </c>
      <c r="X45" s="231">
        <f>((+X43*'Capital Structure Calculation'!$J$14)-'Exh MPP-11 - Summary of Adj'!X35)/'Exh MPP-10 - Conversion Factor'!$C$25</f>
        <v>101645</v>
      </c>
      <c r="Y45" s="231">
        <f>((+Y43*'Capital Structure Calculation'!$J$14)-'Exh MPP-11 - Summary of Adj'!Y35)/'Exh MPP-10 - Conversion Factor'!$C$25</f>
        <v>381372.72817265912</v>
      </c>
      <c r="Z45" s="231">
        <f>((+Z43*'Capital Structure Calculation'!$J$14)-'Exh MPP-11 - Summary of Adj'!Z35)/'Exh MPP-10 - Conversion Factor'!$C$25</f>
        <v>-5220091</v>
      </c>
      <c r="AA45" s="872">
        <f>((+AA43*'Capital Structure Calculation'!$J$14)-'Exh MPP-11 - Summary of Adj'!AA35)/'Exh MPP-10 - Conversion Factor'!$C$25</f>
        <v>-2546350.8722216417</v>
      </c>
      <c r="AB45" s="231"/>
      <c r="AC45" s="231">
        <f>((+AC43*'Capital Structure Calculation'!$J$14)-'Exh MPP-11 - Summary of Adj'!AC35)/'Exh MPP-10 - Conversion Factor'!$C$25</f>
        <v>-6752251.5146293826</v>
      </c>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row>
    <row r="46" spans="1:141">
      <c r="A46" s="117"/>
      <c r="B46" s="117"/>
      <c r="C46" s="117"/>
      <c r="D46" s="117"/>
      <c r="E46" s="117"/>
      <c r="F46" s="117"/>
      <c r="G46" s="235"/>
      <c r="H46" s="235"/>
      <c r="I46" s="235"/>
      <c r="J46" s="235"/>
      <c r="K46" s="829"/>
      <c r="L46" s="829"/>
      <c r="M46" s="829"/>
      <c r="N46" s="829"/>
      <c r="O46" s="829"/>
      <c r="P46" s="829"/>
      <c r="Q46" s="235"/>
      <c r="R46" s="235"/>
      <c r="S46" s="235"/>
      <c r="T46" s="235"/>
      <c r="U46" s="235"/>
      <c r="V46" s="235"/>
      <c r="W46" s="829"/>
      <c r="X46" s="235"/>
      <c r="Y46" s="235"/>
      <c r="Z46" s="235"/>
      <c r="AA46" s="235"/>
      <c r="AB46" s="235"/>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row>
    <row r="47" spans="1:141">
      <c r="A47" s="117"/>
      <c r="B47" s="117"/>
      <c r="C47" s="117"/>
      <c r="D47" s="117"/>
      <c r="E47" s="117"/>
      <c r="F47" s="117"/>
      <c r="G47" s="236"/>
      <c r="H47" s="236"/>
      <c r="I47" s="236"/>
      <c r="J47" s="236"/>
      <c r="K47" s="380"/>
      <c r="L47" s="380"/>
      <c r="M47" s="380"/>
      <c r="N47" s="380"/>
      <c r="O47" s="380"/>
      <c r="P47" s="380"/>
      <c r="Q47" s="236"/>
      <c r="R47" s="236"/>
      <c r="S47" s="236"/>
      <c r="T47" s="236"/>
      <c r="U47" s="236"/>
      <c r="V47" s="236"/>
      <c r="W47" s="380"/>
      <c r="X47" s="236"/>
      <c r="Y47" s="236"/>
      <c r="Z47" s="236"/>
      <c r="AA47" s="236"/>
      <c r="AB47" s="237"/>
      <c r="AC47" s="118"/>
      <c r="AD47" s="118"/>
      <c r="AE47" s="118"/>
      <c r="AF47" s="118"/>
      <c r="AG47" s="118"/>
      <c r="AH47" s="118"/>
      <c r="AI47" s="118"/>
      <c r="AJ47" s="118"/>
      <c r="AK47" s="118"/>
      <c r="AL47" s="118"/>
      <c r="AM47" s="118"/>
      <c r="AN47" s="118"/>
      <c r="AO47" s="118"/>
      <c r="AP47" s="118"/>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row>
    <row r="48" spans="1:141">
      <c r="A48" s="117"/>
      <c r="B48" s="117"/>
      <c r="C48" s="117"/>
      <c r="D48" s="117"/>
      <c r="E48" s="117"/>
      <c r="F48" s="117"/>
      <c r="G48" s="118"/>
      <c r="H48" s="118"/>
      <c r="I48" s="118"/>
      <c r="J48" s="118"/>
      <c r="K48" s="118"/>
      <c r="L48" s="118"/>
      <c r="M48" s="118"/>
      <c r="N48" s="118"/>
      <c r="O48" s="118"/>
      <c r="P48" s="118"/>
      <c r="Q48" s="118"/>
      <c r="R48" s="118"/>
      <c r="S48" s="238"/>
      <c r="T48" s="118"/>
      <c r="U48" s="118"/>
      <c r="V48" s="118"/>
      <c r="W48" s="118"/>
      <c r="X48" s="118"/>
      <c r="Y48" s="118"/>
      <c r="Z48" s="118"/>
      <c r="AA48" s="118"/>
      <c r="AB48" s="118"/>
      <c r="AC48" s="239"/>
      <c r="AD48" s="118"/>
      <c r="AE48" s="118"/>
      <c r="AF48" s="118"/>
      <c r="AG48" s="118"/>
      <c r="AH48" s="118"/>
      <c r="AI48" s="118"/>
      <c r="AJ48" s="118"/>
      <c r="AK48" s="118"/>
      <c r="AL48" s="118"/>
      <c r="AM48" s="118"/>
      <c r="AN48" s="118"/>
      <c r="AO48" s="118"/>
      <c r="AP48" s="118"/>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row>
    <row r="49" spans="1:141">
      <c r="A49" s="117"/>
      <c r="B49" s="117"/>
      <c r="C49" s="117"/>
      <c r="D49" s="117"/>
      <c r="E49" s="117"/>
      <c r="F49" s="117"/>
      <c r="G49" s="118"/>
      <c r="H49" s="118"/>
      <c r="I49" s="118"/>
      <c r="J49" s="118"/>
      <c r="K49" s="118"/>
      <c r="L49" s="118"/>
      <c r="M49" s="118"/>
      <c r="N49" s="118"/>
      <c r="O49" s="118"/>
      <c r="P49" s="118"/>
      <c r="Q49" s="118"/>
      <c r="R49" s="118"/>
      <c r="S49" s="240"/>
      <c r="T49" s="118"/>
      <c r="U49" s="118"/>
      <c r="V49" s="118"/>
      <c r="W49" s="118"/>
      <c r="X49" s="118"/>
      <c r="Y49" s="118"/>
      <c r="Z49" s="118"/>
      <c r="AA49" s="118"/>
      <c r="AB49" s="118"/>
      <c r="AC49" s="241"/>
      <c r="AD49" s="118"/>
      <c r="AE49" s="118"/>
      <c r="AF49" s="118"/>
      <c r="AG49" s="118"/>
      <c r="AH49" s="118"/>
      <c r="AI49" s="118"/>
      <c r="AJ49" s="118"/>
      <c r="AK49" s="118"/>
      <c r="AL49" s="118"/>
      <c r="AM49" s="118"/>
      <c r="AN49" s="118"/>
      <c r="AO49" s="118"/>
      <c r="AP49" s="118"/>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row>
    <row r="50" spans="1:141">
      <c r="A50" s="117"/>
      <c r="B50" s="117"/>
      <c r="C50" s="117"/>
      <c r="D50" s="117"/>
      <c r="E50" s="117"/>
      <c r="F50" s="117"/>
      <c r="G50" s="118"/>
      <c r="H50" s="242"/>
      <c r="I50" s="242"/>
      <c r="J50" s="242"/>
      <c r="K50" s="242"/>
      <c r="L50" s="242"/>
      <c r="M50" s="242"/>
      <c r="N50" s="242"/>
      <c r="O50" s="242"/>
      <c r="P50" s="242"/>
      <c r="Q50" s="242"/>
      <c r="R50" s="242"/>
      <c r="S50" s="240"/>
      <c r="T50" s="242"/>
      <c r="U50" s="242"/>
      <c r="V50" s="242"/>
      <c r="W50" s="242"/>
      <c r="X50" s="242"/>
      <c r="Y50" s="242"/>
      <c r="Z50" s="242"/>
      <c r="AA50" s="242"/>
      <c r="AB50" s="118"/>
      <c r="AC50" s="118"/>
      <c r="AD50" s="118"/>
      <c r="AE50" s="118"/>
      <c r="AF50" s="118"/>
      <c r="AG50" s="118"/>
      <c r="AH50" s="118"/>
      <c r="AI50" s="118"/>
      <c r="AJ50" s="118"/>
      <c r="AK50" s="118"/>
      <c r="AL50" s="118"/>
      <c r="AM50" s="118"/>
      <c r="AN50" s="118"/>
      <c r="AO50" s="118"/>
      <c r="AP50" s="118"/>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row>
    <row r="51" spans="1:141">
      <c r="A51" s="117"/>
      <c r="B51" s="117"/>
      <c r="C51" s="117"/>
      <c r="D51" s="117"/>
      <c r="E51" s="117"/>
      <c r="F51" s="117"/>
      <c r="G51" s="118"/>
      <c r="H51" s="118"/>
      <c r="I51" s="118"/>
      <c r="J51" s="118"/>
      <c r="K51" s="118"/>
      <c r="L51" s="118"/>
      <c r="M51" s="118"/>
      <c r="N51" s="118"/>
      <c r="O51" s="118"/>
      <c r="P51" s="118"/>
      <c r="Q51" s="118"/>
      <c r="R51" s="118"/>
      <c r="S51" s="240"/>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row>
    <row r="52" spans="1:141">
      <c r="A52" s="117"/>
      <c r="B52" s="117"/>
      <c r="C52" s="117"/>
      <c r="D52" s="117"/>
      <c r="E52" s="117"/>
      <c r="F52" s="117"/>
      <c r="G52" s="118"/>
      <c r="H52" s="242"/>
      <c r="I52" s="242"/>
      <c r="J52" s="242"/>
      <c r="K52" s="242"/>
      <c r="L52" s="242"/>
      <c r="M52" s="242"/>
      <c r="N52" s="242"/>
      <c r="O52" s="242"/>
      <c r="P52" s="242"/>
      <c r="Q52" s="242"/>
      <c r="R52" s="242"/>
      <c r="S52" s="240"/>
      <c r="T52" s="242"/>
      <c r="U52" s="242"/>
      <c r="V52" s="242"/>
      <c r="W52" s="242"/>
      <c r="X52" s="242"/>
      <c r="Y52" s="242"/>
      <c r="Z52" s="242"/>
      <c r="AA52" s="242"/>
      <c r="AB52" s="118"/>
      <c r="AC52" s="118"/>
      <c r="AD52" s="118"/>
      <c r="AE52" s="118"/>
      <c r="AF52" s="118"/>
      <c r="AG52" s="118"/>
      <c r="AH52" s="118"/>
      <c r="AI52" s="118"/>
      <c r="AJ52" s="118"/>
      <c r="AK52" s="118"/>
      <c r="AL52" s="118"/>
      <c r="AM52" s="118"/>
      <c r="AN52" s="118"/>
      <c r="AO52" s="118"/>
      <c r="AP52" s="118"/>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row>
    <row r="53" spans="1:141">
      <c r="A53" s="117"/>
      <c r="B53" s="117"/>
      <c r="C53" s="117"/>
      <c r="D53" s="117"/>
      <c r="E53" s="117"/>
      <c r="F53" s="117"/>
      <c r="G53" s="118"/>
      <c r="H53" s="243"/>
      <c r="I53" s="243"/>
      <c r="J53" s="243"/>
      <c r="K53" s="243"/>
      <c r="L53" s="243"/>
      <c r="M53" s="243"/>
      <c r="N53" s="243"/>
      <c r="O53" s="243"/>
      <c r="P53" s="243"/>
      <c r="Q53" s="243"/>
      <c r="R53" s="243"/>
      <c r="S53" s="240"/>
      <c r="T53" s="243"/>
      <c r="U53" s="243"/>
      <c r="V53" s="243"/>
      <c r="W53" s="243"/>
      <c r="X53" s="243"/>
      <c r="Y53" s="243"/>
      <c r="Z53" s="243"/>
      <c r="AA53" s="243"/>
      <c r="AB53" s="118"/>
      <c r="AC53" s="118"/>
      <c r="AD53" s="118"/>
      <c r="AE53" s="118"/>
      <c r="AF53" s="118"/>
      <c r="AG53" s="118"/>
      <c r="AH53" s="118"/>
      <c r="AI53" s="118"/>
      <c r="AJ53" s="118"/>
      <c r="AK53" s="118"/>
      <c r="AL53" s="118"/>
      <c r="AM53" s="118"/>
      <c r="AN53" s="118"/>
      <c r="AO53" s="118"/>
      <c r="AP53" s="118"/>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row>
    <row r="54" spans="1:141">
      <c r="A54" s="117"/>
      <c r="B54" s="117"/>
      <c r="C54" s="117"/>
      <c r="D54" s="117"/>
      <c r="E54" s="117"/>
      <c r="F54" s="117"/>
      <c r="G54" s="118"/>
      <c r="H54" s="243"/>
      <c r="I54" s="243"/>
      <c r="J54" s="243"/>
      <c r="K54" s="243"/>
      <c r="L54" s="243"/>
      <c r="M54" s="243"/>
      <c r="N54" s="243"/>
      <c r="O54" s="243"/>
      <c r="P54" s="243"/>
      <c r="Q54" s="243"/>
      <c r="R54" s="243"/>
      <c r="S54" s="240"/>
      <c r="T54" s="243"/>
      <c r="U54" s="243"/>
      <c r="V54" s="243"/>
      <c r="W54" s="243"/>
      <c r="X54" s="243"/>
      <c r="Y54" s="243"/>
      <c r="Z54" s="243"/>
      <c r="AA54" s="243"/>
      <c r="AB54" s="118"/>
      <c r="AC54" s="118"/>
      <c r="AD54" s="118"/>
      <c r="AE54" s="118"/>
      <c r="AF54" s="118"/>
      <c r="AG54" s="118"/>
      <c r="AH54" s="118"/>
      <c r="AI54" s="118"/>
      <c r="AJ54" s="118"/>
      <c r="AK54" s="118"/>
      <c r="AL54" s="118"/>
      <c r="AM54" s="118"/>
      <c r="AN54" s="118"/>
      <c r="AO54" s="118"/>
      <c r="AP54" s="118"/>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row>
    <row r="55" spans="1:141">
      <c r="A55" s="117"/>
      <c r="B55" s="117"/>
      <c r="C55" s="117"/>
      <c r="D55" s="117"/>
      <c r="E55" s="117"/>
      <c r="F55" s="117"/>
      <c r="G55" s="118"/>
      <c r="H55" s="243"/>
      <c r="I55" s="243"/>
      <c r="J55" s="243"/>
      <c r="K55" s="243"/>
      <c r="L55" s="243"/>
      <c r="M55" s="243"/>
      <c r="N55" s="243"/>
      <c r="O55" s="243"/>
      <c r="P55" s="243"/>
      <c r="Q55" s="243"/>
      <c r="R55" s="243"/>
      <c r="S55" s="240"/>
      <c r="T55" s="243"/>
      <c r="U55" s="243"/>
      <c r="V55" s="243"/>
      <c r="W55" s="243"/>
      <c r="X55" s="243"/>
      <c r="Y55" s="243"/>
      <c r="Z55" s="243"/>
      <c r="AA55" s="243"/>
      <c r="AB55" s="118"/>
      <c r="AC55" s="118"/>
      <c r="AD55" s="118"/>
      <c r="AE55" s="118"/>
      <c r="AF55" s="118"/>
      <c r="AG55" s="118"/>
      <c r="AH55" s="118"/>
      <c r="AI55" s="118"/>
      <c r="AJ55" s="118"/>
      <c r="AK55" s="118"/>
      <c r="AL55" s="118"/>
      <c r="AM55" s="118"/>
      <c r="AN55" s="118"/>
      <c r="AO55" s="118"/>
      <c r="AP55" s="118"/>
    </row>
    <row r="56" spans="1:141">
      <c r="A56" s="117"/>
      <c r="B56" s="117"/>
      <c r="C56" s="117"/>
      <c r="D56" s="117"/>
      <c r="E56" s="117"/>
      <c r="F56" s="117"/>
      <c r="G56" s="118"/>
      <c r="H56" s="243"/>
      <c r="I56" s="243"/>
      <c r="J56" s="243"/>
      <c r="K56" s="243"/>
      <c r="L56" s="243"/>
      <c r="M56" s="243"/>
      <c r="N56" s="243"/>
      <c r="O56" s="243"/>
      <c r="P56" s="243"/>
      <c r="Q56" s="243"/>
      <c r="R56" s="243"/>
      <c r="S56" s="240"/>
      <c r="T56" s="243"/>
      <c r="U56" s="243"/>
      <c r="V56" s="243"/>
      <c r="W56" s="243"/>
      <c r="X56" s="243"/>
      <c r="Y56" s="243"/>
      <c r="Z56" s="243"/>
      <c r="AA56" s="243"/>
      <c r="AB56" s="118"/>
      <c r="AC56" s="118"/>
      <c r="AD56" s="118"/>
      <c r="AE56" s="118"/>
      <c r="AF56" s="118"/>
      <c r="AG56" s="118"/>
      <c r="AH56" s="118"/>
      <c r="AI56" s="118"/>
      <c r="AJ56" s="118"/>
      <c r="AK56" s="118"/>
      <c r="AL56" s="118"/>
      <c r="AM56" s="118"/>
      <c r="AN56" s="118"/>
      <c r="AO56" s="118"/>
      <c r="AP56" s="118"/>
    </row>
    <row r="57" spans="1:141">
      <c r="A57" s="117"/>
      <c r="B57" s="117"/>
      <c r="C57" s="117"/>
      <c r="D57" s="117"/>
      <c r="E57" s="117"/>
      <c r="F57" s="117"/>
      <c r="G57" s="118"/>
      <c r="H57" s="118"/>
      <c r="I57" s="118"/>
      <c r="J57" s="118"/>
      <c r="K57" s="118"/>
      <c r="L57" s="118"/>
      <c r="M57" s="118"/>
      <c r="N57" s="118"/>
      <c r="O57" s="118"/>
      <c r="P57" s="118"/>
      <c r="Q57" s="118"/>
      <c r="R57" s="118"/>
      <c r="S57" s="240"/>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row>
    <row r="58" spans="1:141">
      <c r="A58" s="117"/>
      <c r="B58" s="117"/>
      <c r="C58" s="117"/>
      <c r="D58" s="117"/>
      <c r="E58" s="117"/>
      <c r="F58" s="117"/>
      <c r="G58" s="118"/>
      <c r="H58" s="243"/>
      <c r="I58" s="243"/>
      <c r="J58" s="243"/>
      <c r="K58" s="243"/>
      <c r="L58" s="243"/>
      <c r="M58" s="243"/>
      <c r="N58" s="243"/>
      <c r="O58" s="243"/>
      <c r="P58" s="243"/>
      <c r="Q58" s="243"/>
      <c r="R58" s="243"/>
      <c r="S58" s="240"/>
      <c r="T58" s="243"/>
      <c r="U58" s="243"/>
      <c r="V58" s="243"/>
      <c r="W58" s="243"/>
      <c r="X58" s="243"/>
      <c r="Y58" s="243"/>
      <c r="Z58" s="243"/>
      <c r="AA58" s="243"/>
      <c r="AB58" s="118"/>
      <c r="AC58" s="118"/>
      <c r="AD58" s="118"/>
      <c r="AE58" s="118"/>
      <c r="AF58" s="118"/>
      <c r="AG58" s="118"/>
      <c r="AH58" s="118"/>
      <c r="AI58" s="118"/>
      <c r="AJ58" s="118"/>
      <c r="AK58" s="118"/>
      <c r="AL58" s="118"/>
      <c r="AM58" s="118"/>
      <c r="AN58" s="118"/>
      <c r="AO58" s="118"/>
      <c r="AP58" s="118"/>
    </row>
    <row r="59" spans="1:141">
      <c r="A59" s="117"/>
      <c r="B59" s="117"/>
      <c r="C59" s="117"/>
      <c r="D59" s="117"/>
      <c r="E59" s="117"/>
      <c r="F59" s="117"/>
      <c r="G59" s="118"/>
      <c r="H59" s="244"/>
      <c r="I59" s="244"/>
      <c r="J59" s="244"/>
      <c r="K59" s="244"/>
      <c r="L59" s="244"/>
      <c r="M59" s="244"/>
      <c r="N59" s="244"/>
      <c r="O59" s="244"/>
      <c r="P59" s="244"/>
      <c r="Q59" s="244"/>
      <c r="R59" s="244"/>
      <c r="S59" s="240"/>
      <c r="T59" s="244"/>
      <c r="U59" s="244"/>
      <c r="V59" s="244"/>
      <c r="W59" s="244"/>
      <c r="X59" s="244"/>
      <c r="Y59" s="244"/>
      <c r="Z59" s="244"/>
      <c r="AA59" s="244"/>
      <c r="AB59" s="118"/>
      <c r="AC59" s="118"/>
      <c r="AD59" s="118"/>
      <c r="AE59" s="118"/>
      <c r="AF59" s="118"/>
      <c r="AG59" s="118"/>
      <c r="AH59" s="118"/>
      <c r="AI59" s="118"/>
      <c r="AJ59" s="118"/>
      <c r="AK59" s="118"/>
      <c r="AL59" s="118"/>
      <c r="AM59" s="118"/>
      <c r="AN59" s="118"/>
      <c r="AO59" s="118"/>
      <c r="AP59" s="118"/>
    </row>
    <row r="60" spans="1:141">
      <c r="A60" s="117"/>
      <c r="B60" s="117"/>
      <c r="C60" s="117"/>
      <c r="D60" s="117"/>
      <c r="E60" s="117"/>
      <c r="F60" s="117"/>
      <c r="G60" s="118"/>
      <c r="H60" s="244"/>
      <c r="I60" s="244"/>
      <c r="J60" s="244"/>
      <c r="K60" s="244"/>
      <c r="L60" s="244"/>
      <c r="M60" s="244"/>
      <c r="N60" s="244"/>
      <c r="O60" s="244"/>
      <c r="P60" s="244"/>
      <c r="Q60" s="244"/>
      <c r="R60" s="244"/>
      <c r="S60" s="240"/>
      <c r="T60" s="244"/>
      <c r="U60" s="244"/>
      <c r="V60" s="244"/>
      <c r="W60" s="244"/>
      <c r="X60" s="244"/>
      <c r="Y60" s="244"/>
      <c r="Z60" s="244"/>
      <c r="AA60" s="244"/>
      <c r="AB60" s="118"/>
      <c r="AC60" s="118"/>
      <c r="AD60" s="118"/>
      <c r="AE60" s="118"/>
      <c r="AF60" s="118"/>
      <c r="AG60" s="118"/>
      <c r="AH60" s="118"/>
      <c r="AI60" s="118"/>
      <c r="AJ60" s="118"/>
      <c r="AK60" s="118"/>
      <c r="AL60" s="118"/>
      <c r="AM60" s="118"/>
      <c r="AN60" s="118"/>
      <c r="AO60" s="118"/>
      <c r="AP60" s="118"/>
    </row>
    <row r="61" spans="1:141">
      <c r="A61" s="117"/>
      <c r="B61" s="117"/>
      <c r="C61" s="117"/>
      <c r="D61" s="117"/>
      <c r="E61" s="117"/>
      <c r="F61" s="117"/>
      <c r="G61" s="118"/>
      <c r="H61" s="118"/>
      <c r="I61" s="118"/>
      <c r="J61" s="118"/>
      <c r="K61" s="118"/>
      <c r="L61" s="118"/>
      <c r="M61" s="118"/>
      <c r="N61" s="118"/>
      <c r="O61" s="118"/>
      <c r="P61" s="118"/>
      <c r="Q61" s="118"/>
      <c r="R61" s="118"/>
      <c r="S61" s="240"/>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row>
    <row r="62" spans="1:141">
      <c r="A62" s="117"/>
      <c r="B62" s="117"/>
      <c r="C62" s="117"/>
      <c r="D62" s="117"/>
      <c r="E62" s="117"/>
      <c r="F62" s="117"/>
      <c r="G62" s="118"/>
      <c r="H62" s="243"/>
      <c r="I62" s="243"/>
      <c r="J62" s="243"/>
      <c r="K62" s="243"/>
      <c r="L62" s="243"/>
      <c r="M62" s="243"/>
      <c r="N62" s="243"/>
      <c r="O62" s="243"/>
      <c r="P62" s="243"/>
      <c r="Q62" s="243"/>
      <c r="R62" s="243"/>
      <c r="S62" s="245"/>
      <c r="T62" s="243"/>
      <c r="U62" s="243"/>
      <c r="V62" s="243"/>
      <c r="W62" s="243"/>
      <c r="X62" s="243"/>
      <c r="Y62" s="243"/>
      <c r="Z62" s="243"/>
      <c r="AA62" s="243"/>
      <c r="AB62" s="118"/>
      <c r="AC62" s="118"/>
      <c r="AD62" s="118"/>
      <c r="AE62" s="118"/>
      <c r="AF62" s="118"/>
      <c r="AG62" s="118"/>
      <c r="AH62" s="118"/>
      <c r="AI62" s="118"/>
      <c r="AJ62" s="118"/>
      <c r="AK62" s="118"/>
      <c r="AL62" s="118"/>
      <c r="AM62" s="118"/>
      <c r="AN62" s="118"/>
      <c r="AO62" s="118"/>
      <c r="AP62" s="118"/>
    </row>
    <row r="63" spans="1:141">
      <c r="A63" s="117"/>
      <c r="B63" s="117"/>
      <c r="C63" s="117"/>
      <c r="D63" s="117"/>
      <c r="E63" s="117"/>
      <c r="F63" s="117"/>
      <c r="G63" s="118"/>
      <c r="H63" s="243"/>
      <c r="I63" s="243"/>
      <c r="J63" s="243"/>
      <c r="K63" s="243"/>
      <c r="L63" s="243"/>
      <c r="M63" s="243"/>
      <c r="N63" s="243"/>
      <c r="O63" s="243"/>
      <c r="P63" s="243"/>
      <c r="Q63" s="243"/>
      <c r="R63" s="243"/>
      <c r="S63" s="240"/>
      <c r="T63" s="243"/>
      <c r="U63" s="243"/>
      <c r="V63" s="243"/>
      <c r="W63" s="243"/>
      <c r="X63" s="243"/>
      <c r="Y63" s="243"/>
      <c r="Z63" s="243"/>
      <c r="AA63" s="243"/>
      <c r="AB63" s="118"/>
      <c r="AC63" s="118"/>
      <c r="AD63" s="118"/>
      <c r="AE63" s="118"/>
      <c r="AF63" s="118"/>
      <c r="AG63" s="118"/>
      <c r="AH63" s="118"/>
      <c r="AI63" s="118"/>
      <c r="AJ63" s="118"/>
      <c r="AK63" s="118"/>
      <c r="AL63" s="118"/>
      <c r="AM63" s="118"/>
      <c r="AN63" s="118"/>
      <c r="AO63" s="118"/>
      <c r="AP63" s="118"/>
    </row>
    <row r="64" spans="1:141">
      <c r="A64" s="117"/>
      <c r="B64" s="117"/>
      <c r="C64" s="117"/>
      <c r="D64" s="117"/>
      <c r="E64" s="117"/>
      <c r="F64" s="117"/>
      <c r="G64" s="118"/>
      <c r="H64" s="118"/>
      <c r="I64" s="118"/>
      <c r="J64" s="118"/>
      <c r="K64" s="118"/>
      <c r="L64" s="118"/>
      <c r="M64" s="118"/>
      <c r="N64" s="118"/>
      <c r="O64" s="118"/>
      <c r="P64" s="118"/>
      <c r="Q64" s="118"/>
      <c r="R64" s="118"/>
      <c r="S64" s="240"/>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row>
    <row r="65" spans="1:42">
      <c r="A65" s="117"/>
      <c r="B65" s="117"/>
      <c r="C65" s="117"/>
      <c r="D65" s="117"/>
      <c r="E65" s="117"/>
      <c r="F65" s="117"/>
      <c r="G65" s="118"/>
      <c r="H65" s="118"/>
      <c r="I65" s="118"/>
      <c r="J65" s="118"/>
      <c r="K65" s="118"/>
      <c r="L65" s="118"/>
      <c r="M65" s="118"/>
      <c r="N65" s="118"/>
      <c r="O65" s="118"/>
      <c r="P65" s="118"/>
      <c r="Q65" s="118"/>
      <c r="R65" s="118"/>
      <c r="S65" s="240"/>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row>
    <row r="66" spans="1:42">
      <c r="A66" s="117"/>
      <c r="B66" s="117"/>
      <c r="C66" s="117"/>
      <c r="D66" s="117"/>
      <c r="E66" s="117"/>
      <c r="F66" s="117"/>
      <c r="G66" s="118"/>
      <c r="H66" s="118"/>
      <c r="I66" s="118"/>
      <c r="J66" s="118"/>
      <c r="K66" s="118"/>
      <c r="L66" s="118"/>
      <c r="M66" s="118"/>
      <c r="N66" s="118"/>
      <c r="O66" s="118"/>
      <c r="P66" s="118"/>
      <c r="Q66" s="118"/>
      <c r="R66" s="118"/>
      <c r="S66" s="240"/>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row>
  </sheetData>
  <mergeCells count="7">
    <mergeCell ref="B7:S7"/>
    <mergeCell ref="T5:AC5"/>
    <mergeCell ref="B6:S6"/>
    <mergeCell ref="T3:AD3"/>
    <mergeCell ref="T4:AD4"/>
    <mergeCell ref="B5:S5"/>
    <mergeCell ref="T6:AC6"/>
  </mergeCells>
  <printOptions horizontalCentered="1"/>
  <pageMargins left="0" right="0" top="0.5" bottom="0.5" header="0.3" footer="0.3"/>
  <pageSetup scale="41" orientation="landscape" r:id="rId1"/>
  <headerFooter differentFirst="1" scaleWithDoc="0" alignWithMargins="0">
    <oddHeader>&amp;RDocket No. UG-170929
Exhibit _____ (MPP-11)
Page 1 o f 1</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36"/>
  <sheetViews>
    <sheetView topLeftCell="A7" workbookViewId="0">
      <selection activeCell="A25" sqref="A25"/>
    </sheetView>
  </sheetViews>
  <sheetFormatPr defaultRowHeight="15.75"/>
  <cols>
    <col min="1" max="1" width="98.7109375" style="146" customWidth="1"/>
    <col min="2" max="2" width="29.42578125" style="146" customWidth="1"/>
    <col min="3" max="16384" width="9.140625" style="146"/>
  </cols>
  <sheetData>
    <row r="1" spans="1:7">
      <c r="A1" s="20" t="s">
        <v>2321</v>
      </c>
    </row>
    <row r="2" spans="1:7">
      <c r="A2" s="20" t="s">
        <v>2326</v>
      </c>
    </row>
    <row r="3" spans="1:7">
      <c r="A3" s="20" t="s">
        <v>1546</v>
      </c>
    </row>
    <row r="4" spans="1:7">
      <c r="A4" s="21"/>
    </row>
    <row r="5" spans="1:7">
      <c r="A5" s="22"/>
    </row>
    <row r="6" spans="1:7">
      <c r="A6" s="22"/>
    </row>
    <row r="7" spans="1:7">
      <c r="A7" s="22"/>
    </row>
    <row r="8" spans="1:7">
      <c r="A8" s="22" t="s">
        <v>2316</v>
      </c>
    </row>
    <row r="9" spans="1:7">
      <c r="A9" s="22"/>
    </row>
    <row r="10" spans="1:7">
      <c r="A10" s="22"/>
    </row>
    <row r="11" spans="1:7">
      <c r="A11" s="22"/>
      <c r="G11" s="147"/>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1547</v>
      </c>
    </row>
    <row r="22" spans="1:1">
      <c r="A22" s="23"/>
    </row>
    <row r="23" spans="1:1">
      <c r="A23" s="23"/>
    </row>
    <row r="24" spans="1:1">
      <c r="A24" s="24" t="s">
        <v>1583</v>
      </c>
    </row>
    <row r="25" spans="1:1">
      <c r="A25" s="23"/>
    </row>
    <row r="26" spans="1:1">
      <c r="A26" s="23"/>
    </row>
    <row r="27" spans="1:1">
      <c r="A27" s="23"/>
    </row>
    <row r="28" spans="1:1">
      <c r="A28" s="23"/>
    </row>
    <row r="29" spans="1:1">
      <c r="A29" s="23"/>
    </row>
    <row r="30" spans="1:1">
      <c r="A30" s="803" t="s">
        <v>2327</v>
      </c>
    </row>
    <row r="31" spans="1:1">
      <c r="A31" s="148"/>
    </row>
    <row r="32" spans="1:1">
      <c r="A32" s="147"/>
    </row>
    <row r="33" spans="1:1">
      <c r="A33" s="147"/>
    </row>
    <row r="34" spans="1:1">
      <c r="A34" s="147"/>
    </row>
    <row r="35" spans="1:1">
      <c r="A35" s="147"/>
    </row>
    <row r="36" spans="1:1">
      <c r="A36" s="147"/>
    </row>
  </sheetData>
  <pageMargins left="0.7" right="0.7" top="0.75" bottom="0.75" header="0.3" footer="0.3"/>
  <pageSetup scale="99" fitToHeight="0" orientation="portrait" useFirstPageNumber="1" r:id="rId1"/>
  <headerFooter differentFirst="1" scaleWithDoc="0" alignWithMargins="0">
    <oddHeader>&amp;RDocket No. UG-170929
Exhibit _____ (MPP-12)
Page &amp;P of 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2018-08-10T07:00:00+00:00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0FABF-C668-4411-AEB7-2B2B4C6D6B85}"/>
</file>

<file path=customXml/itemProps2.xml><?xml version="1.0" encoding="utf-8"?>
<ds:datastoreItem xmlns:ds="http://schemas.openxmlformats.org/officeDocument/2006/customXml" ds:itemID="{316C1520-137B-4506-A382-9030ABE9698E}"/>
</file>

<file path=customXml/itemProps3.xml><?xml version="1.0" encoding="utf-8"?>
<ds:datastoreItem xmlns:ds="http://schemas.openxmlformats.org/officeDocument/2006/customXml" ds:itemID="{A6D38A91-1636-41BC-AA99-82C3B1BF65E8}"/>
</file>

<file path=customXml/itemProps4.xml><?xml version="1.0" encoding="utf-8"?>
<ds:datastoreItem xmlns:ds="http://schemas.openxmlformats.org/officeDocument/2006/customXml" ds:itemID="{7D6A1BD8-74D0-4140-8DE7-A43F170AA5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22</vt:i4>
      </vt:variant>
    </vt:vector>
  </HeadingPairs>
  <TitlesOfParts>
    <vt:vector size="60" baseType="lpstr">
      <vt:lpstr>Cover Page MPP-8</vt:lpstr>
      <vt:lpstr>Exh MPP-8 - ROO Summary Sheet</vt:lpstr>
      <vt:lpstr>Cover Page MPP-9</vt:lpstr>
      <vt:lpstr>Exh MPP-9 - Rev Req Calc</vt:lpstr>
      <vt:lpstr>Cover Page MPP-10</vt:lpstr>
      <vt:lpstr>Exh MPP-10 - Conversion Factor</vt:lpstr>
      <vt:lpstr>Cover Page MPP-11</vt:lpstr>
      <vt:lpstr>Exh MPP-11 - Summary of Adj</vt:lpstr>
      <vt:lpstr>Cover Page MPP-12</vt:lpstr>
      <vt:lpstr>MPP-12 - Plant Additions</vt:lpstr>
      <vt:lpstr>Cover Page MPP-13</vt:lpstr>
      <vt:lpstr>MPP-13 - Updated Staff Method</vt:lpstr>
      <vt:lpstr>Cover Page MPP-14</vt:lpstr>
      <vt:lpstr>MPP-14 - Working Capital</vt:lpstr>
      <vt:lpstr>MPP-6 -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'Capital Structure Calculation'!Print_Area</vt:lpstr>
      <vt:lpstr>'CRM Adjustment (a)'!Print_Area</vt:lpstr>
      <vt:lpstr>'Exh MPP-11 - Summary of Adj'!Print_Area</vt:lpstr>
      <vt:lpstr>'Exh MPP-8 - ROO Summary Sheet'!Print_Area</vt:lpstr>
      <vt:lpstr>Index!Print_Area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'Workpaper - Support Documents &gt;'!Print_Area</vt:lpstr>
      <vt:lpstr>'Adv for Const. &amp; Def Tax'!Print_Titles</vt:lpstr>
      <vt:lpstr>'Advertising Adj'!Print_Titles</vt:lpstr>
      <vt:lpstr>'CRM Adjustment (b)'!Print_Titles</vt:lpstr>
      <vt:lpstr>'MPP-12 -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2018-03-23T21:11:03Z</cp:lastPrinted>
  <dcterms:created xsi:type="dcterms:W3CDTF">2014-12-11T21:48:04Z</dcterms:created>
  <dcterms:modified xsi:type="dcterms:W3CDTF">2018-03-23T21:11:29Z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