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60" windowHeight="9612" activeTab="5"/>
  </bookViews>
  <sheets>
    <sheet name="Electric Deferral" sheetId="1" r:id="rId1"/>
    <sheet name="Acerno_Cache_XXXXX" sheetId="6" state="veryHidden" r:id="rId2"/>
    <sheet name="Nat Gas Deferral" sheetId="2" r:id="rId3"/>
    <sheet name="Accounting Balances" sheetId="3" r:id="rId4"/>
    <sheet name="Interest Reconciliation" sheetId="5" r:id="rId5"/>
    <sheet name="Notes" sheetId="4" r:id="rId6"/>
  </sheets>
  <definedNames>
    <definedName name="_xlnm.Print_Area" localSheetId="3">'Accounting Balances'!$A$1:$H$145</definedName>
    <definedName name="_xlnm.Print_Area" localSheetId="4">'Interest Reconciliation'!$A$1:$R$102</definedName>
    <definedName name="_xlnm.Print_Area" localSheetId="5">Notes!$A$1:$K$31</definedName>
  </definedNames>
  <calcPr calcId="152511"/>
</workbook>
</file>

<file path=xl/calcChain.xml><?xml version="1.0" encoding="utf-8"?>
<calcChain xmlns="http://schemas.openxmlformats.org/spreadsheetml/2006/main">
  <c r="O42" i="1" l="1"/>
  <c r="O12" i="5" l="1"/>
  <c r="Q145" i="5" l="1"/>
  <c r="Q146" i="5" s="1"/>
  <c r="H145" i="5"/>
  <c r="H146" i="5" s="1"/>
  <c r="Q129" i="5"/>
  <c r="Q130" i="5" s="1"/>
  <c r="H129" i="5"/>
  <c r="H130" i="5" s="1"/>
  <c r="Q113" i="5"/>
  <c r="Q114" i="5" s="1"/>
  <c r="H112" i="5"/>
  <c r="H113" i="5" s="1"/>
  <c r="H114" i="5" s="1"/>
  <c r="Q47" i="5"/>
  <c r="Q48" i="5" s="1"/>
  <c r="H47" i="5"/>
  <c r="H48" i="5" s="1"/>
  <c r="Q31" i="5"/>
  <c r="Q32" i="5" s="1"/>
  <c r="H31" i="5"/>
  <c r="H32" i="5" s="1"/>
  <c r="M19" i="5"/>
  <c r="N19" i="5"/>
  <c r="D19" i="5"/>
  <c r="E19" i="5"/>
  <c r="D17" i="5"/>
  <c r="N17" i="5" l="1"/>
  <c r="M17" i="5"/>
  <c r="O11" i="5" l="1"/>
  <c r="O13" i="5"/>
  <c r="O14" i="5"/>
  <c r="O15" i="5"/>
  <c r="O16" i="5"/>
  <c r="F11" i="5"/>
  <c r="F12" i="5"/>
  <c r="F13" i="5"/>
  <c r="F14" i="5"/>
  <c r="F15" i="5"/>
  <c r="F16" i="5"/>
  <c r="O19" i="5" l="1"/>
  <c r="F19" i="5"/>
  <c r="M20" i="2" l="1"/>
  <c r="N20" i="2" s="1"/>
  <c r="M22" i="1"/>
  <c r="N22" i="1" s="1"/>
  <c r="N18" i="5" l="1"/>
  <c r="M18" i="5"/>
  <c r="D18" i="5"/>
  <c r="E18" i="5"/>
  <c r="O8" i="5"/>
  <c r="O9" i="5"/>
  <c r="O10" i="5"/>
  <c r="F10" i="5"/>
  <c r="F9" i="5"/>
  <c r="F8" i="5"/>
  <c r="F18" i="5" l="1"/>
  <c r="O18" i="5"/>
  <c r="J70" i="3"/>
  <c r="J68" i="3"/>
  <c r="J67" i="3"/>
  <c r="J66" i="3"/>
  <c r="I26" i="4" l="1"/>
  <c r="I25" i="4"/>
  <c r="I24" i="4"/>
  <c r="I21" i="4"/>
  <c r="I20" i="4"/>
  <c r="I19" i="4"/>
  <c r="I16" i="4" l="1"/>
  <c r="I15" i="4"/>
  <c r="I14" i="4"/>
  <c r="I11" i="4" l="1"/>
  <c r="I10" i="4"/>
  <c r="I9" i="4"/>
  <c r="E17" i="5" l="1"/>
  <c r="O7" i="5" l="1"/>
  <c r="O6" i="5"/>
  <c r="O5" i="5"/>
  <c r="F6" i="5"/>
  <c r="F7" i="5"/>
  <c r="F5" i="5"/>
  <c r="H142" i="5"/>
  <c r="H143" i="5" s="1"/>
  <c r="H148" i="5" s="1"/>
  <c r="H149" i="5" s="1"/>
  <c r="H110" i="5"/>
  <c r="Q110" i="5"/>
  <c r="Q111" i="5" s="1"/>
  <c r="Q116" i="5" s="1"/>
  <c r="Q117" i="5" s="1"/>
  <c r="H77" i="5"/>
  <c r="H78" i="5" s="1"/>
  <c r="H84" i="5" l="1"/>
  <c r="H85" i="5" s="1"/>
  <c r="H81" i="5"/>
  <c r="F17" i="5"/>
  <c r="O17" i="5"/>
  <c r="Q142" i="5"/>
  <c r="Q143" i="5" s="1"/>
  <c r="Q148" i="5" s="1"/>
  <c r="Q149" i="5" s="1"/>
  <c r="H116" i="5"/>
  <c r="H117" i="5" s="1"/>
  <c r="Q77" i="5"/>
  <c r="Q78" i="5" s="1"/>
  <c r="H82" i="5" l="1"/>
  <c r="Q84" i="5"/>
  <c r="Q85" i="5" s="1"/>
  <c r="Q81" i="5"/>
  <c r="Q139" i="5"/>
  <c r="Q140" i="5" s="1"/>
  <c r="H139" i="5"/>
  <c r="H140" i="5" s="1"/>
  <c r="M138" i="5"/>
  <c r="O138" i="5" s="1"/>
  <c r="D138" i="5"/>
  <c r="F138" i="5" s="1"/>
  <c r="Q126" i="5"/>
  <c r="Q127" i="5" s="1"/>
  <c r="Q132" i="5" s="1"/>
  <c r="Q133" i="5" s="1"/>
  <c r="H126" i="5"/>
  <c r="H127" i="5" s="1"/>
  <c r="H132" i="5" s="1"/>
  <c r="H133" i="5" s="1"/>
  <c r="Q123" i="5"/>
  <c r="Q124" i="5" s="1"/>
  <c r="H123" i="5"/>
  <c r="H124" i="5" s="1"/>
  <c r="M122" i="5"/>
  <c r="O122" i="5" s="1"/>
  <c r="D122" i="5"/>
  <c r="F122" i="5" s="1"/>
  <c r="Q107" i="5"/>
  <c r="Q108" i="5" s="1"/>
  <c r="H107" i="5"/>
  <c r="H108" i="5" s="1"/>
  <c r="M106" i="5"/>
  <c r="O106" i="5" s="1"/>
  <c r="D106" i="5"/>
  <c r="F106" i="5" s="1"/>
  <c r="Q94" i="5"/>
  <c r="Q95" i="5" s="1"/>
  <c r="H94" i="5"/>
  <c r="H95" i="5" s="1"/>
  <c r="Q91" i="5"/>
  <c r="Q92" i="5" s="1"/>
  <c r="H91" i="5"/>
  <c r="H92" i="5" s="1"/>
  <c r="M90" i="5"/>
  <c r="O90" i="5" s="1"/>
  <c r="D90" i="5"/>
  <c r="F90" i="5" s="1"/>
  <c r="Q74" i="5"/>
  <c r="Q75" i="5" s="1"/>
  <c r="H74" i="5"/>
  <c r="H75" i="5" s="1"/>
  <c r="M73" i="5"/>
  <c r="O73" i="5" s="1"/>
  <c r="D73" i="5"/>
  <c r="F73" i="5" s="1"/>
  <c r="Q60" i="5"/>
  <c r="Q61" i="5" s="1"/>
  <c r="H60" i="5"/>
  <c r="H61" i="5" s="1"/>
  <c r="Q57" i="5"/>
  <c r="Q58" i="5" s="1"/>
  <c r="H57" i="5"/>
  <c r="H58" i="5" s="1"/>
  <c r="M56" i="5"/>
  <c r="O56" i="5" s="1"/>
  <c r="D56" i="5"/>
  <c r="F56" i="5" s="1"/>
  <c r="Q44" i="5"/>
  <c r="Q45" i="5" s="1"/>
  <c r="Q50" i="5" s="1"/>
  <c r="Q51" i="5" s="1"/>
  <c r="H44" i="5"/>
  <c r="H45" i="5" s="1"/>
  <c r="H50" i="5" s="1"/>
  <c r="H51" i="5" s="1"/>
  <c r="Q41" i="5"/>
  <c r="Q42" i="5" s="1"/>
  <c r="H41" i="5"/>
  <c r="H42" i="5" s="1"/>
  <c r="M40" i="5"/>
  <c r="O40" i="5" s="1"/>
  <c r="D40" i="5"/>
  <c r="F40" i="5" s="1"/>
  <c r="Q28" i="5"/>
  <c r="Q29" i="5" s="1"/>
  <c r="Q34" i="5" s="1"/>
  <c r="Q35" i="5" s="1"/>
  <c r="Q25" i="5"/>
  <c r="Q26" i="5" s="1"/>
  <c r="M24" i="5"/>
  <c r="D24" i="5"/>
  <c r="H25" i="5"/>
  <c r="H26" i="5" s="1"/>
  <c r="H28" i="5" s="1"/>
  <c r="H29" i="5" s="1"/>
  <c r="H34" i="5" s="1"/>
  <c r="H35" i="5" s="1"/>
  <c r="Q82" i="5" l="1"/>
  <c r="H67" i="5"/>
  <c r="H68" i="5" s="1"/>
  <c r="H64" i="5"/>
  <c r="Q67" i="5"/>
  <c r="Q68" i="5" s="1"/>
  <c r="Q64" i="5"/>
  <c r="H100" i="5"/>
  <c r="H101" i="5" s="1"/>
  <c r="H97" i="5"/>
  <c r="H98" i="5" s="1"/>
  <c r="Q100" i="5"/>
  <c r="Q101" i="5" s="1"/>
  <c r="Q97" i="5"/>
  <c r="Q98" i="5" s="1"/>
  <c r="O24" i="5"/>
  <c r="M25" i="5" s="1"/>
  <c r="L5" i="5"/>
  <c r="F24" i="5"/>
  <c r="D25" i="5" s="1"/>
  <c r="C5" i="5"/>
  <c r="H5" i="5" s="1"/>
  <c r="M123" i="5"/>
  <c r="O123" i="5" s="1"/>
  <c r="M139" i="5"/>
  <c r="O139" i="5" s="1"/>
  <c r="D123" i="5"/>
  <c r="F123" i="5" s="1"/>
  <c r="D139" i="5"/>
  <c r="F139" i="5" s="1"/>
  <c r="M107" i="5"/>
  <c r="O107" i="5" s="1"/>
  <c r="M91" i="5"/>
  <c r="O91" i="5" s="1"/>
  <c r="D91" i="5"/>
  <c r="F91" i="5" s="1"/>
  <c r="D107" i="5"/>
  <c r="F107" i="5" s="1"/>
  <c r="D57" i="5"/>
  <c r="F57" i="5" s="1"/>
  <c r="D74" i="5"/>
  <c r="F74" i="5" s="1"/>
  <c r="M57" i="5"/>
  <c r="O57" i="5" s="1"/>
  <c r="M74" i="5"/>
  <c r="O74" i="5" s="1"/>
  <c r="D41" i="5"/>
  <c r="F41" i="5" s="1"/>
  <c r="M41" i="5"/>
  <c r="O41" i="5" s="1"/>
  <c r="Q65" i="5" l="1"/>
  <c r="H65" i="5"/>
  <c r="Q5" i="5"/>
  <c r="O25" i="5"/>
  <c r="M26" i="5" s="1"/>
  <c r="L6" i="5"/>
  <c r="Q6" i="5" s="1"/>
  <c r="F25" i="5"/>
  <c r="C6" i="5"/>
  <c r="H6" i="5" s="1"/>
  <c r="D140" i="5"/>
  <c r="F140" i="5" s="1"/>
  <c r="D124" i="5"/>
  <c r="F124" i="5" s="1"/>
  <c r="M140" i="5"/>
  <c r="O140" i="5" s="1"/>
  <c r="M141" i="5" s="1"/>
  <c r="O141" i="5" s="1"/>
  <c r="M142" i="5" s="1"/>
  <c r="O142" i="5" s="1"/>
  <c r="M124" i="5"/>
  <c r="O124" i="5" s="1"/>
  <c r="D92" i="5"/>
  <c r="F92" i="5" s="1"/>
  <c r="M108" i="5"/>
  <c r="O108" i="5" s="1"/>
  <c r="M109" i="5" s="1"/>
  <c r="O109" i="5" s="1"/>
  <c r="M110" i="5" s="1"/>
  <c r="O110" i="5" s="1"/>
  <c r="D108" i="5"/>
  <c r="F108" i="5" s="1"/>
  <c r="D109" i="5" s="1"/>
  <c r="F109" i="5" s="1"/>
  <c r="D110" i="5" s="1"/>
  <c r="F110" i="5" s="1"/>
  <c r="D111" i="5" s="1"/>
  <c r="F111" i="5" s="1"/>
  <c r="M92" i="5"/>
  <c r="O92" i="5" s="1"/>
  <c r="D75" i="5"/>
  <c r="F75" i="5" s="1"/>
  <c r="M58" i="5"/>
  <c r="O58" i="5" s="1"/>
  <c r="D58" i="5"/>
  <c r="F58" i="5" s="1"/>
  <c r="D59" i="5" s="1"/>
  <c r="M75" i="5"/>
  <c r="O75" i="5" s="1"/>
  <c r="M76" i="5" s="1"/>
  <c r="O76" i="5" s="1"/>
  <c r="M77" i="5" s="1"/>
  <c r="O77" i="5" s="1"/>
  <c r="M78" i="5" s="1"/>
  <c r="M42" i="5"/>
  <c r="O42" i="5" s="1"/>
  <c r="D42" i="5"/>
  <c r="F42" i="5" s="1"/>
  <c r="D26" i="5" l="1"/>
  <c r="F26" i="5" s="1"/>
  <c r="O26" i="5"/>
  <c r="M27" i="5" s="1"/>
  <c r="L7" i="5"/>
  <c r="Q7" i="5" s="1"/>
  <c r="M143" i="5"/>
  <c r="O143" i="5" s="1"/>
  <c r="M144" i="5" s="1"/>
  <c r="O144" i="5" s="1"/>
  <c r="D112" i="5"/>
  <c r="F112" i="5" s="1"/>
  <c r="D113" i="5" s="1"/>
  <c r="F113" i="5" s="1"/>
  <c r="D141" i="5"/>
  <c r="F141" i="5" s="1"/>
  <c r="M111" i="5"/>
  <c r="O111" i="5" s="1"/>
  <c r="M112" i="5" s="1"/>
  <c r="O112" i="5" s="1"/>
  <c r="D76" i="5"/>
  <c r="F76" i="5" s="1"/>
  <c r="O78" i="5"/>
  <c r="D125" i="5"/>
  <c r="F125" i="5" s="1"/>
  <c r="M125" i="5"/>
  <c r="O125" i="5" s="1"/>
  <c r="D93" i="5"/>
  <c r="F93" i="5" s="1"/>
  <c r="M93" i="5"/>
  <c r="O93" i="5" s="1"/>
  <c r="M59" i="5"/>
  <c r="O59" i="5" s="1"/>
  <c r="F59" i="5"/>
  <c r="D43" i="5"/>
  <c r="F43" i="5" s="1"/>
  <c r="M43" i="5"/>
  <c r="O43" i="5" s="1"/>
  <c r="M79" i="5" l="1"/>
  <c r="O79" i="5" s="1"/>
  <c r="M81" i="5" s="1"/>
  <c r="D27" i="5"/>
  <c r="F27" i="5" s="1"/>
  <c r="D28" i="5" s="1"/>
  <c r="C7" i="5"/>
  <c r="H7" i="5" s="1"/>
  <c r="L17" i="5"/>
  <c r="Q17" i="5" s="1"/>
  <c r="O27" i="5"/>
  <c r="M28" i="5" s="1"/>
  <c r="L8" i="5"/>
  <c r="D142" i="5"/>
  <c r="F142" i="5" s="1"/>
  <c r="M145" i="5"/>
  <c r="O145" i="5" s="1"/>
  <c r="M146" i="5" s="1"/>
  <c r="O146" i="5" s="1"/>
  <c r="D114" i="5"/>
  <c r="F114" i="5" s="1"/>
  <c r="D115" i="5" s="1"/>
  <c r="F115" i="5" s="1"/>
  <c r="M113" i="5"/>
  <c r="O113" i="5" s="1"/>
  <c r="M114" i="5" s="1"/>
  <c r="O114" i="5" s="1"/>
  <c r="D77" i="5"/>
  <c r="F77" i="5" s="1"/>
  <c r="D78" i="5" s="1"/>
  <c r="F78" i="5" s="1"/>
  <c r="D79" i="5" s="1"/>
  <c r="M126" i="5"/>
  <c r="O126" i="5" s="1"/>
  <c r="D126" i="5"/>
  <c r="F126" i="5" s="1"/>
  <c r="M94" i="5"/>
  <c r="O94" i="5" s="1"/>
  <c r="M95" i="5" s="1"/>
  <c r="D94" i="5"/>
  <c r="F94" i="5" s="1"/>
  <c r="D60" i="5"/>
  <c r="F60" i="5" s="1"/>
  <c r="D61" i="5" s="1"/>
  <c r="M60" i="5"/>
  <c r="O60" i="5" s="1"/>
  <c r="M44" i="5"/>
  <c r="O44" i="5" s="1"/>
  <c r="D44" i="5"/>
  <c r="F44" i="5" s="1"/>
  <c r="O81" i="5" l="1"/>
  <c r="M82" i="5" s="1"/>
  <c r="C8" i="5"/>
  <c r="H8" i="5" s="1"/>
  <c r="C17" i="5"/>
  <c r="H17" i="5" s="1"/>
  <c r="Q8" i="5"/>
  <c r="O28" i="5"/>
  <c r="M29" i="5" s="1"/>
  <c r="L9" i="5"/>
  <c r="Q9" i="5" s="1"/>
  <c r="C9" i="5"/>
  <c r="H9" i="5" s="1"/>
  <c r="M115" i="5"/>
  <c r="O115" i="5" s="1"/>
  <c r="M116" i="5" s="1"/>
  <c r="O116" i="5" s="1"/>
  <c r="D116" i="5"/>
  <c r="F116" i="5" s="1"/>
  <c r="D117" i="5" s="1"/>
  <c r="F117" i="5" s="1"/>
  <c r="M147" i="5"/>
  <c r="O147" i="5" s="1"/>
  <c r="M148" i="5" s="1"/>
  <c r="O148" i="5" s="1"/>
  <c r="D143" i="5"/>
  <c r="F143" i="5" s="1"/>
  <c r="D144" i="5" s="1"/>
  <c r="F144" i="5" s="1"/>
  <c r="F79" i="5"/>
  <c r="F80" i="5" s="1"/>
  <c r="F28" i="5"/>
  <c r="D29" i="5" s="1"/>
  <c r="D127" i="5"/>
  <c r="F127" i="5" s="1"/>
  <c r="M127" i="5"/>
  <c r="O127" i="5" s="1"/>
  <c r="D95" i="5"/>
  <c r="F95" i="5" s="1"/>
  <c r="O95" i="5"/>
  <c r="M96" i="5" s="1"/>
  <c r="M61" i="5"/>
  <c r="O61" i="5" s="1"/>
  <c r="D45" i="5"/>
  <c r="F45" i="5" s="1"/>
  <c r="D46" i="5" s="1"/>
  <c r="M45" i="5"/>
  <c r="O45" i="5" s="1"/>
  <c r="O82" i="5" l="1"/>
  <c r="M83" i="5" s="1"/>
  <c r="O83" i="5" s="1"/>
  <c r="M84" i="5" s="1"/>
  <c r="O84" i="5" s="1"/>
  <c r="M85" i="5" s="1"/>
  <c r="O85" i="5" s="1"/>
  <c r="D81" i="5"/>
  <c r="F81" i="5" s="1"/>
  <c r="D82" i="5" s="1"/>
  <c r="F61" i="5"/>
  <c r="D62" i="5" s="1"/>
  <c r="C10" i="5"/>
  <c r="H10" i="5" s="1"/>
  <c r="H18" i="5" s="1"/>
  <c r="O29" i="5"/>
  <c r="M30" i="5" s="1"/>
  <c r="L10" i="5"/>
  <c r="Q10" i="5" s="1"/>
  <c r="M117" i="5"/>
  <c r="O117" i="5" s="1"/>
  <c r="D145" i="5"/>
  <c r="F145" i="5" s="1"/>
  <c r="D146" i="5" s="1"/>
  <c r="F146" i="5" s="1"/>
  <c r="M149" i="5"/>
  <c r="O149" i="5" s="1"/>
  <c r="F29" i="5"/>
  <c r="D30" i="5" s="1"/>
  <c r="D128" i="5"/>
  <c r="F128" i="5" s="1"/>
  <c r="M128" i="5"/>
  <c r="O128" i="5" s="1"/>
  <c r="D96" i="5"/>
  <c r="F96" i="5" s="1"/>
  <c r="O96" i="5"/>
  <c r="M97" i="5" s="1"/>
  <c r="M62" i="5"/>
  <c r="O62" i="5" s="1"/>
  <c r="F46" i="5"/>
  <c r="D47" i="5" s="1"/>
  <c r="M46" i="5"/>
  <c r="O46" i="5" s="1"/>
  <c r="M64" i="5" l="1"/>
  <c r="O64" i="5" s="1"/>
  <c r="M65" i="5" s="1"/>
  <c r="F82" i="5"/>
  <c r="L18" i="5"/>
  <c r="Q18" i="5" s="1"/>
  <c r="F62" i="5"/>
  <c r="F63" i="5" s="1"/>
  <c r="C18" i="5"/>
  <c r="C11" i="5"/>
  <c r="O30" i="5"/>
  <c r="M31" i="5" s="1"/>
  <c r="L11" i="5"/>
  <c r="Q11" i="5" s="1"/>
  <c r="D147" i="5"/>
  <c r="F147" i="5" s="1"/>
  <c r="D148" i="5" s="1"/>
  <c r="F148" i="5" s="1"/>
  <c r="F30" i="5"/>
  <c r="D31" i="5" s="1"/>
  <c r="M129" i="5"/>
  <c r="O129" i="5" s="1"/>
  <c r="D129" i="5"/>
  <c r="F129" i="5" s="1"/>
  <c r="O97" i="5"/>
  <c r="M98" i="5" s="1"/>
  <c r="D97" i="5"/>
  <c r="F97" i="5" s="1"/>
  <c r="M47" i="5"/>
  <c r="O47" i="5" s="1"/>
  <c r="F47" i="5"/>
  <c r="D48" i="5" s="1"/>
  <c r="D64" i="5" l="1"/>
  <c r="F64" i="5" s="1"/>
  <c r="H11" i="5"/>
  <c r="O31" i="5"/>
  <c r="M32" i="5" s="1"/>
  <c r="L12" i="5"/>
  <c r="Q12" i="5" s="1"/>
  <c r="D149" i="5"/>
  <c r="F149" i="5" s="1"/>
  <c r="F31" i="5"/>
  <c r="D32" i="5" s="1"/>
  <c r="D130" i="5"/>
  <c r="F130" i="5" s="1"/>
  <c r="M130" i="5"/>
  <c r="O130" i="5" s="1"/>
  <c r="D98" i="5"/>
  <c r="F98" i="5" s="1"/>
  <c r="O98" i="5"/>
  <c r="O65" i="5"/>
  <c r="M48" i="5"/>
  <c r="O48" i="5" s="1"/>
  <c r="C12" i="5" l="1"/>
  <c r="H12" i="5" s="1"/>
  <c r="D83" i="5"/>
  <c r="F83" i="5" s="1"/>
  <c r="F48" i="5"/>
  <c r="D49" i="5" s="1"/>
  <c r="F49" i="5" s="1"/>
  <c r="O32" i="5"/>
  <c r="M33" i="5" s="1"/>
  <c r="L13" i="5"/>
  <c r="F32" i="5"/>
  <c r="D33" i="5" s="1"/>
  <c r="M131" i="5"/>
  <c r="O131" i="5" s="1"/>
  <c r="D131" i="5"/>
  <c r="F131" i="5" s="1"/>
  <c r="D99" i="5"/>
  <c r="F99" i="5" s="1"/>
  <c r="M99" i="5"/>
  <c r="O99" i="5" s="1"/>
  <c r="M66" i="5"/>
  <c r="O66" i="5" s="1"/>
  <c r="M49" i="5"/>
  <c r="O49" i="5" s="1"/>
  <c r="D65" i="5" l="1"/>
  <c r="F65" i="5" s="1"/>
  <c r="D84" i="5"/>
  <c r="F84" i="5" s="1"/>
  <c r="L19" i="5"/>
  <c r="Q19" i="5" s="1"/>
  <c r="Q13" i="5"/>
  <c r="O33" i="5"/>
  <c r="M34" i="5" s="1"/>
  <c r="L14" i="5"/>
  <c r="F33" i="5"/>
  <c r="D34" i="5" s="1"/>
  <c r="D132" i="5"/>
  <c r="F132" i="5" s="1"/>
  <c r="M132" i="5"/>
  <c r="O132" i="5" s="1"/>
  <c r="D100" i="5"/>
  <c r="F100" i="5" s="1"/>
  <c r="M100" i="5"/>
  <c r="O100" i="5" s="1"/>
  <c r="M67" i="5"/>
  <c r="O67" i="5" s="1"/>
  <c r="D50" i="5"/>
  <c r="F50" i="5" s="1"/>
  <c r="M50" i="5"/>
  <c r="O50" i="5" s="1"/>
  <c r="C13" i="5" l="1"/>
  <c r="H13" i="5" s="1"/>
  <c r="D66" i="5"/>
  <c r="F66" i="5" s="1"/>
  <c r="D85" i="5"/>
  <c r="F85" i="5" s="1"/>
  <c r="O34" i="5"/>
  <c r="M35" i="5" s="1"/>
  <c r="L15" i="5"/>
  <c r="F34" i="5"/>
  <c r="D35" i="5" s="1"/>
  <c r="M133" i="5"/>
  <c r="O133" i="5" s="1"/>
  <c r="D133" i="5"/>
  <c r="F133" i="5" s="1"/>
  <c r="M101" i="5"/>
  <c r="O101" i="5" s="1"/>
  <c r="D101" i="5"/>
  <c r="F101" i="5" s="1"/>
  <c r="M68" i="5"/>
  <c r="O68" i="5" s="1"/>
  <c r="M51" i="5"/>
  <c r="O51" i="5" s="1"/>
  <c r="D51" i="5"/>
  <c r="F51" i="5" s="1"/>
  <c r="C19" i="5" l="1"/>
  <c r="H19" i="5" s="1"/>
  <c r="D67" i="5"/>
  <c r="F67" i="5" s="1"/>
  <c r="C14" i="5"/>
  <c r="O35" i="5"/>
  <c r="L16" i="5"/>
  <c r="F35" i="5"/>
  <c r="J71" i="3"/>
  <c r="J72" i="3"/>
  <c r="D68" i="5" l="1"/>
  <c r="F68" i="5" s="1"/>
  <c r="C15" i="5"/>
  <c r="K72" i="3"/>
  <c r="K71" i="3"/>
  <c r="K70" i="3"/>
  <c r="K68" i="3"/>
  <c r="K67" i="3"/>
  <c r="K66" i="3"/>
  <c r="H42" i="2"/>
  <c r="G42" i="2"/>
  <c r="F42" i="2"/>
  <c r="C42" i="2"/>
  <c r="H40" i="2"/>
  <c r="G40" i="2"/>
  <c r="F40" i="2"/>
  <c r="C40" i="2"/>
  <c r="R39" i="2"/>
  <c r="H39" i="2"/>
  <c r="G39" i="2"/>
  <c r="F39" i="2"/>
  <c r="R38" i="2"/>
  <c r="H38" i="2"/>
  <c r="G38" i="2"/>
  <c r="F38" i="2"/>
  <c r="I37" i="2"/>
  <c r="H37" i="2"/>
  <c r="G37" i="2"/>
  <c r="F37" i="2"/>
  <c r="U36" i="2"/>
  <c r="R36" i="2"/>
  <c r="Q36" i="2"/>
  <c r="P36" i="2"/>
  <c r="O36" i="2"/>
  <c r="H36" i="2"/>
  <c r="G36" i="2"/>
  <c r="F36" i="2"/>
  <c r="E36" i="2"/>
  <c r="D36" i="2"/>
  <c r="U35" i="2"/>
  <c r="R35" i="2"/>
  <c r="Q35" i="2"/>
  <c r="P35" i="2"/>
  <c r="O35" i="2"/>
  <c r="I35" i="2"/>
  <c r="H35" i="2"/>
  <c r="G35" i="2"/>
  <c r="F35" i="2"/>
  <c r="E35" i="2"/>
  <c r="D35" i="2"/>
  <c r="C35" i="2"/>
  <c r="U34" i="2"/>
  <c r="R34" i="2"/>
  <c r="Q34" i="2"/>
  <c r="P34" i="2"/>
  <c r="O34" i="2"/>
  <c r="M34" i="2"/>
  <c r="L34" i="2"/>
  <c r="I34" i="2"/>
  <c r="H34" i="2"/>
  <c r="G34" i="2"/>
  <c r="F34" i="2"/>
  <c r="E34" i="2"/>
  <c r="D34" i="2"/>
  <c r="U33" i="2"/>
  <c r="T33" i="2"/>
  <c r="R33" i="2"/>
  <c r="Q33" i="2"/>
  <c r="P33" i="2"/>
  <c r="O33" i="2"/>
  <c r="N33" i="2"/>
  <c r="N34" i="2" s="1"/>
  <c r="M33" i="2"/>
  <c r="M35" i="2" s="1"/>
  <c r="M36" i="2" s="1"/>
  <c r="L33" i="2"/>
  <c r="K33" i="2"/>
  <c r="K34" i="2" s="1"/>
  <c r="J33" i="2"/>
  <c r="J34" i="2" s="1"/>
  <c r="I33" i="2"/>
  <c r="H33" i="2"/>
  <c r="G33" i="2"/>
  <c r="F33" i="2"/>
  <c r="E33" i="2"/>
  <c r="D33" i="2"/>
  <c r="C33" i="2"/>
  <c r="E32" i="2"/>
  <c r="D32" i="2"/>
  <c r="E31" i="2"/>
  <c r="D31" i="2"/>
  <c r="U28" i="2"/>
  <c r="R28" i="2"/>
  <c r="Q28" i="2"/>
  <c r="P28" i="2"/>
  <c r="O28" i="2"/>
  <c r="N28" i="2"/>
  <c r="N35" i="2" s="1"/>
  <c r="N36" i="2" s="1"/>
  <c r="M28" i="2"/>
  <c r="L28" i="2"/>
  <c r="L35" i="2" s="1"/>
  <c r="K28" i="2"/>
  <c r="J28" i="2"/>
  <c r="V28" i="2" s="1"/>
  <c r="I28" i="2"/>
  <c r="S28" i="2" s="1"/>
  <c r="S27" i="2" s="1"/>
  <c r="H28" i="2"/>
  <c r="G28" i="2"/>
  <c r="F28" i="2"/>
  <c r="E28" i="2"/>
  <c r="D28" i="2"/>
  <c r="C28" i="2"/>
  <c r="U27" i="2"/>
  <c r="R27" i="2"/>
  <c r="F27" i="2"/>
  <c r="V26" i="2"/>
  <c r="U26" i="2"/>
  <c r="T26" i="2"/>
  <c r="S26" i="2"/>
  <c r="R26" i="2"/>
  <c r="E26" i="2"/>
  <c r="D26" i="2"/>
  <c r="H23" i="2"/>
  <c r="G23" i="2"/>
  <c r="F23" i="2"/>
  <c r="C23" i="2"/>
  <c r="R22" i="2"/>
  <c r="H22" i="2"/>
  <c r="G22" i="2"/>
  <c r="F22" i="2"/>
  <c r="R21" i="2"/>
  <c r="H21" i="2"/>
  <c r="G21" i="2"/>
  <c r="F21" i="2"/>
  <c r="J20" i="2"/>
  <c r="J37" i="2" s="1"/>
  <c r="H20" i="2"/>
  <c r="G20" i="2"/>
  <c r="U19" i="2"/>
  <c r="R19" i="2"/>
  <c r="Q19" i="2"/>
  <c r="P19" i="2"/>
  <c r="O19" i="2"/>
  <c r="H19" i="2"/>
  <c r="G19" i="2"/>
  <c r="F19" i="2"/>
  <c r="E19" i="2"/>
  <c r="D19" i="2"/>
  <c r="U18" i="2"/>
  <c r="R18" i="2"/>
  <c r="Q18" i="2"/>
  <c r="P18" i="2"/>
  <c r="O18" i="2"/>
  <c r="H18" i="2"/>
  <c r="G18" i="2"/>
  <c r="F18" i="2"/>
  <c r="E18" i="2"/>
  <c r="D18" i="2"/>
  <c r="C18" i="2"/>
  <c r="U17" i="2"/>
  <c r="R17" i="2"/>
  <c r="Q17" i="2"/>
  <c r="P17" i="2"/>
  <c r="O17" i="2"/>
  <c r="K17" i="2"/>
  <c r="J17" i="2"/>
  <c r="H17" i="2"/>
  <c r="G17" i="2"/>
  <c r="F17" i="2"/>
  <c r="E17" i="2"/>
  <c r="D17" i="2"/>
  <c r="U16" i="2"/>
  <c r="R16" i="2"/>
  <c r="Q16" i="2"/>
  <c r="P16" i="2"/>
  <c r="O16" i="2"/>
  <c r="N16" i="2"/>
  <c r="N18" i="2" s="1"/>
  <c r="N19" i="2" s="1"/>
  <c r="M16" i="2"/>
  <c r="M17" i="2" s="1"/>
  <c r="L16" i="2"/>
  <c r="L17" i="2" s="1"/>
  <c r="K16" i="2"/>
  <c r="J16" i="2"/>
  <c r="J18" i="2" s="1"/>
  <c r="I16" i="2"/>
  <c r="I17" i="2" s="1"/>
  <c r="H16" i="2"/>
  <c r="G16" i="2"/>
  <c r="F16" i="2"/>
  <c r="E16" i="2"/>
  <c r="D16" i="2"/>
  <c r="C16" i="2"/>
  <c r="E15" i="2"/>
  <c r="D15" i="2"/>
  <c r="E14" i="2"/>
  <c r="D14" i="2"/>
  <c r="E13" i="2"/>
  <c r="D13" i="2"/>
  <c r="U11" i="2"/>
  <c r="T11" i="2"/>
  <c r="T10" i="2" s="1"/>
  <c r="R11" i="2"/>
  <c r="Q11" i="2"/>
  <c r="P11" i="2"/>
  <c r="O11" i="2"/>
  <c r="N11" i="2"/>
  <c r="M11" i="2"/>
  <c r="M18" i="2" s="1"/>
  <c r="M19" i="2" s="1"/>
  <c r="L11" i="2"/>
  <c r="K11" i="2"/>
  <c r="K18" i="2" s="1"/>
  <c r="J11" i="2"/>
  <c r="I11" i="2"/>
  <c r="I18" i="2" s="1"/>
  <c r="H11" i="2"/>
  <c r="G11" i="2"/>
  <c r="F11" i="2"/>
  <c r="E11" i="2"/>
  <c r="D11" i="2"/>
  <c r="C11" i="2"/>
  <c r="A11" i="2"/>
  <c r="U10" i="2"/>
  <c r="R10" i="2"/>
  <c r="F10" i="2"/>
  <c r="A10" i="2"/>
  <c r="V9" i="2"/>
  <c r="U9" i="2"/>
  <c r="T9" i="2"/>
  <c r="S9" i="2"/>
  <c r="R9" i="2"/>
  <c r="E9" i="2"/>
  <c r="D9" i="2"/>
  <c r="Q6" i="2"/>
  <c r="P6" i="2"/>
  <c r="O6" i="2"/>
  <c r="N6" i="2"/>
  <c r="M6" i="2"/>
  <c r="L6" i="2"/>
  <c r="K6" i="2"/>
  <c r="J6" i="2"/>
  <c r="I6" i="2"/>
  <c r="H6" i="2"/>
  <c r="G6" i="2"/>
  <c r="E5" i="2"/>
  <c r="D5" i="2"/>
  <c r="C47" i="1"/>
  <c r="C45" i="1"/>
  <c r="I42" i="1"/>
  <c r="F42" i="1"/>
  <c r="O40" i="1"/>
  <c r="N39" i="1"/>
  <c r="Q38" i="1"/>
  <c r="Q39" i="1" s="1"/>
  <c r="N38" i="1"/>
  <c r="H38" i="1"/>
  <c r="H39" i="1" s="1"/>
  <c r="D38" i="1"/>
  <c r="D39" i="1" s="1"/>
  <c r="Q37" i="1"/>
  <c r="P37" i="1"/>
  <c r="P38" i="1" s="1"/>
  <c r="P39" i="1" s="1"/>
  <c r="O37" i="1"/>
  <c r="O38" i="1" s="1"/>
  <c r="N37" i="1"/>
  <c r="M37" i="1"/>
  <c r="M38" i="1" s="1"/>
  <c r="L37" i="1"/>
  <c r="L38" i="1" s="1"/>
  <c r="L39" i="1" s="1"/>
  <c r="K37" i="1"/>
  <c r="K38" i="1" s="1"/>
  <c r="K39" i="1" s="1"/>
  <c r="J37" i="1"/>
  <c r="J38" i="1" s="1"/>
  <c r="J39" i="1" s="1"/>
  <c r="I37" i="1"/>
  <c r="I38" i="1" s="1"/>
  <c r="H37" i="1"/>
  <c r="G37" i="1"/>
  <c r="G38" i="1" s="1"/>
  <c r="D35" i="1"/>
  <c r="D37" i="1" s="1"/>
  <c r="A35" i="1"/>
  <c r="D34" i="1"/>
  <c r="A34" i="1"/>
  <c r="E33" i="1"/>
  <c r="D33" i="1"/>
  <c r="Q31" i="1"/>
  <c r="P31" i="1"/>
  <c r="P40" i="1" s="1"/>
  <c r="O31" i="1"/>
  <c r="N31" i="1"/>
  <c r="M31" i="1"/>
  <c r="L31" i="1"/>
  <c r="K31" i="1"/>
  <c r="J31" i="1"/>
  <c r="I31" i="1"/>
  <c r="S31" i="1" s="1"/>
  <c r="S30" i="1" s="1"/>
  <c r="H31" i="1"/>
  <c r="H40" i="1" s="1"/>
  <c r="G31" i="1"/>
  <c r="E31" i="1"/>
  <c r="D31" i="1"/>
  <c r="C31" i="1"/>
  <c r="A30" i="1"/>
  <c r="A31" i="1" s="1"/>
  <c r="V29" i="1"/>
  <c r="U29" i="1"/>
  <c r="T29" i="1"/>
  <c r="S29" i="1"/>
  <c r="R29" i="1"/>
  <c r="E29" i="1"/>
  <c r="D29" i="1"/>
  <c r="C25" i="1"/>
  <c r="J22" i="1"/>
  <c r="G22" i="1"/>
  <c r="O21" i="1"/>
  <c r="O20" i="1"/>
  <c r="G20" i="1"/>
  <c r="P19" i="1"/>
  <c r="O19" i="1"/>
  <c r="H19" i="1"/>
  <c r="Q18" i="1"/>
  <c r="Q19" i="1" s="1"/>
  <c r="O18" i="1"/>
  <c r="G18" i="1"/>
  <c r="G19" i="1" s="1"/>
  <c r="C18" i="1"/>
  <c r="Q17" i="1"/>
  <c r="P17" i="1"/>
  <c r="P18" i="1" s="1"/>
  <c r="O17" i="1"/>
  <c r="N17" i="1"/>
  <c r="N18" i="1" s="1"/>
  <c r="N19" i="1" s="1"/>
  <c r="M17" i="1"/>
  <c r="M18" i="1" s="1"/>
  <c r="M19" i="1" s="1"/>
  <c r="L17" i="1"/>
  <c r="L18" i="1" s="1"/>
  <c r="K17" i="1"/>
  <c r="K18" i="1" s="1"/>
  <c r="J17" i="1"/>
  <c r="J18" i="1" s="1"/>
  <c r="J19" i="1" s="1"/>
  <c r="I17" i="1"/>
  <c r="I18" i="1" s="1"/>
  <c r="I19" i="1" s="1"/>
  <c r="H17" i="1"/>
  <c r="H18" i="1" s="1"/>
  <c r="G17" i="1"/>
  <c r="D17" i="1"/>
  <c r="C17" i="1"/>
  <c r="F16" i="1"/>
  <c r="F17" i="1" s="1"/>
  <c r="F18" i="1" s="1"/>
  <c r="D15" i="1"/>
  <c r="D14" i="1"/>
  <c r="E13" i="1"/>
  <c r="D13" i="1"/>
  <c r="Q11" i="1"/>
  <c r="P11" i="1"/>
  <c r="P20" i="1" s="1"/>
  <c r="P21" i="1" s="1"/>
  <c r="O11" i="1"/>
  <c r="N11" i="1"/>
  <c r="M11" i="1"/>
  <c r="L11" i="1"/>
  <c r="K11" i="1"/>
  <c r="J11" i="1"/>
  <c r="I11" i="1"/>
  <c r="S11" i="1" s="1"/>
  <c r="S10" i="1" s="1"/>
  <c r="H11" i="1"/>
  <c r="H20" i="1" s="1"/>
  <c r="H21" i="1" s="1"/>
  <c r="G11" i="1"/>
  <c r="E11" i="1"/>
  <c r="D11" i="1"/>
  <c r="C11" i="1"/>
  <c r="A10" i="1"/>
  <c r="A11" i="1" s="1"/>
  <c r="C20" i="1" s="1"/>
  <c r="V9" i="1"/>
  <c r="U9" i="1"/>
  <c r="T9" i="1"/>
  <c r="S9" i="1"/>
  <c r="R9" i="1"/>
  <c r="E9" i="1"/>
  <c r="D9" i="1"/>
  <c r="G6" i="1"/>
  <c r="H6" i="1" s="1"/>
  <c r="I6" i="1" s="1"/>
  <c r="J6" i="1" s="1"/>
  <c r="K6" i="1" s="1"/>
  <c r="L6" i="1" s="1"/>
  <c r="M6" i="1" s="1"/>
  <c r="N6" i="1" s="1"/>
  <c r="O6" i="1" s="1"/>
  <c r="P6" i="1" s="1"/>
  <c r="Q6" i="1" s="1"/>
  <c r="E5" i="1"/>
  <c r="C16" i="5" l="1"/>
  <c r="V33" i="2"/>
  <c r="T34" i="2"/>
  <c r="T35" i="2"/>
  <c r="L36" i="2"/>
  <c r="T36" i="2" s="1"/>
  <c r="V27" i="2"/>
  <c r="T28" i="2"/>
  <c r="T27" i="2" s="1"/>
  <c r="N17" i="2"/>
  <c r="T16" i="2"/>
  <c r="T17" i="2" s="1"/>
  <c r="L18" i="2"/>
  <c r="L19" i="2" s="1"/>
  <c r="T19" i="2" s="1"/>
  <c r="T18" i="2"/>
  <c r="V11" i="2"/>
  <c r="V10" i="2" s="1"/>
  <c r="N40" i="1"/>
  <c r="N41" i="1" s="1"/>
  <c r="N20" i="1"/>
  <c r="T11" i="1"/>
  <c r="T10" i="1" s="1"/>
  <c r="S33" i="2"/>
  <c r="S34" i="2" s="1"/>
  <c r="K35" i="2"/>
  <c r="K36" i="2" s="1"/>
  <c r="V34" i="2"/>
  <c r="I36" i="2"/>
  <c r="I38" i="2"/>
  <c r="I39" i="2" s="1"/>
  <c r="J35" i="2"/>
  <c r="J36" i="2" s="1"/>
  <c r="I40" i="2"/>
  <c r="K20" i="2"/>
  <c r="V16" i="2"/>
  <c r="V17" i="2" s="1"/>
  <c r="S16" i="2"/>
  <c r="S17" i="2" s="1"/>
  <c r="S18" i="2"/>
  <c r="I19" i="2"/>
  <c r="K19" i="2"/>
  <c r="S11" i="2"/>
  <c r="S10" i="2" s="1"/>
  <c r="J19" i="2"/>
  <c r="K20" i="1"/>
  <c r="K21" i="1" s="1"/>
  <c r="R18" i="1"/>
  <c r="R19" i="1" s="1"/>
  <c r="F19" i="1"/>
  <c r="V18" i="1"/>
  <c r="V19" i="1" s="1"/>
  <c r="S38" i="1"/>
  <c r="S39" i="1" s="1"/>
  <c r="I39" i="1"/>
  <c r="N21" i="1"/>
  <c r="L20" i="1"/>
  <c r="K22" i="1"/>
  <c r="J42" i="1"/>
  <c r="H41" i="1"/>
  <c r="L40" i="1"/>
  <c r="T31" i="1"/>
  <c r="T30" i="1" s="1"/>
  <c r="A36" i="1"/>
  <c r="A37" i="1" s="1"/>
  <c r="A38" i="1" s="1"/>
  <c r="U11" i="1"/>
  <c r="U10" i="1" s="1"/>
  <c r="S18" i="1"/>
  <c r="S19" i="1" s="1"/>
  <c r="K19" i="1"/>
  <c r="J20" i="1"/>
  <c r="G42" i="1"/>
  <c r="H22" i="1"/>
  <c r="H42" i="1" s="1"/>
  <c r="K40" i="1"/>
  <c r="U31" i="1"/>
  <c r="U30" i="1" s="1"/>
  <c r="M39" i="1"/>
  <c r="M40" i="1"/>
  <c r="T38" i="1"/>
  <c r="T39" i="1" s="1"/>
  <c r="J40" i="1"/>
  <c r="P41" i="1"/>
  <c r="O41" i="1"/>
  <c r="E18" i="1"/>
  <c r="E19" i="1" s="1"/>
  <c r="T18" i="1"/>
  <c r="T19" i="1" s="1"/>
  <c r="L19" i="1"/>
  <c r="U18" i="1"/>
  <c r="U19" i="1" s="1"/>
  <c r="U20" i="1"/>
  <c r="G21" i="1"/>
  <c r="C40" i="1"/>
  <c r="I40" i="1"/>
  <c r="Q40" i="1"/>
  <c r="G39" i="1"/>
  <c r="G40" i="1"/>
  <c r="O39" i="1"/>
  <c r="U38" i="1"/>
  <c r="U39" i="1" s="1"/>
  <c r="U40" i="1"/>
  <c r="E35" i="1"/>
  <c r="E37" i="1" s="1"/>
  <c r="E14" i="1"/>
  <c r="F10" i="1"/>
  <c r="F11" i="1" s="1"/>
  <c r="F30" i="1"/>
  <c r="F31" i="1" s="1"/>
  <c r="C38" i="1"/>
  <c r="I20" i="1"/>
  <c r="M20" i="1"/>
  <c r="Q20" i="1"/>
  <c r="D18" i="1"/>
  <c r="E15" i="1"/>
  <c r="E17" i="1" s="1"/>
  <c r="D40" i="1"/>
  <c r="D41" i="1" s="1"/>
  <c r="E34" i="1"/>
  <c r="E38" i="1" s="1"/>
  <c r="F36" i="1"/>
  <c r="F37" i="1" s="1"/>
  <c r="F38" i="1" s="1"/>
  <c r="V18" i="2" l="1"/>
  <c r="S36" i="2"/>
  <c r="V36" i="2"/>
  <c r="V35" i="2"/>
  <c r="S35" i="2"/>
  <c r="J38" i="2"/>
  <c r="J40" i="2" s="1"/>
  <c r="K37" i="2"/>
  <c r="V19" i="2"/>
  <c r="S19" i="2"/>
  <c r="I21" i="2"/>
  <c r="I23" i="2" s="1"/>
  <c r="E39" i="1"/>
  <c r="E40" i="1"/>
  <c r="E41" i="1" s="1"/>
  <c r="F41" i="1" s="1"/>
  <c r="V11" i="1"/>
  <c r="V10" i="1" s="1"/>
  <c r="R11" i="1"/>
  <c r="R10" i="1" s="1"/>
  <c r="F20" i="1"/>
  <c r="R38" i="1"/>
  <c r="R39" i="1" s="1"/>
  <c r="F39" i="1"/>
  <c r="V38" i="1"/>
  <c r="V39" i="1" s="1"/>
  <c r="D19" i="1"/>
  <c r="D20" i="1"/>
  <c r="D21" i="1" s="1"/>
  <c r="F21" i="1" s="1"/>
  <c r="Q41" i="1"/>
  <c r="K41" i="1"/>
  <c r="J21" i="1"/>
  <c r="C37" i="1"/>
  <c r="L21" i="1"/>
  <c r="T20" i="1"/>
  <c r="Q21" i="1"/>
  <c r="U21" i="1" s="1"/>
  <c r="V31" i="1"/>
  <c r="V30" i="1" s="1"/>
  <c r="R31" i="1"/>
  <c r="R30" i="1" s="1"/>
  <c r="F40" i="1"/>
  <c r="G41" i="1"/>
  <c r="I41" i="1"/>
  <c r="S40" i="1"/>
  <c r="M41" i="1"/>
  <c r="M21" i="1"/>
  <c r="T40" i="1"/>
  <c r="L41" i="1"/>
  <c r="T41" i="1" s="1"/>
  <c r="K42" i="1"/>
  <c r="S20" i="1"/>
  <c r="I21" i="1"/>
  <c r="U41" i="1"/>
  <c r="J41" i="1"/>
  <c r="E20" i="1"/>
  <c r="E21" i="1" s="1"/>
  <c r="L37" i="2" l="1"/>
  <c r="K38" i="2"/>
  <c r="K39" i="2" s="1"/>
  <c r="J39" i="2"/>
  <c r="I42" i="2"/>
  <c r="J21" i="2"/>
  <c r="J22" i="2" s="1"/>
  <c r="I22" i="2"/>
  <c r="S41" i="1"/>
  <c r="V41" i="1"/>
  <c r="R41" i="1"/>
  <c r="V21" i="1"/>
  <c r="R21" i="1"/>
  <c r="F43" i="1"/>
  <c r="F44" i="1" s="1"/>
  <c r="V40" i="1"/>
  <c r="R40" i="1"/>
  <c r="F45" i="1"/>
  <c r="V20" i="1"/>
  <c r="F23" i="1"/>
  <c r="R20" i="1"/>
  <c r="S21" i="1"/>
  <c r="L42" i="1"/>
  <c r="T21" i="1"/>
  <c r="S38" i="2" l="1"/>
  <c r="S39" i="2" s="1"/>
  <c r="K40" i="2"/>
  <c r="M37" i="2"/>
  <c r="J23" i="2"/>
  <c r="M42" i="1"/>
  <c r="F25" i="1"/>
  <c r="F24" i="1"/>
  <c r="G43" i="1"/>
  <c r="G44" i="1" s="1"/>
  <c r="N37" i="2" l="1"/>
  <c r="L38" i="2"/>
  <c r="L40" i="2" s="1"/>
  <c r="K21" i="2"/>
  <c r="J42" i="2"/>
  <c r="G45" i="1"/>
  <c r="G23" i="1"/>
  <c r="G25" i="1" s="1"/>
  <c r="F47" i="1"/>
  <c r="N42" i="1"/>
  <c r="M38" i="2" l="1"/>
  <c r="M39" i="2" s="1"/>
  <c r="L39" i="2"/>
  <c r="P20" i="2"/>
  <c r="O37" i="2"/>
  <c r="K22" i="2"/>
  <c r="S21" i="2"/>
  <c r="S22" i="2" s="1"/>
  <c r="K23" i="2"/>
  <c r="G47" i="1"/>
  <c r="H23" i="1"/>
  <c r="H24" i="1" s="1"/>
  <c r="H43" i="1"/>
  <c r="H45" i="1"/>
  <c r="G24" i="1"/>
  <c r="R23" i="1"/>
  <c r="R24" i="1" s="1"/>
  <c r="P22" i="1"/>
  <c r="M40" i="2" l="1"/>
  <c r="N38" i="2" s="1"/>
  <c r="N40" i="2" s="1"/>
  <c r="Q20" i="2"/>
  <c r="Q37" i="2" s="1"/>
  <c r="P37" i="2"/>
  <c r="K42" i="2"/>
  <c r="L21" i="2"/>
  <c r="I43" i="1"/>
  <c r="I45" i="1" s="1"/>
  <c r="H44" i="1"/>
  <c r="R43" i="1"/>
  <c r="P42" i="1"/>
  <c r="Q22" i="1"/>
  <c r="Q42" i="1" s="1"/>
  <c r="H25" i="1"/>
  <c r="O38" i="2" l="1"/>
  <c r="N39" i="2"/>
  <c r="T38" i="2"/>
  <c r="T39" i="2" s="1"/>
  <c r="L22" i="2"/>
  <c r="L23" i="2"/>
  <c r="H47" i="1"/>
  <c r="I23" i="1"/>
  <c r="R46" i="1"/>
  <c r="R44" i="1"/>
  <c r="J43" i="1"/>
  <c r="I44" i="1"/>
  <c r="O39" i="2" l="1"/>
  <c r="O40" i="2"/>
  <c r="M21" i="2"/>
  <c r="L42" i="2"/>
  <c r="J44" i="1"/>
  <c r="I24" i="1"/>
  <c r="J45" i="1"/>
  <c r="I25" i="1"/>
  <c r="P38" i="2" l="1"/>
  <c r="P40" i="2" s="1"/>
  <c r="M22" i="2"/>
  <c r="M23" i="2"/>
  <c r="K43" i="1"/>
  <c r="J23" i="1"/>
  <c r="J25" i="1" s="1"/>
  <c r="I47" i="1"/>
  <c r="Q38" i="2" l="1"/>
  <c r="Q39" i="2" s="1"/>
  <c r="P39" i="2"/>
  <c r="M42" i="2"/>
  <c r="N21" i="2"/>
  <c r="N23" i="2" s="1"/>
  <c r="K44" i="1"/>
  <c r="S43" i="1"/>
  <c r="J24" i="1"/>
  <c r="K23" i="1"/>
  <c r="K24" i="1" s="1"/>
  <c r="J47" i="1"/>
  <c r="K45" i="1"/>
  <c r="U38" i="2" l="1"/>
  <c r="U39" i="2" s="1"/>
  <c r="V38" i="2"/>
  <c r="V39" i="2" s="1"/>
  <c r="Q40" i="2"/>
  <c r="O21" i="2"/>
  <c r="O23" i="2" s="1"/>
  <c r="N42" i="2"/>
  <c r="N22" i="2"/>
  <c r="T21" i="2"/>
  <c r="T22" i="2" s="1"/>
  <c r="K25" i="1"/>
  <c r="L43" i="1"/>
  <c r="L45" i="1" s="1"/>
  <c r="S23" i="1"/>
  <c r="S24" i="1" s="1"/>
  <c r="S46" i="1"/>
  <c r="S44" i="1"/>
  <c r="O42" i="2" l="1"/>
  <c r="P21" i="2"/>
  <c r="P22" i="2" s="1"/>
  <c r="O22" i="2"/>
  <c r="K47" i="1"/>
  <c r="L23" i="1"/>
  <c r="M43" i="1"/>
  <c r="M44" i="1" s="1"/>
  <c r="L44" i="1"/>
  <c r="P23" i="2" l="1"/>
  <c r="M45" i="1"/>
  <c r="L24" i="1"/>
  <c r="L25" i="1"/>
  <c r="Q21" i="2" l="1"/>
  <c r="Q23" i="2" s="1"/>
  <c r="Q42" i="2" s="1"/>
  <c r="P42" i="2"/>
  <c r="M23" i="1"/>
  <c r="L47" i="1"/>
  <c r="N43" i="1"/>
  <c r="N45" i="1"/>
  <c r="Q22" i="2" l="1"/>
  <c r="V21" i="2"/>
  <c r="V22" i="2" s="1"/>
  <c r="U21" i="2"/>
  <c r="U22" i="2" s="1"/>
  <c r="M24" i="1"/>
  <c r="N44" i="1"/>
  <c r="T43" i="1"/>
  <c r="O43" i="1"/>
  <c r="O45" i="1" s="1"/>
  <c r="M25" i="1"/>
  <c r="P43" i="1" l="1"/>
  <c r="P44" i="1" s="1"/>
  <c r="T46" i="1"/>
  <c r="T44" i="1"/>
  <c r="M47" i="1"/>
  <c r="N23" i="1"/>
  <c r="N25" i="1" s="1"/>
  <c r="O44" i="1"/>
  <c r="O23" i="1" l="1"/>
  <c r="O25" i="1"/>
  <c r="N47" i="1"/>
  <c r="N24" i="1"/>
  <c r="T23" i="1"/>
  <c r="T24" i="1" s="1"/>
  <c r="P45" i="1"/>
  <c r="Q43" i="1" l="1"/>
  <c r="O47" i="1"/>
  <c r="P23" i="1"/>
  <c r="P24" i="1" s="1"/>
  <c r="O24" i="1"/>
  <c r="Q44" i="1" l="1"/>
  <c r="V43" i="1"/>
  <c r="U43" i="1"/>
  <c r="P25" i="1"/>
  <c r="Q45" i="1"/>
  <c r="U46" i="1" l="1"/>
  <c r="U44" i="1"/>
  <c r="V46" i="1"/>
  <c r="V44" i="1"/>
  <c r="P47" i="1"/>
  <c r="Q23" i="1"/>
  <c r="Q25" i="1" s="1"/>
  <c r="Q47" i="1" s="1"/>
  <c r="Q24" i="1" l="1"/>
  <c r="V23" i="1"/>
  <c r="V24" i="1" s="1"/>
  <c r="U23" i="1"/>
  <c r="U24" i="1" s="1"/>
</calcChain>
</file>

<file path=xl/sharedStrings.xml><?xml version="1.0" encoding="utf-8"?>
<sst xmlns="http://schemas.openxmlformats.org/spreadsheetml/2006/main" count="679" uniqueCount="201">
  <si>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</si>
  <si>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</si>
  <si>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</si>
  <si>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</si>
  <si>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</si>
  <si>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</si>
  <si>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</si>
  <si>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</si>
  <si>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</si>
  <si>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</si>
  <si>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</si>
  <si>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</si>
  <si>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</si>
  <si>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</si>
  <si>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</si>
  <si>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</si>
  <si>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</si>
  <si>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</si>
  <si>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</si>
  <si>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</si>
  <si>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</si>
  <si>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</si>
  <si>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</si>
  <si>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</si>
  <si>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</si>
  <si>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</si>
  <si>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</si>
  <si>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</si>
  <si>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</si>
  <si>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</si>
  <si>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</si>
  <si>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</si>
  <si>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</si>
  <si>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</si>
  <si>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</si>
  <si>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</si>
  <si>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</si>
  <si>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</si>
  <si>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</si>
  <si>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</si>
  <si>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</si>
  <si>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</si>
  <si>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</si>
  <si>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</si>
  <si>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</si>
  <si>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</si>
  <si>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</si>
  <si>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</si>
  <si>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</si>
  <si>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</si>
  <si>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</si>
  <si>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</si>
  <si>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</si>
  <si>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</si>
  <si>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</si>
  <si>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</si>
  <si>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</si>
  <si>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</si>
  <si>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</si>
  <si>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</si>
  <si>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</si>
  <si>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Deferred Revenue</t>
  </si>
  <si>
    <t>Rollover Balance</t>
  </si>
  <si>
    <t>Accumulated Deferred Taxes</t>
  </si>
  <si>
    <t>FERC Acct 186328</t>
  </si>
  <si>
    <t>FERC Acct 283328</t>
  </si>
  <si>
    <t>Income Statement Accounts</t>
  </si>
  <si>
    <t>FERC Acct 186338</t>
  </si>
  <si>
    <t>Electric Service</t>
  </si>
  <si>
    <t>Natural Gas Service</t>
  </si>
  <si>
    <t>Sum: 0.00</t>
  </si>
  <si>
    <t>Check</t>
  </si>
  <si>
    <t>NOTES</t>
  </si>
  <si>
    <t>Total Cumulative Natural Gas Deferral</t>
  </si>
  <si>
    <t>456328</t>
  </si>
  <si>
    <t>RESIDENTIAL DECOUPLING DEFERRE</t>
  </si>
  <si>
    <t>456338</t>
  </si>
  <si>
    <t>NON-RES DECOUPLING DEFERRED RE</t>
  </si>
  <si>
    <t>495328</t>
  </si>
  <si>
    <t>495338</t>
  </si>
  <si>
    <t>FERC Acct 456328</t>
  </si>
  <si>
    <t>FERC Acct 456338</t>
  </si>
  <si>
    <t>FERC Acct 495328</t>
  </si>
  <si>
    <t>FERC Acct 495338</t>
  </si>
  <si>
    <t>419605</t>
  </si>
  <si>
    <t>INT INC ON OTH DEFERRALS-IV FU</t>
  </si>
  <si>
    <t>431605</t>
  </si>
  <si>
    <t>INT EXP ON OTH DEFERRALS-IV FU</t>
  </si>
  <si>
    <t>Interest Income or Expense</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</si>
  <si>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</si>
  <si>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</si>
  <si>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</si>
  <si>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</si>
  <si>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</si>
  <si>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</si>
  <si>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</si>
  <si>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</si>
  <si>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</si>
  <si>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</si>
  <si>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</si>
  <si>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</si>
  <si>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</si>
  <si>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Financial Reporting Contra Asset Accounts</t>
  </si>
  <si>
    <t>253311</t>
  </si>
  <si>
    <t>CONTRA DECOUPLING DEFERRED REV</t>
  </si>
  <si>
    <t>495311</t>
  </si>
  <si>
    <t>CONTRA DECOUPLING DEFERRAL</t>
  </si>
  <si>
    <t>FERC Acct 253311</t>
  </si>
  <si>
    <t>FERC Acct 419605</t>
  </si>
  <si>
    <t>FERC Acct 431605</t>
  </si>
  <si>
    <t>Net Interest Income</t>
  </si>
  <si>
    <t>Q4</t>
  </si>
  <si>
    <t>Decoupling Mechanism - UE-150204 Base effective 1/11/2016</t>
  </si>
  <si>
    <t>Development of WA Electric Deferrals (Calendar Year 2016)</t>
  </si>
  <si>
    <t>Pro Rated</t>
  </si>
  <si>
    <t>Old Base</t>
  </si>
  <si>
    <t>New Base</t>
  </si>
  <si>
    <t>Attachment 4,  Page 3</t>
  </si>
  <si>
    <t>Attachment 4, Page 1</t>
  </si>
  <si>
    <t>Attachment 4, Page 3</t>
  </si>
  <si>
    <t>2016 YTD</t>
  </si>
  <si>
    <t>2nd Quarter 2016</t>
  </si>
  <si>
    <t>3rd Quarter 2016</t>
  </si>
  <si>
    <t>4th Quarter 2016</t>
  </si>
  <si>
    <t>1st Quarter 2016</t>
  </si>
  <si>
    <t>Decoupling Mechanism - UG-150205 Base effective 1/11/2016</t>
  </si>
  <si>
    <t>Development of WA Natural Gas Deferrals (Calendar Year 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</si>
  <si>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</si>
  <si>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</si>
  <si>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</si>
  <si>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</si>
  <si>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</si>
  <si>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</si>
  <si>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</si>
  <si>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</si>
  <si>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</si>
  <si>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</si>
  <si>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FERC Acct 182329</t>
  </si>
  <si>
    <t>FERC Acct 182339</t>
  </si>
  <si>
    <t>2015 Deferred Revenue Pending Recovery</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</si>
  <si>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</si>
  <si>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</si>
  <si>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</si>
  <si>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</si>
  <si>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</si>
  <si>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</si>
  <si>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</si>
  <si>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</si>
  <si>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</si>
  <si>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</si>
  <si>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</si>
  <si>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</si>
  <si>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</si>
  <si>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</si>
  <si>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</si>
  <si>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</si>
  <si>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GL Account Balance  Accounting Period : '201604, 201605, 201606'</t>
  </si>
  <si>
    <t>FERC Accts 495311 and 456311</t>
  </si>
  <si>
    <t>456311</t>
  </si>
  <si>
    <t>Sum: 29,474.00</t>
  </si>
  <si>
    <t>Q2 Total</t>
  </si>
  <si>
    <t>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2015 natural gas surcharge may not be fully recovered by 12/31/2017 and therefore is not recognizable as income for financial reporting purposes in 2015.  Similarly, a portion of the 2016 natural gas surcharge may not be fully recovered by 12/31/2018.  The 2016 entries reflect both expected recovery of 2015 amounts during 2018 and the exclusion of 2016 amounts expected to be recovered in 2019.  The income statement impact of the contra decoupling deferral will be eliminated for Commission Basis reporting.</t>
  </si>
  <si>
    <t>YTD Average</t>
  </si>
  <si>
    <t>201607</t>
  </si>
  <si>
    <t>201608</t>
  </si>
  <si>
    <t>201609</t>
  </si>
  <si>
    <t>Sum: -429,665.61</t>
  </si>
  <si>
    <t>Sum: -53,281.15</t>
  </si>
  <si>
    <t>Sum: -482,946.76</t>
  </si>
  <si>
    <t>Sum: 741,058.16</t>
  </si>
  <si>
    <t>Sum: 144,176.07</t>
  </si>
  <si>
    <t>Sum: 885,234.23</t>
  </si>
  <si>
    <t>Sum: 50.34</t>
  </si>
  <si>
    <t>Sum: -393,221.40</t>
  </si>
  <si>
    <t>Sum: 47,399.22</t>
  </si>
  <si>
    <t>Sum: -345,822.18</t>
  </si>
  <si>
    <t>Sum: -486,102.95</t>
  </si>
  <si>
    <t>Sum: 15,498.26</t>
  </si>
  <si>
    <t>Sum: -470,604.69</t>
  </si>
  <si>
    <t>Sum: 188,460.22</t>
  </si>
  <si>
    <t>Sum: -177,665.15</t>
  </si>
  <si>
    <t>Sum: 10,795.07</t>
  </si>
  <si>
    <t>Sum: 490,552.84</t>
  </si>
  <si>
    <t>Sum: -727,346.01</t>
  </si>
  <si>
    <t>Sum: 98,170.46</t>
  </si>
  <si>
    <t>Sum: -132,099.87</t>
  </si>
  <si>
    <t>Sum: -127,056.98</t>
  </si>
  <si>
    <t>Sum: -119,913.33</t>
  </si>
  <si>
    <t>Sum: -246,970.31</t>
  </si>
  <si>
    <t>Sum: 32,880.95</t>
  </si>
  <si>
    <t>Sum: -214,089.36</t>
  </si>
  <si>
    <t>Sum: 353,772.00</t>
  </si>
  <si>
    <t>Sum: 383,246.00</t>
  </si>
  <si>
    <t>Sum: -11,274.00</t>
  </si>
  <si>
    <t>Sum: -342,498.00</t>
  </si>
  <si>
    <t xml:space="preserve">Q3 Total </t>
  </si>
  <si>
    <t>Q3 Total</t>
  </si>
  <si>
    <t xml:space="preserve">The following table shows how the decoupled revenue per customer has tracked with use per customer for the 1st, 2nd and 3rd quarters of 2016.   The similarity of the percentage change indicates that the mechanism is working as intended.  January authorized amounts in the deferral caluculations and this analysis have been pro-rated to reflect 10 days at the prior authorized usage and revenue per customer. </t>
  </si>
  <si>
    <t>*</t>
  </si>
  <si>
    <t>TRANSFER 2015 EARNINGS TEST PROVISION FOR RATE REFUND 2015 RESIDENTIAL DEFERRED REVENUE.</t>
  </si>
  <si>
    <t>TRANSFER 2015 EARNINGS TEST PROVISION FOR RATE REFUND 2015 NON-RES DEFERRED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</si>
</sst>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5">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7">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83">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0" fontId="14" fillId="0" borderId="0" xfId="0" applyFont="1" applyAlignment="1">
      <alignment horizontal="center"/>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203" fontId="171" fillId="0" borderId="0" xfId="0" applyNumberFormat="1" applyFont="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43" fontId="5" fillId="2" borderId="0" xfId="3" applyNumberFormat="1" applyFont="1" applyFill="1" applyAlignment="1">
      <alignment horizont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7" fillId="2" borderId="0" xfId="6"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3" fillId="2" borderId="0" xfId="3" applyFont="1" applyFill="1" applyAlignment="1">
      <alignment horizontal="center"/>
    </xf>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0" fillId="0" borderId="0" xfId="0" applyAlignment="1">
      <alignment horizont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0" fontId="12" fillId="0" borderId="54" xfId="0" applyFont="1" applyFill="1" applyBorder="1" applyAlignment="1">
      <alignment horizontal="left" vertical="top"/>
    </xf>
    <xf numFmtId="173" fontId="13" fillId="106" borderId="54" xfId="0" applyNumberFormat="1" applyFont="1" applyFill="1" applyBorder="1" applyAlignment="1">
      <alignment horizontal="right" vertical="center"/>
    </xf>
    <xf numFmtId="5" fontId="31" fillId="0" borderId="0" xfId="0" applyNumberFormat="1" applyFont="1"/>
    <xf numFmtId="10" fontId="31" fillId="0" borderId="0" xfId="0" applyNumberFormat="1" applyFont="1"/>
    <xf numFmtId="0" fontId="0" fillId="0" borderId="0" xfId="0" applyAlignment="1">
      <alignment shrinkToFit="1"/>
    </xf>
    <xf numFmtId="0" fontId="11" fillId="0" borderId="0" xfId="0" applyFont="1" applyFill="1" applyBorder="1" applyAlignment="1">
      <alignment horizontal="left" vertical="top" wrapText="1"/>
    </xf>
    <xf numFmtId="4" fontId="13" fillId="107" borderId="3" xfId="0" applyNumberFormat="1" applyFont="1" applyFill="1" applyBorder="1" applyAlignment="1">
      <alignment horizontal="right" vertical="center"/>
    </xf>
    <xf numFmtId="5" fontId="0" fillId="0" borderId="0" xfId="0" applyNumberFormat="1" applyFill="1"/>
    <xf numFmtId="17" fontId="0" fillId="0" borderId="0" xfId="0" applyNumberFormat="1" applyAlignment="1"/>
    <xf numFmtId="0" fontId="0" fillId="0" borderId="0" xfId="0" applyAlignment="1">
      <alignment horizontal="center" vertical="center"/>
    </xf>
    <xf numFmtId="0" fontId="14" fillId="0" borderId="0" xfId="0" applyFont="1" applyAlignment="1">
      <alignment horizontal="center"/>
    </xf>
    <xf numFmtId="5" fontId="0" fillId="0" borderId="0" xfId="0" applyNumberFormat="1" applyAlignment="1">
      <alignment horizontal="left" wrapText="1"/>
    </xf>
    <xf numFmtId="0" fontId="0" fillId="0" borderId="0" xfId="0" applyAlignment="1">
      <alignment horizontal="left" wrapText="1"/>
    </xf>
    <xf numFmtId="0" fontId="0" fillId="0" borderId="0" xfId="0" applyAlignment="1">
      <alignment horizontal="center"/>
    </xf>
    <xf numFmtId="0" fontId="0" fillId="0" borderId="0" xfId="0" applyFill="1" applyAlignment="1">
      <alignment horizontal="justify" vertical="top" wrapText="1"/>
    </xf>
    <xf numFmtId="0" fontId="0" fillId="0" borderId="0" xfId="0" applyFill="1"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Layout" topLeftCell="A24" zoomScaleNormal="100" workbookViewId="0">
      <selection activeCell="R1" sqref="R1"/>
    </sheetView>
  </sheetViews>
  <sheetFormatPr defaultRowHeight="14.4"/>
  <cols>
    <col min="1" max="1" width="7.44140625" customWidth="1"/>
    <col min="2" max="2" width="29.6640625" customWidth="1"/>
    <col min="3" max="3" width="14.6640625" customWidth="1"/>
    <col min="4" max="5" width="14.6640625" style="77" hidden="1" customWidth="1"/>
    <col min="6" max="6" width="12.44140625" hidden="1" customWidth="1"/>
    <col min="7" max="7" width="12.5546875" hidden="1" customWidth="1"/>
    <col min="8" max="8" width="12.44140625" hidden="1" customWidth="1"/>
    <col min="9" max="11" width="12.33203125" hidden="1" customWidth="1"/>
    <col min="12" max="12" width="12.6640625" customWidth="1"/>
    <col min="13" max="13" width="13" customWidth="1"/>
    <col min="14" max="14" width="12.44140625" customWidth="1"/>
    <col min="15" max="16" width="12.6640625" hidden="1" customWidth="1"/>
    <col min="17" max="17" width="12.5546875" hidden="1" customWidth="1"/>
    <col min="18" max="18" width="14.33203125" style="41" customWidth="1"/>
    <col min="19" max="19" width="12.88671875" style="41" customWidth="1"/>
    <col min="20" max="20" width="12" style="41" customWidth="1"/>
    <col min="21" max="21" width="12" style="41" hidden="1" customWidth="1"/>
    <col min="22" max="22" width="13.33203125" style="41" customWidth="1"/>
    <col min="23" max="23" width="9" bestFit="1" customWidth="1"/>
  </cols>
  <sheetData>
    <row r="1" spans="1:22" ht="15.6">
      <c r="A1" s="148" t="s">
        <v>0</v>
      </c>
      <c r="B1" s="148"/>
      <c r="C1" s="148"/>
      <c r="D1" s="148"/>
      <c r="E1" s="148"/>
      <c r="F1" s="148"/>
      <c r="G1" s="148"/>
      <c r="H1" s="148"/>
      <c r="I1" s="148"/>
      <c r="J1" s="148"/>
      <c r="K1" s="148"/>
      <c r="L1" s="148"/>
      <c r="M1" s="148"/>
      <c r="N1" s="148"/>
      <c r="O1" s="148"/>
      <c r="P1" s="148"/>
      <c r="Q1" s="148"/>
      <c r="R1" s="131"/>
      <c r="S1" s="131"/>
      <c r="T1" s="131"/>
      <c r="U1" s="131"/>
      <c r="V1" s="131"/>
    </row>
    <row r="2" spans="1:22" ht="17.399999999999999">
      <c r="A2" s="148" t="s">
        <v>112</v>
      </c>
      <c r="B2" s="148"/>
      <c r="C2" s="148"/>
      <c r="D2" s="148"/>
      <c r="E2" s="148"/>
      <c r="F2" s="148"/>
      <c r="G2" s="148"/>
      <c r="H2" s="148"/>
      <c r="I2" s="148"/>
      <c r="J2" s="148"/>
      <c r="K2" s="148"/>
      <c r="L2" s="148"/>
      <c r="M2" s="148"/>
      <c r="N2" s="148"/>
      <c r="O2" s="148"/>
      <c r="P2" s="148"/>
      <c r="Q2" s="148"/>
      <c r="R2" s="132"/>
      <c r="S2" s="132"/>
      <c r="T2" s="132"/>
      <c r="U2" s="132"/>
      <c r="V2" s="132"/>
    </row>
    <row r="3" spans="1:22" ht="15.6">
      <c r="A3" s="149" t="s">
        <v>113</v>
      </c>
      <c r="B3" s="148"/>
      <c r="C3" s="148"/>
      <c r="D3" s="148"/>
      <c r="E3" s="148"/>
      <c r="F3" s="148"/>
      <c r="G3" s="148"/>
      <c r="H3" s="148"/>
      <c r="I3" s="148"/>
      <c r="J3" s="148"/>
      <c r="K3" s="148"/>
      <c r="L3" s="148"/>
      <c r="M3" s="148"/>
      <c r="N3" s="148"/>
      <c r="O3" s="148"/>
      <c r="P3" s="148"/>
      <c r="Q3" s="148"/>
      <c r="R3" s="133"/>
      <c r="S3" s="133"/>
      <c r="T3" s="133"/>
      <c r="U3" s="133"/>
      <c r="V3" s="133"/>
    </row>
    <row r="4" spans="1:22" ht="14.4" customHeight="1">
      <c r="A4" s="68"/>
      <c r="B4" s="110"/>
      <c r="C4" s="111"/>
      <c r="D4" s="111"/>
      <c r="E4" s="111"/>
      <c r="F4" s="111"/>
      <c r="G4" s="111"/>
      <c r="H4" s="111"/>
      <c r="I4" s="111"/>
      <c r="J4" s="111"/>
      <c r="K4" s="111"/>
      <c r="L4" s="111"/>
      <c r="M4" s="111"/>
      <c r="N4" s="111"/>
      <c r="O4" s="111"/>
      <c r="P4" s="111"/>
      <c r="Q4" s="111"/>
      <c r="R4" s="134"/>
      <c r="S4" s="134"/>
      <c r="T4" s="134"/>
      <c r="U4" s="134"/>
      <c r="V4" s="134"/>
    </row>
    <row r="5" spans="1:22" ht="27">
      <c r="A5" s="38"/>
      <c r="B5" s="38"/>
      <c r="C5" s="38"/>
      <c r="D5" s="112">
        <v>0.32258064516129031</v>
      </c>
      <c r="E5" s="112">
        <f>21/31</f>
        <v>0.67741935483870963</v>
      </c>
      <c r="F5" s="112" t="s">
        <v>114</v>
      </c>
      <c r="G5" s="38"/>
      <c r="H5" s="38"/>
      <c r="I5" s="38"/>
      <c r="J5" s="38"/>
      <c r="K5" s="38"/>
      <c r="L5" s="38"/>
      <c r="M5" s="38"/>
      <c r="N5" s="38"/>
      <c r="O5" s="38"/>
      <c r="P5" s="38"/>
      <c r="Q5" s="38"/>
      <c r="R5" s="134" t="s">
        <v>124</v>
      </c>
      <c r="S5" s="134" t="s">
        <v>121</v>
      </c>
      <c r="T5" s="134" t="s">
        <v>122</v>
      </c>
      <c r="U5" s="134" t="s">
        <v>123</v>
      </c>
      <c r="V5" s="134" t="s">
        <v>120</v>
      </c>
    </row>
    <row r="6" spans="1:22" ht="26.4">
      <c r="A6" s="113" t="s">
        <v>1</v>
      </c>
      <c r="B6" s="114"/>
      <c r="C6" s="109" t="s">
        <v>2</v>
      </c>
      <c r="D6" s="109" t="s">
        <v>115</v>
      </c>
      <c r="E6" s="109" t="s">
        <v>116</v>
      </c>
      <c r="F6" s="115">
        <v>42370</v>
      </c>
      <c r="G6" s="116">
        <f>EDATE(F6,1)</f>
        <v>42401</v>
      </c>
      <c r="H6" s="116">
        <f t="shared" ref="H6:Q6" si="0">EDATE(G6,1)</f>
        <v>42430</v>
      </c>
      <c r="I6" s="116">
        <f t="shared" si="0"/>
        <v>42461</v>
      </c>
      <c r="J6" s="116">
        <f t="shared" si="0"/>
        <v>42491</v>
      </c>
      <c r="K6" s="116">
        <f t="shared" si="0"/>
        <v>42522</v>
      </c>
      <c r="L6" s="116">
        <f t="shared" si="0"/>
        <v>42552</v>
      </c>
      <c r="M6" s="116">
        <f t="shared" si="0"/>
        <v>42583</v>
      </c>
      <c r="N6" s="116">
        <f t="shared" si="0"/>
        <v>42614</v>
      </c>
      <c r="O6" s="116">
        <f t="shared" si="0"/>
        <v>42644</v>
      </c>
      <c r="P6" s="116">
        <f t="shared" si="0"/>
        <v>42675</v>
      </c>
      <c r="Q6" s="116">
        <f t="shared" si="0"/>
        <v>42705</v>
      </c>
      <c r="R6" s="135" t="s">
        <v>3</v>
      </c>
      <c r="S6" s="135" t="s">
        <v>3</v>
      </c>
      <c r="T6" s="135" t="s">
        <v>3</v>
      </c>
      <c r="U6" s="135" t="s">
        <v>3</v>
      </c>
      <c r="V6" s="135" t="s">
        <v>3</v>
      </c>
    </row>
    <row r="7" spans="1:22">
      <c r="A7" s="68"/>
      <c r="B7" s="68" t="s">
        <v>4</v>
      </c>
      <c r="C7" s="68" t="s">
        <v>5</v>
      </c>
      <c r="D7" s="68"/>
      <c r="E7" s="68"/>
      <c r="F7" s="68" t="s">
        <v>6</v>
      </c>
      <c r="G7" s="68" t="s">
        <v>7</v>
      </c>
      <c r="H7" s="68" t="s">
        <v>8</v>
      </c>
      <c r="I7" s="68" t="s">
        <v>9</v>
      </c>
      <c r="J7" s="68" t="s">
        <v>10</v>
      </c>
      <c r="K7" s="68" t="s">
        <v>11</v>
      </c>
      <c r="L7" s="68" t="s">
        <v>12</v>
      </c>
      <c r="M7" s="68" t="s">
        <v>13</v>
      </c>
      <c r="N7" s="68" t="s">
        <v>14</v>
      </c>
      <c r="O7" s="68" t="s">
        <v>15</v>
      </c>
      <c r="P7" s="68" t="s">
        <v>16</v>
      </c>
      <c r="Q7" s="68" t="s">
        <v>17</v>
      </c>
      <c r="R7" s="8"/>
      <c r="S7" s="8"/>
      <c r="T7" s="8"/>
      <c r="U7" s="8"/>
      <c r="V7" s="17"/>
    </row>
    <row r="8" spans="1:22">
      <c r="A8" s="68"/>
      <c r="B8" s="2" t="s">
        <v>19</v>
      </c>
      <c r="C8" s="68"/>
      <c r="D8" s="68"/>
      <c r="E8" s="68"/>
      <c r="F8" s="68"/>
      <c r="G8" s="68"/>
      <c r="H8" s="68"/>
      <c r="I8" s="68"/>
      <c r="J8" s="68"/>
      <c r="K8" s="68"/>
      <c r="L8" s="68"/>
      <c r="M8" s="68"/>
      <c r="N8" s="68"/>
      <c r="O8" s="68"/>
      <c r="P8" s="68"/>
      <c r="Q8" s="68"/>
      <c r="R8" s="139"/>
      <c r="S8" s="139"/>
      <c r="T8" s="139"/>
      <c r="U8" s="139"/>
      <c r="V8" s="17"/>
    </row>
    <row r="9" spans="1:22" ht="21" customHeight="1">
      <c r="A9" s="68">
        <v>1</v>
      </c>
      <c r="B9" s="38" t="s">
        <v>20</v>
      </c>
      <c r="C9" s="68" t="s">
        <v>21</v>
      </c>
      <c r="D9" s="117">
        <f>$F9*D$5</f>
        <v>67166.774193548379</v>
      </c>
      <c r="E9" s="117">
        <f>$F9*E$5</f>
        <v>141050.22580645161</v>
      </c>
      <c r="F9" s="36">
        <v>208217</v>
      </c>
      <c r="G9" s="36">
        <v>210418</v>
      </c>
      <c r="H9" s="36">
        <v>209750</v>
      </c>
      <c r="I9" s="36">
        <v>209405</v>
      </c>
      <c r="J9" s="36">
        <v>209004</v>
      </c>
      <c r="K9" s="36">
        <v>208965</v>
      </c>
      <c r="L9" s="36">
        <v>209204</v>
      </c>
      <c r="M9" s="36">
        <v>209512</v>
      </c>
      <c r="N9" s="36">
        <v>210314</v>
      </c>
      <c r="O9" s="36"/>
      <c r="P9" s="36"/>
      <c r="Q9" s="36"/>
      <c r="R9" s="136">
        <f>SUM(F9:H9)</f>
        <v>628385</v>
      </c>
      <c r="S9" s="136">
        <f>SUM(I9:K9)</f>
        <v>627374</v>
      </c>
      <c r="T9" s="136">
        <f>SUM(L9:N9)</f>
        <v>629030</v>
      </c>
      <c r="U9" s="136">
        <f>SUM(O9:Q9)</f>
        <v>0</v>
      </c>
      <c r="V9" s="137">
        <f>SUM(F9:Q9)</f>
        <v>1884789</v>
      </c>
    </row>
    <row r="10" spans="1:22" ht="26.4">
      <c r="A10" s="108">
        <f>A9+1</f>
        <v>2</v>
      </c>
      <c r="B10" s="118" t="s">
        <v>22</v>
      </c>
      <c r="C10" s="118" t="s">
        <v>117</v>
      </c>
      <c r="D10" s="119">
        <v>78.809318650824423</v>
      </c>
      <c r="E10" s="119">
        <v>88.322763278236906</v>
      </c>
      <c r="F10" s="119">
        <f>$D$10*$D$5+$E$10*$E$5</f>
        <v>85.253910172619968</v>
      </c>
      <c r="G10" s="119">
        <v>72.16516565702095</v>
      </c>
      <c r="H10" s="119">
        <v>70.972141606104245</v>
      </c>
      <c r="I10" s="119">
        <v>53.464415602104843</v>
      </c>
      <c r="J10" s="119">
        <v>51.698952694282845</v>
      </c>
      <c r="K10" s="119">
        <v>45.971109410999645</v>
      </c>
      <c r="L10" s="119">
        <v>47.581058675761213</v>
      </c>
      <c r="M10" s="119">
        <v>56.256559389250889</v>
      </c>
      <c r="N10" s="119">
        <v>45.471467138196999</v>
      </c>
      <c r="O10" s="119">
        <v>54.001684320194592</v>
      </c>
      <c r="P10" s="119">
        <v>65.980997284292343</v>
      </c>
      <c r="Q10" s="119">
        <v>86.053684943554572</v>
      </c>
      <c r="R10" s="119">
        <f>R11/R9</f>
        <v>76.103933008445168</v>
      </c>
      <c r="S10" s="119">
        <f>S11/S9</f>
        <v>50.380405844271834</v>
      </c>
      <c r="T10" s="119">
        <f>T11/T9</f>
        <v>49.76528656767951</v>
      </c>
      <c r="U10" s="119" t="e">
        <f>U11/U9</f>
        <v>#DIV/0!</v>
      </c>
      <c r="V10" s="119">
        <f>V11/V9</f>
        <v>58.751289873467776</v>
      </c>
    </row>
    <row r="11" spans="1:22">
      <c r="A11" s="68">
        <f>A10+1</f>
        <v>3</v>
      </c>
      <c r="B11" s="38" t="s">
        <v>23</v>
      </c>
      <c r="C11" s="68" t="str">
        <f>"("&amp;A9&amp;") x ("&amp;A10&amp;")"</f>
        <v>(1) x (2)</v>
      </c>
      <c r="D11" s="72">
        <f>D9*D10</f>
        <v>5293367.7101673251</v>
      </c>
      <c r="E11" s="72">
        <f>E9*E10</f>
        <v>12457945.704245087</v>
      </c>
      <c r="F11" s="72">
        <f>F9*F10</f>
        <v>17751313.414412413</v>
      </c>
      <c r="G11" s="72">
        <f t="shared" ref="G11:Q11" si="1">G9*G10</f>
        <v>15184849.827219034</v>
      </c>
      <c r="H11" s="72">
        <f t="shared" si="1"/>
        <v>14886406.701880366</v>
      </c>
      <c r="I11" s="72">
        <f t="shared" si="1"/>
        <v>11195715.949158765</v>
      </c>
      <c r="J11" s="72">
        <f t="shared" si="1"/>
        <v>10805287.908915892</v>
      </c>
      <c r="K11" s="72">
        <f t="shared" si="1"/>
        <v>9606352.8780695405</v>
      </c>
      <c r="L11" s="72">
        <f t="shared" si="1"/>
        <v>9954147.799203949</v>
      </c>
      <c r="M11" s="72">
        <f t="shared" si="1"/>
        <v>11786424.270760732</v>
      </c>
      <c r="N11" s="72">
        <f t="shared" si="1"/>
        <v>9563286.1397027634</v>
      </c>
      <c r="O11" s="72">
        <f t="shared" si="1"/>
        <v>0</v>
      </c>
      <c r="P11" s="72">
        <f t="shared" si="1"/>
        <v>0</v>
      </c>
      <c r="Q11" s="72">
        <f t="shared" si="1"/>
        <v>0</v>
      </c>
      <c r="R11" s="126">
        <f>SUM(F11:H11)</f>
        <v>47822569.943511814</v>
      </c>
      <c r="S11" s="126">
        <f>SUM(I11:K11)</f>
        <v>31607356.7361442</v>
      </c>
      <c r="T11" s="126">
        <f>SUM(L11:N11)</f>
        <v>31303858.209667444</v>
      </c>
      <c r="U11" s="126">
        <f>SUM(O11:Q11)</f>
        <v>0</v>
      </c>
      <c r="V11" s="138">
        <f>SUM(F11:Q11)</f>
        <v>110733784.88932346</v>
      </c>
    </row>
    <row r="12" spans="1:22">
      <c r="A12" s="68"/>
      <c r="B12" s="38"/>
      <c r="C12" s="68"/>
      <c r="D12" s="68"/>
      <c r="E12" s="68"/>
      <c r="F12" s="69"/>
      <c r="G12" s="69"/>
      <c r="H12" s="69"/>
      <c r="I12" s="69"/>
      <c r="J12" s="69"/>
      <c r="K12" s="69"/>
      <c r="L12" s="69"/>
      <c r="M12" s="69"/>
      <c r="N12" s="69"/>
      <c r="O12" s="69"/>
      <c r="P12" s="69"/>
      <c r="Q12" s="69"/>
      <c r="R12" s="136"/>
      <c r="S12" s="136"/>
      <c r="T12" s="136"/>
      <c r="U12" s="136"/>
      <c r="V12" s="136"/>
    </row>
    <row r="13" spans="1:22">
      <c r="A13" s="68">
        <v>4</v>
      </c>
      <c r="B13" s="38" t="s">
        <v>37</v>
      </c>
      <c r="C13" s="68" t="s">
        <v>21</v>
      </c>
      <c r="D13" s="72">
        <f t="shared" ref="D13:E15" si="2">$F13*D$5</f>
        <v>8069976.6002741931</v>
      </c>
      <c r="E13" s="72">
        <f t="shared" si="2"/>
        <v>16946950.860575806</v>
      </c>
      <c r="F13" s="120">
        <v>25016927.46085</v>
      </c>
      <c r="G13" s="120">
        <v>18682933.729059998</v>
      </c>
      <c r="H13" s="120">
        <v>17505110.81546</v>
      </c>
      <c r="I13" s="120">
        <v>13895472.85121</v>
      </c>
      <c r="J13" s="120">
        <v>12707668.140389999</v>
      </c>
      <c r="K13" s="120">
        <v>13822016.88274</v>
      </c>
      <c r="L13" s="120">
        <v>15745170.28418</v>
      </c>
      <c r="M13" s="120">
        <v>16208772.710109999</v>
      </c>
      <c r="N13" s="120">
        <v>13825249.57612</v>
      </c>
      <c r="O13" s="120"/>
      <c r="P13" s="120"/>
      <c r="Q13" s="120"/>
      <c r="R13" s="140"/>
      <c r="S13" s="140"/>
      <c r="T13" s="140"/>
      <c r="U13" s="140"/>
      <c r="V13" s="141"/>
    </row>
    <row r="14" spans="1:22">
      <c r="A14" s="68">
        <v>5</v>
      </c>
      <c r="B14" s="38" t="s">
        <v>38</v>
      </c>
      <c r="C14" s="68" t="s">
        <v>21</v>
      </c>
      <c r="D14" s="72">
        <f t="shared" si="2"/>
        <v>582373.38709677418</v>
      </c>
      <c r="E14" s="72">
        <f t="shared" si="2"/>
        <v>1222984.1129032257</v>
      </c>
      <c r="F14" s="120">
        <v>1805357.5</v>
      </c>
      <c r="G14" s="120">
        <v>1824049</v>
      </c>
      <c r="H14" s="120">
        <v>1818744.5</v>
      </c>
      <c r="I14" s="120">
        <v>1824227.5</v>
      </c>
      <c r="J14" s="120">
        <v>1831180.5</v>
      </c>
      <c r="K14" s="120">
        <v>1838974</v>
      </c>
      <c r="L14" s="120">
        <v>1833280</v>
      </c>
      <c r="M14" s="120">
        <v>1848333.5</v>
      </c>
      <c r="N14" s="120">
        <v>1838516</v>
      </c>
      <c r="O14" s="120"/>
      <c r="P14" s="120"/>
      <c r="Q14" s="120"/>
      <c r="R14" s="126"/>
      <c r="S14" s="126"/>
      <c r="T14" s="126"/>
      <c r="U14" s="126"/>
      <c r="V14" s="138"/>
    </row>
    <row r="15" spans="1:22">
      <c r="A15" s="68">
        <v>6</v>
      </c>
      <c r="B15" s="6" t="s">
        <v>41</v>
      </c>
      <c r="C15" s="68" t="s">
        <v>21</v>
      </c>
      <c r="D15" s="121">
        <f t="shared" si="2"/>
        <v>88782350.322580636</v>
      </c>
      <c r="E15" s="121">
        <f t="shared" si="2"/>
        <v>186442935.67741933</v>
      </c>
      <c r="F15" s="122">
        <v>275225286</v>
      </c>
      <c r="G15" s="122">
        <v>209519142</v>
      </c>
      <c r="H15" s="122">
        <v>198506123</v>
      </c>
      <c r="I15" s="122">
        <v>156664757</v>
      </c>
      <c r="J15" s="122">
        <v>142430315</v>
      </c>
      <c r="K15" s="122">
        <v>156502975</v>
      </c>
      <c r="L15" s="122">
        <v>178634451</v>
      </c>
      <c r="M15" s="122">
        <v>181567778</v>
      </c>
      <c r="N15" s="122">
        <v>154183097</v>
      </c>
      <c r="O15" s="122"/>
      <c r="P15" s="122"/>
      <c r="Q15" s="122"/>
      <c r="R15" s="126"/>
      <c r="S15" s="126"/>
      <c r="T15" s="126"/>
      <c r="U15" s="126"/>
      <c r="V15" s="138"/>
    </row>
    <row r="16" spans="1:22" ht="27">
      <c r="A16" s="68">
        <v>7</v>
      </c>
      <c r="B16" s="17" t="s">
        <v>39</v>
      </c>
      <c r="C16" s="123" t="s">
        <v>118</v>
      </c>
      <c r="D16" s="124">
        <v>2.1080000000000002E-2</v>
      </c>
      <c r="E16" s="124">
        <v>1.6410000000000001E-2</v>
      </c>
      <c r="F16" s="124">
        <f>$D$16*$D$5+$E$16*$E$5</f>
        <v>1.7916451612903228E-2</v>
      </c>
      <c r="G16" s="124">
        <v>1.6410000000000001E-2</v>
      </c>
      <c r="H16" s="124">
        <v>1.6410000000000001E-2</v>
      </c>
      <c r="I16" s="124">
        <v>1.6410000000000001E-2</v>
      </c>
      <c r="J16" s="124">
        <v>1.6410000000000001E-2</v>
      </c>
      <c r="K16" s="124">
        <v>1.6410000000000001E-2</v>
      </c>
      <c r="L16" s="124">
        <v>1.6410000000000001E-2</v>
      </c>
      <c r="M16" s="124">
        <v>1.6410000000000001E-2</v>
      </c>
      <c r="N16" s="124">
        <v>1.6410000000000001E-2</v>
      </c>
      <c r="O16" s="124">
        <v>1.6410000000000001E-2</v>
      </c>
      <c r="P16" s="124">
        <v>1.6410000000000001E-2</v>
      </c>
      <c r="Q16" s="124">
        <v>1.6410000000000001E-2</v>
      </c>
      <c r="R16" s="142"/>
      <c r="S16" s="142"/>
      <c r="T16" s="142"/>
      <c r="U16" s="142"/>
      <c r="V16" s="142"/>
    </row>
    <row r="17" spans="1:23">
      <c r="A17" s="68">
        <v>8</v>
      </c>
      <c r="B17" s="38" t="s">
        <v>40</v>
      </c>
      <c r="C17" s="68" t="str">
        <f>"("&amp;A15&amp;") x ("&amp;A16&amp;")"</f>
        <v>(6) x (7)</v>
      </c>
      <c r="D17" s="72">
        <f t="shared" ref="D17:Q17" si="3">D15*D16</f>
        <v>1871531.9447999999</v>
      </c>
      <c r="E17" s="72">
        <f t="shared" si="3"/>
        <v>3059528.5744664515</v>
      </c>
      <c r="F17" s="72">
        <f t="shared" si="3"/>
        <v>4931060.5192664526</v>
      </c>
      <c r="G17" s="72">
        <f t="shared" si="3"/>
        <v>3438209.1202200004</v>
      </c>
      <c r="H17" s="72">
        <f t="shared" si="3"/>
        <v>3257485.4784300001</v>
      </c>
      <c r="I17" s="72">
        <f t="shared" si="3"/>
        <v>2570868.66237</v>
      </c>
      <c r="J17" s="72">
        <f t="shared" si="3"/>
        <v>2337281.4691500003</v>
      </c>
      <c r="K17" s="72">
        <f t="shared" si="3"/>
        <v>2568213.8197500003</v>
      </c>
      <c r="L17" s="72">
        <f t="shared" si="3"/>
        <v>2931391.3409100003</v>
      </c>
      <c r="M17" s="72">
        <f t="shared" si="3"/>
        <v>2979527.23698</v>
      </c>
      <c r="N17" s="72">
        <f t="shared" si="3"/>
        <v>2530144.6217700001</v>
      </c>
      <c r="O17" s="72">
        <f t="shared" si="3"/>
        <v>0</v>
      </c>
      <c r="P17" s="72">
        <f t="shared" si="3"/>
        <v>0</v>
      </c>
      <c r="Q17" s="72">
        <f t="shared" si="3"/>
        <v>0</v>
      </c>
      <c r="R17" s="126"/>
      <c r="S17" s="126"/>
      <c r="T17" s="126"/>
      <c r="U17" s="126"/>
      <c r="V17" s="138"/>
    </row>
    <row r="18" spans="1:23">
      <c r="A18" s="68">
        <v>9</v>
      </c>
      <c r="B18" s="38" t="s">
        <v>25</v>
      </c>
      <c r="C18" s="68" t="str">
        <f>"("&amp;A13&amp;") - ("&amp;A14&amp;") -("&amp;A17&amp;")"</f>
        <v>(4) - (5) -(8)</v>
      </c>
      <c r="D18" s="72">
        <f>D13-D14-D17</f>
        <v>5616071.2683774196</v>
      </c>
      <c r="E18" s="72">
        <f>E13-E14-E17</f>
        <v>12664438.173206128</v>
      </c>
      <c r="F18" s="72">
        <f>F13-F14-F17</f>
        <v>18280509.441583548</v>
      </c>
      <c r="G18" s="72">
        <f t="shared" ref="G18:Q18" si="4">G13-G14-G17</f>
        <v>13420675.608839998</v>
      </c>
      <c r="H18" s="72">
        <f t="shared" si="4"/>
        <v>12428880.837030001</v>
      </c>
      <c r="I18" s="72">
        <f t="shared" si="4"/>
        <v>9500376.68884</v>
      </c>
      <c r="J18" s="72">
        <f t="shared" si="4"/>
        <v>8539206.1712399982</v>
      </c>
      <c r="K18" s="72">
        <f t="shared" si="4"/>
        <v>9414829.0629900005</v>
      </c>
      <c r="L18" s="72">
        <f t="shared" si="4"/>
        <v>10980498.94327</v>
      </c>
      <c r="M18" s="72">
        <f t="shared" si="4"/>
        <v>11380911.973129999</v>
      </c>
      <c r="N18" s="72">
        <f t="shared" si="4"/>
        <v>9456588.9543500002</v>
      </c>
      <c r="O18" s="72">
        <f t="shared" si="4"/>
        <v>0</v>
      </c>
      <c r="P18" s="72">
        <f t="shared" si="4"/>
        <v>0</v>
      </c>
      <c r="Q18" s="72">
        <f t="shared" si="4"/>
        <v>0</v>
      </c>
      <c r="R18" s="126">
        <f>SUM(F18:H18)</f>
        <v>44130065.887453549</v>
      </c>
      <c r="S18" s="126">
        <f>SUM(I18:K18)</f>
        <v>27454411.923069999</v>
      </c>
      <c r="T18" s="126">
        <f>SUM(L18:N18)</f>
        <v>31817999.870750003</v>
      </c>
      <c r="U18" s="126">
        <f>SUM(O18:Q18)</f>
        <v>0</v>
      </c>
      <c r="V18" s="138">
        <f>SUM(F18:Q18)</f>
        <v>103402477.68127353</v>
      </c>
    </row>
    <row r="19" spans="1:23">
      <c r="A19" s="68"/>
      <c r="B19" s="125" t="s">
        <v>26</v>
      </c>
      <c r="C19" s="68"/>
      <c r="D19" s="35">
        <f t="shared" ref="D19:Q19" si="5">D18/D9</f>
        <v>83.613830436371686</v>
      </c>
      <c r="E19" s="35">
        <f t="shared" si="5"/>
        <v>89.786727393008249</v>
      </c>
      <c r="F19" s="35">
        <f t="shared" si="5"/>
        <v>87.795470310222257</v>
      </c>
      <c r="G19" s="35">
        <f t="shared" si="5"/>
        <v>63.781024479084479</v>
      </c>
      <c r="H19" s="35">
        <f t="shared" si="5"/>
        <v>59.255689330297976</v>
      </c>
      <c r="I19" s="35">
        <f t="shared" si="5"/>
        <v>45.368432887657889</v>
      </c>
      <c r="J19" s="35">
        <f t="shared" si="5"/>
        <v>40.856663849687081</v>
      </c>
      <c r="K19" s="35">
        <f t="shared" si="5"/>
        <v>45.054574033881273</v>
      </c>
      <c r="L19" s="35">
        <f t="shared" si="5"/>
        <v>52.487041085591095</v>
      </c>
      <c r="M19" s="35">
        <f t="shared" si="5"/>
        <v>54.321050694614144</v>
      </c>
      <c r="N19" s="35">
        <f t="shared" si="5"/>
        <v>44.964143872257672</v>
      </c>
      <c r="O19" s="35" t="e">
        <f t="shared" si="5"/>
        <v>#DIV/0!</v>
      </c>
      <c r="P19" s="35" t="e">
        <f t="shared" si="5"/>
        <v>#DIV/0!</v>
      </c>
      <c r="Q19" s="35" t="e">
        <f t="shared" si="5"/>
        <v>#DIV/0!</v>
      </c>
      <c r="R19" s="142">
        <f>R18/R9</f>
        <v>70.227751915551053</v>
      </c>
      <c r="S19" s="142">
        <f>S18/S9</f>
        <v>43.760837910193921</v>
      </c>
      <c r="T19" s="142">
        <f>T18/T9</f>
        <v>50.582642911705328</v>
      </c>
      <c r="U19" s="142" t="e">
        <f>U18/U9</f>
        <v>#DIV/0!</v>
      </c>
      <c r="V19" s="142">
        <f>V18/V9</f>
        <v>54.861566828580564</v>
      </c>
    </row>
    <row r="20" spans="1:23">
      <c r="A20" s="68">
        <v>10</v>
      </c>
      <c r="B20" s="38" t="s">
        <v>27</v>
      </c>
      <c r="C20" s="68" t="str">
        <f>"("&amp;A$11&amp;") - ("&amp;A18&amp;")"</f>
        <v>(3) - (9)</v>
      </c>
      <c r="D20" s="126">
        <f>D11-D18</f>
        <v>-322703.55821009446</v>
      </c>
      <c r="E20" s="126">
        <f>E11-E18</f>
        <v>-206492.46896104142</v>
      </c>
      <c r="F20" s="126">
        <f t="shared" ref="F20:Q20" si="6">F11-F18</f>
        <v>-529196.02717113495</v>
      </c>
      <c r="G20" s="126">
        <f t="shared" si="6"/>
        <v>1764174.2183790356</v>
      </c>
      <c r="H20" s="126">
        <f t="shared" si="6"/>
        <v>2457525.8648503646</v>
      </c>
      <c r="I20" s="126">
        <f t="shared" si="6"/>
        <v>1695339.2603187654</v>
      </c>
      <c r="J20" s="126">
        <f t="shared" si="6"/>
        <v>2266081.7376758941</v>
      </c>
      <c r="K20" s="126">
        <f t="shared" si="6"/>
        <v>191523.81507954001</v>
      </c>
      <c r="L20" s="126">
        <f t="shared" si="6"/>
        <v>-1026351.1440660506</v>
      </c>
      <c r="M20" s="126">
        <f t="shared" si="6"/>
        <v>405512.29763073288</v>
      </c>
      <c r="N20" s="126">
        <f t="shared" si="6"/>
        <v>106697.18535276316</v>
      </c>
      <c r="O20" s="126">
        <f t="shared" si="6"/>
        <v>0</v>
      </c>
      <c r="P20" s="126">
        <f t="shared" si="6"/>
        <v>0</v>
      </c>
      <c r="Q20" s="126">
        <f t="shared" si="6"/>
        <v>0</v>
      </c>
      <c r="R20" s="126">
        <f>SUM(F20:H20)</f>
        <v>3692504.0560582653</v>
      </c>
      <c r="S20" s="126">
        <f>SUM(I20:K20)</f>
        <v>4152944.8130741995</v>
      </c>
      <c r="T20" s="126">
        <f>SUM(L20:N20)</f>
        <v>-514141.66108255461</v>
      </c>
      <c r="U20" s="126">
        <f>SUM(O20:Q20)</f>
        <v>0</v>
      </c>
      <c r="V20" s="138">
        <f>SUM(F20:Q20)</f>
        <v>7331307.2080499101</v>
      </c>
    </row>
    <row r="21" spans="1:23">
      <c r="A21" s="68">
        <v>11</v>
      </c>
      <c r="B21" s="38" t="s">
        <v>28</v>
      </c>
      <c r="C21" s="16" t="s">
        <v>29</v>
      </c>
      <c r="D21" s="126">
        <f>D20*-0.045395</f>
        <v>14649.128024947237</v>
      </c>
      <c r="E21" s="126">
        <f>E20*-0.04588</f>
        <v>9473.87447593258</v>
      </c>
      <c r="F21" s="126">
        <f>D21+E21</f>
        <v>24123.002500879818</v>
      </c>
      <c r="G21" s="126">
        <f>G20*-0.04588</f>
        <v>-80940.313139230144</v>
      </c>
      <c r="H21" s="126">
        <f t="shared" ref="H21:Q21" si="7">H20*-0.04588</f>
        <v>-112751.28667933472</v>
      </c>
      <c r="I21" s="126">
        <f t="shared" si="7"/>
        <v>-77782.165263424948</v>
      </c>
      <c r="J21" s="126">
        <f t="shared" si="7"/>
        <v>-103967.83012457001</v>
      </c>
      <c r="K21" s="126">
        <f t="shared" si="7"/>
        <v>-8787.1126358492947</v>
      </c>
      <c r="L21" s="126">
        <f t="shared" si="7"/>
        <v>47088.990489750402</v>
      </c>
      <c r="M21" s="126">
        <f t="shared" si="7"/>
        <v>-18604.904215298022</v>
      </c>
      <c r="N21" s="126">
        <f t="shared" si="7"/>
        <v>-4895.2668639847734</v>
      </c>
      <c r="O21" s="126">
        <f t="shared" si="7"/>
        <v>0</v>
      </c>
      <c r="P21" s="126">
        <f t="shared" si="7"/>
        <v>0</v>
      </c>
      <c r="Q21" s="126">
        <f t="shared" si="7"/>
        <v>0</v>
      </c>
      <c r="R21" s="126">
        <f>SUM(F21:H21)</f>
        <v>-169568.59731768505</v>
      </c>
      <c r="S21" s="126">
        <f>SUM(I21:K21)</f>
        <v>-190537.10802384428</v>
      </c>
      <c r="T21" s="126">
        <f>SUM(L21:N21)</f>
        <v>23588.819410467608</v>
      </c>
      <c r="U21" s="126">
        <f>SUM(O21:Q21)</f>
        <v>0</v>
      </c>
      <c r="V21" s="138">
        <f>SUM(F21:Q21)</f>
        <v>-336516.88593106164</v>
      </c>
    </row>
    <row r="22" spans="1:23" ht="14.4" customHeight="1">
      <c r="A22" s="68"/>
      <c r="B22" s="38"/>
      <c r="C22" s="68" t="s">
        <v>30</v>
      </c>
      <c r="D22" s="68"/>
      <c r="E22" s="68"/>
      <c r="F22" s="127">
        <v>3.2500000000000001E-2</v>
      </c>
      <c r="G22" s="127">
        <f t="shared" ref="G22:Q22" si="8">F22</f>
        <v>3.2500000000000001E-2</v>
      </c>
      <c r="H22" s="127">
        <f t="shared" si="8"/>
        <v>3.2500000000000001E-2</v>
      </c>
      <c r="I22" s="127">
        <v>3.4599999999999999E-2</v>
      </c>
      <c r="J22" s="127">
        <f t="shared" si="8"/>
        <v>3.4599999999999999E-2</v>
      </c>
      <c r="K22" s="127">
        <f t="shared" si="8"/>
        <v>3.4599999999999999E-2</v>
      </c>
      <c r="L22" s="127">
        <v>3.5000000000000003E-2</v>
      </c>
      <c r="M22" s="127">
        <f t="shared" ref="M22" si="9">L22</f>
        <v>3.5000000000000003E-2</v>
      </c>
      <c r="N22" s="127">
        <f t="shared" ref="N22" si="10">M22</f>
        <v>3.5000000000000003E-2</v>
      </c>
      <c r="O22" s="127">
        <v>0</v>
      </c>
      <c r="P22" s="127">
        <f t="shared" si="8"/>
        <v>0</v>
      </c>
      <c r="Q22" s="127">
        <f t="shared" si="8"/>
        <v>0</v>
      </c>
      <c r="R22" s="127"/>
      <c r="S22" s="127"/>
      <c r="T22" s="127"/>
      <c r="U22" s="127"/>
      <c r="V22" s="138"/>
    </row>
    <row r="23" spans="1:23">
      <c r="A23" s="68">
        <v>12</v>
      </c>
      <c r="B23" s="38" t="s">
        <v>31</v>
      </c>
      <c r="C23" s="68" t="s">
        <v>35</v>
      </c>
      <c r="D23" s="68"/>
      <c r="E23" s="68"/>
      <c r="F23" s="9">
        <f>(F20+F21)/2*F22/12</f>
        <v>-683.95305424097057</v>
      </c>
      <c r="G23" s="9">
        <f>(F25+(G20+G21)/2)*G22/12</f>
        <v>909.62076534172627</v>
      </c>
      <c r="H23" s="9">
        <f t="shared" ref="H23:Q23" si="11">(G25+(H20+H21)/2)*H22/12</f>
        <v>6366.6791428666984</v>
      </c>
      <c r="I23" s="9">
        <f t="shared" si="11"/>
        <v>12508.78331816906</v>
      </c>
      <c r="J23" s="9">
        <f t="shared" si="11"/>
        <v>17993.876005494389</v>
      </c>
      <c r="K23" s="9">
        <f t="shared" si="11"/>
        <v>21426.251310719712</v>
      </c>
      <c r="L23" s="9">
        <f t="shared" si="11"/>
        <v>20574.847254765817</v>
      </c>
      <c r="M23" s="9">
        <f t="shared" si="11"/>
        <v>19771.006534024284</v>
      </c>
      <c r="N23" s="9">
        <f t="shared" si="11"/>
        <v>20541.373049608836</v>
      </c>
      <c r="O23" s="9">
        <f t="shared" si="11"/>
        <v>0</v>
      </c>
      <c r="P23" s="9">
        <f t="shared" si="11"/>
        <v>0</v>
      </c>
      <c r="Q23" s="9">
        <f t="shared" si="11"/>
        <v>0</v>
      </c>
      <c r="R23" s="126">
        <f>SUM(F23:H23)</f>
        <v>6592.3468539674541</v>
      </c>
      <c r="S23" s="126">
        <f>SUM(I23:K23)</f>
        <v>51928.910634383166</v>
      </c>
      <c r="T23" s="126">
        <f>SUM(L23:N23)</f>
        <v>60887.226838398943</v>
      </c>
      <c r="U23" s="126">
        <f>SUM(O23:Q23)</f>
        <v>0</v>
      </c>
      <c r="V23" s="138">
        <f>SUM(F23:Q23)</f>
        <v>119408.48432674956</v>
      </c>
    </row>
    <row r="24" spans="1:23" ht="14.4" customHeight="1" thickBot="1">
      <c r="A24" s="68"/>
      <c r="B24" s="10" t="s">
        <v>32</v>
      </c>
      <c r="C24" s="68"/>
      <c r="D24" s="68"/>
      <c r="E24" s="68"/>
      <c r="F24" s="12">
        <f>F20+F21+F23</f>
        <v>-505756.9777244961</v>
      </c>
      <c r="G24" s="12">
        <f t="shared" ref="G24:Q24" si="12">G20+G21+G23</f>
        <v>1684143.526005147</v>
      </c>
      <c r="H24" s="12">
        <f t="shared" si="12"/>
        <v>2351141.2573138964</v>
      </c>
      <c r="I24" s="12">
        <f t="shared" si="12"/>
        <v>1630065.8783735095</v>
      </c>
      <c r="J24" s="12">
        <f t="shared" si="12"/>
        <v>2180107.7835568185</v>
      </c>
      <c r="K24" s="12">
        <f t="shared" si="12"/>
        <v>204162.95375441041</v>
      </c>
      <c r="L24" s="12">
        <f t="shared" si="12"/>
        <v>-958687.30632153444</v>
      </c>
      <c r="M24" s="12">
        <f t="shared" si="12"/>
        <v>406678.39994945913</v>
      </c>
      <c r="N24" s="12">
        <f t="shared" si="12"/>
        <v>122343.29153838723</v>
      </c>
      <c r="O24" s="12">
        <f t="shared" si="12"/>
        <v>0</v>
      </c>
      <c r="P24" s="12">
        <f t="shared" si="12"/>
        <v>0</v>
      </c>
      <c r="Q24" s="12">
        <f t="shared" si="12"/>
        <v>0</v>
      </c>
      <c r="R24" s="143">
        <f>R20+R21+R23</f>
        <v>3529527.8055945477</v>
      </c>
      <c r="S24" s="143">
        <f>S20+S21+S23</f>
        <v>4014336.6156847384</v>
      </c>
      <c r="T24" s="143">
        <f>T20+T21+T23</f>
        <v>-429665.61483368801</v>
      </c>
      <c r="U24" s="143">
        <f>U20+U21+U23</f>
        <v>0</v>
      </c>
      <c r="V24" s="143">
        <f>V20+V21+V23</f>
        <v>7114198.8064455977</v>
      </c>
    </row>
    <row r="25" spans="1:23" ht="40.200000000000003" customHeight="1" thickBot="1">
      <c r="A25" s="68">
        <v>13</v>
      </c>
      <c r="B25" s="147" t="s">
        <v>130</v>
      </c>
      <c r="C25" s="68" t="str">
        <f>"Σ(("&amp;A$20&amp;") ~ ("&amp;A23&amp;"))"</f>
        <v>Σ((10) ~ (12))</v>
      </c>
      <c r="D25" s="68"/>
      <c r="E25" s="68"/>
      <c r="F25" s="72">
        <f>F20+F21+F23</f>
        <v>-505756.9777244961</v>
      </c>
      <c r="G25" s="72">
        <f>F25+G20+G21+G23</f>
        <v>1178386.548280651</v>
      </c>
      <c r="H25" s="72">
        <f t="shared" ref="H25:Q25" si="13">G25+H20+H21+H23</f>
        <v>3529527.8055945472</v>
      </c>
      <c r="I25" s="72">
        <f t="shared" si="13"/>
        <v>5159593.6839680569</v>
      </c>
      <c r="J25" s="72">
        <f t="shared" si="13"/>
        <v>7339701.467524875</v>
      </c>
      <c r="K25" s="72">
        <f t="shared" si="13"/>
        <v>7543864.421279286</v>
      </c>
      <c r="L25" s="72">
        <f t="shared" si="13"/>
        <v>6585177.1149577517</v>
      </c>
      <c r="M25" s="72">
        <f t="shared" si="13"/>
        <v>6991855.5149072111</v>
      </c>
      <c r="N25" s="72">
        <f t="shared" si="13"/>
        <v>7114198.8064455977</v>
      </c>
      <c r="O25" s="72">
        <f t="shared" si="13"/>
        <v>7114198.8064455977</v>
      </c>
      <c r="P25" s="72">
        <f t="shared" si="13"/>
        <v>7114198.8064455977</v>
      </c>
      <c r="Q25" s="128">
        <f t="shared" si="13"/>
        <v>7114198.8064455977</v>
      </c>
      <c r="R25" s="126"/>
      <c r="S25" s="126"/>
      <c r="T25" s="126"/>
      <c r="U25" s="126"/>
      <c r="V25" s="138"/>
    </row>
    <row r="26" spans="1:23" ht="14.4" customHeight="1">
      <c r="A26" s="68"/>
      <c r="B26" s="160"/>
      <c r="C26" s="68"/>
      <c r="D26" s="68"/>
      <c r="E26" s="68"/>
      <c r="F26" s="69"/>
      <c r="G26" s="69"/>
      <c r="H26" s="69"/>
      <c r="I26" s="69"/>
      <c r="J26" s="69"/>
      <c r="K26" s="69"/>
      <c r="L26" s="69"/>
      <c r="M26" s="69"/>
      <c r="N26" s="69"/>
      <c r="O26" s="69"/>
      <c r="P26" s="69"/>
      <c r="Q26" s="69"/>
      <c r="R26" s="126"/>
      <c r="S26" s="126"/>
      <c r="T26" s="126"/>
      <c r="U26" s="126"/>
      <c r="V26" s="138"/>
    </row>
    <row r="27" spans="1:23" ht="9" customHeight="1">
      <c r="A27" s="68"/>
      <c r="B27" s="160"/>
      <c r="C27" s="68"/>
      <c r="D27" s="68"/>
      <c r="E27" s="68"/>
      <c r="F27" s="72"/>
      <c r="G27" s="72"/>
      <c r="H27" s="72"/>
      <c r="I27" s="72"/>
      <c r="J27" s="70"/>
      <c r="K27" s="72"/>
      <c r="L27" s="72"/>
      <c r="M27" s="72"/>
      <c r="N27" s="72"/>
      <c r="O27" s="72"/>
      <c r="P27" s="72"/>
      <c r="Q27" s="72"/>
      <c r="R27" s="119"/>
      <c r="S27" s="144"/>
      <c r="T27" s="144"/>
      <c r="U27" s="144"/>
      <c r="V27" s="144"/>
      <c r="W27" s="85"/>
    </row>
    <row r="28" spans="1:23">
      <c r="A28" s="68"/>
      <c r="B28" s="2" t="s">
        <v>33</v>
      </c>
      <c r="C28" s="68"/>
      <c r="D28" s="68"/>
      <c r="E28" s="68"/>
      <c r="F28" s="72"/>
      <c r="G28" s="72"/>
      <c r="H28" s="72"/>
      <c r="I28" s="72"/>
      <c r="J28" s="72"/>
      <c r="K28" s="72"/>
      <c r="L28" s="72"/>
      <c r="M28" s="72"/>
      <c r="N28" s="72"/>
      <c r="O28" s="72"/>
      <c r="P28" s="72"/>
      <c r="Q28" s="72"/>
      <c r="R28" s="126"/>
      <c r="S28" s="126"/>
      <c r="T28" s="126"/>
      <c r="U28" s="126"/>
      <c r="V28" s="138"/>
    </row>
    <row r="29" spans="1:23">
      <c r="A29" s="68">
        <v>14</v>
      </c>
      <c r="B29" s="38" t="s">
        <v>20</v>
      </c>
      <c r="C29" s="68" t="s">
        <v>21</v>
      </c>
      <c r="D29" s="117">
        <f>$F29*D$5</f>
        <v>11397.096774193547</v>
      </c>
      <c r="E29" s="117">
        <f>$F29*E$5</f>
        <v>23933.903225806451</v>
      </c>
      <c r="F29" s="36">
        <v>35331</v>
      </c>
      <c r="G29" s="36">
        <v>35572</v>
      </c>
      <c r="H29" s="36">
        <v>35571</v>
      </c>
      <c r="I29" s="36">
        <v>35497</v>
      </c>
      <c r="J29" s="36">
        <v>35658</v>
      </c>
      <c r="K29" s="36">
        <v>35516</v>
      </c>
      <c r="L29" s="36">
        <v>35519</v>
      </c>
      <c r="M29" s="36">
        <v>35694</v>
      </c>
      <c r="N29" s="36">
        <v>35669</v>
      </c>
      <c r="O29" s="36"/>
      <c r="P29" s="36"/>
      <c r="Q29" s="36"/>
      <c r="R29" s="136">
        <f>SUM(F29:H29)</f>
        <v>106474</v>
      </c>
      <c r="S29" s="136">
        <f>SUM(I29:K29)</f>
        <v>106671</v>
      </c>
      <c r="T29" s="136">
        <f>SUM(L29:N29)</f>
        <v>106882</v>
      </c>
      <c r="U29" s="136">
        <f>SUM(O29:Q29)</f>
        <v>0</v>
      </c>
      <c r="V29" s="137">
        <f>SUM(F29:Q29)</f>
        <v>320027</v>
      </c>
    </row>
    <row r="30" spans="1:23" ht="29.4" customHeight="1">
      <c r="A30" s="108">
        <f>A29+1</f>
        <v>15</v>
      </c>
      <c r="B30" s="118" t="s">
        <v>22</v>
      </c>
      <c r="C30" s="118" t="s">
        <v>119</v>
      </c>
      <c r="D30" s="119">
        <v>356.03329356425502</v>
      </c>
      <c r="E30" s="119">
        <v>362.51153702538215</v>
      </c>
      <c r="F30" s="119">
        <f>$D$30*$D$5+$E$30*$E$5</f>
        <v>360.4217810701798</v>
      </c>
      <c r="G30" s="119">
        <v>368.64634553355734</v>
      </c>
      <c r="H30" s="119">
        <v>345.3608332677303</v>
      </c>
      <c r="I30" s="119">
        <v>343.55068665310012</v>
      </c>
      <c r="J30" s="119">
        <v>369.90915568717207</v>
      </c>
      <c r="K30" s="119">
        <v>385.26617826211447</v>
      </c>
      <c r="L30" s="119">
        <v>416.90498753163007</v>
      </c>
      <c r="M30" s="119">
        <v>389.59606971640318</v>
      </c>
      <c r="N30" s="119">
        <v>372.63402682785289</v>
      </c>
      <c r="O30" s="119">
        <v>380.4894875098293</v>
      </c>
      <c r="P30" s="119">
        <v>350.01632614600436</v>
      </c>
      <c r="Q30" s="119">
        <v>369.7043658392239</v>
      </c>
      <c r="R30" s="119">
        <f>R31/R29</f>
        <v>358.13794870556814</v>
      </c>
      <c r="S30" s="119">
        <f>S31/S29</f>
        <v>366.25093028822766</v>
      </c>
      <c r="T30" s="119">
        <f>T31/T29</f>
        <v>393.0107358349951</v>
      </c>
      <c r="U30" s="119" t="e">
        <f>U31/U29</f>
        <v>#DIV/0!</v>
      </c>
      <c r="V30" s="119">
        <f>V31/V29</f>
        <v>372.48890375739592</v>
      </c>
    </row>
    <row r="31" spans="1:23">
      <c r="A31" s="68">
        <f>A30+1</f>
        <v>16</v>
      </c>
      <c r="B31" s="38" t="s">
        <v>23</v>
      </c>
      <c r="C31" s="68" t="str">
        <f>"("&amp;A29&amp;") x ("&amp;A30&amp;")"</f>
        <v>(14) x (15)</v>
      </c>
      <c r="D31" s="72">
        <f t="shared" ref="D31:Q31" si="14">D29*D30</f>
        <v>4057745.9015866751</v>
      </c>
      <c r="E31" s="72">
        <f t="shared" si="14"/>
        <v>8676316.0454038493</v>
      </c>
      <c r="F31" s="72">
        <f t="shared" si="14"/>
        <v>12734061.946990523</v>
      </c>
      <c r="G31" s="72">
        <f t="shared" si="14"/>
        <v>13113487.803319702</v>
      </c>
      <c r="H31" s="72">
        <f t="shared" si="14"/>
        <v>12284830.200166434</v>
      </c>
      <c r="I31" s="72">
        <f t="shared" si="14"/>
        <v>12195018.724125095</v>
      </c>
      <c r="J31" s="72">
        <f t="shared" si="14"/>
        <v>13190220.673493182</v>
      </c>
      <c r="K31" s="72">
        <f t="shared" si="14"/>
        <v>13683113.587157257</v>
      </c>
      <c r="L31" s="72">
        <f t="shared" si="14"/>
        <v>14808048.252135968</v>
      </c>
      <c r="M31" s="72">
        <f t="shared" si="14"/>
        <v>13906242.112457296</v>
      </c>
      <c r="N31" s="72">
        <f t="shared" si="14"/>
        <v>13291483.102922685</v>
      </c>
      <c r="O31" s="72">
        <f t="shared" si="14"/>
        <v>0</v>
      </c>
      <c r="P31" s="72">
        <f t="shared" si="14"/>
        <v>0</v>
      </c>
      <c r="Q31" s="72">
        <f t="shared" si="14"/>
        <v>0</v>
      </c>
      <c r="R31" s="126">
        <f>SUM(F31:H31)</f>
        <v>38132379.950476661</v>
      </c>
      <c r="S31" s="126">
        <f>SUM(I31:K31)</f>
        <v>39068352.984775536</v>
      </c>
      <c r="T31" s="126">
        <f>SUM(L31:N31)</f>
        <v>42005773.467515945</v>
      </c>
      <c r="U31" s="126">
        <f>SUM(O31:Q31)</f>
        <v>0</v>
      </c>
      <c r="V31" s="138">
        <f>SUM(F31:Q31)</f>
        <v>119206506.40276814</v>
      </c>
    </row>
    <row r="32" spans="1:23">
      <c r="A32" s="68"/>
      <c r="B32" s="38"/>
      <c r="C32" s="68"/>
      <c r="D32" s="68"/>
      <c r="E32" s="68"/>
      <c r="F32" s="69"/>
      <c r="G32" s="69"/>
      <c r="H32" s="69"/>
      <c r="I32" s="69"/>
      <c r="J32" s="69"/>
      <c r="K32" s="72"/>
      <c r="L32" s="69"/>
      <c r="M32" s="69"/>
      <c r="N32" s="69"/>
      <c r="O32" s="69"/>
      <c r="P32" s="69"/>
      <c r="Q32" s="69"/>
      <c r="R32" s="139"/>
      <c r="S32" s="139"/>
      <c r="T32" s="139"/>
      <c r="U32" s="139"/>
      <c r="V32" s="17"/>
    </row>
    <row r="33" spans="1:22">
      <c r="A33" s="68">
        <v>17</v>
      </c>
      <c r="B33" s="38" t="s">
        <v>37</v>
      </c>
      <c r="C33" s="68" t="s">
        <v>21</v>
      </c>
      <c r="D33" s="72">
        <f t="shared" ref="D33:E35" si="15">$F33*D$5</f>
        <v>5689115.5556193544</v>
      </c>
      <c r="E33" s="72">
        <f t="shared" si="15"/>
        <v>11947142.666800644</v>
      </c>
      <c r="F33" s="120">
        <v>17636258.22242</v>
      </c>
      <c r="G33" s="120">
        <v>16471104.690100003</v>
      </c>
      <c r="H33" s="120">
        <v>16873160.45101</v>
      </c>
      <c r="I33" s="120">
        <v>16097542.17726</v>
      </c>
      <c r="J33" s="120">
        <v>17385509.408640001</v>
      </c>
      <c r="K33" s="120">
        <v>18365177.307980005</v>
      </c>
      <c r="L33" s="120">
        <v>19234390.372470006</v>
      </c>
      <c r="M33" s="120">
        <v>18762262.963300001</v>
      </c>
      <c r="N33" s="120">
        <v>17379615.102119997</v>
      </c>
      <c r="O33" s="120"/>
      <c r="P33" s="120"/>
      <c r="Q33" s="120"/>
      <c r="R33" s="126"/>
      <c r="S33" s="126"/>
      <c r="T33" s="126"/>
      <c r="U33" s="126"/>
      <c r="V33" s="17"/>
    </row>
    <row r="34" spans="1:22">
      <c r="A34" s="68">
        <f>A33+1</f>
        <v>18</v>
      </c>
      <c r="B34" s="38" t="s">
        <v>38</v>
      </c>
      <c r="C34" s="68" t="s">
        <v>21</v>
      </c>
      <c r="D34" s="72">
        <f t="shared" si="15"/>
        <v>512506.27741935482</v>
      </c>
      <c r="E34" s="72">
        <f t="shared" si="15"/>
        <v>1076263.182580645</v>
      </c>
      <c r="F34" s="120">
        <v>1588769.46</v>
      </c>
      <c r="G34" s="120">
        <v>1582403.56</v>
      </c>
      <c r="H34" s="120">
        <v>1565686.23</v>
      </c>
      <c r="I34" s="120">
        <v>1575040.83</v>
      </c>
      <c r="J34" s="120">
        <v>1566939</v>
      </c>
      <c r="K34" s="120">
        <v>1572601.69</v>
      </c>
      <c r="L34" s="120">
        <v>1567372.29</v>
      </c>
      <c r="M34" s="120">
        <v>1565138.3199999998</v>
      </c>
      <c r="N34" s="120">
        <v>1570580.62</v>
      </c>
      <c r="O34" s="120"/>
      <c r="P34" s="120"/>
      <c r="Q34" s="120"/>
      <c r="R34" s="126"/>
      <c r="S34" s="126"/>
      <c r="T34" s="126"/>
      <c r="U34" s="126"/>
      <c r="V34" s="17"/>
    </row>
    <row r="35" spans="1:22">
      <c r="A35" s="68">
        <f>A34+1</f>
        <v>19</v>
      </c>
      <c r="B35" s="6" t="s">
        <v>41</v>
      </c>
      <c r="C35" s="68" t="s">
        <v>21</v>
      </c>
      <c r="D35" s="121">
        <f t="shared" si="15"/>
        <v>57402939.032258064</v>
      </c>
      <c r="E35" s="121">
        <f t="shared" si="15"/>
        <v>120546171.96774192</v>
      </c>
      <c r="F35" s="122">
        <v>177949111</v>
      </c>
      <c r="G35" s="122">
        <v>164762769</v>
      </c>
      <c r="H35" s="122">
        <v>170862451</v>
      </c>
      <c r="I35" s="122">
        <v>162142313</v>
      </c>
      <c r="J35" s="122">
        <v>179654733</v>
      </c>
      <c r="K35" s="122">
        <v>189325960</v>
      </c>
      <c r="L35" s="122">
        <v>201220320</v>
      </c>
      <c r="M35" s="122">
        <v>194881850</v>
      </c>
      <c r="N35" s="122">
        <v>178530679</v>
      </c>
      <c r="O35" s="122"/>
      <c r="P35" s="122"/>
      <c r="Q35" s="122"/>
      <c r="R35" s="136"/>
      <c r="S35" s="136"/>
      <c r="T35" s="136"/>
      <c r="U35" s="136"/>
      <c r="V35" s="17"/>
    </row>
    <row r="36" spans="1:22" ht="27">
      <c r="A36" s="68">
        <f>A35+1</f>
        <v>20</v>
      </c>
      <c r="B36" s="17" t="s">
        <v>39</v>
      </c>
      <c r="C36" s="123" t="s">
        <v>118</v>
      </c>
      <c r="D36" s="124">
        <v>2.1080000000000002E-2</v>
      </c>
      <c r="E36" s="124">
        <v>1.6410000000000001E-2</v>
      </c>
      <c r="F36" s="124">
        <f>$D$36*$D$5+$E$36*$E$5</f>
        <v>1.7916451612903228E-2</v>
      </c>
      <c r="G36" s="124">
        <v>1.6410000000000001E-2</v>
      </c>
      <c r="H36" s="124">
        <v>1.6410000000000001E-2</v>
      </c>
      <c r="I36" s="124">
        <v>1.6410000000000001E-2</v>
      </c>
      <c r="J36" s="124">
        <v>1.6410000000000001E-2</v>
      </c>
      <c r="K36" s="124">
        <v>1.6410000000000001E-2</v>
      </c>
      <c r="L36" s="124">
        <v>1.6410000000000001E-2</v>
      </c>
      <c r="M36" s="124">
        <v>1.6410000000000001E-2</v>
      </c>
      <c r="N36" s="124">
        <v>1.6410000000000001E-2</v>
      </c>
      <c r="O36" s="124">
        <v>1.6410000000000001E-2</v>
      </c>
      <c r="P36" s="124">
        <v>1.6410000000000001E-2</v>
      </c>
      <c r="Q36" s="124">
        <v>1.6410000000000001E-2</v>
      </c>
      <c r="R36" s="140"/>
      <c r="S36" s="140"/>
      <c r="T36" s="140"/>
      <c r="U36" s="140"/>
      <c r="V36" s="141"/>
    </row>
    <row r="37" spans="1:22">
      <c r="A37" s="68">
        <f>A36+1</f>
        <v>21</v>
      </c>
      <c r="B37" s="38" t="s">
        <v>40</v>
      </c>
      <c r="C37" s="68" t="str">
        <f>"("&amp;A35&amp;") x ("&amp;A36&amp;")"</f>
        <v>(19) x (20)</v>
      </c>
      <c r="D37" s="72">
        <f t="shared" ref="D37:Q37" si="16">D35*D36</f>
        <v>1210053.9548000002</v>
      </c>
      <c r="E37" s="72">
        <f t="shared" si="16"/>
        <v>1978162.6819906451</v>
      </c>
      <c r="F37" s="72">
        <f t="shared" si="16"/>
        <v>3188216.6367906458</v>
      </c>
      <c r="G37" s="72">
        <f t="shared" si="16"/>
        <v>2703757.0392900002</v>
      </c>
      <c r="H37" s="72">
        <f t="shared" si="16"/>
        <v>2803852.8209100002</v>
      </c>
      <c r="I37" s="72">
        <f t="shared" si="16"/>
        <v>2660755.3563300003</v>
      </c>
      <c r="J37" s="72">
        <f t="shared" si="16"/>
        <v>2948134.1685300004</v>
      </c>
      <c r="K37" s="72">
        <f t="shared" si="16"/>
        <v>3106839.0036000004</v>
      </c>
      <c r="L37" s="72">
        <f t="shared" si="16"/>
        <v>3302025.4512</v>
      </c>
      <c r="M37" s="72">
        <f t="shared" si="16"/>
        <v>3198011.1585000004</v>
      </c>
      <c r="N37" s="72">
        <f t="shared" si="16"/>
        <v>2929688.44239</v>
      </c>
      <c r="O37" s="72">
        <f t="shared" si="16"/>
        <v>0</v>
      </c>
      <c r="P37" s="72">
        <f t="shared" si="16"/>
        <v>0</v>
      </c>
      <c r="Q37" s="72">
        <f t="shared" si="16"/>
        <v>0</v>
      </c>
      <c r="R37" s="126"/>
      <c r="S37" s="126"/>
      <c r="T37" s="126"/>
      <c r="U37" s="126"/>
      <c r="V37" s="138"/>
    </row>
    <row r="38" spans="1:22">
      <c r="A38" s="68">
        <f>A37+1</f>
        <v>22</v>
      </c>
      <c r="B38" s="38" t="s">
        <v>25</v>
      </c>
      <c r="C38" s="68" t="str">
        <f>"("&amp;A33&amp;") - ("&amp;A34&amp;") -("&amp;A37&amp;")"</f>
        <v>(17) - (18) -(21)</v>
      </c>
      <c r="D38" s="72">
        <f>D33-D34-D37</f>
        <v>3966555.3233999992</v>
      </c>
      <c r="E38" s="72">
        <f>E33-E34-E37</f>
        <v>8892716.8022293542</v>
      </c>
      <c r="F38" s="72">
        <f>F33-F34-F37</f>
        <v>12859272.125629352</v>
      </c>
      <c r="G38" s="72">
        <f t="shared" ref="G38:Q38" si="17">G33-G34-G37</f>
        <v>12184944.090810003</v>
      </c>
      <c r="H38" s="72">
        <f t="shared" si="17"/>
        <v>12503621.4001</v>
      </c>
      <c r="I38" s="72">
        <f t="shared" si="17"/>
        <v>11861745.99093</v>
      </c>
      <c r="J38" s="72">
        <f t="shared" si="17"/>
        <v>12870436.240110001</v>
      </c>
      <c r="K38" s="72">
        <f t="shared" si="17"/>
        <v>13685736.614380002</v>
      </c>
      <c r="L38" s="72">
        <f t="shared" si="17"/>
        <v>14364992.631270006</v>
      </c>
      <c r="M38" s="72">
        <f t="shared" si="17"/>
        <v>13999113.4848</v>
      </c>
      <c r="N38" s="72">
        <f t="shared" si="17"/>
        <v>12879346.039729996</v>
      </c>
      <c r="O38" s="72">
        <f t="shared" si="17"/>
        <v>0</v>
      </c>
      <c r="P38" s="72">
        <f t="shared" si="17"/>
        <v>0</v>
      </c>
      <c r="Q38" s="72">
        <f t="shared" si="17"/>
        <v>0</v>
      </c>
      <c r="R38" s="126">
        <f>SUM(F38:H38)</f>
        <v>37547837.616539359</v>
      </c>
      <c r="S38" s="126">
        <f>SUM(I38:K38)</f>
        <v>38417918.845420003</v>
      </c>
      <c r="T38" s="126">
        <f>SUM(L38:N38)</f>
        <v>41243452.1558</v>
      </c>
      <c r="U38" s="126">
        <f>SUM(O38:Q38)</f>
        <v>0</v>
      </c>
      <c r="V38" s="138">
        <f>SUM(F38:Q38)</f>
        <v>117209208.61775936</v>
      </c>
    </row>
    <row r="39" spans="1:22">
      <c r="A39" s="68"/>
      <c r="B39" s="68" t="s">
        <v>34</v>
      </c>
      <c r="C39" s="68"/>
      <c r="D39" s="35">
        <f t="shared" ref="D39:Q39" si="18">D38/D29</f>
        <v>348.0320823792137</v>
      </c>
      <c r="E39" s="35">
        <f t="shared" si="18"/>
        <v>371.55313608191108</v>
      </c>
      <c r="F39" s="35">
        <f t="shared" si="18"/>
        <v>363.96569940362156</v>
      </c>
      <c r="G39" s="35">
        <f t="shared" si="18"/>
        <v>342.54312635809072</v>
      </c>
      <c r="H39" s="35">
        <f t="shared" si="18"/>
        <v>351.51166399876303</v>
      </c>
      <c r="I39" s="35">
        <f t="shared" si="18"/>
        <v>334.16192892159904</v>
      </c>
      <c r="J39" s="35">
        <f t="shared" si="18"/>
        <v>360.94105783022042</v>
      </c>
      <c r="K39" s="35">
        <f t="shared" si="18"/>
        <v>385.34003306622373</v>
      </c>
      <c r="L39" s="35">
        <f t="shared" si="18"/>
        <v>404.43122360623909</v>
      </c>
      <c r="M39" s="35">
        <f t="shared" si="18"/>
        <v>392.19794600773241</v>
      </c>
      <c r="N39" s="35">
        <f t="shared" si="18"/>
        <v>361.07953796658148</v>
      </c>
      <c r="O39" s="35" t="e">
        <f t="shared" si="18"/>
        <v>#DIV/0!</v>
      </c>
      <c r="P39" s="35" t="e">
        <f t="shared" si="18"/>
        <v>#DIV/0!</v>
      </c>
      <c r="Q39" s="35" t="e">
        <f t="shared" si="18"/>
        <v>#DIV/0!</v>
      </c>
      <c r="R39" s="142">
        <f>R38/R29</f>
        <v>352.64794801115164</v>
      </c>
      <c r="S39" s="142">
        <f>S38/S29</f>
        <v>360.15335794564601</v>
      </c>
      <c r="T39" s="142">
        <f>T38/T29</f>
        <v>385.87837199715574</v>
      </c>
      <c r="U39" s="142" t="e">
        <f>U38/U29</f>
        <v>#DIV/0!</v>
      </c>
      <c r="V39" s="142">
        <f>V38/V29</f>
        <v>366.24787476606463</v>
      </c>
    </row>
    <row r="40" spans="1:22">
      <c r="A40" s="68">
        <v>23</v>
      </c>
      <c r="B40" s="38" t="s">
        <v>27</v>
      </c>
      <c r="C40" s="68" t="str">
        <f>"("&amp;A$31&amp;") - ("&amp;A38&amp;")"</f>
        <v>(16) - (22)</v>
      </c>
      <c r="D40" s="126">
        <f>D31-D38</f>
        <v>91190.578186675906</v>
      </c>
      <c r="E40" s="126">
        <f t="shared" ref="E40:Q40" si="19">E31-E38</f>
        <v>-216400.75682550482</v>
      </c>
      <c r="F40" s="126">
        <f t="shared" si="19"/>
        <v>-125210.17863882892</v>
      </c>
      <c r="G40" s="126">
        <f t="shared" si="19"/>
        <v>928543.71250969917</v>
      </c>
      <c r="H40" s="126">
        <f t="shared" si="19"/>
        <v>-218791.19993356615</v>
      </c>
      <c r="I40" s="126">
        <f t="shared" si="19"/>
        <v>333272.73319509439</v>
      </c>
      <c r="J40" s="126">
        <f t="shared" si="19"/>
        <v>319784.43338318169</v>
      </c>
      <c r="K40" s="126">
        <f t="shared" si="19"/>
        <v>-2623.0272227451205</v>
      </c>
      <c r="L40" s="126">
        <f t="shared" si="19"/>
        <v>443055.62086596154</v>
      </c>
      <c r="M40" s="126">
        <f t="shared" si="19"/>
        <v>-92871.372342703864</v>
      </c>
      <c r="N40" s="126">
        <f t="shared" si="19"/>
        <v>412137.06319268979</v>
      </c>
      <c r="O40" s="126">
        <f t="shared" si="19"/>
        <v>0</v>
      </c>
      <c r="P40" s="126">
        <f t="shared" si="19"/>
        <v>0</v>
      </c>
      <c r="Q40" s="126">
        <f t="shared" si="19"/>
        <v>0</v>
      </c>
      <c r="R40" s="126">
        <f>SUM(F40:H40)</f>
        <v>584542.33393730409</v>
      </c>
      <c r="S40" s="126">
        <f>SUM(I40:K40)</f>
        <v>650434.13935553096</v>
      </c>
      <c r="T40" s="126">
        <f>SUM(L40:N40)</f>
        <v>762321.31171594746</v>
      </c>
      <c r="U40" s="126">
        <f>SUM(O40:Q40)</f>
        <v>0</v>
      </c>
      <c r="V40" s="138">
        <f>SUM(F40:Q40)</f>
        <v>1997297.7850087825</v>
      </c>
    </row>
    <row r="41" spans="1:22">
      <c r="A41" s="68">
        <v>24</v>
      </c>
      <c r="B41" s="38" t="s">
        <v>28</v>
      </c>
      <c r="C41" s="16" t="s">
        <v>29</v>
      </c>
      <c r="D41" s="126">
        <f>D40*-0.045395</f>
        <v>-4139.5962967841524</v>
      </c>
      <c r="E41" s="126">
        <f>E40*-0.04588</f>
        <v>9928.4667231541607</v>
      </c>
      <c r="F41" s="126">
        <f>D41+E41</f>
        <v>5788.8704263700083</v>
      </c>
      <c r="G41" s="126">
        <f>G40*-0.04588</f>
        <v>-42601.585529944998</v>
      </c>
      <c r="H41" s="126">
        <f t="shared" ref="H41:Q41" si="20">H40*-0.04588</f>
        <v>10038.140252952015</v>
      </c>
      <c r="I41" s="126">
        <f t="shared" si="20"/>
        <v>-15290.55299899093</v>
      </c>
      <c r="J41" s="126">
        <f t="shared" si="20"/>
        <v>-14671.709803620375</v>
      </c>
      <c r="K41" s="126">
        <f t="shared" si="20"/>
        <v>120.34448897954613</v>
      </c>
      <c r="L41" s="126">
        <f t="shared" si="20"/>
        <v>-20327.391885330315</v>
      </c>
      <c r="M41" s="126">
        <f t="shared" si="20"/>
        <v>4260.938563083253</v>
      </c>
      <c r="N41" s="126">
        <f t="shared" si="20"/>
        <v>-18908.848459280605</v>
      </c>
      <c r="O41" s="126">
        <f t="shared" si="20"/>
        <v>0</v>
      </c>
      <c r="P41" s="126">
        <f t="shared" si="20"/>
        <v>0</v>
      </c>
      <c r="Q41" s="126">
        <f t="shared" si="20"/>
        <v>0</v>
      </c>
      <c r="R41" s="126">
        <f>SUM(F41:H41)</f>
        <v>-26774.574850622979</v>
      </c>
      <c r="S41" s="126">
        <f>SUM(I41:K41)</f>
        <v>-29841.918313631759</v>
      </c>
      <c r="T41" s="126">
        <f>SUM(L41:N41)</f>
        <v>-34975.301781527669</v>
      </c>
      <c r="U41" s="126">
        <f>SUM(O41:Q41)</f>
        <v>0</v>
      </c>
      <c r="V41" s="138">
        <f>SUM(F41:Q41)</f>
        <v>-91591.794945782414</v>
      </c>
    </row>
    <row r="42" spans="1:22">
      <c r="A42" s="68"/>
      <c r="B42" s="38"/>
      <c r="C42" s="68" t="s">
        <v>30</v>
      </c>
      <c r="D42" s="68"/>
      <c r="E42" s="68"/>
      <c r="F42" s="127">
        <f t="shared" ref="F42:Q42" si="21">F22</f>
        <v>3.2500000000000001E-2</v>
      </c>
      <c r="G42" s="127">
        <f t="shared" si="21"/>
        <v>3.2500000000000001E-2</v>
      </c>
      <c r="H42" s="127">
        <f t="shared" si="21"/>
        <v>3.2500000000000001E-2</v>
      </c>
      <c r="I42" s="127">
        <f t="shared" si="21"/>
        <v>3.4599999999999999E-2</v>
      </c>
      <c r="J42" s="127">
        <f t="shared" si="21"/>
        <v>3.4599999999999999E-2</v>
      </c>
      <c r="K42" s="127">
        <f t="shared" si="21"/>
        <v>3.4599999999999999E-2</v>
      </c>
      <c r="L42" s="127">
        <f t="shared" si="21"/>
        <v>3.5000000000000003E-2</v>
      </c>
      <c r="M42" s="127">
        <f t="shared" si="21"/>
        <v>3.5000000000000003E-2</v>
      </c>
      <c r="N42" s="127">
        <f t="shared" si="21"/>
        <v>3.5000000000000003E-2</v>
      </c>
      <c r="O42" s="127">
        <f t="shared" si="21"/>
        <v>0</v>
      </c>
      <c r="P42" s="127">
        <f t="shared" si="21"/>
        <v>0</v>
      </c>
      <c r="Q42" s="127">
        <f t="shared" si="21"/>
        <v>0</v>
      </c>
      <c r="R42" s="127"/>
      <c r="S42" s="127"/>
      <c r="T42" s="127"/>
      <c r="U42" s="127"/>
      <c r="V42" s="138"/>
    </row>
    <row r="43" spans="1:22" ht="14.4" customHeight="1">
      <c r="A43" s="68">
        <v>25</v>
      </c>
      <c r="B43" s="38" t="s">
        <v>31</v>
      </c>
      <c r="C43" s="68" t="s">
        <v>35</v>
      </c>
      <c r="D43" s="68"/>
      <c r="E43" s="68"/>
      <c r="F43" s="9">
        <f>(F40+F41)/2*F42/12</f>
        <v>-161.71635487103813</v>
      </c>
      <c r="G43" s="9">
        <f t="shared" ref="G43:Q43" si="22">(F45+(G40+G41)/2)*G42/12</f>
        <v>875.8426054152319</v>
      </c>
      <c r="H43" s="9">
        <f t="shared" si="22"/>
        <v>1795.2415411058173</v>
      </c>
      <c r="I43" s="9">
        <f t="shared" si="22"/>
        <v>2073.8900256152374</v>
      </c>
      <c r="J43" s="9">
        <f t="shared" si="22"/>
        <v>2978.1648947990111</v>
      </c>
      <c r="K43" s="9">
        <f t="shared" si="22"/>
        <v>3423.0147457983699</v>
      </c>
      <c r="L43" s="9">
        <f t="shared" si="22"/>
        <v>4085.3998852238797</v>
      </c>
      <c r="M43" s="9">
        <f t="shared" si="22"/>
        <v>4584.5707528905905</v>
      </c>
      <c r="N43" s="9">
        <f t="shared" si="22"/>
        <v>5042.1766814774628</v>
      </c>
      <c r="O43" s="9">
        <f t="shared" si="22"/>
        <v>0</v>
      </c>
      <c r="P43" s="9">
        <f t="shared" si="22"/>
        <v>0</v>
      </c>
      <c r="Q43" s="9">
        <f t="shared" si="22"/>
        <v>0</v>
      </c>
      <c r="R43" s="126">
        <f>SUM(F43:H43)</f>
        <v>2509.367791650011</v>
      </c>
      <c r="S43" s="126">
        <f>SUM(I43:K43)</f>
        <v>8475.0696662126174</v>
      </c>
      <c r="T43" s="126">
        <f>SUM(L43:N43)</f>
        <v>13712.147319591932</v>
      </c>
      <c r="U43" s="126">
        <f>SUM(O43:Q43)</f>
        <v>0</v>
      </c>
      <c r="V43" s="138">
        <f>SUM(F43:Q43)</f>
        <v>24696.584777454562</v>
      </c>
    </row>
    <row r="44" spans="1:22" ht="15" thickBot="1">
      <c r="A44" s="68"/>
      <c r="B44" s="10" t="s">
        <v>36</v>
      </c>
      <c r="C44" s="68"/>
      <c r="D44" s="68"/>
      <c r="E44" s="68"/>
      <c r="F44" s="12">
        <f>F40+F41+F43</f>
        <v>-119583.02456732995</v>
      </c>
      <c r="G44" s="12">
        <f t="shared" ref="G44:V44" si="23">G40+G41+G43</f>
        <v>886817.96958516946</v>
      </c>
      <c r="H44" s="12">
        <f t="shared" si="23"/>
        <v>-206957.81813950831</v>
      </c>
      <c r="I44" s="12">
        <f t="shared" si="23"/>
        <v>320056.07022171869</v>
      </c>
      <c r="J44" s="12">
        <f t="shared" si="23"/>
        <v>308090.88847436034</v>
      </c>
      <c r="K44" s="12">
        <f t="shared" si="23"/>
        <v>920.33201203279532</v>
      </c>
      <c r="L44" s="12">
        <f t="shared" si="23"/>
        <v>426813.62886585511</v>
      </c>
      <c r="M44" s="12">
        <f t="shared" si="23"/>
        <v>-84025.863026730018</v>
      </c>
      <c r="N44" s="12">
        <f t="shared" si="23"/>
        <v>398270.39141488663</v>
      </c>
      <c r="O44" s="12">
        <f t="shared" si="23"/>
        <v>0</v>
      </c>
      <c r="P44" s="12">
        <f t="shared" si="23"/>
        <v>0</v>
      </c>
      <c r="Q44" s="12">
        <f t="shared" si="23"/>
        <v>0</v>
      </c>
      <c r="R44" s="143">
        <f t="shared" si="23"/>
        <v>560277.12687833107</v>
      </c>
      <c r="S44" s="143">
        <f t="shared" si="23"/>
        <v>629067.29070811183</v>
      </c>
      <c r="T44" s="143">
        <f t="shared" si="23"/>
        <v>741058.15725401172</v>
      </c>
      <c r="U44" s="143">
        <f t="shared" si="23"/>
        <v>0</v>
      </c>
      <c r="V44" s="143">
        <f t="shared" si="23"/>
        <v>1930402.5748404546</v>
      </c>
    </row>
    <row r="45" spans="1:22" ht="34.950000000000003" customHeight="1" thickBot="1">
      <c r="A45" s="68">
        <v>26</v>
      </c>
      <c r="B45" s="147" t="s">
        <v>131</v>
      </c>
      <c r="C45" s="68" t="str">
        <f>"Σ(("&amp;A$40&amp;") ~ ("&amp;A43&amp;"))"</f>
        <v>Σ((23) ~ (25))</v>
      </c>
      <c r="D45" s="68"/>
      <c r="E45" s="68"/>
      <c r="F45" s="72">
        <f>F40+F41+F43</f>
        <v>-119583.02456732995</v>
      </c>
      <c r="G45" s="72">
        <f t="shared" ref="G45:Q45" si="24">F45+G40+G41+G43</f>
        <v>767234.94501783955</v>
      </c>
      <c r="H45" s="72">
        <f t="shared" si="24"/>
        <v>560277.12687833118</v>
      </c>
      <c r="I45" s="72">
        <f t="shared" si="24"/>
        <v>880333.19710004982</v>
      </c>
      <c r="J45" s="72">
        <f t="shared" si="24"/>
        <v>1188424.0855744102</v>
      </c>
      <c r="K45" s="72">
        <f t="shared" si="24"/>
        <v>1189344.417586443</v>
      </c>
      <c r="L45" s="72">
        <f t="shared" si="24"/>
        <v>1616158.0464522983</v>
      </c>
      <c r="M45" s="72">
        <f t="shared" si="24"/>
        <v>1532132.1834255683</v>
      </c>
      <c r="N45" s="72">
        <f t="shared" si="24"/>
        <v>1930402.5748404551</v>
      </c>
      <c r="O45" s="72">
        <f t="shared" si="24"/>
        <v>1930402.5748404551</v>
      </c>
      <c r="P45" s="72">
        <f t="shared" si="24"/>
        <v>1930402.5748404551</v>
      </c>
      <c r="Q45" s="128">
        <f t="shared" si="24"/>
        <v>1930402.5748404551</v>
      </c>
      <c r="R45" s="126"/>
      <c r="S45" s="126"/>
      <c r="T45" s="126"/>
      <c r="U45" s="126"/>
      <c r="V45" s="138"/>
    </row>
    <row r="46" spans="1:22" ht="14.4" hidden="1" customHeight="1">
      <c r="A46" s="68"/>
      <c r="B46" s="160"/>
      <c r="C46" s="68"/>
      <c r="D46" s="68"/>
      <c r="E46" s="68"/>
      <c r="F46" s="72"/>
      <c r="G46" s="72"/>
      <c r="H46" s="72"/>
      <c r="I46" s="72"/>
      <c r="J46" s="72"/>
      <c r="K46" s="72"/>
      <c r="L46" s="72"/>
      <c r="M46" s="72"/>
      <c r="N46" s="72"/>
      <c r="O46" s="72"/>
      <c r="P46" s="72"/>
      <c r="Q46" s="32"/>
      <c r="R46" s="143">
        <f>R42+R43+R45</f>
        <v>2509.367791650011</v>
      </c>
      <c r="S46" s="143">
        <f>S42+S43+S45</f>
        <v>8475.0696662126174</v>
      </c>
      <c r="T46" s="143">
        <f>T42+T43+T45</f>
        <v>13712.147319591932</v>
      </c>
      <c r="U46" s="143">
        <f>U42+U43+U45</f>
        <v>0</v>
      </c>
      <c r="V46" s="143">
        <f>V42+V43+V45</f>
        <v>24696.584777454562</v>
      </c>
    </row>
    <row r="47" spans="1:22" ht="23.4" customHeight="1" thickBot="1">
      <c r="A47" s="2">
        <v>27</v>
      </c>
      <c r="B47" s="129" t="s">
        <v>132</v>
      </c>
      <c r="C47" s="2" t="str">
        <f>"("&amp;A$25&amp;") + ("&amp;A45&amp;")"</f>
        <v>(13) + (26)</v>
      </c>
      <c r="D47" s="2"/>
      <c r="E47" s="2"/>
      <c r="F47" s="15">
        <f t="shared" ref="F47:Q47" si="25">F25+F45</f>
        <v>-625340.00229182607</v>
      </c>
      <c r="G47" s="15">
        <f t="shared" si="25"/>
        <v>1945621.4932984905</v>
      </c>
      <c r="H47" s="15">
        <f t="shared" si="25"/>
        <v>4089804.9324728781</v>
      </c>
      <c r="I47" s="15">
        <f t="shared" si="25"/>
        <v>6039926.8810681067</v>
      </c>
      <c r="J47" s="15">
        <f t="shared" si="25"/>
        <v>8528125.5530992858</v>
      </c>
      <c r="K47" s="15">
        <f t="shared" si="25"/>
        <v>8733208.838865729</v>
      </c>
      <c r="L47" s="15">
        <f t="shared" si="25"/>
        <v>8201335.1614100505</v>
      </c>
      <c r="M47" s="15">
        <f t="shared" si="25"/>
        <v>8523987.6983327791</v>
      </c>
      <c r="N47" s="15">
        <f t="shared" si="25"/>
        <v>9044601.381286053</v>
      </c>
      <c r="O47" s="15">
        <f t="shared" si="25"/>
        <v>9044601.381286053</v>
      </c>
      <c r="P47" s="15">
        <f t="shared" si="25"/>
        <v>9044601.381286053</v>
      </c>
      <c r="Q47" s="130">
        <f t="shared" si="25"/>
        <v>9044601.381286053</v>
      </c>
      <c r="R47" s="145"/>
      <c r="S47" s="145"/>
      <c r="T47" s="145"/>
      <c r="U47" s="145"/>
      <c r="V47" s="17"/>
    </row>
  </sheetData>
  <printOptions horizontalCentered="1"/>
  <pageMargins left="0.7" right="0.71" top="0.9" bottom="0.75" header="0.5" footer="0.5"/>
  <pageSetup scale="60" orientation="landscape" r:id="rId1"/>
  <headerFooter>
    <oddHeader>&amp;CAvista Corporation Decoupling Mechanism
Washington Jurisdiction
Quarterly Report for 3rd Quarter 2016</oddHeader>
    <oddFooter>&amp;Cfile: &amp;F / &amp;A&amp;RPage 1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cols>
    <col min="1" max="16384" width="9.109375" style="17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view="pageLayout" topLeftCell="A19" zoomScaleNormal="100" workbookViewId="0">
      <selection activeCell="N1" sqref="N1"/>
    </sheetView>
  </sheetViews>
  <sheetFormatPr defaultRowHeight="14.4"/>
  <cols>
    <col min="1" max="1" width="7.33203125" customWidth="1"/>
    <col min="2" max="2" width="35" customWidth="1"/>
    <col min="3" max="3" width="15" customWidth="1"/>
    <col min="4" max="5" width="15" style="77" hidden="1" customWidth="1"/>
    <col min="6" max="6" width="13.33203125" hidden="1" customWidth="1"/>
    <col min="7" max="7" width="11.33203125" hidden="1" customWidth="1"/>
    <col min="8" max="8" width="12.44140625" hidden="1" customWidth="1"/>
    <col min="9" max="11" width="11.33203125" hidden="1" customWidth="1"/>
    <col min="12" max="12" width="11.33203125" customWidth="1"/>
    <col min="13" max="13" width="11.88671875" customWidth="1"/>
    <col min="14" max="14" width="11.33203125" customWidth="1"/>
    <col min="15" max="15" width="12.33203125" hidden="1" customWidth="1"/>
    <col min="16" max="16" width="11.5546875" hidden="1" customWidth="1"/>
    <col min="17" max="17" width="11.109375" hidden="1" customWidth="1"/>
    <col min="18" max="18" width="12.6640625" style="67" customWidth="1"/>
    <col min="19" max="19" width="12.88671875" style="28" customWidth="1"/>
    <col min="20" max="20" width="12.33203125" style="67" customWidth="1"/>
    <col min="21" max="21" width="12.33203125" style="77" hidden="1" customWidth="1"/>
    <col min="22" max="22" width="12.44140625" customWidth="1"/>
  </cols>
  <sheetData>
    <row r="1" spans="1:22" ht="15.6">
      <c r="A1" s="148" t="s">
        <v>0</v>
      </c>
      <c r="B1" s="148"/>
      <c r="C1" s="148"/>
      <c r="D1" s="148"/>
      <c r="E1" s="148"/>
      <c r="F1" s="148"/>
      <c r="G1" s="148"/>
      <c r="H1" s="148"/>
      <c r="I1" s="148"/>
      <c r="J1" s="148"/>
      <c r="K1" s="148"/>
      <c r="L1" s="148"/>
      <c r="M1" s="148"/>
      <c r="N1" s="148"/>
      <c r="O1" s="148"/>
      <c r="P1" s="148"/>
      <c r="Q1" s="148"/>
      <c r="R1" s="148"/>
      <c r="S1" s="148"/>
      <c r="T1" s="148"/>
      <c r="U1" s="148"/>
      <c r="V1" s="148"/>
    </row>
    <row r="2" spans="1:22" ht="17.399999999999999">
      <c r="A2" s="148" t="s">
        <v>125</v>
      </c>
      <c r="B2" s="148"/>
      <c r="C2" s="148"/>
      <c r="D2" s="148"/>
      <c r="E2" s="148"/>
      <c r="F2" s="148"/>
      <c r="G2" s="148"/>
      <c r="H2" s="148"/>
      <c r="I2" s="148"/>
      <c r="J2" s="148"/>
      <c r="K2" s="148"/>
      <c r="L2" s="148"/>
      <c r="M2" s="148"/>
      <c r="N2" s="148"/>
      <c r="O2" s="148"/>
      <c r="P2" s="148"/>
      <c r="Q2" s="148"/>
      <c r="R2" s="150"/>
      <c r="S2" s="150"/>
      <c r="T2" s="150"/>
      <c r="U2" s="150"/>
      <c r="V2" s="150"/>
    </row>
    <row r="3" spans="1:22" ht="15.6">
      <c r="A3" s="149" t="s">
        <v>126</v>
      </c>
      <c r="B3" s="148"/>
      <c r="C3" s="148"/>
      <c r="D3" s="148"/>
      <c r="E3" s="148"/>
      <c r="F3" s="148"/>
      <c r="G3" s="148"/>
      <c r="H3" s="148"/>
      <c r="I3" s="148"/>
      <c r="J3" s="148"/>
      <c r="K3" s="148"/>
      <c r="L3" s="148"/>
      <c r="M3" s="148"/>
      <c r="N3" s="148"/>
      <c r="O3" s="148"/>
      <c r="P3" s="148"/>
      <c r="Q3" s="148"/>
      <c r="R3" s="149"/>
      <c r="S3" s="149"/>
      <c r="T3" s="149"/>
      <c r="U3" s="149"/>
      <c r="V3" s="149"/>
    </row>
    <row r="4" spans="1:22" ht="6" customHeight="1">
      <c r="A4" s="14"/>
      <c r="B4" s="13"/>
      <c r="C4" s="13"/>
      <c r="D4" s="146"/>
      <c r="E4" s="146"/>
      <c r="F4" s="13"/>
      <c r="G4" s="13"/>
      <c r="H4" s="13"/>
      <c r="I4" s="13"/>
      <c r="J4" s="13"/>
      <c r="K4" s="13"/>
      <c r="L4" s="13"/>
      <c r="M4" s="13"/>
      <c r="N4" s="13"/>
      <c r="O4" s="13"/>
      <c r="P4" s="13"/>
      <c r="Q4" s="13"/>
      <c r="R4" s="76"/>
      <c r="S4" s="65"/>
      <c r="T4" s="76"/>
      <c r="U4" s="82"/>
      <c r="V4" s="1"/>
    </row>
    <row r="5" spans="1:22" ht="27.6">
      <c r="A5" s="38"/>
      <c r="B5" s="38"/>
      <c r="C5" s="38"/>
      <c r="D5" s="112">
        <f>10/31</f>
        <v>0.32258064516129031</v>
      </c>
      <c r="E5" s="112">
        <f>21/31</f>
        <v>0.67741935483870963</v>
      </c>
      <c r="F5" s="68" t="s">
        <v>114</v>
      </c>
      <c r="G5" s="10"/>
      <c r="H5" s="10"/>
      <c r="I5" s="10"/>
      <c r="J5" s="10"/>
      <c r="K5" s="10"/>
      <c r="L5" s="10"/>
      <c r="M5" s="10"/>
      <c r="N5" s="10"/>
      <c r="O5" s="10"/>
      <c r="P5" s="10"/>
      <c r="Q5" s="10"/>
      <c r="R5" s="66" t="s">
        <v>124</v>
      </c>
      <c r="S5" s="66" t="s">
        <v>121</v>
      </c>
      <c r="T5" s="66" t="s">
        <v>122</v>
      </c>
      <c r="U5" s="66" t="s">
        <v>123</v>
      </c>
      <c r="V5" s="64" t="s">
        <v>120</v>
      </c>
    </row>
    <row r="6" spans="1:22" ht="26.4">
      <c r="A6" s="113" t="s">
        <v>1</v>
      </c>
      <c r="B6" s="114"/>
      <c r="C6" s="109" t="s">
        <v>2</v>
      </c>
      <c r="D6" s="109" t="s">
        <v>115</v>
      </c>
      <c r="E6" s="109" t="s">
        <v>116</v>
      </c>
      <c r="F6" s="151">
        <v>42370</v>
      </c>
      <c r="G6" s="116">
        <f t="shared" ref="G6:Q6" si="0">EDATE(F6,1)</f>
        <v>42401</v>
      </c>
      <c r="H6" s="116">
        <f t="shared" si="0"/>
        <v>42430</v>
      </c>
      <c r="I6" s="116">
        <f t="shared" si="0"/>
        <v>42461</v>
      </c>
      <c r="J6" s="116">
        <f t="shared" si="0"/>
        <v>42491</v>
      </c>
      <c r="K6" s="116">
        <f t="shared" si="0"/>
        <v>42522</v>
      </c>
      <c r="L6" s="116">
        <f t="shared" si="0"/>
        <v>42552</v>
      </c>
      <c r="M6" s="116">
        <f t="shared" si="0"/>
        <v>42583</v>
      </c>
      <c r="N6" s="116">
        <f t="shared" si="0"/>
        <v>42614</v>
      </c>
      <c r="O6" s="116">
        <f t="shared" si="0"/>
        <v>42644</v>
      </c>
      <c r="P6" s="116">
        <f t="shared" si="0"/>
        <v>42675</v>
      </c>
      <c r="Q6" s="116">
        <f t="shared" si="0"/>
        <v>42705</v>
      </c>
      <c r="R6" s="116" t="s">
        <v>3</v>
      </c>
      <c r="S6" s="27" t="s">
        <v>3</v>
      </c>
      <c r="T6" s="27" t="s">
        <v>3</v>
      </c>
      <c r="U6" s="27" t="s">
        <v>3</v>
      </c>
      <c r="V6" s="3" t="s">
        <v>3</v>
      </c>
    </row>
    <row r="7" spans="1:22">
      <c r="A7" s="68"/>
      <c r="B7" s="68" t="s">
        <v>4</v>
      </c>
      <c r="C7" s="68" t="s">
        <v>5</v>
      </c>
      <c r="D7" s="68"/>
      <c r="E7" s="68"/>
      <c r="F7" s="68" t="s">
        <v>6</v>
      </c>
      <c r="G7" s="68" t="s">
        <v>7</v>
      </c>
      <c r="H7" s="68" t="s">
        <v>8</v>
      </c>
      <c r="I7" s="68" t="s">
        <v>9</v>
      </c>
      <c r="J7" s="68" t="s">
        <v>10</v>
      </c>
      <c r="K7" s="68" t="s">
        <v>11</v>
      </c>
      <c r="L7" s="68" t="s">
        <v>12</v>
      </c>
      <c r="M7" s="68" t="s">
        <v>13</v>
      </c>
      <c r="N7" s="68" t="s">
        <v>14</v>
      </c>
      <c r="O7" s="68" t="s">
        <v>15</v>
      </c>
      <c r="P7" s="68" t="s">
        <v>16</v>
      </c>
      <c r="Q7" s="68" t="s">
        <v>17</v>
      </c>
      <c r="R7" s="68" t="s">
        <v>18</v>
      </c>
      <c r="S7" s="29"/>
      <c r="T7" s="68"/>
      <c r="U7" s="68"/>
      <c r="V7" s="4" t="s">
        <v>18</v>
      </c>
    </row>
    <row r="8" spans="1:22">
      <c r="A8" s="68"/>
      <c r="B8" s="2" t="s">
        <v>19</v>
      </c>
      <c r="C8" s="68"/>
      <c r="D8" s="68"/>
      <c r="E8" s="68"/>
      <c r="F8" s="68"/>
      <c r="G8" s="68"/>
      <c r="H8" s="68"/>
      <c r="I8" s="68"/>
      <c r="J8" s="68"/>
      <c r="K8" s="68"/>
      <c r="L8" s="68"/>
      <c r="M8" s="68"/>
      <c r="N8" s="68"/>
      <c r="O8" s="68"/>
      <c r="P8" s="68"/>
      <c r="Q8" s="68"/>
      <c r="R8" s="72"/>
      <c r="S8" s="31"/>
      <c r="T8" s="72"/>
      <c r="U8" s="72"/>
      <c r="V8" s="5"/>
    </row>
    <row r="9" spans="1:22">
      <c r="A9" s="68">
        <v>1</v>
      </c>
      <c r="B9" s="38" t="s">
        <v>20</v>
      </c>
      <c r="C9" s="68" t="s">
        <v>21</v>
      </c>
      <c r="D9" s="117">
        <f>$F9*D$5</f>
        <v>49326.451612903227</v>
      </c>
      <c r="E9" s="117">
        <f>$F9*E$5</f>
        <v>103585.54838709677</v>
      </c>
      <c r="F9" s="152">
        <v>152912</v>
      </c>
      <c r="G9" s="152">
        <v>153882</v>
      </c>
      <c r="H9" s="152">
        <v>153511</v>
      </c>
      <c r="I9" s="152">
        <v>153360</v>
      </c>
      <c r="J9" s="152">
        <v>153389</v>
      </c>
      <c r="K9" s="152">
        <v>153224</v>
      </c>
      <c r="L9" s="152">
        <v>153459</v>
      </c>
      <c r="M9" s="152">
        <v>153740</v>
      </c>
      <c r="N9" s="152">
        <v>154156</v>
      </c>
      <c r="O9" s="152"/>
      <c r="P9" s="152"/>
      <c r="Q9" s="152"/>
      <c r="R9" s="71">
        <f>SUM(F9:H9)</f>
        <v>460305</v>
      </c>
      <c r="S9" s="71">
        <f>SUM(I9:K9)</f>
        <v>459973</v>
      </c>
      <c r="T9" s="71">
        <f>SUM(L9:N9)</f>
        <v>461355</v>
      </c>
      <c r="U9" s="71">
        <f>SUM(O9:Q9)</f>
        <v>0</v>
      </c>
      <c r="V9" s="71">
        <f>SUM(F9:Q9)</f>
        <v>1381633</v>
      </c>
    </row>
    <row r="10" spans="1:22" s="77" customFormat="1" ht="27">
      <c r="A10" s="153">
        <f>A9+1</f>
        <v>2</v>
      </c>
      <c r="B10" s="118" t="s">
        <v>22</v>
      </c>
      <c r="C10" s="123" t="s">
        <v>127</v>
      </c>
      <c r="D10" s="154">
        <v>48.137706084246098</v>
      </c>
      <c r="E10" s="154">
        <v>61.486922879017001</v>
      </c>
      <c r="F10" s="154">
        <f>$D$10*$D$5+$E$10*$E$5</f>
        <v>57.180723912961867</v>
      </c>
      <c r="G10" s="154">
        <v>50.866570431256761</v>
      </c>
      <c r="H10" s="154">
        <v>41.030399057560587</v>
      </c>
      <c r="I10" s="154">
        <v>22.870205136351437</v>
      </c>
      <c r="J10" s="154">
        <v>14.23092748790198</v>
      </c>
      <c r="K10" s="154">
        <v>8.7158034693822444</v>
      </c>
      <c r="L10" s="154">
        <v>6.0908076255147918</v>
      </c>
      <c r="M10" s="154">
        <v>5.9532658136335108</v>
      </c>
      <c r="N10" s="154">
        <v>7.9296716744335587</v>
      </c>
      <c r="O10" s="154">
        <v>25.196066218038329</v>
      </c>
      <c r="P10" s="154">
        <v>43.401260450086617</v>
      </c>
      <c r="Q10" s="154">
        <v>63.188099756823149</v>
      </c>
      <c r="R10" s="158">
        <f>R11/R9</f>
        <v>49.68376627628782</v>
      </c>
      <c r="S10" s="158">
        <f>S11/S9</f>
        <v>15.274184934648941</v>
      </c>
      <c r="T10" s="158">
        <f>T11/T9</f>
        <v>6.6594071815323783</v>
      </c>
      <c r="U10" s="158" t="e">
        <f>U11/U9</f>
        <v>#DIV/0!</v>
      </c>
      <c r="V10" s="158">
        <f>V11/V9</f>
        <v>23.861437518492835</v>
      </c>
    </row>
    <row r="11" spans="1:22">
      <c r="A11" s="68">
        <f>A10+1</f>
        <v>3</v>
      </c>
      <c r="B11" s="38" t="s">
        <v>23</v>
      </c>
      <c r="C11" s="68" t="str">
        <f>"("&amp;A9&amp;") x ("&amp;A10&amp;")"</f>
        <v>(1) x (2)</v>
      </c>
      <c r="D11" s="72">
        <f t="shared" ref="D11:Q11" si="1">D9*D10</f>
        <v>2374462.2299207225</v>
      </c>
      <c r="E11" s="72">
        <f t="shared" si="1"/>
        <v>6369156.6250581034</v>
      </c>
      <c r="F11" s="72">
        <f t="shared" si="1"/>
        <v>8743618.854978824</v>
      </c>
      <c r="G11" s="72">
        <f t="shared" si="1"/>
        <v>7827449.5911026532</v>
      </c>
      <c r="H11" s="72">
        <f t="shared" si="1"/>
        <v>6298617.5897251833</v>
      </c>
      <c r="I11" s="72">
        <f t="shared" si="1"/>
        <v>3507374.6597108566</v>
      </c>
      <c r="J11" s="72">
        <f t="shared" si="1"/>
        <v>2182867.7364417966</v>
      </c>
      <c r="K11" s="72">
        <f t="shared" si="1"/>
        <v>1335470.2707926249</v>
      </c>
      <c r="L11" s="72">
        <f t="shared" si="1"/>
        <v>934689.24740387441</v>
      </c>
      <c r="M11" s="72">
        <f t="shared" si="1"/>
        <v>915255.08618801599</v>
      </c>
      <c r="N11" s="72">
        <f t="shared" si="1"/>
        <v>1222406.4666439798</v>
      </c>
      <c r="O11" s="72">
        <f t="shared" si="1"/>
        <v>0</v>
      </c>
      <c r="P11" s="72">
        <f t="shared" si="1"/>
        <v>0</v>
      </c>
      <c r="Q11" s="72">
        <f t="shared" si="1"/>
        <v>0</v>
      </c>
      <c r="R11" s="72">
        <f>SUM(F11:H11)</f>
        <v>22869686.035806663</v>
      </c>
      <c r="S11" s="72">
        <f>SUM(I11:K11)</f>
        <v>7025712.6669452777</v>
      </c>
      <c r="T11" s="72">
        <f>SUM(L11:N11)</f>
        <v>3072350.8002358703</v>
      </c>
      <c r="U11" s="72">
        <f>SUM(O11:Q11)</f>
        <v>0</v>
      </c>
      <c r="V11" s="72">
        <f>SUM(F11:Q11)</f>
        <v>32967749.502987809</v>
      </c>
    </row>
    <row r="12" spans="1:22">
      <c r="A12" s="68"/>
      <c r="B12" s="38"/>
      <c r="C12" s="68"/>
      <c r="D12" s="72"/>
      <c r="E12" s="72"/>
      <c r="F12" s="72"/>
      <c r="G12" s="72"/>
      <c r="H12" s="72"/>
      <c r="I12" s="72"/>
      <c r="J12" s="72"/>
      <c r="K12" s="72"/>
      <c r="L12" s="72"/>
      <c r="M12" s="72"/>
      <c r="N12" s="72"/>
      <c r="O12" s="72"/>
      <c r="P12" s="72"/>
      <c r="Q12" s="72"/>
      <c r="R12" s="69"/>
      <c r="S12" s="69"/>
      <c r="T12" s="69"/>
      <c r="U12" s="69"/>
      <c r="V12" s="69"/>
    </row>
    <row r="13" spans="1:22">
      <c r="A13" s="68"/>
      <c r="B13" s="38" t="s">
        <v>128</v>
      </c>
      <c r="C13" s="68" t="s">
        <v>21</v>
      </c>
      <c r="D13" s="121">
        <f t="shared" ref="D13:E15" si="2">$F13*D$5</f>
        <v>6502858.7096774196</v>
      </c>
      <c r="E13" s="121">
        <f t="shared" si="2"/>
        <v>13656003.290322579</v>
      </c>
      <c r="F13" s="152">
        <v>20158862</v>
      </c>
      <c r="G13" s="152">
        <v>14311636</v>
      </c>
      <c r="H13" s="152">
        <v>12256797</v>
      </c>
      <c r="I13" s="152">
        <v>5360973</v>
      </c>
      <c r="J13" s="152">
        <v>3390462</v>
      </c>
      <c r="K13" s="152">
        <v>2769530</v>
      </c>
      <c r="L13" s="152">
        <v>2296193</v>
      </c>
      <c r="M13" s="152">
        <v>2357534</v>
      </c>
      <c r="N13" s="152">
        <v>3002763</v>
      </c>
      <c r="O13" s="152"/>
      <c r="P13" s="152"/>
      <c r="Q13" s="152"/>
      <c r="R13" s="69"/>
      <c r="S13" s="69"/>
      <c r="T13" s="69"/>
      <c r="U13" s="69"/>
      <c r="V13" s="69"/>
    </row>
    <row r="14" spans="1:22" ht="27">
      <c r="A14" s="68">
        <v>4</v>
      </c>
      <c r="B14" s="155" t="s">
        <v>129</v>
      </c>
      <c r="C14" s="68" t="s">
        <v>21</v>
      </c>
      <c r="D14" s="72">
        <f t="shared" si="2"/>
        <v>3329859.0213516126</v>
      </c>
      <c r="E14" s="72">
        <f t="shared" si="2"/>
        <v>6992703.944838386</v>
      </c>
      <c r="F14" s="156">
        <v>10322562.966189999</v>
      </c>
      <c r="G14" s="156">
        <v>7563311.6368199997</v>
      </c>
      <c r="H14" s="156">
        <v>6495024.7852400001</v>
      </c>
      <c r="I14" s="156">
        <v>3429417.5249099997</v>
      </c>
      <c r="J14" s="156">
        <v>2661585.5977799995</v>
      </c>
      <c r="K14" s="156">
        <v>2472638.1836200003</v>
      </c>
      <c r="L14" s="156">
        <v>2330789.9289899999</v>
      </c>
      <c r="M14" s="156">
        <v>2442105.8187199999</v>
      </c>
      <c r="N14" s="156">
        <v>2634492.3074999996</v>
      </c>
      <c r="O14" s="156"/>
      <c r="P14" s="156"/>
      <c r="Q14" s="156"/>
      <c r="R14" s="40"/>
      <c r="S14" s="40"/>
      <c r="T14" s="40"/>
      <c r="U14" s="40"/>
      <c r="V14" s="40"/>
    </row>
    <row r="15" spans="1:22">
      <c r="A15" s="68">
        <v>5</v>
      </c>
      <c r="B15" s="38" t="s">
        <v>24</v>
      </c>
      <c r="C15" s="68" t="s">
        <v>21</v>
      </c>
      <c r="D15" s="72">
        <f t="shared" si="2"/>
        <v>449250.96774193546</v>
      </c>
      <c r="E15" s="72">
        <f t="shared" si="2"/>
        <v>943427.03225806449</v>
      </c>
      <c r="F15" s="156">
        <v>1392678</v>
      </c>
      <c r="G15" s="156">
        <v>1402065</v>
      </c>
      <c r="H15" s="156">
        <v>1398500</v>
      </c>
      <c r="I15" s="156">
        <v>1402389</v>
      </c>
      <c r="J15" s="156">
        <v>1406025</v>
      </c>
      <c r="K15" s="156">
        <v>1409895</v>
      </c>
      <c r="L15" s="156">
        <v>1407339</v>
      </c>
      <c r="M15" s="156">
        <v>1413126</v>
      </c>
      <c r="N15" s="156">
        <v>1411704</v>
      </c>
      <c r="O15" s="156"/>
      <c r="P15" s="156"/>
      <c r="Q15" s="156"/>
      <c r="R15" s="40"/>
      <c r="S15" s="40"/>
      <c r="T15" s="40"/>
      <c r="U15" s="40"/>
      <c r="V15" s="40"/>
    </row>
    <row r="16" spans="1:22">
      <c r="A16" s="68">
        <v>6</v>
      </c>
      <c r="B16" s="38" t="s">
        <v>25</v>
      </c>
      <c r="C16" s="68" t="str">
        <f>"("&amp;A14&amp;") - ("&amp;A15&amp;")"</f>
        <v>(4) - (5)</v>
      </c>
      <c r="D16" s="72">
        <f>D14-D15</f>
        <v>2880608.0536096771</v>
      </c>
      <c r="E16" s="72">
        <f>E14-E15</f>
        <v>6049276.9125803215</v>
      </c>
      <c r="F16" s="72">
        <f>F14-F15</f>
        <v>8929884.9661899991</v>
      </c>
      <c r="G16" s="72">
        <f t="shared" ref="G16:Q16" si="3">G14-G15</f>
        <v>6161246.6368199997</v>
      </c>
      <c r="H16" s="72">
        <f t="shared" si="3"/>
        <v>5096524.7852400001</v>
      </c>
      <c r="I16" s="72">
        <f t="shared" si="3"/>
        <v>2027028.5249099997</v>
      </c>
      <c r="J16" s="72">
        <f t="shared" si="3"/>
        <v>1255560.5977799995</v>
      </c>
      <c r="K16" s="72">
        <f t="shared" si="3"/>
        <v>1062743.1836200003</v>
      </c>
      <c r="L16" s="72">
        <f t="shared" si="3"/>
        <v>923450.92898999993</v>
      </c>
      <c r="M16" s="72">
        <f t="shared" si="3"/>
        <v>1028979.8187199999</v>
      </c>
      <c r="N16" s="72">
        <f t="shared" si="3"/>
        <v>1222788.3074999996</v>
      </c>
      <c r="O16" s="72">
        <f t="shared" si="3"/>
        <v>0</v>
      </c>
      <c r="P16" s="72">
        <f t="shared" si="3"/>
        <v>0</v>
      </c>
      <c r="Q16" s="72">
        <f t="shared" si="3"/>
        <v>0</v>
      </c>
      <c r="R16" s="72">
        <f>SUM(F16:H16)</f>
        <v>20187656.388250001</v>
      </c>
      <c r="S16" s="72">
        <f>SUM(I16:K16)</f>
        <v>4345332.3063099999</v>
      </c>
      <c r="T16" s="72">
        <f>SUM(L16:N16)</f>
        <v>3175219.0552099994</v>
      </c>
      <c r="U16" s="72">
        <f>SUM(O16:Q16)</f>
        <v>0</v>
      </c>
      <c r="V16" s="72">
        <f>SUM(F16:Q16)</f>
        <v>27708207.749769997</v>
      </c>
    </row>
    <row r="17" spans="1:22">
      <c r="A17" s="68"/>
      <c r="B17" s="7" t="s">
        <v>26</v>
      </c>
      <c r="C17" s="68"/>
      <c r="D17" s="11">
        <f>D16/D9</f>
        <v>58.398850098030231</v>
      </c>
      <c r="E17" s="11">
        <f>E16/E9</f>
        <v>58.398850098030231</v>
      </c>
      <c r="F17" s="11">
        <f>F16/F9</f>
        <v>58.398850098030231</v>
      </c>
      <c r="G17" s="11">
        <f t="shared" ref="G17:Q17" si="4">G16/G9</f>
        <v>40.038774104963544</v>
      </c>
      <c r="H17" s="11">
        <f t="shared" si="4"/>
        <v>33.199736730527455</v>
      </c>
      <c r="I17" s="11">
        <f t="shared" si="4"/>
        <v>13.217452562010953</v>
      </c>
      <c r="J17" s="11">
        <f t="shared" si="4"/>
        <v>8.1854670007627632</v>
      </c>
      <c r="K17" s="11">
        <f t="shared" si="4"/>
        <v>6.935879389782281</v>
      </c>
      <c r="L17" s="11">
        <f t="shared" si="4"/>
        <v>6.0175742640705332</v>
      </c>
      <c r="M17" s="11">
        <f t="shared" si="4"/>
        <v>6.692986982698061</v>
      </c>
      <c r="N17" s="11">
        <f t="shared" si="4"/>
        <v>7.9321486513661466</v>
      </c>
      <c r="O17" s="11" t="e">
        <f t="shared" si="4"/>
        <v>#DIV/0!</v>
      </c>
      <c r="P17" s="11" t="e">
        <f t="shared" si="4"/>
        <v>#DIV/0!</v>
      </c>
      <c r="Q17" s="11" t="e">
        <f t="shared" si="4"/>
        <v>#DIV/0!</v>
      </c>
      <c r="R17" s="158">
        <f>R16/R9</f>
        <v>43.857130355416515</v>
      </c>
      <c r="S17" s="158">
        <f>S16/S9</f>
        <v>9.4469290725977384</v>
      </c>
      <c r="T17" s="158">
        <f>T16/T9</f>
        <v>6.8823770311582173</v>
      </c>
      <c r="U17" s="158" t="e">
        <f>U16/U9</f>
        <v>#DIV/0!</v>
      </c>
      <c r="V17" s="158">
        <f>V16/V9</f>
        <v>20.054680041494375</v>
      </c>
    </row>
    <row r="18" spans="1:22">
      <c r="A18" s="68">
        <v>7</v>
      </c>
      <c r="B18" s="38" t="s">
        <v>27</v>
      </c>
      <c r="C18" s="68" t="str">
        <f>"("&amp;A$12&amp;") - ("&amp;A16&amp;")"</f>
        <v>() - (6)</v>
      </c>
      <c r="D18" s="157">
        <f>D11-D16</f>
        <v>-506145.82368895458</v>
      </c>
      <c r="E18" s="157">
        <f t="shared" ref="E18:Q18" si="5">E11-E16</f>
        <v>319879.71247778181</v>
      </c>
      <c r="F18" s="157">
        <f t="shared" si="5"/>
        <v>-186266.1112111751</v>
      </c>
      <c r="G18" s="157">
        <f t="shared" si="5"/>
        <v>1666202.9542826535</v>
      </c>
      <c r="H18" s="157">
        <f t="shared" si="5"/>
        <v>1202092.8044851832</v>
      </c>
      <c r="I18" s="157">
        <f t="shared" si="5"/>
        <v>1480346.1348008569</v>
      </c>
      <c r="J18" s="157">
        <f t="shared" si="5"/>
        <v>927307.13866179716</v>
      </c>
      <c r="K18" s="157">
        <f t="shared" si="5"/>
        <v>272727.08717262466</v>
      </c>
      <c r="L18" s="157">
        <f t="shared" si="5"/>
        <v>11238.318413874484</v>
      </c>
      <c r="M18" s="157">
        <f t="shared" si="5"/>
        <v>-113724.73253198387</v>
      </c>
      <c r="N18" s="157">
        <f t="shared" si="5"/>
        <v>-381.84085601987317</v>
      </c>
      <c r="O18" s="157">
        <f t="shared" si="5"/>
        <v>0</v>
      </c>
      <c r="P18" s="157">
        <f t="shared" si="5"/>
        <v>0</v>
      </c>
      <c r="Q18" s="157">
        <f t="shared" si="5"/>
        <v>0</v>
      </c>
      <c r="R18" s="72">
        <f>SUM(F18:H18)</f>
        <v>2682029.6475566616</v>
      </c>
      <c r="S18" s="72">
        <f>SUM(I18:K18)</f>
        <v>2680380.3606352787</v>
      </c>
      <c r="T18" s="72">
        <f>SUM(L18:N18)</f>
        <v>-102868.25497412926</v>
      </c>
      <c r="U18" s="72">
        <f>SUM(O18:Q18)</f>
        <v>0</v>
      </c>
      <c r="V18" s="72">
        <f>SUM(F18:Q18)</f>
        <v>5259541.7532178108</v>
      </c>
    </row>
    <row r="19" spans="1:22">
      <c r="A19" s="68">
        <v>8</v>
      </c>
      <c r="B19" s="38" t="s">
        <v>28</v>
      </c>
      <c r="C19" s="68" t="s">
        <v>29</v>
      </c>
      <c r="D19" s="157">
        <f>D18*-0.044797</f>
        <v>22673.814463794097</v>
      </c>
      <c r="E19" s="157">
        <f>E18*-0.045668</f>
        <v>-14608.26670943534</v>
      </c>
      <c r="F19" s="126">
        <f>D19+E19</f>
        <v>8065.5477543587567</v>
      </c>
      <c r="G19" s="126">
        <f>G18*-0.045668</f>
        <v>-76092.156516180228</v>
      </c>
      <c r="H19" s="126">
        <f t="shared" ref="H19:Q19" si="6">H18*-0.045668</f>
        <v>-54897.174195229345</v>
      </c>
      <c r="I19" s="126">
        <f t="shared" si="6"/>
        <v>-67604.447284085531</v>
      </c>
      <c r="J19" s="126">
        <f t="shared" si="6"/>
        <v>-42348.262408406954</v>
      </c>
      <c r="K19" s="126">
        <f t="shared" si="6"/>
        <v>-12454.900616999423</v>
      </c>
      <c r="L19" s="126">
        <f t="shared" si="6"/>
        <v>-513.23152532481993</v>
      </c>
      <c r="M19" s="126">
        <f t="shared" si="6"/>
        <v>5193.5810852706391</v>
      </c>
      <c r="N19" s="126">
        <f t="shared" si="6"/>
        <v>17.43790821271557</v>
      </c>
      <c r="O19" s="126">
        <f t="shared" si="6"/>
        <v>0</v>
      </c>
      <c r="P19" s="126">
        <f t="shared" si="6"/>
        <v>0</v>
      </c>
      <c r="Q19" s="126">
        <f t="shared" si="6"/>
        <v>0</v>
      </c>
      <c r="R19" s="72">
        <f>SUM(F19:H19)</f>
        <v>-122923.7829570508</v>
      </c>
      <c r="S19" s="72">
        <f>SUM(I19:K19)</f>
        <v>-122407.61030949191</v>
      </c>
      <c r="T19" s="72">
        <f>SUM(L19:N19)</f>
        <v>4697.7874681585345</v>
      </c>
      <c r="U19" s="72">
        <f>SUM(O19:Q19)</f>
        <v>0</v>
      </c>
      <c r="V19" s="72">
        <f>SUM(F19:Q19)</f>
        <v>-240633.60579838415</v>
      </c>
    </row>
    <row r="20" spans="1:22" ht="14.4" customHeight="1">
      <c r="A20" s="68"/>
      <c r="B20" s="38"/>
      <c r="C20" s="8" t="s">
        <v>30</v>
      </c>
      <c r="D20" s="8"/>
      <c r="E20" s="8"/>
      <c r="F20" s="127">
        <v>3.2500000000000001E-2</v>
      </c>
      <c r="G20" s="127">
        <f t="shared" ref="G20:Q20" si="7">F20</f>
        <v>3.2500000000000001E-2</v>
      </c>
      <c r="H20" s="127">
        <f>G20</f>
        <v>3.2500000000000001E-2</v>
      </c>
      <c r="I20" s="127">
        <v>3.4599999999999999E-2</v>
      </c>
      <c r="J20" s="127">
        <f t="shared" si="7"/>
        <v>3.4599999999999999E-2</v>
      </c>
      <c r="K20" s="127">
        <f t="shared" si="7"/>
        <v>3.4599999999999999E-2</v>
      </c>
      <c r="L20" s="127">
        <v>3.5000000000000003E-2</v>
      </c>
      <c r="M20" s="127">
        <f t="shared" ref="M20" si="8">L20</f>
        <v>3.5000000000000003E-2</v>
      </c>
      <c r="N20" s="127">
        <f t="shared" ref="N20" si="9">M20</f>
        <v>3.5000000000000003E-2</v>
      </c>
      <c r="O20" s="127">
        <v>0</v>
      </c>
      <c r="P20" s="127">
        <f t="shared" si="7"/>
        <v>0</v>
      </c>
      <c r="Q20" s="127">
        <f t="shared" si="7"/>
        <v>0</v>
      </c>
      <c r="R20" s="78"/>
      <c r="S20" s="78"/>
      <c r="T20" s="78"/>
      <c r="U20" s="78"/>
      <c r="V20" s="78"/>
    </row>
    <row r="21" spans="1:22">
      <c r="A21" s="68">
        <v>9</v>
      </c>
      <c r="B21" s="38" t="s">
        <v>31</v>
      </c>
      <c r="C21" s="8" t="s">
        <v>35</v>
      </c>
      <c r="D21" s="8"/>
      <c r="E21" s="8"/>
      <c r="F21" s="9">
        <f>(F18+F19)/2*F20/12</f>
        <v>-241.3132630144388</v>
      </c>
      <c r="G21" s="9">
        <f>(F23+(G18+G19)/2)*G20/12</f>
        <v>1669.9949558592243</v>
      </c>
      <c r="H21" s="9">
        <f t="shared" ref="H21:Q21" si="10">(G23+(H18+H19)/2)*H20/12</f>
        <v>5381.2869801910883</v>
      </c>
      <c r="I21" s="9">
        <f t="shared" si="10"/>
        <v>9435.0932521061422</v>
      </c>
      <c r="J21" s="9">
        <f t="shared" si="10"/>
        <v>12774.816083751699</v>
      </c>
      <c r="K21" s="9">
        <f t="shared" si="10"/>
        <v>14462.691585676179</v>
      </c>
      <c r="L21" s="9">
        <f t="shared" si="10"/>
        <v>15067.277539895704</v>
      </c>
      <c r="M21" s="9">
        <f t="shared" si="10"/>
        <v>14968.58992190641</v>
      </c>
      <c r="N21" s="9">
        <f t="shared" si="10"/>
        <v>14853.442292353293</v>
      </c>
      <c r="O21" s="9">
        <f t="shared" si="10"/>
        <v>0</v>
      </c>
      <c r="P21" s="9">
        <f t="shared" si="10"/>
        <v>0</v>
      </c>
      <c r="Q21" s="9">
        <f t="shared" si="10"/>
        <v>0</v>
      </c>
      <c r="R21" s="72">
        <f>SUM(F21:H21)</f>
        <v>6809.9686730358735</v>
      </c>
      <c r="S21" s="72">
        <f>SUM(I21:K21)</f>
        <v>36672.600921534016</v>
      </c>
      <c r="T21" s="72">
        <f>SUM(L21:N21)</f>
        <v>44889.309754155409</v>
      </c>
      <c r="U21" s="72">
        <f>SUM(O21:Q21)</f>
        <v>0</v>
      </c>
      <c r="V21" s="9">
        <f>SUM(F21:Q21)</f>
        <v>88371.879348725299</v>
      </c>
    </row>
    <row r="22" spans="1:22" ht="15" thickBot="1">
      <c r="A22" s="68"/>
      <c r="B22" s="10" t="s">
        <v>32</v>
      </c>
      <c r="C22" s="68"/>
      <c r="D22" s="68"/>
      <c r="E22" s="68"/>
      <c r="F22" s="12">
        <f>F18+F19+F21</f>
        <v>-178441.87671983076</v>
      </c>
      <c r="G22" s="12">
        <f t="shared" ref="G22:Q22" si="11">G18+G19+G21</f>
        <v>1591780.7927223325</v>
      </c>
      <c r="H22" s="12">
        <f t="shared" si="11"/>
        <v>1152576.9172701449</v>
      </c>
      <c r="I22" s="12">
        <f t="shared" si="11"/>
        <v>1422176.7807688776</v>
      </c>
      <c r="J22" s="12">
        <f t="shared" si="11"/>
        <v>897733.69233714195</v>
      </c>
      <c r="K22" s="12">
        <f t="shared" si="11"/>
        <v>274734.87814130139</v>
      </c>
      <c r="L22" s="12">
        <f t="shared" si="11"/>
        <v>25792.364428445369</v>
      </c>
      <c r="M22" s="12">
        <f t="shared" si="11"/>
        <v>-93562.561524806821</v>
      </c>
      <c r="N22" s="12">
        <f t="shared" si="11"/>
        <v>14489.039344546136</v>
      </c>
      <c r="O22" s="12">
        <f t="shared" si="11"/>
        <v>0</v>
      </c>
      <c r="P22" s="12">
        <f t="shared" si="11"/>
        <v>0</v>
      </c>
      <c r="Q22" s="12">
        <f t="shared" si="11"/>
        <v>0</v>
      </c>
      <c r="R22" s="74">
        <f>R18+R19+R21</f>
        <v>2565915.8332726466</v>
      </c>
      <c r="S22" s="74">
        <f>S18+S19+S21</f>
        <v>2594645.3512473209</v>
      </c>
      <c r="T22" s="74">
        <f>T18+T19+T21</f>
        <v>-53281.157751815314</v>
      </c>
      <c r="U22" s="74">
        <f>U18+U19+U21</f>
        <v>0</v>
      </c>
      <c r="V22" s="74">
        <f>V18+V19+V21</f>
        <v>5107280.0267681517</v>
      </c>
    </row>
    <row r="23" spans="1:22" ht="39.6" customHeight="1" thickBot="1">
      <c r="A23" s="68">
        <v>10</v>
      </c>
      <c r="B23" s="147" t="s">
        <v>130</v>
      </c>
      <c r="C23" s="68" t="str">
        <f>"Σ(("&amp;A$19&amp;") + ("&amp;A21&amp;"))"</f>
        <v>Σ((8) + (9))</v>
      </c>
      <c r="D23" s="68"/>
      <c r="E23" s="68"/>
      <c r="F23" s="72">
        <f>F18+F19+F21</f>
        <v>-178441.87671983076</v>
      </c>
      <c r="G23" s="72">
        <f>F23+G18+G19+G21</f>
        <v>1413338.9160025017</v>
      </c>
      <c r="H23" s="72">
        <f t="shared" ref="H23:P23" si="12">G23+H18+H19+H21</f>
        <v>2565915.8332726466</v>
      </c>
      <c r="I23" s="72">
        <f t="shared" si="12"/>
        <v>3988092.614041524</v>
      </c>
      <c r="J23" s="72">
        <f t="shared" si="12"/>
        <v>4885826.3063786654</v>
      </c>
      <c r="K23" s="72">
        <f t="shared" si="12"/>
        <v>5160561.1845199661</v>
      </c>
      <c r="L23" s="72">
        <f t="shared" si="12"/>
        <v>5186353.5489484109</v>
      </c>
      <c r="M23" s="72">
        <f t="shared" si="12"/>
        <v>5092790.9874236044</v>
      </c>
      <c r="N23" s="72">
        <f t="shared" si="12"/>
        <v>5107280.0267681507</v>
      </c>
      <c r="O23" s="72">
        <f t="shared" si="12"/>
        <v>5107280.0267681507</v>
      </c>
      <c r="P23" s="72">
        <f t="shared" si="12"/>
        <v>5107280.0267681507</v>
      </c>
      <c r="Q23" s="128">
        <f>P23+Q18+Q19+Q21</f>
        <v>5107280.0267681507</v>
      </c>
      <c r="R23" s="72"/>
      <c r="S23" s="31"/>
      <c r="T23" s="72"/>
      <c r="U23" s="72"/>
      <c r="V23" s="1"/>
    </row>
    <row r="24" spans="1:22">
      <c r="A24" s="68"/>
      <c r="B24" s="38"/>
      <c r="C24" s="68"/>
      <c r="D24" s="68"/>
      <c r="E24" s="68"/>
      <c r="F24" s="69"/>
      <c r="G24" s="69"/>
      <c r="H24" s="69"/>
      <c r="I24" s="69"/>
      <c r="J24" s="69"/>
      <c r="K24" s="69"/>
      <c r="L24" s="69"/>
      <c r="M24" s="69"/>
      <c r="N24" s="69"/>
      <c r="O24" s="69"/>
      <c r="P24" s="69"/>
      <c r="Q24" s="69"/>
      <c r="R24" s="72"/>
      <c r="S24" s="31"/>
      <c r="T24" s="72"/>
      <c r="U24" s="72"/>
      <c r="V24" s="1"/>
    </row>
    <row r="25" spans="1:22">
      <c r="A25" s="68"/>
      <c r="B25" s="2" t="s">
        <v>33</v>
      </c>
      <c r="C25" s="68"/>
      <c r="D25" s="68"/>
      <c r="E25" s="68"/>
      <c r="F25" s="68"/>
      <c r="G25" s="68"/>
      <c r="H25" s="68"/>
      <c r="I25" s="68"/>
      <c r="J25" s="68"/>
      <c r="K25" s="68"/>
      <c r="L25" s="68"/>
      <c r="M25" s="68"/>
      <c r="N25" s="68"/>
      <c r="O25" s="68"/>
      <c r="P25" s="68"/>
      <c r="Q25" s="68"/>
      <c r="R25" s="72"/>
      <c r="S25" s="39"/>
      <c r="T25" s="72"/>
      <c r="U25" s="72"/>
      <c r="V25" s="5"/>
    </row>
    <row r="26" spans="1:22">
      <c r="A26" s="68">
        <v>11</v>
      </c>
      <c r="B26" s="38" t="s">
        <v>20</v>
      </c>
      <c r="C26" s="68" t="s">
        <v>21</v>
      </c>
      <c r="D26" s="117">
        <f>$F26*D$5</f>
        <v>859.35483870967744</v>
      </c>
      <c r="E26" s="117">
        <f>$F26*E$5</f>
        <v>1804.6451612903224</v>
      </c>
      <c r="F26" s="152">
        <v>2664</v>
      </c>
      <c r="G26" s="152">
        <v>2705</v>
      </c>
      <c r="H26" s="152">
        <v>2708</v>
      </c>
      <c r="I26" s="152">
        <v>2797</v>
      </c>
      <c r="J26" s="152">
        <v>2769</v>
      </c>
      <c r="K26" s="152">
        <v>2793</v>
      </c>
      <c r="L26" s="152">
        <v>2794</v>
      </c>
      <c r="M26" s="152">
        <v>2775</v>
      </c>
      <c r="N26" s="152">
        <v>2794</v>
      </c>
      <c r="O26" s="152"/>
      <c r="P26" s="152"/>
      <c r="Q26" s="152"/>
      <c r="R26" s="71">
        <f>SUM(F26:H26)</f>
        <v>8077</v>
      </c>
      <c r="S26" s="71">
        <f>SUM(I26:K26)</f>
        <v>8359</v>
      </c>
      <c r="T26" s="71">
        <f>SUM(L26:N26)</f>
        <v>8363</v>
      </c>
      <c r="U26" s="71">
        <f>SUM(O26:Q26)</f>
        <v>0</v>
      </c>
      <c r="V26" s="71">
        <f>SUM(F26:Q26)</f>
        <v>24799</v>
      </c>
    </row>
    <row r="27" spans="1:22" s="77" customFormat="1" ht="27">
      <c r="A27" s="153">
        <v>12</v>
      </c>
      <c r="B27" s="118" t="s">
        <v>22</v>
      </c>
      <c r="C27" s="123" t="s">
        <v>127</v>
      </c>
      <c r="D27" s="154">
        <v>642.23525919067015</v>
      </c>
      <c r="E27" s="154">
        <v>753.64912048196356</v>
      </c>
      <c r="F27" s="154">
        <f>$D$27*$D$5+$E$27*$E$5</f>
        <v>717.70916522670757</v>
      </c>
      <c r="G27" s="154">
        <v>633.97166971988349</v>
      </c>
      <c r="H27" s="154">
        <v>560.24514123304027</v>
      </c>
      <c r="I27" s="154">
        <v>374.05059994815878</v>
      </c>
      <c r="J27" s="154">
        <v>292.93939800419764</v>
      </c>
      <c r="K27" s="154">
        <v>222.77670672231574</v>
      </c>
      <c r="L27" s="154">
        <v>168.5764467696693</v>
      </c>
      <c r="M27" s="154">
        <v>165.54758518193424</v>
      </c>
      <c r="N27" s="154">
        <v>202.0360835406639</v>
      </c>
      <c r="O27" s="154">
        <v>414.48355558896066</v>
      </c>
      <c r="P27" s="154">
        <v>584.57214026046665</v>
      </c>
      <c r="Q27" s="154">
        <v>759.99155254874597</v>
      </c>
      <c r="R27" s="158">
        <f>R28/R26</f>
        <v>636.87191100845689</v>
      </c>
      <c r="S27" s="158">
        <f>S28/S26</f>
        <v>296.63644730279356</v>
      </c>
      <c r="T27" s="158">
        <f>T28/T26</f>
        <v>178.74996515209119</v>
      </c>
      <c r="U27" s="158" t="e">
        <f>U28/U26</f>
        <v>#DIV/0!</v>
      </c>
      <c r="V27" s="158">
        <f>V28/V26</f>
        <v>367.69565090472588</v>
      </c>
    </row>
    <row r="28" spans="1:22">
      <c r="A28" s="68">
        <v>13</v>
      </c>
      <c r="B28" s="38" t="s">
        <v>23</v>
      </c>
      <c r="C28" s="68" t="str">
        <f>"("&amp;A26&amp;") x ("&amp;A27&amp;")"</f>
        <v>(11) x (12)</v>
      </c>
      <c r="D28" s="72">
        <f t="shared" ref="D28:Q28" si="13">D26*D27</f>
        <v>551907.97757546627</v>
      </c>
      <c r="E28" s="72">
        <f t="shared" si="13"/>
        <v>1360069.2385884828</v>
      </c>
      <c r="F28" s="72">
        <f t="shared" si="13"/>
        <v>1911977.2161639489</v>
      </c>
      <c r="G28" s="72">
        <f t="shared" si="13"/>
        <v>1714893.3665922848</v>
      </c>
      <c r="H28" s="72">
        <f t="shared" si="13"/>
        <v>1517143.8424590731</v>
      </c>
      <c r="I28" s="72">
        <f t="shared" si="13"/>
        <v>1046219.5280550001</v>
      </c>
      <c r="J28" s="72">
        <f t="shared" si="13"/>
        <v>811149.19307362323</v>
      </c>
      <c r="K28" s="72">
        <f t="shared" si="13"/>
        <v>622215.34187542787</v>
      </c>
      <c r="L28" s="72">
        <f t="shared" si="13"/>
        <v>471002.59227445605</v>
      </c>
      <c r="M28" s="72">
        <f t="shared" si="13"/>
        <v>459394.54887986754</v>
      </c>
      <c r="N28" s="72">
        <f t="shared" si="13"/>
        <v>564488.81741261494</v>
      </c>
      <c r="O28" s="72">
        <f t="shared" si="13"/>
        <v>0</v>
      </c>
      <c r="P28" s="72">
        <f t="shared" si="13"/>
        <v>0</v>
      </c>
      <c r="Q28" s="72">
        <f t="shared" si="13"/>
        <v>0</v>
      </c>
      <c r="R28" s="72">
        <f>SUM(F28:H28)</f>
        <v>5144014.4252153067</v>
      </c>
      <c r="S28" s="72">
        <f>SUM(I28:K28)</f>
        <v>2479584.0630040513</v>
      </c>
      <c r="T28" s="72">
        <f>SUM(L28:N28)</f>
        <v>1494885.9585669385</v>
      </c>
      <c r="U28" s="72">
        <f>SUM(O28:Q28)</f>
        <v>0</v>
      </c>
      <c r="V28" s="72">
        <f>SUM(F28:Q28)</f>
        <v>9118484.4467862975</v>
      </c>
    </row>
    <row r="29" spans="1:22">
      <c r="A29" s="68"/>
      <c r="B29" s="38"/>
      <c r="C29" s="68"/>
      <c r="D29" s="72"/>
      <c r="E29" s="72"/>
      <c r="F29" s="72"/>
      <c r="G29" s="72"/>
      <c r="H29" s="72"/>
      <c r="I29" s="72"/>
      <c r="J29" s="72"/>
      <c r="K29" s="72"/>
      <c r="L29" s="72"/>
      <c r="M29" s="72"/>
      <c r="N29" s="72"/>
      <c r="O29" s="72"/>
      <c r="P29" s="72"/>
      <c r="Q29" s="72"/>
      <c r="R29" s="69"/>
      <c r="S29" s="69"/>
      <c r="T29" s="69"/>
      <c r="U29" s="69"/>
      <c r="V29" s="69"/>
    </row>
    <row r="30" spans="1:22">
      <c r="A30" s="68"/>
      <c r="B30" s="38" t="s">
        <v>128</v>
      </c>
      <c r="C30" s="68"/>
      <c r="D30" s="68"/>
      <c r="E30" s="68"/>
      <c r="F30" s="152">
        <v>6913974</v>
      </c>
      <c r="G30" s="152">
        <v>5609302</v>
      </c>
      <c r="H30" s="152">
        <v>5156824</v>
      </c>
      <c r="I30" s="152">
        <v>2896859</v>
      </c>
      <c r="J30" s="152">
        <v>2532832</v>
      </c>
      <c r="K30" s="152">
        <v>1900306</v>
      </c>
      <c r="L30" s="152">
        <v>1776830</v>
      </c>
      <c r="M30" s="152">
        <v>1842874</v>
      </c>
      <c r="N30" s="152">
        <v>2260370</v>
      </c>
      <c r="O30" s="152"/>
      <c r="P30" s="152"/>
      <c r="Q30" s="152"/>
      <c r="R30" s="69"/>
      <c r="S30" s="69"/>
      <c r="T30" s="69"/>
      <c r="U30" s="69"/>
      <c r="V30" s="69"/>
    </row>
    <row r="31" spans="1:22" ht="27">
      <c r="A31" s="68">
        <v>14</v>
      </c>
      <c r="B31" s="155" t="s">
        <v>129</v>
      </c>
      <c r="C31" s="68" t="s">
        <v>21</v>
      </c>
      <c r="D31" s="40">
        <f>$F31*D$5</f>
        <v>642748.63778709667</v>
      </c>
      <c r="E31" s="40">
        <f>$F31*E$5</f>
        <v>1349772.139352903</v>
      </c>
      <c r="F31" s="156">
        <v>1992520.7771399999</v>
      </c>
      <c r="G31" s="156">
        <v>1706490.5242400002</v>
      </c>
      <c r="H31" s="156">
        <v>1603844.5742800001</v>
      </c>
      <c r="I31" s="156">
        <v>1020533.44995</v>
      </c>
      <c r="J31" s="156">
        <v>884603.25283999997</v>
      </c>
      <c r="K31" s="156">
        <v>726949.16347000003</v>
      </c>
      <c r="L31" s="156">
        <v>690821.1433</v>
      </c>
      <c r="M31" s="156">
        <v>709440.80480000004</v>
      </c>
      <c r="N31" s="156">
        <v>818005.34831999999</v>
      </c>
      <c r="O31" s="156"/>
      <c r="P31" s="156"/>
      <c r="Q31" s="156"/>
      <c r="R31" s="40"/>
      <c r="S31" s="40"/>
      <c r="T31" s="40"/>
      <c r="U31" s="40"/>
      <c r="V31" s="40"/>
    </row>
    <row r="32" spans="1:22">
      <c r="A32" s="68">
        <v>15</v>
      </c>
      <c r="B32" s="38" t="s">
        <v>24</v>
      </c>
      <c r="C32" s="68" t="s">
        <v>21</v>
      </c>
      <c r="D32" s="40">
        <f>$F32*D$5</f>
        <v>78919.635483870967</v>
      </c>
      <c r="E32" s="40">
        <f>$F32*E$5</f>
        <v>165731.23451612901</v>
      </c>
      <c r="F32" s="156">
        <v>244650.87</v>
      </c>
      <c r="G32" s="156">
        <v>275955.91000000003</v>
      </c>
      <c r="H32" s="156">
        <v>279704.68</v>
      </c>
      <c r="I32" s="156">
        <v>288136.46999999997</v>
      </c>
      <c r="J32" s="156">
        <v>285292.27999999997</v>
      </c>
      <c r="K32" s="156">
        <v>287767.86</v>
      </c>
      <c r="L32" s="156">
        <v>287473.12</v>
      </c>
      <c r="M32" s="156">
        <v>286537.25</v>
      </c>
      <c r="N32" s="156">
        <v>287792.26</v>
      </c>
      <c r="O32" s="156"/>
      <c r="P32" s="156"/>
      <c r="Q32" s="156"/>
      <c r="R32" s="40"/>
      <c r="S32" s="40"/>
      <c r="T32" s="40"/>
      <c r="U32" s="40"/>
      <c r="V32" s="40"/>
    </row>
    <row r="33" spans="1:22">
      <c r="A33" s="68">
        <v>16</v>
      </c>
      <c r="B33" s="38" t="s">
        <v>25</v>
      </c>
      <c r="C33" s="68" t="str">
        <f>"("&amp;A31&amp;") - ("&amp;A32&amp;")"</f>
        <v>(14) - (15)</v>
      </c>
      <c r="D33" s="72">
        <f t="shared" ref="D33:Q33" si="14">D31-D32</f>
        <v>563829.00230322569</v>
      </c>
      <c r="E33" s="72">
        <f t="shared" si="14"/>
        <v>1184040.9048367739</v>
      </c>
      <c r="F33" s="72">
        <f t="shared" si="14"/>
        <v>1747869.9071399998</v>
      </c>
      <c r="G33" s="72">
        <f t="shared" si="14"/>
        <v>1430534.61424</v>
      </c>
      <c r="H33" s="72">
        <f t="shared" si="14"/>
        <v>1324139.8942800001</v>
      </c>
      <c r="I33" s="72">
        <f t="shared" si="14"/>
        <v>732396.97995000007</v>
      </c>
      <c r="J33" s="72">
        <f t="shared" si="14"/>
        <v>599310.97283999994</v>
      </c>
      <c r="K33" s="72">
        <f t="shared" si="14"/>
        <v>439181.30347000004</v>
      </c>
      <c r="L33" s="72">
        <f t="shared" si="14"/>
        <v>403348.0233</v>
      </c>
      <c r="M33" s="72">
        <f t="shared" si="14"/>
        <v>422903.55480000004</v>
      </c>
      <c r="N33" s="72">
        <f t="shared" si="14"/>
        <v>530213.08831999998</v>
      </c>
      <c r="O33" s="72">
        <f t="shared" si="14"/>
        <v>0</v>
      </c>
      <c r="P33" s="72">
        <f t="shared" si="14"/>
        <v>0</v>
      </c>
      <c r="Q33" s="72">
        <f t="shared" si="14"/>
        <v>0</v>
      </c>
      <c r="R33" s="72">
        <f>SUM(F33:H33)</f>
        <v>4502544.4156599995</v>
      </c>
      <c r="S33" s="72">
        <f>SUM(I33:K33)</f>
        <v>1770889.2562600002</v>
      </c>
      <c r="T33" s="72">
        <f>SUM(L33:N33)</f>
        <v>1356464.6664200001</v>
      </c>
      <c r="U33" s="72">
        <f>SUM(O33:Q33)</f>
        <v>0</v>
      </c>
      <c r="V33" s="72">
        <f>SUM(F33:Q33)</f>
        <v>7629898.3383399993</v>
      </c>
    </row>
    <row r="34" spans="1:22">
      <c r="A34" s="6"/>
      <c r="B34" s="68" t="s">
        <v>34</v>
      </c>
      <c r="C34" s="68"/>
      <c r="D34" s="11">
        <f>D33/D26</f>
        <v>656.1073224999999</v>
      </c>
      <c r="E34" s="11">
        <f>E33/E26</f>
        <v>656.1073224999999</v>
      </c>
      <c r="F34" s="75">
        <f>F33/F26</f>
        <v>656.1073224999999</v>
      </c>
      <c r="G34" s="75">
        <f t="shared" ref="G34:Q34" si="15">G33/G26</f>
        <v>528.84828622550833</v>
      </c>
      <c r="H34" s="75">
        <f t="shared" si="15"/>
        <v>488.97337307237819</v>
      </c>
      <c r="I34" s="75">
        <f t="shared" si="15"/>
        <v>261.85090452270293</v>
      </c>
      <c r="J34" s="75">
        <f t="shared" si="15"/>
        <v>216.43588762730226</v>
      </c>
      <c r="K34" s="75">
        <f t="shared" si="15"/>
        <v>157.24357446115289</v>
      </c>
      <c r="L34" s="75">
        <f t="shared" si="15"/>
        <v>144.36221306370794</v>
      </c>
      <c r="M34" s="75">
        <f t="shared" si="15"/>
        <v>152.39767740540543</v>
      </c>
      <c r="N34" s="75">
        <f t="shared" si="15"/>
        <v>189.76846396564065</v>
      </c>
      <c r="O34" s="75" t="e">
        <f t="shared" si="15"/>
        <v>#DIV/0!</v>
      </c>
      <c r="P34" s="75" t="e">
        <f t="shared" si="15"/>
        <v>#DIV/0!</v>
      </c>
      <c r="Q34" s="75" t="e">
        <f t="shared" si="15"/>
        <v>#DIV/0!</v>
      </c>
      <c r="R34" s="158">
        <f>R33/R26</f>
        <v>557.45257096199077</v>
      </c>
      <c r="S34" s="158">
        <f>S33/S26</f>
        <v>211.85419981576746</v>
      </c>
      <c r="T34" s="158">
        <f>T33/T26</f>
        <v>162.19833390170993</v>
      </c>
      <c r="U34" s="158" t="e">
        <f>U33/U26</f>
        <v>#DIV/0!</v>
      </c>
      <c r="V34" s="158">
        <f>V33/V26</f>
        <v>307.66959709423764</v>
      </c>
    </row>
    <row r="35" spans="1:22">
      <c r="A35" s="68">
        <v>17</v>
      </c>
      <c r="B35" s="38" t="s">
        <v>27</v>
      </c>
      <c r="C35" s="68" t="str">
        <f>"("&amp;A28&amp;") - ("&amp;A33&amp;")"</f>
        <v>(13) - (16)</v>
      </c>
      <c r="D35" s="126">
        <f>D28-D33</f>
        <v>-11921.024727759417</v>
      </c>
      <c r="E35" s="126">
        <f t="shared" ref="E35:Q35" si="16">E28-E33</f>
        <v>176028.33375170897</v>
      </c>
      <c r="F35" s="126">
        <f t="shared" si="16"/>
        <v>164107.30902394908</v>
      </c>
      <c r="G35" s="126">
        <f t="shared" si="16"/>
        <v>284358.75235228473</v>
      </c>
      <c r="H35" s="126">
        <f t="shared" si="16"/>
        <v>193003.94817907293</v>
      </c>
      <c r="I35" s="126">
        <f t="shared" si="16"/>
        <v>313822.54810500005</v>
      </c>
      <c r="J35" s="126">
        <f t="shared" si="16"/>
        <v>211838.22023362329</v>
      </c>
      <c r="K35" s="126">
        <f t="shared" si="16"/>
        <v>183034.03840542783</v>
      </c>
      <c r="L35" s="126">
        <f t="shared" si="16"/>
        <v>67654.568974456051</v>
      </c>
      <c r="M35" s="126">
        <f t="shared" si="16"/>
        <v>36490.994079867494</v>
      </c>
      <c r="N35" s="126">
        <f t="shared" si="16"/>
        <v>34275.729092614958</v>
      </c>
      <c r="O35" s="126">
        <f t="shared" si="16"/>
        <v>0</v>
      </c>
      <c r="P35" s="126">
        <f t="shared" si="16"/>
        <v>0</v>
      </c>
      <c r="Q35" s="126">
        <f t="shared" si="16"/>
        <v>0</v>
      </c>
      <c r="R35" s="72">
        <f>SUM(F35:H35)</f>
        <v>641470.00955530675</v>
      </c>
      <c r="S35" s="72">
        <f>SUM(I35:K35)</f>
        <v>708694.80674405117</v>
      </c>
      <c r="T35" s="72">
        <f>SUM(L35:N35)</f>
        <v>138421.2921469385</v>
      </c>
      <c r="U35" s="72">
        <f>SUM(O35:Q35)</f>
        <v>0</v>
      </c>
      <c r="V35" s="72">
        <f>SUM(F35:Q35)</f>
        <v>1488586.1084462965</v>
      </c>
    </row>
    <row r="36" spans="1:22">
      <c r="A36" s="68">
        <v>18</v>
      </c>
      <c r="B36" s="38" t="s">
        <v>28</v>
      </c>
      <c r="C36" s="68" t="s">
        <v>29</v>
      </c>
      <c r="D36" s="126">
        <f>D35*-0.044797</f>
        <v>534.02614472943856</v>
      </c>
      <c r="E36" s="126">
        <f>E35*-0.045668</f>
        <v>-8038.8619457730456</v>
      </c>
      <c r="F36" s="126">
        <f>D36+E36</f>
        <v>-7504.8358010436068</v>
      </c>
      <c r="G36" s="126">
        <f>G35*-0.045668</f>
        <v>-12986.095502424139</v>
      </c>
      <c r="H36" s="126">
        <f t="shared" ref="H36:Q36" si="17">H35*-0.045668</f>
        <v>-8814.1043054419024</v>
      </c>
      <c r="I36" s="126">
        <f t="shared" si="17"/>
        <v>-14331.648126859143</v>
      </c>
      <c r="J36" s="126">
        <f t="shared" si="17"/>
        <v>-9674.2278416291083</v>
      </c>
      <c r="K36" s="126">
        <f t="shared" si="17"/>
        <v>-8358.7984658990772</v>
      </c>
      <c r="L36" s="126">
        <f t="shared" si="17"/>
        <v>-3089.648855925459</v>
      </c>
      <c r="M36" s="126">
        <f t="shared" si="17"/>
        <v>-1666.4707176393888</v>
      </c>
      <c r="N36" s="126">
        <f t="shared" si="17"/>
        <v>-1565.3039962015398</v>
      </c>
      <c r="O36" s="126">
        <f t="shared" si="17"/>
        <v>0</v>
      </c>
      <c r="P36" s="126">
        <f t="shared" si="17"/>
        <v>0</v>
      </c>
      <c r="Q36" s="126">
        <f t="shared" si="17"/>
        <v>0</v>
      </c>
      <c r="R36" s="72">
        <f>SUM(F36:H36)</f>
        <v>-29305.035608909649</v>
      </c>
      <c r="S36" s="72">
        <f>SUM(I36:K36)</f>
        <v>-32364.674434387329</v>
      </c>
      <c r="T36" s="72">
        <f>SUM(L36:N36)</f>
        <v>-6321.423569766388</v>
      </c>
      <c r="U36" s="72">
        <f>SUM(O36:Q36)</f>
        <v>0</v>
      </c>
      <c r="V36" s="72">
        <f>SUM(F36:Q36)</f>
        <v>-67991.133613063372</v>
      </c>
    </row>
    <row r="37" spans="1:22" ht="14.4" customHeight="1">
      <c r="A37" s="8"/>
      <c r="B37" s="17"/>
      <c r="C37" s="68" t="s">
        <v>30</v>
      </c>
      <c r="D37" s="8"/>
      <c r="E37" s="8"/>
      <c r="F37" s="127">
        <f t="shared" ref="F37:Q37" si="18">F20</f>
        <v>3.2500000000000001E-2</v>
      </c>
      <c r="G37" s="127">
        <f t="shared" si="18"/>
        <v>3.2500000000000001E-2</v>
      </c>
      <c r="H37" s="127">
        <f t="shared" si="18"/>
        <v>3.2500000000000001E-2</v>
      </c>
      <c r="I37" s="127">
        <f t="shared" si="18"/>
        <v>3.4599999999999999E-2</v>
      </c>
      <c r="J37" s="127">
        <f t="shared" si="18"/>
        <v>3.4599999999999999E-2</v>
      </c>
      <c r="K37" s="127">
        <f t="shared" si="18"/>
        <v>3.4599999999999999E-2</v>
      </c>
      <c r="L37" s="127">
        <f t="shared" si="18"/>
        <v>3.5000000000000003E-2</v>
      </c>
      <c r="M37" s="127">
        <f t="shared" si="18"/>
        <v>3.5000000000000003E-2</v>
      </c>
      <c r="N37" s="127">
        <f t="shared" si="18"/>
        <v>3.5000000000000003E-2</v>
      </c>
      <c r="O37" s="127">
        <f t="shared" si="18"/>
        <v>0</v>
      </c>
      <c r="P37" s="127">
        <f t="shared" si="18"/>
        <v>0</v>
      </c>
      <c r="Q37" s="127">
        <f t="shared" si="18"/>
        <v>0</v>
      </c>
      <c r="R37" s="78"/>
      <c r="S37" s="78"/>
      <c r="T37" s="78"/>
      <c r="U37" s="78"/>
      <c r="V37" s="78"/>
    </row>
    <row r="38" spans="1:22">
      <c r="A38" s="68">
        <v>19</v>
      </c>
      <c r="B38" s="38" t="s">
        <v>31</v>
      </c>
      <c r="C38" s="68" t="s">
        <v>35</v>
      </c>
      <c r="D38" s="8"/>
      <c r="E38" s="8"/>
      <c r="F38" s="9">
        <f>(F35+F36)/2*F37/12</f>
        <v>212.06584915601786</v>
      </c>
      <c r="G38" s="9">
        <f>(F40+(G35+G36)/2)*G37/12</f>
        <v>792.18984947101956</v>
      </c>
      <c r="H38" s="9">
        <f t="shared" ref="H38:Q38" si="19">(G40+(H35+H36)/2)*H37/12</f>
        <v>1411.2429167097318</v>
      </c>
      <c r="I38" s="9">
        <f t="shared" si="19"/>
        <v>2203.8064100214856</v>
      </c>
      <c r="J38" s="9">
        <f t="shared" si="19"/>
        <v>2933.3798550039924</v>
      </c>
      <c r="K38" s="9">
        <f t="shared" si="19"/>
        <v>3485.1143268638662</v>
      </c>
      <c r="L38" s="9">
        <f t="shared" si="19"/>
        <v>3884.4614827741111</v>
      </c>
      <c r="M38" s="9">
        <f t="shared" si="19"/>
        <v>4040.7341005083085</v>
      </c>
      <c r="N38" s="9">
        <f t="shared" si="19"/>
        <v>4151.0080414703089</v>
      </c>
      <c r="O38" s="9">
        <f t="shared" si="19"/>
        <v>0</v>
      </c>
      <c r="P38" s="9">
        <f t="shared" si="19"/>
        <v>0</v>
      </c>
      <c r="Q38" s="9">
        <f t="shared" si="19"/>
        <v>0</v>
      </c>
      <c r="R38" s="72">
        <f>SUM(F38:H38)</f>
        <v>2415.498615336769</v>
      </c>
      <c r="S38" s="72">
        <f>SUM(I38:K38)</f>
        <v>8622.3005918893432</v>
      </c>
      <c r="T38" s="72">
        <f>SUM(L38:N38)</f>
        <v>12076.203624752729</v>
      </c>
      <c r="U38" s="72">
        <f>SUM(O38:Q38)</f>
        <v>0</v>
      </c>
      <c r="V38" s="9">
        <f>SUM(F38:Q38)</f>
        <v>23114.00283197884</v>
      </c>
    </row>
    <row r="39" spans="1:22" ht="15" thickBot="1">
      <c r="A39" s="68"/>
      <c r="B39" s="10" t="s">
        <v>36</v>
      </c>
      <c r="C39" s="68"/>
      <c r="D39" s="68"/>
      <c r="E39" s="68"/>
      <c r="F39" s="12">
        <f>F35+F36+F38</f>
        <v>156814.53907206151</v>
      </c>
      <c r="G39" s="12">
        <f t="shared" ref="G39:Q39" si="20">G35+G36+G38</f>
        <v>272164.84669933165</v>
      </c>
      <c r="H39" s="12">
        <f t="shared" si="20"/>
        <v>185601.08679034078</v>
      </c>
      <c r="I39" s="12">
        <f t="shared" si="20"/>
        <v>301694.70638816239</v>
      </c>
      <c r="J39" s="12">
        <f t="shared" si="20"/>
        <v>205097.37224699816</v>
      </c>
      <c r="K39" s="12">
        <f t="shared" si="20"/>
        <v>178160.35426639262</v>
      </c>
      <c r="L39" s="12">
        <f t="shared" si="20"/>
        <v>68449.381601304704</v>
      </c>
      <c r="M39" s="12">
        <f t="shared" si="20"/>
        <v>38865.257462736416</v>
      </c>
      <c r="N39" s="12">
        <f t="shared" si="20"/>
        <v>36861.433137883731</v>
      </c>
      <c r="O39" s="12">
        <f t="shared" si="20"/>
        <v>0</v>
      </c>
      <c r="P39" s="12">
        <f t="shared" si="20"/>
        <v>0</v>
      </c>
      <c r="Q39" s="12">
        <f t="shared" si="20"/>
        <v>0</v>
      </c>
      <c r="R39" s="74">
        <f>R35+R36+R38</f>
        <v>614580.4725617338</v>
      </c>
      <c r="S39" s="74">
        <f>S35+S36+S38</f>
        <v>684952.43290155311</v>
      </c>
      <c r="T39" s="74">
        <f>T35+T36+T38</f>
        <v>144176.07220192484</v>
      </c>
      <c r="U39" s="74">
        <f>U35+U36+U38</f>
        <v>0</v>
      </c>
      <c r="V39" s="74">
        <f>V35+V36+V38</f>
        <v>1443708.977665212</v>
      </c>
    </row>
    <row r="40" spans="1:22" ht="34.200000000000003" customHeight="1" thickBot="1">
      <c r="A40" s="68">
        <v>20</v>
      </c>
      <c r="B40" s="147" t="s">
        <v>131</v>
      </c>
      <c r="C40" s="68" t="str">
        <f>"Σ(("&amp;A35&amp;") + ("&amp;A38&amp;"))"</f>
        <v>Σ((17) + (19))</v>
      </c>
      <c r="D40" s="68"/>
      <c r="E40" s="68"/>
      <c r="F40" s="72">
        <f>F35+F36+F38</f>
        <v>156814.53907206151</v>
      </c>
      <c r="G40" s="72">
        <f>F40+G35+G36+G38</f>
        <v>428979.38577139319</v>
      </c>
      <c r="H40" s="72">
        <f t="shared" ref="H40:Q40" si="21">G40+H35+H36+H38</f>
        <v>614580.47256173391</v>
      </c>
      <c r="I40" s="72">
        <f t="shared" si="21"/>
        <v>916275.17894989636</v>
      </c>
      <c r="J40" s="72">
        <f t="shared" si="21"/>
        <v>1121372.5511968944</v>
      </c>
      <c r="K40" s="72">
        <f t="shared" si="21"/>
        <v>1299532.9054632869</v>
      </c>
      <c r="L40" s="72">
        <f t="shared" si="21"/>
        <v>1367982.2870645914</v>
      </c>
      <c r="M40" s="72">
        <f t="shared" si="21"/>
        <v>1406847.5445273276</v>
      </c>
      <c r="N40" s="72">
        <f t="shared" si="21"/>
        <v>1443708.9776652113</v>
      </c>
      <c r="O40" s="72">
        <f t="shared" si="21"/>
        <v>1443708.9776652113</v>
      </c>
      <c r="P40" s="72">
        <f t="shared" si="21"/>
        <v>1443708.9776652113</v>
      </c>
      <c r="Q40" s="128">
        <f t="shared" si="21"/>
        <v>1443708.9776652113</v>
      </c>
      <c r="R40" s="73"/>
      <c r="S40" s="34"/>
      <c r="T40" s="73"/>
      <c r="U40" s="73"/>
    </row>
    <row r="41" spans="1:22" ht="15" thickBot="1">
      <c r="A41" s="68"/>
      <c r="B41" s="38"/>
      <c r="C41" s="38"/>
      <c r="D41" s="38"/>
      <c r="E41" s="38"/>
      <c r="F41" s="38"/>
      <c r="G41" s="38"/>
      <c r="H41" s="38"/>
      <c r="I41" s="38"/>
      <c r="J41" s="38"/>
      <c r="K41" s="38"/>
      <c r="L41" s="38"/>
      <c r="M41" s="38"/>
      <c r="N41" s="38"/>
      <c r="O41" s="38"/>
      <c r="P41" s="38"/>
      <c r="Q41" s="38"/>
      <c r="R41" s="70"/>
      <c r="S41" s="30"/>
      <c r="T41" s="70"/>
      <c r="U41" s="70"/>
      <c r="V41" s="1"/>
    </row>
    <row r="42" spans="1:22" ht="15" thickBot="1">
      <c r="A42" s="2">
        <v>21</v>
      </c>
      <c r="B42" s="10" t="s">
        <v>73</v>
      </c>
      <c r="C42" s="2" t="str">
        <f>"("&amp;A23&amp;") + ("&amp;A40&amp;")"</f>
        <v>(10) + (20)</v>
      </c>
      <c r="D42" s="2"/>
      <c r="E42" s="2"/>
      <c r="F42" s="72">
        <f t="shared" ref="F42:Q42" si="22">F23+F40</f>
        <v>-21627.337647769251</v>
      </c>
      <c r="G42" s="72">
        <f t="shared" si="22"/>
        <v>1842318.301773895</v>
      </c>
      <c r="H42" s="72">
        <f t="shared" si="22"/>
        <v>3180496.3058343804</v>
      </c>
      <c r="I42" s="72">
        <f t="shared" si="22"/>
        <v>4904367.7929914203</v>
      </c>
      <c r="J42" s="72">
        <f t="shared" si="22"/>
        <v>6007198.85757556</v>
      </c>
      <c r="K42" s="72">
        <f t="shared" si="22"/>
        <v>6460094.0899832528</v>
      </c>
      <c r="L42" s="72">
        <f t="shared" si="22"/>
        <v>6554335.8360130023</v>
      </c>
      <c r="M42" s="72">
        <f t="shared" si="22"/>
        <v>6499638.531950932</v>
      </c>
      <c r="N42" s="72">
        <f t="shared" si="22"/>
        <v>6550989.0044333618</v>
      </c>
      <c r="O42" s="72">
        <f t="shared" si="22"/>
        <v>6550989.0044333618</v>
      </c>
      <c r="P42" s="72">
        <f t="shared" si="22"/>
        <v>6550989.0044333618</v>
      </c>
      <c r="Q42" s="128">
        <f t="shared" si="22"/>
        <v>6550989.0044333618</v>
      </c>
    </row>
  </sheetData>
  <printOptions horizontalCentered="1"/>
  <pageMargins left="0.7" right="0.57999999999999996" top="1.08" bottom="0.75" header="0.5" footer="0.5"/>
  <pageSetup scale="65" orientation="landscape" r:id="rId1"/>
  <headerFooter>
    <oddHeader>&amp;CAvista Corporation Decoupling Mechanism
Washington Jurisdiction
Quarterly Report for 3rd Quarter 2016</oddHeader>
    <oddFooter>&amp;Cfile: &amp;F / &amp;A&amp;RPage 2 of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view="pageLayout" zoomScaleNormal="100" workbookViewId="0">
      <selection activeCell="E5" sqref="E5"/>
    </sheetView>
  </sheetViews>
  <sheetFormatPr defaultRowHeight="14.4"/>
  <cols>
    <col min="1" max="1" width="7.33203125" customWidth="1"/>
    <col min="2" max="2" width="34.88671875" customWidth="1"/>
    <col min="3" max="3" width="6.33203125" customWidth="1"/>
    <col min="4" max="4" width="9.44140625" customWidth="1"/>
    <col min="5" max="5" width="12.33203125" customWidth="1"/>
    <col min="6" max="6" width="12.44140625" customWidth="1"/>
    <col min="7" max="7" width="13.44140625" customWidth="1"/>
    <col min="8" max="8" width="1.6640625" customWidth="1"/>
    <col min="10" max="10" width="14" bestFit="1" customWidth="1"/>
    <col min="11" max="11" width="12.33203125" customWidth="1"/>
    <col min="12" max="12" width="11.109375" bestFit="1" customWidth="1"/>
    <col min="13" max="14" width="11.44140625" customWidth="1"/>
  </cols>
  <sheetData>
    <row r="1" spans="1:17" ht="15.6">
      <c r="A1" s="177" t="s">
        <v>42</v>
      </c>
      <c r="B1" s="177"/>
      <c r="C1" s="177"/>
      <c r="D1" s="177"/>
      <c r="E1" s="177"/>
      <c r="F1" s="177"/>
      <c r="G1" s="177"/>
      <c r="H1" s="177"/>
    </row>
    <row r="3" spans="1:17">
      <c r="A3" s="77" t="s">
        <v>156</v>
      </c>
      <c r="B3" s="77"/>
      <c r="C3" s="77"/>
      <c r="D3" s="77"/>
      <c r="E3" s="77"/>
      <c r="F3" s="77"/>
      <c r="G3" s="77"/>
      <c r="K3" s="77"/>
      <c r="L3" s="77"/>
      <c r="M3" s="77"/>
      <c r="N3" s="77"/>
      <c r="O3" s="77"/>
      <c r="P3" s="77"/>
      <c r="Q3" s="77"/>
    </row>
    <row r="4" spans="1:17">
      <c r="A4" s="77"/>
      <c r="B4" s="77"/>
      <c r="C4" s="77"/>
      <c r="D4" s="77"/>
      <c r="E4" s="77"/>
      <c r="F4" s="77"/>
      <c r="G4" s="77"/>
      <c r="K4" s="77"/>
      <c r="L4" s="77"/>
      <c r="M4" s="77"/>
      <c r="N4" s="77"/>
      <c r="O4" s="77"/>
      <c r="P4" s="77"/>
      <c r="Q4" s="77"/>
    </row>
    <row r="5" spans="1:17">
      <c r="A5" s="42" t="s">
        <v>43</v>
      </c>
      <c r="B5" s="77"/>
      <c r="C5" s="18" t="s">
        <v>61</v>
      </c>
      <c r="D5" s="77"/>
      <c r="E5" s="77"/>
      <c r="F5" s="77"/>
      <c r="G5" s="77"/>
    </row>
    <row r="6" spans="1:17">
      <c r="A6" s="77"/>
      <c r="B6" s="77"/>
      <c r="C6" s="77"/>
      <c r="D6" s="77"/>
      <c r="E6" s="77"/>
      <c r="F6" s="77"/>
      <c r="G6" s="77"/>
    </row>
    <row r="7" spans="1:17" ht="27">
      <c r="A7" s="94" t="s">
        <v>44</v>
      </c>
      <c r="B7" s="95" t="s">
        <v>45</v>
      </c>
      <c r="C7" s="96" t="s">
        <v>46</v>
      </c>
      <c r="D7" s="94" t="s">
        <v>47</v>
      </c>
      <c r="E7" s="94" t="s">
        <v>48</v>
      </c>
      <c r="F7" s="94" t="s">
        <v>49</v>
      </c>
      <c r="G7" s="94" t="s">
        <v>50</v>
      </c>
    </row>
    <row r="8" spans="1:17" ht="14.4" customHeight="1">
      <c r="A8" s="44" t="s">
        <v>51</v>
      </c>
      <c r="B8" s="43" t="s">
        <v>52</v>
      </c>
      <c r="C8" s="45" t="s">
        <v>53</v>
      </c>
      <c r="D8" s="46" t="s">
        <v>163</v>
      </c>
      <c r="E8" s="47">
        <v>7543864.9100000001</v>
      </c>
      <c r="F8" s="48">
        <v>-958687.3</v>
      </c>
      <c r="G8" s="47">
        <v>6585177.6100000003</v>
      </c>
    </row>
    <row r="9" spans="1:17">
      <c r="A9" s="49"/>
      <c r="B9" s="43" t="s">
        <v>52</v>
      </c>
      <c r="C9" s="50"/>
      <c r="D9" s="46" t="s">
        <v>164</v>
      </c>
      <c r="E9" s="47">
        <v>6585177.6100000003</v>
      </c>
      <c r="F9" s="48">
        <v>406678.4</v>
      </c>
      <c r="G9" s="47">
        <v>6991856.0099999998</v>
      </c>
    </row>
    <row r="10" spans="1:17">
      <c r="A10" s="49"/>
      <c r="B10" s="43" t="s">
        <v>52</v>
      </c>
      <c r="C10" s="51"/>
      <c r="D10" s="46" t="s">
        <v>165</v>
      </c>
      <c r="E10" s="47">
        <v>6991856.0099999998</v>
      </c>
      <c r="F10" s="48">
        <v>122343.29000000001</v>
      </c>
      <c r="G10" s="47">
        <v>7114199.2999999998</v>
      </c>
    </row>
    <row r="11" spans="1:17">
      <c r="A11" s="49"/>
      <c r="B11" s="86"/>
      <c r="C11" s="87" t="s">
        <v>68</v>
      </c>
      <c r="D11" s="86"/>
      <c r="E11" s="88"/>
      <c r="F11" s="89" t="s">
        <v>166</v>
      </c>
      <c r="G11" s="88"/>
    </row>
    <row r="12" spans="1:17">
      <c r="A12" s="49"/>
      <c r="B12" s="43" t="s">
        <v>52</v>
      </c>
      <c r="C12" s="45" t="s">
        <v>54</v>
      </c>
      <c r="D12" s="46" t="s">
        <v>163</v>
      </c>
      <c r="E12" s="47">
        <v>5160561.41</v>
      </c>
      <c r="F12" s="48">
        <v>25792.37</v>
      </c>
      <c r="G12" s="47">
        <v>5186353.78</v>
      </c>
    </row>
    <row r="13" spans="1:17">
      <c r="A13" s="49"/>
      <c r="B13" s="43" t="s">
        <v>52</v>
      </c>
      <c r="C13" s="50"/>
      <c r="D13" s="46" t="s">
        <v>164</v>
      </c>
      <c r="E13" s="47">
        <v>5186353.78</v>
      </c>
      <c r="F13" s="48">
        <v>-93562.559999999998</v>
      </c>
      <c r="G13" s="47">
        <v>5092791.22</v>
      </c>
    </row>
    <row r="14" spans="1:17">
      <c r="A14" s="49"/>
      <c r="B14" s="43" t="s">
        <v>52</v>
      </c>
      <c r="C14" s="51"/>
      <c r="D14" s="46" t="s">
        <v>165</v>
      </c>
      <c r="E14" s="47">
        <v>5092791.22</v>
      </c>
      <c r="F14" s="48">
        <v>14489.04</v>
      </c>
      <c r="G14" s="47">
        <v>5107280.26</v>
      </c>
    </row>
    <row r="15" spans="1:17">
      <c r="A15" s="52"/>
      <c r="B15" s="86"/>
      <c r="C15" s="87" t="s">
        <v>69</v>
      </c>
      <c r="D15" s="86"/>
      <c r="E15" s="88"/>
      <c r="F15" s="89" t="s">
        <v>167</v>
      </c>
      <c r="G15" s="88"/>
    </row>
    <row r="16" spans="1:17" ht="14.4" customHeight="1">
      <c r="A16" s="90"/>
      <c r="B16" s="91" t="s">
        <v>64</v>
      </c>
      <c r="C16" s="90"/>
      <c r="D16" s="90"/>
      <c r="E16" s="92"/>
      <c r="F16" s="93" t="s">
        <v>168</v>
      </c>
      <c r="G16" s="92"/>
    </row>
    <row r="17" spans="1:9" ht="14.4" customHeight="1">
      <c r="A17" s="44" t="s">
        <v>55</v>
      </c>
      <c r="B17" s="43" t="s">
        <v>56</v>
      </c>
      <c r="C17" s="45" t="s">
        <v>53</v>
      </c>
      <c r="D17" s="46" t="s">
        <v>163</v>
      </c>
      <c r="E17" s="47">
        <v>1189344.43</v>
      </c>
      <c r="F17" s="48">
        <v>426813.63</v>
      </c>
      <c r="G17" s="47">
        <v>1616158.06</v>
      </c>
    </row>
    <row r="18" spans="1:9">
      <c r="A18" s="49"/>
      <c r="B18" s="43" t="s">
        <v>56</v>
      </c>
      <c r="C18" s="50"/>
      <c r="D18" s="46" t="s">
        <v>164</v>
      </c>
      <c r="E18" s="47">
        <v>1616158.06</v>
      </c>
      <c r="F18" s="48">
        <v>-84025.86</v>
      </c>
      <c r="G18" s="47">
        <v>1532132.2</v>
      </c>
    </row>
    <row r="19" spans="1:9">
      <c r="A19" s="49"/>
      <c r="B19" s="43" t="s">
        <v>56</v>
      </c>
      <c r="C19" s="51"/>
      <c r="D19" s="46" t="s">
        <v>165</v>
      </c>
      <c r="E19" s="47">
        <v>1532132.2</v>
      </c>
      <c r="F19" s="48">
        <v>398270.39</v>
      </c>
      <c r="G19" s="47">
        <v>1930402.5899999999</v>
      </c>
    </row>
    <row r="20" spans="1:9">
      <c r="A20" s="49"/>
      <c r="B20" s="86"/>
      <c r="C20" s="87" t="s">
        <v>68</v>
      </c>
      <c r="D20" s="86"/>
      <c r="E20" s="88"/>
      <c r="F20" s="89" t="s">
        <v>169</v>
      </c>
      <c r="G20" s="88"/>
    </row>
    <row r="21" spans="1:9">
      <c r="A21" s="49"/>
      <c r="B21" s="43" t="s">
        <v>56</v>
      </c>
      <c r="C21" s="45" t="s">
        <v>54</v>
      </c>
      <c r="D21" s="46" t="s">
        <v>163</v>
      </c>
      <c r="E21" s="47">
        <v>1299533.05</v>
      </c>
      <c r="F21" s="48">
        <v>69449.38</v>
      </c>
      <c r="G21" s="47">
        <v>1368982.43</v>
      </c>
    </row>
    <row r="22" spans="1:9">
      <c r="A22" s="49"/>
      <c r="B22" s="43" t="s">
        <v>56</v>
      </c>
      <c r="C22" s="50"/>
      <c r="D22" s="46" t="s">
        <v>164</v>
      </c>
      <c r="E22" s="47">
        <v>1368982.43</v>
      </c>
      <c r="F22" s="48">
        <v>37865.25</v>
      </c>
      <c r="G22" s="47">
        <v>1406847.68</v>
      </c>
    </row>
    <row r="23" spans="1:9">
      <c r="A23" s="49"/>
      <c r="B23" s="43" t="s">
        <v>56</v>
      </c>
      <c r="C23" s="51"/>
      <c r="D23" s="46" t="s">
        <v>165</v>
      </c>
      <c r="E23" s="47">
        <v>1406847.68</v>
      </c>
      <c r="F23" s="48">
        <v>36861.440000000002</v>
      </c>
      <c r="G23" s="47">
        <v>1443709.12</v>
      </c>
    </row>
    <row r="24" spans="1:9">
      <c r="A24" s="52"/>
      <c r="B24" s="86"/>
      <c r="C24" s="87" t="s">
        <v>69</v>
      </c>
      <c r="D24" s="86"/>
      <c r="E24" s="88"/>
      <c r="F24" s="89" t="s">
        <v>170</v>
      </c>
      <c r="G24" s="88"/>
    </row>
    <row r="25" spans="1:9">
      <c r="A25" s="90"/>
      <c r="B25" s="91" t="s">
        <v>67</v>
      </c>
      <c r="C25" s="90"/>
      <c r="D25" s="90"/>
      <c r="E25" s="92"/>
      <c r="F25" s="93" t="s">
        <v>171</v>
      </c>
      <c r="G25" s="92"/>
    </row>
    <row r="26" spans="1:9">
      <c r="A26" s="19"/>
      <c r="B26" s="19"/>
      <c r="C26" s="19"/>
      <c r="D26" s="19"/>
      <c r="E26" s="20"/>
      <c r="F26" s="21"/>
      <c r="G26" s="20"/>
    </row>
    <row r="27" spans="1:9">
      <c r="A27" s="77" t="s">
        <v>156</v>
      </c>
      <c r="B27" s="77"/>
      <c r="C27" s="77"/>
      <c r="D27" s="77"/>
      <c r="E27" s="77"/>
      <c r="F27" s="77"/>
      <c r="G27" s="77"/>
    </row>
    <row r="28" spans="1:9">
      <c r="A28" s="77"/>
      <c r="B28" s="77"/>
      <c r="C28" s="77"/>
      <c r="D28" s="77"/>
      <c r="E28" s="77"/>
      <c r="F28" s="77"/>
      <c r="G28" s="77"/>
    </row>
    <row r="29" spans="1:9">
      <c r="A29" s="42" t="s">
        <v>43</v>
      </c>
      <c r="B29" s="77"/>
      <c r="C29" s="18" t="s">
        <v>62</v>
      </c>
      <c r="D29" s="77"/>
      <c r="E29" s="77"/>
      <c r="F29" s="77"/>
      <c r="G29" s="77"/>
      <c r="I29" s="18"/>
    </row>
    <row r="30" spans="1:9">
      <c r="A30" s="77"/>
      <c r="B30" s="77"/>
      <c r="C30" s="77"/>
      <c r="D30" s="77"/>
      <c r="E30" s="77"/>
      <c r="F30" s="77"/>
      <c r="G30" s="77"/>
    </row>
    <row r="31" spans="1:9" ht="27">
      <c r="A31" s="94" t="s">
        <v>44</v>
      </c>
      <c r="B31" s="95" t="s">
        <v>45</v>
      </c>
      <c r="C31" s="96" t="s">
        <v>46</v>
      </c>
      <c r="D31" s="94" t="s">
        <v>47</v>
      </c>
      <c r="E31" s="94" t="s">
        <v>48</v>
      </c>
      <c r="F31" s="94" t="s">
        <v>49</v>
      </c>
      <c r="G31" s="94" t="s">
        <v>50</v>
      </c>
    </row>
    <row r="32" spans="1:9" ht="14.4" customHeight="1">
      <c r="A32" s="44" t="s">
        <v>57</v>
      </c>
      <c r="B32" s="43" t="s">
        <v>58</v>
      </c>
      <c r="C32" s="45" t="s">
        <v>54</v>
      </c>
      <c r="D32" s="46" t="s">
        <v>163</v>
      </c>
      <c r="E32" s="47">
        <v>5735.27</v>
      </c>
      <c r="F32" s="48">
        <v>16.73</v>
      </c>
      <c r="G32" s="47">
        <v>5752</v>
      </c>
    </row>
    <row r="33" spans="1:7">
      <c r="A33" s="49"/>
      <c r="B33" s="43" t="s">
        <v>58</v>
      </c>
      <c r="C33" s="50"/>
      <c r="D33" s="46" t="s">
        <v>164</v>
      </c>
      <c r="E33" s="47">
        <v>5752</v>
      </c>
      <c r="F33" s="48">
        <v>16.78</v>
      </c>
      <c r="G33" s="47">
        <v>5768.78</v>
      </c>
    </row>
    <row r="34" spans="1:7">
      <c r="A34" s="49"/>
      <c r="B34" s="43" t="s">
        <v>58</v>
      </c>
      <c r="C34" s="51"/>
      <c r="D34" s="46" t="s">
        <v>165</v>
      </c>
      <c r="E34" s="47">
        <v>5768.78</v>
      </c>
      <c r="F34" s="48">
        <v>16.830000000000002</v>
      </c>
      <c r="G34" s="47">
        <v>5785.61</v>
      </c>
    </row>
    <row r="35" spans="1:7">
      <c r="A35" s="52"/>
      <c r="B35" s="86"/>
      <c r="C35" s="87" t="s">
        <v>69</v>
      </c>
      <c r="D35" s="86"/>
      <c r="E35" s="88"/>
      <c r="F35" s="89" t="s">
        <v>172</v>
      </c>
      <c r="G35" s="88"/>
    </row>
    <row r="37" spans="1:7" s="77" customFormat="1">
      <c r="A37" s="77" t="s">
        <v>156</v>
      </c>
    </row>
    <row r="38" spans="1:7" s="77" customFormat="1"/>
    <row r="39" spans="1:7" s="77" customFormat="1">
      <c r="A39" s="42" t="s">
        <v>43</v>
      </c>
      <c r="C39" s="18" t="s">
        <v>139</v>
      </c>
    </row>
    <row r="40" spans="1:7" s="77" customFormat="1"/>
    <row r="41" spans="1:7" s="77" customFormat="1" ht="27">
      <c r="A41" s="94" t="s">
        <v>44</v>
      </c>
      <c r="B41" s="95" t="s">
        <v>45</v>
      </c>
      <c r="C41" s="96" t="s">
        <v>46</v>
      </c>
      <c r="D41" s="94" t="s">
        <v>47</v>
      </c>
      <c r="E41" s="94" t="s">
        <v>48</v>
      </c>
      <c r="F41" s="94" t="s">
        <v>49</v>
      </c>
      <c r="G41" s="94" t="s">
        <v>50</v>
      </c>
    </row>
    <row r="42" spans="1:7" s="77" customFormat="1">
      <c r="A42" s="44" t="s">
        <v>133</v>
      </c>
      <c r="B42" s="43" t="s">
        <v>134</v>
      </c>
      <c r="C42" s="45" t="s">
        <v>53</v>
      </c>
      <c r="D42" s="46" t="s">
        <v>163</v>
      </c>
      <c r="E42" s="47">
        <v>7288830.4800000004</v>
      </c>
      <c r="F42" s="48">
        <v>21259.09</v>
      </c>
      <c r="G42" s="47">
        <v>7310089.5700000003</v>
      </c>
    </row>
    <row r="43" spans="1:7" s="77" customFormat="1">
      <c r="A43" s="49"/>
      <c r="B43" s="43" t="s">
        <v>134</v>
      </c>
      <c r="C43" s="50"/>
      <c r="D43" s="46" t="s">
        <v>164</v>
      </c>
      <c r="E43" s="47">
        <v>7310089.5700000003</v>
      </c>
      <c r="F43" s="48">
        <v>-434534.19</v>
      </c>
      <c r="G43" s="47">
        <v>6875555.3799999999</v>
      </c>
    </row>
    <row r="44" spans="1:7" s="77" customFormat="1">
      <c r="A44" s="49"/>
      <c r="B44" s="43" t="s">
        <v>134</v>
      </c>
      <c r="C44" s="51"/>
      <c r="D44" s="46" t="s">
        <v>165</v>
      </c>
      <c r="E44" s="47">
        <v>6875555.3799999999</v>
      </c>
      <c r="F44" s="48">
        <v>20053.7</v>
      </c>
      <c r="G44" s="47">
        <v>6895609.0800000001</v>
      </c>
    </row>
    <row r="45" spans="1:7" s="77" customFormat="1">
      <c r="A45" s="49"/>
      <c r="B45" s="86"/>
      <c r="C45" s="87" t="s">
        <v>68</v>
      </c>
      <c r="D45" s="86"/>
      <c r="E45" s="88"/>
      <c r="F45" s="89" t="s">
        <v>173</v>
      </c>
      <c r="G45" s="88"/>
    </row>
    <row r="46" spans="1:7" s="77" customFormat="1">
      <c r="A46" s="49"/>
      <c r="B46" s="43" t="s">
        <v>134</v>
      </c>
      <c r="C46" s="45" t="s">
        <v>54</v>
      </c>
      <c r="D46" s="46" t="s">
        <v>163</v>
      </c>
      <c r="E46" s="47">
        <v>5401284.3099999996</v>
      </c>
      <c r="F46" s="48">
        <v>15753.75</v>
      </c>
      <c r="G46" s="47">
        <v>5417038.0599999996</v>
      </c>
    </row>
    <row r="47" spans="1:7" s="77" customFormat="1">
      <c r="A47" s="49"/>
      <c r="B47" s="43" t="s">
        <v>134</v>
      </c>
      <c r="C47" s="50"/>
      <c r="D47" s="46" t="s">
        <v>164</v>
      </c>
      <c r="E47" s="47">
        <v>5417038.0599999996</v>
      </c>
      <c r="F47" s="48">
        <v>15799.69</v>
      </c>
      <c r="G47" s="47">
        <v>5432837.75</v>
      </c>
    </row>
    <row r="48" spans="1:7" s="77" customFormat="1">
      <c r="A48" s="49"/>
      <c r="B48" s="43" t="s">
        <v>134</v>
      </c>
      <c r="C48" s="51"/>
      <c r="D48" s="46" t="s">
        <v>165</v>
      </c>
      <c r="E48" s="47">
        <v>5432837.75</v>
      </c>
      <c r="F48" s="48">
        <v>15845.78</v>
      </c>
      <c r="G48" s="47">
        <v>5448683.5300000003</v>
      </c>
    </row>
    <row r="49" spans="1:7" s="77" customFormat="1">
      <c r="A49" s="52"/>
      <c r="B49" s="86"/>
      <c r="C49" s="87" t="s">
        <v>69</v>
      </c>
      <c r="D49" s="86"/>
      <c r="E49" s="88"/>
      <c r="F49" s="89" t="s">
        <v>174</v>
      </c>
      <c r="G49" s="88"/>
    </row>
    <row r="50" spans="1:7" s="77" customFormat="1">
      <c r="A50" s="90"/>
      <c r="B50" s="91" t="s">
        <v>137</v>
      </c>
      <c r="C50" s="90"/>
      <c r="D50" s="90"/>
      <c r="E50" s="92"/>
      <c r="F50" s="93" t="s">
        <v>175</v>
      </c>
      <c r="G50" s="92"/>
    </row>
    <row r="51" spans="1:7" s="77" customFormat="1">
      <c r="A51" s="44" t="s">
        <v>135</v>
      </c>
      <c r="B51" s="43" t="s">
        <v>136</v>
      </c>
      <c r="C51" s="45" t="s">
        <v>53</v>
      </c>
      <c r="D51" s="46" t="s">
        <v>163</v>
      </c>
      <c r="E51" s="47">
        <v>-2413566.04</v>
      </c>
      <c r="F51" s="48">
        <v>-7039.57</v>
      </c>
      <c r="G51" s="47">
        <v>-2420605.61</v>
      </c>
    </row>
    <row r="52" spans="1:7" s="77" customFormat="1">
      <c r="A52" s="49"/>
      <c r="B52" s="43" t="s">
        <v>136</v>
      </c>
      <c r="C52" s="50"/>
      <c r="D52" s="46" t="s">
        <v>164</v>
      </c>
      <c r="E52" s="47">
        <v>-2420605.61</v>
      </c>
      <c r="F52" s="48">
        <v>-470630.61</v>
      </c>
      <c r="G52" s="47">
        <v>-2891236.2199999997</v>
      </c>
    </row>
    <row r="53" spans="1:7" s="77" customFormat="1">
      <c r="A53" s="49"/>
      <c r="B53" s="43" t="s">
        <v>136</v>
      </c>
      <c r="C53" s="51"/>
      <c r="D53" s="46" t="s">
        <v>165</v>
      </c>
      <c r="E53" s="47">
        <v>-2891236.2199999997</v>
      </c>
      <c r="F53" s="48">
        <v>-8432.77</v>
      </c>
      <c r="G53" s="47">
        <v>-2899668.99</v>
      </c>
    </row>
    <row r="54" spans="1:7" s="77" customFormat="1">
      <c r="A54" s="49"/>
      <c r="B54" s="86"/>
      <c r="C54" s="87" t="s">
        <v>68</v>
      </c>
      <c r="D54" s="86"/>
      <c r="E54" s="88"/>
      <c r="F54" s="89" t="s">
        <v>176</v>
      </c>
      <c r="G54" s="88"/>
    </row>
    <row r="55" spans="1:7" s="77" customFormat="1">
      <c r="A55" s="49"/>
      <c r="B55" s="43" t="s">
        <v>136</v>
      </c>
      <c r="C55" s="45" t="s">
        <v>54</v>
      </c>
      <c r="D55" s="46" t="s">
        <v>163</v>
      </c>
      <c r="E55" s="47">
        <v>1766074.57</v>
      </c>
      <c r="F55" s="48">
        <v>5151.05</v>
      </c>
      <c r="G55" s="47">
        <v>1771225.62</v>
      </c>
    </row>
    <row r="56" spans="1:7" s="77" customFormat="1">
      <c r="A56" s="49"/>
      <c r="B56" s="43" t="s">
        <v>136</v>
      </c>
      <c r="C56" s="50"/>
      <c r="D56" s="46" t="s">
        <v>164</v>
      </c>
      <c r="E56" s="47">
        <v>1771225.62</v>
      </c>
      <c r="F56" s="48">
        <v>5166.07</v>
      </c>
      <c r="G56" s="47">
        <v>1776391.69</v>
      </c>
    </row>
    <row r="57" spans="1:7" s="77" customFormat="1">
      <c r="A57" s="49"/>
      <c r="B57" s="43" t="s">
        <v>136</v>
      </c>
      <c r="C57" s="51"/>
      <c r="D57" s="46" t="s">
        <v>165</v>
      </c>
      <c r="E57" s="47">
        <v>1776391.69</v>
      </c>
      <c r="F57" s="48">
        <v>5181.1400000000003</v>
      </c>
      <c r="G57" s="47">
        <v>1781572.83</v>
      </c>
    </row>
    <row r="58" spans="1:7" s="77" customFormat="1">
      <c r="A58" s="52"/>
      <c r="B58" s="86"/>
      <c r="C58" s="87" t="s">
        <v>69</v>
      </c>
      <c r="D58" s="86"/>
      <c r="E58" s="88"/>
      <c r="F58" s="89" t="s">
        <v>177</v>
      </c>
      <c r="G58" s="88"/>
    </row>
    <row r="59" spans="1:7" s="77" customFormat="1">
      <c r="A59" s="90"/>
      <c r="B59" s="91" t="s">
        <v>138</v>
      </c>
      <c r="C59" s="90"/>
      <c r="D59" s="90"/>
      <c r="E59" s="92"/>
      <c r="F59" s="93" t="s">
        <v>178</v>
      </c>
      <c r="G59" s="92"/>
    </row>
    <row r="60" spans="1:7" s="77" customFormat="1"/>
    <row r="61" spans="1:7">
      <c r="A61" s="77" t="s">
        <v>156</v>
      </c>
      <c r="B61" s="77"/>
      <c r="C61" s="77"/>
      <c r="D61" s="77"/>
      <c r="E61" s="77"/>
      <c r="F61" s="77"/>
      <c r="G61" s="77"/>
    </row>
    <row r="62" spans="1:7">
      <c r="A62" s="77"/>
      <c r="B62" s="77"/>
      <c r="C62" s="77"/>
      <c r="D62" s="77"/>
      <c r="E62" s="77"/>
      <c r="F62" s="77"/>
      <c r="G62" s="77"/>
    </row>
    <row r="63" spans="1:7">
      <c r="A63" s="42" t="s">
        <v>43</v>
      </c>
      <c r="B63" s="41"/>
      <c r="C63" s="18" t="s">
        <v>63</v>
      </c>
      <c r="D63" s="41"/>
      <c r="E63" s="41"/>
      <c r="F63" s="41"/>
      <c r="G63" s="41"/>
    </row>
    <row r="64" spans="1:7">
      <c r="A64" s="41"/>
      <c r="B64" s="41"/>
      <c r="C64" s="41"/>
      <c r="D64" s="41"/>
      <c r="E64" s="41"/>
      <c r="F64" s="41"/>
      <c r="G64" s="41"/>
    </row>
    <row r="65" spans="1:13" ht="27">
      <c r="A65" s="94" t="s">
        <v>44</v>
      </c>
      <c r="B65" s="95" t="s">
        <v>45</v>
      </c>
      <c r="C65" s="96" t="s">
        <v>46</v>
      </c>
      <c r="D65" s="94" t="s">
        <v>47</v>
      </c>
      <c r="E65" s="94" t="s">
        <v>48</v>
      </c>
      <c r="F65" s="94" t="s">
        <v>49</v>
      </c>
      <c r="G65" s="94" t="s">
        <v>50</v>
      </c>
      <c r="J65" s="23" t="s">
        <v>71</v>
      </c>
    </row>
    <row r="66" spans="1:13">
      <c r="A66" s="44" t="s">
        <v>59</v>
      </c>
      <c r="B66" s="43" t="s">
        <v>60</v>
      </c>
      <c r="C66" s="45" t="s">
        <v>53</v>
      </c>
      <c r="D66" s="46" t="s">
        <v>163</v>
      </c>
      <c r="E66" s="47">
        <v>-4752649.8499999996</v>
      </c>
      <c r="F66" s="48">
        <v>170863.05000000002</v>
      </c>
      <c r="G66" s="47">
        <v>-4581786.8</v>
      </c>
      <c r="J66" s="22">
        <f>(G8+G17+G42+G51)*-0.35</f>
        <v>-4581786.8705000002</v>
      </c>
      <c r="K66" s="24">
        <f>G66-J66</f>
        <v>7.050000037997961E-2</v>
      </c>
    </row>
    <row r="67" spans="1:13" s="37" customFormat="1">
      <c r="A67" s="49"/>
      <c r="B67" s="43" t="s">
        <v>60</v>
      </c>
      <c r="C67" s="50"/>
      <c r="D67" s="46" t="s">
        <v>164</v>
      </c>
      <c r="E67" s="47">
        <v>-4581786.8</v>
      </c>
      <c r="F67" s="48">
        <v>203879.29</v>
      </c>
      <c r="G67" s="47">
        <v>-4377907.51</v>
      </c>
      <c r="I67"/>
      <c r="J67" s="33">
        <f>(G9+G18+G43+G52+G129)*-0.35</f>
        <v>-4377907.5795</v>
      </c>
      <c r="K67" s="24">
        <f>G67-J67</f>
        <v>6.9500000216066837E-2</v>
      </c>
    </row>
    <row r="68" spans="1:13" s="37" customFormat="1">
      <c r="A68" s="49"/>
      <c r="B68" s="43" t="s">
        <v>60</v>
      </c>
      <c r="C68" s="51"/>
      <c r="D68" s="46" t="s">
        <v>165</v>
      </c>
      <c r="E68" s="47">
        <v>-4377907.51</v>
      </c>
      <c r="F68" s="48">
        <v>-186282.12</v>
      </c>
      <c r="G68" s="47">
        <v>-4564189.63</v>
      </c>
      <c r="I68"/>
      <c r="J68" s="33">
        <f>(G10+G19+G44+G53+G131)*-0.35</f>
        <v>-4564189.693</v>
      </c>
      <c r="K68" s="24">
        <f>G68-J68</f>
        <v>6.3000000081956387E-2</v>
      </c>
    </row>
    <row r="69" spans="1:13">
      <c r="A69" s="49"/>
      <c r="B69" s="86"/>
      <c r="C69" s="87" t="s">
        <v>68</v>
      </c>
      <c r="D69" s="86"/>
      <c r="E69" s="88"/>
      <c r="F69" s="89" t="s">
        <v>179</v>
      </c>
      <c r="G69" s="88"/>
    </row>
    <row r="70" spans="1:13">
      <c r="A70" s="49"/>
      <c r="B70" s="43" t="s">
        <v>60</v>
      </c>
      <c r="C70" s="45" t="s">
        <v>54</v>
      </c>
      <c r="D70" s="46" t="s">
        <v>163</v>
      </c>
      <c r="E70" s="47">
        <v>-4579265.99</v>
      </c>
      <c r="F70" s="48">
        <v>-111336.84</v>
      </c>
      <c r="G70" s="47">
        <v>-4690602.83</v>
      </c>
      <c r="J70" s="22">
        <f>(G12+G21+G32+G133+G46+G55)*-0.35</f>
        <v>-4690523.5614999998</v>
      </c>
      <c r="K70" s="24">
        <f>G70-J70</f>
        <v>-79.268500000238419</v>
      </c>
      <c r="L70" s="24"/>
      <c r="M70" s="24"/>
    </row>
    <row r="71" spans="1:13">
      <c r="A71" s="49"/>
      <c r="B71" s="43" t="s">
        <v>60</v>
      </c>
      <c r="C71" s="50"/>
      <c r="D71" s="46" t="s">
        <v>164</v>
      </c>
      <c r="E71" s="47">
        <v>-4690602.83</v>
      </c>
      <c r="F71" s="48">
        <v>-29173.279999999999</v>
      </c>
      <c r="G71" s="47">
        <v>-4719776.1100000003</v>
      </c>
      <c r="J71" s="33">
        <f>(G13+G22+G33+G134+G47+G56)*-0.35</f>
        <v>-4719696.8419999992</v>
      </c>
      <c r="K71" s="24">
        <f>G71-J71</f>
        <v>-79.268000001087785</v>
      </c>
      <c r="L71" s="24"/>
      <c r="M71" s="24"/>
    </row>
    <row r="72" spans="1:13">
      <c r="A72" s="49"/>
      <c r="B72" s="43" t="s">
        <v>60</v>
      </c>
      <c r="C72" s="51"/>
      <c r="D72" s="46" t="s">
        <v>165</v>
      </c>
      <c r="E72" s="47">
        <v>-4719776.1100000003</v>
      </c>
      <c r="F72" s="48">
        <v>-37155.03</v>
      </c>
      <c r="G72" s="47">
        <v>-4756931.1399999997</v>
      </c>
      <c r="J72" s="33">
        <f>(G14+G23+G34+G135+G48+G57)*-0.35</f>
        <v>-4756851.8724999996</v>
      </c>
      <c r="K72" s="24">
        <f>G72-J72</f>
        <v>-79.267500000074506</v>
      </c>
      <c r="L72" s="24"/>
      <c r="M72" s="24"/>
    </row>
    <row r="73" spans="1:13">
      <c r="A73" s="52"/>
      <c r="B73" s="86"/>
      <c r="C73" s="87" t="s">
        <v>69</v>
      </c>
      <c r="D73" s="86"/>
      <c r="E73" s="88"/>
      <c r="F73" s="89" t="s">
        <v>180</v>
      </c>
      <c r="G73" s="88"/>
    </row>
    <row r="74" spans="1:13">
      <c r="A74" s="90"/>
      <c r="B74" s="91" t="s">
        <v>65</v>
      </c>
      <c r="C74" s="90"/>
      <c r="D74" s="90"/>
      <c r="E74" s="92"/>
      <c r="F74" s="93" t="s">
        <v>181</v>
      </c>
      <c r="G74" s="92"/>
    </row>
    <row r="75" spans="1:13" ht="15.6">
      <c r="A75" s="177" t="s">
        <v>66</v>
      </c>
      <c r="B75" s="177"/>
      <c r="C75" s="177"/>
      <c r="D75" s="177"/>
      <c r="E75" s="177"/>
      <c r="F75" s="177"/>
      <c r="G75" s="177"/>
      <c r="H75" s="177"/>
    </row>
    <row r="76" spans="1:13" s="37" customFormat="1" ht="15.6">
      <c r="A76" s="26"/>
      <c r="B76" s="26"/>
      <c r="C76" s="26"/>
      <c r="D76" s="26"/>
      <c r="E76" s="26"/>
      <c r="F76" s="26"/>
      <c r="G76" s="26"/>
      <c r="H76" s="26"/>
    </row>
    <row r="77" spans="1:13">
      <c r="A77" s="77" t="s">
        <v>156</v>
      </c>
      <c r="B77" s="41"/>
      <c r="C77" s="41"/>
      <c r="D77" s="41"/>
      <c r="E77" s="41"/>
      <c r="F77" s="41"/>
      <c r="G77" s="41"/>
    </row>
    <row r="78" spans="1:13">
      <c r="A78" s="41"/>
      <c r="B78" s="41"/>
      <c r="C78" s="41"/>
      <c r="D78" s="41"/>
      <c r="E78" s="41"/>
      <c r="F78" s="41"/>
      <c r="G78" s="41"/>
    </row>
    <row r="79" spans="1:13">
      <c r="A79" s="42" t="s">
        <v>43</v>
      </c>
      <c r="B79" s="41"/>
      <c r="C79" s="18" t="s">
        <v>61</v>
      </c>
      <c r="D79" s="41"/>
      <c r="E79" s="41"/>
      <c r="F79" s="41"/>
      <c r="G79" s="41"/>
    </row>
    <row r="80" spans="1:13">
      <c r="A80" s="41"/>
      <c r="B80" s="41"/>
      <c r="C80" s="41"/>
      <c r="D80" s="41"/>
      <c r="E80" s="41"/>
      <c r="F80" s="41"/>
      <c r="G80" s="41"/>
    </row>
    <row r="81" spans="1:10" ht="27">
      <c r="A81" s="94" t="s">
        <v>44</v>
      </c>
      <c r="B81" s="95" t="s">
        <v>45</v>
      </c>
      <c r="C81" s="96" t="s">
        <v>46</v>
      </c>
      <c r="D81" s="94" t="s">
        <v>47</v>
      </c>
      <c r="E81" s="94" t="s">
        <v>48</v>
      </c>
      <c r="F81" s="94" t="s">
        <v>49</v>
      </c>
      <c r="G81" s="94" t="s">
        <v>50</v>
      </c>
    </row>
    <row r="82" spans="1:10">
      <c r="A82" s="44" t="s">
        <v>74</v>
      </c>
      <c r="B82" s="43" t="s">
        <v>75</v>
      </c>
      <c r="C82" s="45" t="s">
        <v>53</v>
      </c>
      <c r="D82" s="46" t="s">
        <v>163</v>
      </c>
      <c r="E82" s="47">
        <v>-7485343.2699999996</v>
      </c>
      <c r="F82" s="48">
        <v>979262.15</v>
      </c>
      <c r="G82" s="47">
        <v>-6506081.1200000001</v>
      </c>
    </row>
    <row r="83" spans="1:10">
      <c r="A83" s="49"/>
      <c r="B83" s="43" t="s">
        <v>75</v>
      </c>
      <c r="C83" s="50"/>
      <c r="D83" s="46" t="s">
        <v>164</v>
      </c>
      <c r="E83" s="47">
        <v>-6506081.1200000001</v>
      </c>
      <c r="F83" s="48">
        <v>-386907.39</v>
      </c>
      <c r="G83" s="47">
        <v>-6892988.5099999998</v>
      </c>
    </row>
    <row r="84" spans="1:10" s="77" customFormat="1">
      <c r="A84" s="49"/>
      <c r="B84" s="43" t="s">
        <v>75</v>
      </c>
      <c r="C84" s="51"/>
      <c r="D84" s="46" t="s">
        <v>165</v>
      </c>
      <c r="E84" s="47">
        <v>-6892988.5099999998</v>
      </c>
      <c r="F84" s="48">
        <v>-101801.92</v>
      </c>
      <c r="G84" s="47">
        <v>-6994790.4299999997</v>
      </c>
      <c r="I84"/>
      <c r="J84"/>
    </row>
    <row r="85" spans="1:10">
      <c r="A85" s="52"/>
      <c r="B85" s="90"/>
      <c r="C85" s="97" t="s">
        <v>80</v>
      </c>
      <c r="D85" s="90"/>
      <c r="E85" s="92"/>
      <c r="F85" s="93" t="s">
        <v>182</v>
      </c>
      <c r="G85" s="92"/>
    </row>
    <row r="86" spans="1:10">
      <c r="A86" s="44" t="s">
        <v>76</v>
      </c>
      <c r="B86" s="43" t="s">
        <v>77</v>
      </c>
      <c r="C86" s="45" t="s">
        <v>53</v>
      </c>
      <c r="D86" s="46" t="s">
        <v>163</v>
      </c>
      <c r="E86" s="47">
        <v>-1178359.8500000001</v>
      </c>
      <c r="F86" s="48">
        <v>-422728.23</v>
      </c>
      <c r="G86" s="47">
        <v>-1601088.08</v>
      </c>
    </row>
    <row r="87" spans="1:10">
      <c r="A87" s="49"/>
      <c r="B87" s="43" t="s">
        <v>77</v>
      </c>
      <c r="C87" s="50"/>
      <c r="D87" s="46" t="s">
        <v>164</v>
      </c>
      <c r="E87" s="47">
        <v>-1601088.08</v>
      </c>
      <c r="F87" s="48">
        <v>88610.430000000008</v>
      </c>
      <c r="G87" s="47">
        <v>-1512477.65</v>
      </c>
    </row>
    <row r="88" spans="1:10" s="77" customFormat="1">
      <c r="A88" s="49"/>
      <c r="B88" s="43" t="s">
        <v>77</v>
      </c>
      <c r="C88" s="51"/>
      <c r="D88" s="46" t="s">
        <v>165</v>
      </c>
      <c r="E88" s="47">
        <v>-1512477.65</v>
      </c>
      <c r="F88" s="48">
        <v>-393228.21</v>
      </c>
      <c r="G88" s="47">
        <v>-1905705.8599999999</v>
      </c>
      <c r="I88"/>
      <c r="J88"/>
    </row>
    <row r="89" spans="1:10">
      <c r="A89" s="52"/>
      <c r="B89" s="90"/>
      <c r="C89" s="97" t="s">
        <v>81</v>
      </c>
      <c r="D89" s="90"/>
      <c r="E89" s="92"/>
      <c r="F89" s="93" t="s">
        <v>183</v>
      </c>
      <c r="G89" s="92"/>
    </row>
    <row r="90" spans="1:10">
      <c r="A90" s="44" t="s">
        <v>78</v>
      </c>
      <c r="B90" s="43" t="s">
        <v>75</v>
      </c>
      <c r="C90" s="45" t="s">
        <v>54</v>
      </c>
      <c r="D90" s="46" t="s">
        <v>163</v>
      </c>
      <c r="E90" s="47">
        <v>-5117078.83</v>
      </c>
      <c r="F90" s="48">
        <v>-10725.09</v>
      </c>
      <c r="G90" s="47">
        <v>-5127803.92</v>
      </c>
    </row>
    <row r="91" spans="1:10">
      <c r="A91" s="49"/>
      <c r="B91" s="43" t="s">
        <v>75</v>
      </c>
      <c r="C91" s="50"/>
      <c r="D91" s="46" t="s">
        <v>164</v>
      </c>
      <c r="E91" s="47">
        <v>-5127803.92</v>
      </c>
      <c r="F91" s="48">
        <v>108531.15000000001</v>
      </c>
      <c r="G91" s="47">
        <v>-5019272.7699999996</v>
      </c>
    </row>
    <row r="92" spans="1:10" s="77" customFormat="1">
      <c r="A92" s="49"/>
      <c r="B92" s="43" t="s">
        <v>75</v>
      </c>
      <c r="C92" s="51"/>
      <c r="D92" s="46" t="s">
        <v>165</v>
      </c>
      <c r="E92" s="47">
        <v>-5019272.7699999996</v>
      </c>
      <c r="F92" s="48">
        <v>364.40000000000003</v>
      </c>
      <c r="G92" s="47">
        <v>-5018908.37</v>
      </c>
      <c r="I92"/>
      <c r="J92"/>
    </row>
    <row r="93" spans="1:10">
      <c r="A93" s="52"/>
      <c r="B93" s="90"/>
      <c r="C93" s="97" t="s">
        <v>82</v>
      </c>
      <c r="D93" s="90"/>
      <c r="E93" s="92"/>
      <c r="F93" s="93" t="s">
        <v>184</v>
      </c>
      <c r="G93" s="92"/>
    </row>
    <row r="94" spans="1:10">
      <c r="A94" s="44" t="s">
        <v>79</v>
      </c>
      <c r="B94" s="43" t="s">
        <v>77</v>
      </c>
      <c r="C94" s="45" t="s">
        <v>54</v>
      </c>
      <c r="D94" s="46" t="s">
        <v>163</v>
      </c>
      <c r="E94" s="47">
        <v>-1288495.44</v>
      </c>
      <c r="F94" s="48">
        <v>-65564.92</v>
      </c>
      <c r="G94" s="47">
        <v>-1354060.3599999999</v>
      </c>
    </row>
    <row r="95" spans="1:10">
      <c r="A95" s="49"/>
      <c r="B95" s="43" t="s">
        <v>77</v>
      </c>
      <c r="C95" s="50"/>
      <c r="D95" s="46" t="s">
        <v>164</v>
      </c>
      <c r="E95" s="47">
        <v>-1354060.3599999999</v>
      </c>
      <c r="F95" s="48">
        <v>-33824.520000000004</v>
      </c>
      <c r="G95" s="47">
        <v>-1387884.88</v>
      </c>
    </row>
    <row r="96" spans="1:10" s="77" customFormat="1">
      <c r="A96" s="49"/>
      <c r="B96" s="43" t="s">
        <v>77</v>
      </c>
      <c r="C96" s="51"/>
      <c r="D96" s="46" t="s">
        <v>165</v>
      </c>
      <c r="E96" s="47">
        <v>-1387884.88</v>
      </c>
      <c r="F96" s="48">
        <v>-32710.43</v>
      </c>
      <c r="G96" s="47">
        <v>-1420595.31</v>
      </c>
      <c r="I96"/>
      <c r="J96"/>
    </row>
    <row r="97" spans="1:9">
      <c r="A97" s="52"/>
      <c r="B97" s="90"/>
      <c r="C97" s="97" t="s">
        <v>83</v>
      </c>
      <c r="D97" s="90"/>
      <c r="E97" s="92"/>
      <c r="F97" s="93" t="s">
        <v>185</v>
      </c>
      <c r="G97" s="92"/>
    </row>
    <row r="99" spans="1:9">
      <c r="A99" s="77" t="s">
        <v>156</v>
      </c>
      <c r="B99" s="41"/>
      <c r="C99" s="41"/>
      <c r="D99" s="41"/>
      <c r="E99" s="41"/>
      <c r="F99" s="41"/>
      <c r="G99" s="41"/>
    </row>
    <row r="100" spans="1:9">
      <c r="A100" s="41"/>
      <c r="B100" s="41"/>
      <c r="C100" s="41"/>
      <c r="D100" s="41"/>
      <c r="E100" s="41"/>
      <c r="F100" s="41"/>
      <c r="G100" s="41"/>
    </row>
    <row r="101" spans="1:9">
      <c r="A101" s="42" t="s">
        <v>43</v>
      </c>
      <c r="B101" s="41"/>
      <c r="C101" s="53" t="s">
        <v>88</v>
      </c>
      <c r="D101" s="41"/>
      <c r="E101" s="41"/>
      <c r="F101" s="41"/>
      <c r="G101" s="41"/>
      <c r="I101" s="53"/>
    </row>
    <row r="102" spans="1:9">
      <c r="A102" s="41"/>
      <c r="B102" s="41"/>
      <c r="C102" s="41"/>
      <c r="D102" s="41"/>
      <c r="E102" s="41"/>
      <c r="F102" s="41"/>
      <c r="G102" s="41"/>
    </row>
    <row r="103" spans="1:9" ht="27">
      <c r="A103" s="94" t="s">
        <v>44</v>
      </c>
      <c r="B103" s="95" t="s">
        <v>45</v>
      </c>
      <c r="C103" s="96" t="s">
        <v>46</v>
      </c>
      <c r="D103" s="94" t="s">
        <v>47</v>
      </c>
      <c r="E103" s="94" t="s">
        <v>48</v>
      </c>
      <c r="F103" s="94" t="s">
        <v>49</v>
      </c>
      <c r="G103" s="94" t="s">
        <v>50</v>
      </c>
    </row>
    <row r="104" spans="1:9">
      <c r="A104" s="44" t="s">
        <v>84</v>
      </c>
      <c r="B104" s="43" t="s">
        <v>85</v>
      </c>
      <c r="C104" s="45" t="s">
        <v>53</v>
      </c>
      <c r="D104" s="46" t="s">
        <v>163</v>
      </c>
      <c r="E104" s="47">
        <v>-191434.27</v>
      </c>
      <c r="F104" s="48">
        <v>-45919.340000000004</v>
      </c>
      <c r="G104" s="47">
        <v>-237353.61000000002</v>
      </c>
    </row>
    <row r="105" spans="1:9">
      <c r="A105" s="49"/>
      <c r="B105" s="43" t="s">
        <v>85</v>
      </c>
      <c r="C105" s="50"/>
      <c r="D105" s="46" t="s">
        <v>164</v>
      </c>
      <c r="E105" s="47">
        <v>-237353.61000000002</v>
      </c>
      <c r="F105" s="48">
        <v>-35500.39</v>
      </c>
      <c r="G105" s="47">
        <v>-272854</v>
      </c>
    </row>
    <row r="106" spans="1:9">
      <c r="A106" s="49"/>
      <c r="B106" s="43" t="s">
        <v>85</v>
      </c>
      <c r="C106" s="51"/>
      <c r="D106" s="46" t="s">
        <v>165</v>
      </c>
      <c r="E106" s="47">
        <v>-272854</v>
      </c>
      <c r="F106" s="48">
        <v>-45637.25</v>
      </c>
      <c r="G106" s="47">
        <v>-318491.25</v>
      </c>
    </row>
    <row r="107" spans="1:9">
      <c r="A107" s="49"/>
      <c r="B107" s="86"/>
      <c r="C107" s="87" t="s">
        <v>68</v>
      </c>
      <c r="D107" s="86"/>
      <c r="E107" s="88"/>
      <c r="F107" s="89" t="s">
        <v>186</v>
      </c>
      <c r="G107" s="88"/>
    </row>
    <row r="108" spans="1:9">
      <c r="A108" s="49"/>
      <c r="B108" s="43" t="s">
        <v>85</v>
      </c>
      <c r="C108" s="45" t="s">
        <v>54</v>
      </c>
      <c r="D108" s="46" t="s">
        <v>163</v>
      </c>
      <c r="E108" s="47">
        <v>-173921.24</v>
      </c>
      <c r="F108" s="48">
        <v>-39873.270000000004</v>
      </c>
      <c r="G108" s="47">
        <v>-213794.51</v>
      </c>
    </row>
    <row r="109" spans="1:9">
      <c r="A109" s="49"/>
      <c r="B109" s="43" t="s">
        <v>85</v>
      </c>
      <c r="C109" s="50"/>
      <c r="D109" s="46" t="s">
        <v>164</v>
      </c>
      <c r="E109" s="47">
        <v>-213794.51</v>
      </c>
      <c r="F109" s="48">
        <v>-39991.86</v>
      </c>
      <c r="G109" s="47">
        <v>-253786.37</v>
      </c>
    </row>
    <row r="110" spans="1:9">
      <c r="A110" s="49"/>
      <c r="B110" s="43" t="s">
        <v>85</v>
      </c>
      <c r="C110" s="51"/>
      <c r="D110" s="46" t="s">
        <v>165</v>
      </c>
      <c r="E110" s="47">
        <v>-253786.37</v>
      </c>
      <c r="F110" s="48">
        <v>-40048.200000000004</v>
      </c>
      <c r="G110" s="47">
        <v>-293834.57</v>
      </c>
    </row>
    <row r="111" spans="1:9">
      <c r="A111" s="52"/>
      <c r="B111" s="86"/>
      <c r="C111" s="87" t="s">
        <v>69</v>
      </c>
      <c r="D111" s="86"/>
      <c r="E111" s="88"/>
      <c r="F111" s="89" t="s">
        <v>187</v>
      </c>
      <c r="G111" s="88"/>
    </row>
    <row r="112" spans="1:9">
      <c r="A112" s="90"/>
      <c r="B112" s="97" t="s">
        <v>108</v>
      </c>
      <c r="C112" s="90"/>
      <c r="D112" s="90"/>
      <c r="E112" s="92"/>
      <c r="F112" s="93" t="s">
        <v>188</v>
      </c>
      <c r="G112" s="92"/>
    </row>
    <row r="113" spans="1:8">
      <c r="A113" s="44" t="s">
        <v>86</v>
      </c>
      <c r="B113" s="43" t="s">
        <v>87</v>
      </c>
      <c r="C113" s="45" t="s">
        <v>53</v>
      </c>
      <c r="D113" s="46" t="s">
        <v>163</v>
      </c>
      <c r="E113" s="47">
        <v>40939.93</v>
      </c>
      <c r="F113" s="48">
        <v>7039.57</v>
      </c>
      <c r="G113" s="47">
        <v>47979.5</v>
      </c>
    </row>
    <row r="114" spans="1:8">
      <c r="A114" s="49"/>
      <c r="B114" s="43" t="s">
        <v>87</v>
      </c>
      <c r="C114" s="50"/>
      <c r="D114" s="46" t="s">
        <v>164</v>
      </c>
      <c r="E114" s="47">
        <v>47979.5</v>
      </c>
      <c r="F114" s="48">
        <v>17408.61</v>
      </c>
      <c r="G114" s="47">
        <v>65388.11</v>
      </c>
    </row>
    <row r="115" spans="1:8">
      <c r="A115" s="49"/>
      <c r="B115" s="43" t="s">
        <v>87</v>
      </c>
      <c r="C115" s="51"/>
      <c r="D115" s="46" t="s">
        <v>165</v>
      </c>
      <c r="E115" s="47">
        <v>65388.11</v>
      </c>
      <c r="F115" s="48">
        <v>8432.77</v>
      </c>
      <c r="G115" s="47">
        <v>73820.88</v>
      </c>
    </row>
    <row r="116" spans="1:8">
      <c r="A116" s="49"/>
      <c r="B116" s="86"/>
      <c r="C116" s="87" t="s">
        <v>68</v>
      </c>
      <c r="D116" s="86"/>
      <c r="E116" s="88"/>
      <c r="F116" s="89" t="s">
        <v>189</v>
      </c>
      <c r="G116" s="88"/>
    </row>
    <row r="117" spans="1:8">
      <c r="A117" s="49"/>
      <c r="B117" s="43" t="s">
        <v>87</v>
      </c>
      <c r="C117" s="45" t="s">
        <v>54</v>
      </c>
      <c r="D117" s="46" t="s">
        <v>163</v>
      </c>
      <c r="E117" s="47">
        <v>241.31</v>
      </c>
      <c r="F117" s="48">
        <v>0</v>
      </c>
      <c r="G117" s="47">
        <v>241.31</v>
      </c>
    </row>
    <row r="118" spans="1:8">
      <c r="A118" s="49"/>
      <c r="B118" s="43" t="s">
        <v>87</v>
      </c>
      <c r="C118" s="50"/>
      <c r="D118" s="46" t="s">
        <v>164</v>
      </c>
      <c r="E118" s="47">
        <v>241.31</v>
      </c>
      <c r="F118" s="48">
        <v>0</v>
      </c>
      <c r="G118" s="47">
        <v>241.31</v>
      </c>
    </row>
    <row r="119" spans="1:8">
      <c r="A119" s="49"/>
      <c r="B119" s="43" t="s">
        <v>87</v>
      </c>
      <c r="C119" s="51"/>
      <c r="D119" s="46" t="s">
        <v>165</v>
      </c>
      <c r="E119" s="47">
        <v>241.31</v>
      </c>
      <c r="F119" s="48">
        <v>0</v>
      </c>
      <c r="G119" s="47">
        <v>241.31</v>
      </c>
    </row>
    <row r="120" spans="1:8">
      <c r="A120" s="52"/>
      <c r="B120" s="86"/>
      <c r="C120" s="87" t="s">
        <v>69</v>
      </c>
      <c r="D120" s="86"/>
      <c r="E120" s="88"/>
      <c r="F120" s="89" t="s">
        <v>70</v>
      </c>
      <c r="G120" s="88"/>
    </row>
    <row r="121" spans="1:8">
      <c r="A121" s="90"/>
      <c r="B121" s="97" t="s">
        <v>109</v>
      </c>
      <c r="C121" s="90"/>
      <c r="D121" s="90"/>
      <c r="E121" s="92"/>
      <c r="F121" s="93" t="s">
        <v>189</v>
      </c>
      <c r="G121" s="92"/>
    </row>
    <row r="122" spans="1:8">
      <c r="A122" s="98"/>
      <c r="B122" s="98" t="s">
        <v>110</v>
      </c>
      <c r="C122" s="98"/>
      <c r="D122" s="98"/>
      <c r="E122" s="99"/>
      <c r="F122" s="100" t="s">
        <v>190</v>
      </c>
      <c r="G122" s="99"/>
    </row>
    <row r="123" spans="1:8" ht="15.6">
      <c r="A123" s="177" t="s">
        <v>102</v>
      </c>
      <c r="B123" s="177"/>
      <c r="C123" s="177"/>
      <c r="D123" s="177"/>
      <c r="E123" s="177"/>
      <c r="F123" s="177"/>
      <c r="G123" s="177"/>
      <c r="H123" s="177"/>
    </row>
    <row r="124" spans="1:8">
      <c r="A124" s="77" t="s">
        <v>156</v>
      </c>
      <c r="B124" s="41"/>
      <c r="C124" s="41"/>
      <c r="D124" s="41"/>
      <c r="E124" s="41"/>
      <c r="F124" s="41"/>
      <c r="G124" s="41"/>
    </row>
    <row r="125" spans="1:8">
      <c r="A125" s="41"/>
      <c r="B125" s="41"/>
      <c r="C125" s="41"/>
      <c r="D125" s="41"/>
      <c r="E125" s="41"/>
      <c r="F125" s="41"/>
      <c r="G125" s="41"/>
    </row>
    <row r="126" spans="1:8">
      <c r="A126" s="42" t="s">
        <v>43</v>
      </c>
      <c r="B126" s="41"/>
      <c r="C126" s="41"/>
      <c r="D126" s="41"/>
      <c r="E126" s="41"/>
      <c r="F126" s="41"/>
      <c r="G126" s="41"/>
    </row>
    <row r="127" spans="1:8">
      <c r="A127" s="41"/>
      <c r="B127" s="41"/>
      <c r="C127" s="41"/>
      <c r="D127" s="41"/>
      <c r="E127" s="41"/>
      <c r="F127" s="41"/>
      <c r="G127" s="41"/>
    </row>
    <row r="128" spans="1:8" ht="27">
      <c r="A128" s="94" t="s">
        <v>44</v>
      </c>
      <c r="B128" s="95" t="s">
        <v>45</v>
      </c>
      <c r="C128" s="96" t="s">
        <v>46</v>
      </c>
      <c r="D128" s="94" t="s">
        <v>47</v>
      </c>
      <c r="E128" s="94" t="s">
        <v>48</v>
      </c>
      <c r="F128" s="94" t="s">
        <v>49</v>
      </c>
      <c r="G128" s="94" t="s">
        <v>50</v>
      </c>
    </row>
    <row r="129" spans="1:7" s="77" customFormat="1">
      <c r="A129" s="44" t="s">
        <v>103</v>
      </c>
      <c r="B129" s="43" t="s">
        <v>104</v>
      </c>
      <c r="C129" s="45" t="s">
        <v>53</v>
      </c>
      <c r="D129" s="46" t="s">
        <v>163</v>
      </c>
      <c r="E129" s="47">
        <v>-29474</v>
      </c>
      <c r="F129" s="48">
        <v>29474</v>
      </c>
      <c r="G129" s="47">
        <v>0</v>
      </c>
    </row>
    <row r="130" spans="1:7" s="77" customFormat="1">
      <c r="A130" s="172"/>
      <c r="B130" s="43"/>
      <c r="C130" s="50"/>
      <c r="D130" s="46" t="s">
        <v>164</v>
      </c>
      <c r="E130" s="47">
        <v>0</v>
      </c>
      <c r="F130" s="48">
        <v>0</v>
      </c>
      <c r="G130" s="47">
        <v>0</v>
      </c>
    </row>
    <row r="131" spans="1:7" s="77" customFormat="1">
      <c r="A131"/>
      <c r="B131" s="167" t="s">
        <v>104</v>
      </c>
      <c r="C131" s="51"/>
      <c r="D131" s="46" t="s">
        <v>165</v>
      </c>
      <c r="E131" s="47">
        <v>0</v>
      </c>
      <c r="F131" s="48">
        <v>0</v>
      </c>
      <c r="G131" s="47">
        <v>0</v>
      </c>
    </row>
    <row r="132" spans="1:7" s="77" customFormat="1">
      <c r="A132"/>
      <c r="B132" s="168"/>
      <c r="C132" s="87" t="s">
        <v>68</v>
      </c>
      <c r="D132" s="86"/>
      <c r="E132" s="88"/>
      <c r="F132" s="89" t="s">
        <v>159</v>
      </c>
      <c r="G132" s="88"/>
    </row>
    <row r="133" spans="1:7">
      <c r="B133" s="167" t="s">
        <v>104</v>
      </c>
      <c r="C133" s="45" t="s">
        <v>54</v>
      </c>
      <c r="D133" s="46" t="s">
        <v>163</v>
      </c>
      <c r="E133" s="47">
        <v>-549798</v>
      </c>
      <c r="F133" s="48">
        <v>201942</v>
      </c>
      <c r="G133" s="47">
        <v>-347856</v>
      </c>
    </row>
    <row r="134" spans="1:7">
      <c r="B134" s="167" t="s">
        <v>104</v>
      </c>
      <c r="C134" s="50"/>
      <c r="D134" s="46" t="s">
        <v>164</v>
      </c>
      <c r="E134" s="47">
        <v>-347856</v>
      </c>
      <c r="F134" s="48">
        <v>118067</v>
      </c>
      <c r="G134" s="47">
        <v>-229789</v>
      </c>
    </row>
    <row r="135" spans="1:7">
      <c r="A135" s="165"/>
      <c r="B135" s="167" t="s">
        <v>104</v>
      </c>
      <c r="C135" s="51"/>
      <c r="D135" s="46" t="s">
        <v>165</v>
      </c>
      <c r="E135" s="47">
        <v>-229789</v>
      </c>
      <c r="F135" s="48">
        <v>33763</v>
      </c>
      <c r="G135" s="47">
        <v>-196026</v>
      </c>
    </row>
    <row r="136" spans="1:7">
      <c r="A136" s="166"/>
      <c r="B136" s="168"/>
      <c r="C136" s="87" t="s">
        <v>69</v>
      </c>
      <c r="D136" s="86"/>
      <c r="E136" s="88"/>
      <c r="F136" s="89" t="s">
        <v>191</v>
      </c>
      <c r="G136" s="88"/>
    </row>
    <row r="137" spans="1:7">
      <c r="A137" s="90"/>
      <c r="B137" s="91" t="s">
        <v>107</v>
      </c>
      <c r="C137" s="90"/>
      <c r="D137" s="90"/>
      <c r="E137" s="92"/>
      <c r="F137" s="93" t="s">
        <v>192</v>
      </c>
      <c r="G137" s="92"/>
    </row>
    <row r="138" spans="1:7" s="77" customFormat="1">
      <c r="A138" s="44" t="s">
        <v>158</v>
      </c>
      <c r="B138" s="43" t="s">
        <v>106</v>
      </c>
      <c r="C138" s="45" t="s">
        <v>53</v>
      </c>
      <c r="D138" s="46" t="s">
        <v>165</v>
      </c>
      <c r="E138" s="47">
        <v>0</v>
      </c>
      <c r="F138" s="48">
        <v>-11274</v>
      </c>
      <c r="G138" s="47">
        <v>-11274</v>
      </c>
    </row>
    <row r="139" spans="1:7" s="77" customFormat="1">
      <c r="B139" s="168"/>
      <c r="C139" s="87" t="s">
        <v>68</v>
      </c>
      <c r="D139" s="86"/>
      <c r="E139" s="88"/>
      <c r="F139" s="89" t="s">
        <v>193</v>
      </c>
      <c r="G139" s="88"/>
    </row>
    <row r="140" spans="1:7">
      <c r="A140" s="44" t="s">
        <v>105</v>
      </c>
      <c r="B140" s="43" t="s">
        <v>106</v>
      </c>
      <c r="C140" s="45" t="s">
        <v>54</v>
      </c>
      <c r="D140" s="46" t="s">
        <v>163</v>
      </c>
      <c r="E140" s="47">
        <v>-360265.42</v>
      </c>
      <c r="F140" s="48">
        <v>-201942</v>
      </c>
      <c r="G140" s="47">
        <v>-562207.42000000004</v>
      </c>
    </row>
    <row r="141" spans="1:7">
      <c r="A141" s="49"/>
      <c r="B141" s="43" t="s">
        <v>106</v>
      </c>
      <c r="C141" s="50"/>
      <c r="D141" s="46" t="s">
        <v>164</v>
      </c>
      <c r="E141" s="47">
        <v>-562207.42000000004</v>
      </c>
      <c r="F141" s="48">
        <v>-118067</v>
      </c>
      <c r="G141" s="47">
        <v>-680274.42</v>
      </c>
    </row>
    <row r="142" spans="1:7">
      <c r="A142" s="49"/>
      <c r="B142" s="43" t="s">
        <v>106</v>
      </c>
      <c r="C142" s="51"/>
      <c r="D142" s="46" t="s">
        <v>165</v>
      </c>
      <c r="E142" s="47">
        <v>-680274.42</v>
      </c>
      <c r="F142" s="48">
        <v>-22489</v>
      </c>
      <c r="G142" s="47">
        <v>-702763.42</v>
      </c>
    </row>
    <row r="143" spans="1:7">
      <c r="A143" s="52"/>
      <c r="B143" s="86"/>
      <c r="C143" s="87" t="s">
        <v>69</v>
      </c>
      <c r="D143" s="86"/>
      <c r="E143" s="88"/>
      <c r="F143" s="89" t="s">
        <v>194</v>
      </c>
      <c r="G143" s="88"/>
    </row>
    <row r="144" spans="1:7">
      <c r="A144" s="90"/>
      <c r="B144" s="91" t="s">
        <v>157</v>
      </c>
      <c r="C144" s="90"/>
      <c r="D144" s="90"/>
      <c r="E144" s="92"/>
      <c r="F144" s="173">
        <v>-353772</v>
      </c>
      <c r="G144" s="92"/>
    </row>
  </sheetData>
  <mergeCells count="3">
    <mergeCell ref="A75:H75"/>
    <mergeCell ref="A1:H1"/>
    <mergeCell ref="A123:H123"/>
  </mergeCells>
  <printOptions horizontalCentered="1"/>
  <pageMargins left="0.7" right="0.7" top="1.1399999999999999" bottom="0.75" header="0.5" footer="0.5"/>
  <pageSetup scale="85" firstPageNumber="3" orientation="portrait" useFirstPageNumber="1" r:id="rId1"/>
  <headerFooter>
    <oddHeader>&amp;CAvista Corporation Decoupling Mechanism
Washington Jurisdiction
Quarterly Report for 3rd Quarter 2016</oddHeader>
    <oddFooter>&amp;Cfile: &amp;F / &amp;A&amp;RPage &amp;P of 9</oddFooter>
  </headerFooter>
  <rowBreaks count="3" manualBreakCount="3">
    <brk id="38" max="7" man="1"/>
    <brk id="74" max="7" man="1"/>
    <brk id="12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4"/>
  <sheetViews>
    <sheetView view="pageLayout" topLeftCell="J1" zoomScaleNormal="100" workbookViewId="0">
      <selection activeCell="P12" sqref="P12"/>
    </sheetView>
  </sheetViews>
  <sheetFormatPr defaultRowHeight="14.4"/>
  <cols>
    <col min="1" max="1" width="13.88671875" customWidth="1"/>
    <col min="2" max="2" width="3.88671875" customWidth="1"/>
    <col min="3" max="3" width="12.88671875" bestFit="1" customWidth="1"/>
    <col min="4" max="4" width="13.33203125" bestFit="1" customWidth="1"/>
    <col min="5" max="5" width="12.5546875" bestFit="1" customWidth="1"/>
    <col min="6" max="6" width="11.5546875" bestFit="1" customWidth="1"/>
    <col min="7" max="7" width="3.44140625" customWidth="1"/>
    <col min="8" max="8" width="10" customWidth="1"/>
    <col min="9" max="9" width="3.6640625" customWidth="1"/>
    <col min="10" max="10" width="13.44140625" customWidth="1"/>
    <col min="11" max="11" width="3.88671875" customWidth="1"/>
    <col min="12" max="12" width="12.109375" customWidth="1"/>
    <col min="13" max="13" width="12.44140625" customWidth="1"/>
    <col min="14" max="15" width="12.109375" customWidth="1"/>
    <col min="16" max="16" width="3.6640625" customWidth="1"/>
    <col min="17" max="17" width="10.33203125" customWidth="1"/>
    <col min="18" max="18" width="3.109375" customWidth="1"/>
  </cols>
  <sheetData>
    <row r="1" spans="1:17">
      <c r="A1" t="s">
        <v>148</v>
      </c>
      <c r="J1" s="77" t="s">
        <v>148</v>
      </c>
    </row>
    <row r="2" spans="1:17" s="77" customFormat="1"/>
    <row r="3" spans="1:17" s="77" customFormat="1">
      <c r="A3" s="161"/>
      <c r="C3" s="159" t="s">
        <v>155</v>
      </c>
      <c r="L3" s="159" t="s">
        <v>154</v>
      </c>
    </row>
    <row r="4" spans="1:17" s="77" customFormat="1">
      <c r="A4" s="161"/>
      <c r="C4" s="159" t="s">
        <v>153</v>
      </c>
      <c r="D4" s="77">
        <v>419605</v>
      </c>
      <c r="E4" s="77">
        <v>431605</v>
      </c>
      <c r="F4" s="77" t="s">
        <v>150</v>
      </c>
      <c r="L4" s="159" t="s">
        <v>153</v>
      </c>
      <c r="M4" s="77" t="s">
        <v>151</v>
      </c>
      <c r="N4" s="77" t="s">
        <v>152</v>
      </c>
      <c r="O4" s="77" t="s">
        <v>150</v>
      </c>
    </row>
    <row r="5" spans="1:17" s="77" customFormat="1" hidden="1">
      <c r="A5" s="161">
        <v>42370</v>
      </c>
      <c r="C5" s="163">
        <f t="shared" ref="C5:C11" si="0">D24+D40+D56+D73+D90+D106+D122+D138</f>
        <v>12138.828961458334</v>
      </c>
      <c r="D5" s="163">
        <v>0</v>
      </c>
      <c r="E5" s="163">
        <v>-845.67</v>
      </c>
      <c r="F5" s="163">
        <f>D5+E5</f>
        <v>-845.67</v>
      </c>
      <c r="H5" s="163">
        <f>C5-F5</f>
        <v>12984.498961458334</v>
      </c>
      <c r="J5" s="161">
        <v>42370</v>
      </c>
      <c r="L5" s="163">
        <f t="shared" ref="L5:L11" si="1">M24+M40+M56+M73+M90+M106+M122+M138</f>
        <v>19075.158280208339</v>
      </c>
      <c r="M5" s="163">
        <v>227.34</v>
      </c>
      <c r="N5" s="163">
        <v>-241.31</v>
      </c>
      <c r="O5" s="163">
        <f>M5+N5</f>
        <v>-13.969999999999999</v>
      </c>
      <c r="Q5" s="163">
        <f t="shared" ref="Q5:Q7" si="2">L5-O5</f>
        <v>19089.128280208341</v>
      </c>
    </row>
    <row r="6" spans="1:17" s="77" customFormat="1" hidden="1">
      <c r="A6" s="161">
        <v>42401</v>
      </c>
      <c r="C6" s="163">
        <f t="shared" si="0"/>
        <v>14805.128105520616</v>
      </c>
      <c r="D6" s="163">
        <v>40663.879999999997</v>
      </c>
      <c r="E6" s="163">
        <v>-12873.71</v>
      </c>
      <c r="F6" s="163">
        <f t="shared" ref="F6:F16" si="3">D6+E6</f>
        <v>27790.17</v>
      </c>
      <c r="H6" s="163">
        <f>C6-F6</f>
        <v>-12985.041894479382</v>
      </c>
      <c r="J6" s="161">
        <v>42401</v>
      </c>
      <c r="L6" s="163">
        <f t="shared" si="1"/>
        <v>21618.3316057589</v>
      </c>
      <c r="M6" s="163">
        <v>40707.279999999999</v>
      </c>
      <c r="N6" s="163">
        <v>0</v>
      </c>
      <c r="O6" s="163">
        <f t="shared" ref="O6:O7" si="4">M6+N6</f>
        <v>40707.279999999999</v>
      </c>
      <c r="Q6" s="163">
        <f t="shared" si="2"/>
        <v>-19088.948394241099</v>
      </c>
    </row>
    <row r="7" spans="1:17" s="77" customFormat="1" hidden="1">
      <c r="A7" s="161">
        <v>42430</v>
      </c>
      <c r="C7" s="163">
        <f t="shared" si="0"/>
        <v>21216.8470233064</v>
      </c>
      <c r="D7" s="163">
        <v>27679.87</v>
      </c>
      <c r="E7" s="163">
        <v>-6463.02</v>
      </c>
      <c r="F7" s="163">
        <f t="shared" si="3"/>
        <v>21216.85</v>
      </c>
      <c r="H7" s="163">
        <f>C7-F7</f>
        <v>-2.976693598611746E-3</v>
      </c>
      <c r="J7" s="161">
        <v>42430</v>
      </c>
      <c r="L7" s="163">
        <f t="shared" si="1"/>
        <v>26000.557929899493</v>
      </c>
      <c r="M7" s="163">
        <v>26000.560000000001</v>
      </c>
      <c r="N7" s="163">
        <v>0</v>
      </c>
      <c r="O7" s="163">
        <f t="shared" si="4"/>
        <v>26000.560000000001</v>
      </c>
      <c r="Q7" s="163">
        <f t="shared" si="2"/>
        <v>-2.0701005087175872E-3</v>
      </c>
    </row>
    <row r="8" spans="1:17" s="77" customFormat="1" hidden="1">
      <c r="A8" s="161">
        <v>42461</v>
      </c>
      <c r="C8" s="163">
        <f t="shared" si="0"/>
        <v>28518.790482960325</v>
      </c>
      <c r="D8" s="163">
        <v>35418.050000000003</v>
      </c>
      <c r="E8" s="163">
        <v>-6899.26</v>
      </c>
      <c r="F8" s="163">
        <f t="shared" si="3"/>
        <v>28518.79</v>
      </c>
      <c r="H8" s="163">
        <f>C8-F8</f>
        <v>4.8296032400685363E-4</v>
      </c>
      <c r="J8" s="161">
        <v>42461</v>
      </c>
      <c r="L8" s="163">
        <f t="shared" si="1"/>
        <v>32143.444959285753</v>
      </c>
      <c r="M8" s="163">
        <v>32143.439999999999</v>
      </c>
      <c r="N8" s="163">
        <v>0</v>
      </c>
      <c r="O8" s="163">
        <f t="shared" ref="O8:O16" si="5">M8+N8</f>
        <v>32143.439999999999</v>
      </c>
      <c r="Q8" s="163">
        <f t="shared" ref="Q8:Q13" si="6">L8-O8</f>
        <v>4.9592857540119439E-3</v>
      </c>
    </row>
    <row r="9" spans="1:17" s="77" customFormat="1" hidden="1">
      <c r="A9" s="161">
        <v>42491</v>
      </c>
      <c r="C9" s="163">
        <f t="shared" si="0"/>
        <v>34948.340515769523</v>
      </c>
      <c r="D9" s="163">
        <v>41867.5</v>
      </c>
      <c r="E9" s="163">
        <v>-6919.16</v>
      </c>
      <c r="F9" s="163">
        <f t="shared" si="3"/>
        <v>34948.339999999997</v>
      </c>
      <c r="H9" s="163">
        <f t="shared" ref="H9:H10" si="7">C9-F9</f>
        <v>5.1576952682808042E-4</v>
      </c>
      <c r="J9" s="161">
        <v>42491</v>
      </c>
      <c r="L9" s="163">
        <f t="shared" si="1"/>
        <v>36271.862680418359</v>
      </c>
      <c r="M9" s="163">
        <v>36271.86</v>
      </c>
      <c r="N9" s="163">
        <v>0</v>
      </c>
      <c r="O9" s="163">
        <f t="shared" si="5"/>
        <v>36271.86</v>
      </c>
      <c r="Q9" s="163">
        <f t="shared" si="6"/>
        <v>2.6804183580679819E-3</v>
      </c>
    </row>
    <row r="10" spans="1:17" s="77" customFormat="1" hidden="1">
      <c r="A10" s="161">
        <v>42522</v>
      </c>
      <c r="C10" s="163">
        <f t="shared" si="0"/>
        <v>38865.864001339985</v>
      </c>
      <c r="D10" s="163">
        <v>45804.97</v>
      </c>
      <c r="E10" s="163">
        <v>-6939.11</v>
      </c>
      <c r="F10" s="163">
        <f t="shared" si="3"/>
        <v>38865.86</v>
      </c>
      <c r="H10" s="163">
        <f t="shared" si="7"/>
        <v>4.001339984824881E-3</v>
      </c>
      <c r="J10" s="161">
        <v>42522</v>
      </c>
      <c r="L10" s="163">
        <f t="shared" si="1"/>
        <v>38570.76456698023</v>
      </c>
      <c r="M10" s="163">
        <v>38570.76</v>
      </c>
      <c r="N10" s="163">
        <v>0</v>
      </c>
      <c r="O10" s="163">
        <f t="shared" si="5"/>
        <v>38570.76</v>
      </c>
      <c r="Q10" s="163">
        <f>L10-O10</f>
        <v>4.5669802275369875E-3</v>
      </c>
    </row>
    <row r="11" spans="1:17" s="77" customFormat="1">
      <c r="A11" s="161">
        <v>42552</v>
      </c>
      <c r="C11" s="163">
        <f t="shared" si="0"/>
        <v>38879.768430680211</v>
      </c>
      <c r="D11" s="163">
        <v>45919.34</v>
      </c>
      <c r="E11" s="163">
        <v>-7039.57</v>
      </c>
      <c r="F11" s="163">
        <f t="shared" si="3"/>
        <v>38879.769999999997</v>
      </c>
      <c r="H11" s="163">
        <f>C11-F11</f>
        <v>-1.5693197856307961E-3</v>
      </c>
      <c r="J11" s="161">
        <v>42552</v>
      </c>
      <c r="L11" s="163">
        <f t="shared" si="1"/>
        <v>39874.722022982445</v>
      </c>
      <c r="M11" s="163">
        <v>39873.269999999997</v>
      </c>
      <c r="N11" s="163">
        <v>0</v>
      </c>
      <c r="O11" s="163">
        <f t="shared" si="5"/>
        <v>39873.269999999997</v>
      </c>
      <c r="Q11" s="163">
        <f>L11-O11</f>
        <v>1.4520229824483977</v>
      </c>
    </row>
    <row r="12" spans="1:17" s="77" customFormat="1">
      <c r="A12" s="161">
        <v>42583</v>
      </c>
      <c r="C12" s="163">
        <f>D31+D47+D64+D63+D81+D80+D97+D113+D129+D145</f>
        <v>18091.712188603022</v>
      </c>
      <c r="D12" s="163">
        <v>35500.39</v>
      </c>
      <c r="E12" s="163">
        <v>-17408.61</v>
      </c>
      <c r="F12" s="163">
        <f t="shared" si="3"/>
        <v>18091.78</v>
      </c>
      <c r="H12" s="174">
        <f>C12-F12</f>
        <v>-6.7811396977049299E-2</v>
      </c>
      <c r="J12" s="161">
        <v>42583</v>
      </c>
      <c r="L12" s="163">
        <f>M31+M47+M64+M81+M97+M113+M129+M145</f>
        <v>39993.332391382814</v>
      </c>
      <c r="M12" s="163">
        <v>39991.86</v>
      </c>
      <c r="N12" s="163">
        <v>0</v>
      </c>
      <c r="O12" s="163">
        <f>M12+N12</f>
        <v>39991.86</v>
      </c>
      <c r="Q12" s="163">
        <f>L12-O12</f>
        <v>1.4723913828129298</v>
      </c>
    </row>
    <row r="13" spans="1:17" s="77" customFormat="1">
      <c r="A13" s="161">
        <v>42614</v>
      </c>
      <c r="C13" s="163">
        <f>D32+D48+D65+D82+D98+D114+D130+D146</f>
        <v>37204.480438736449</v>
      </c>
      <c r="D13" s="163">
        <v>45637.25</v>
      </c>
      <c r="E13" s="163">
        <v>-8432.77</v>
      </c>
      <c r="F13" s="163">
        <f t="shared" si="3"/>
        <v>37204.479999999996</v>
      </c>
      <c r="H13" s="174">
        <f>C13-F13</f>
        <v>4.3873645336134359E-4</v>
      </c>
      <c r="J13" s="161">
        <v>42614</v>
      </c>
      <c r="L13" s="163">
        <f>M32+M48+M65+M82+M98+M114+M130+M146</f>
        <v>40048.203735857678</v>
      </c>
      <c r="M13" s="163">
        <v>40048.199999999997</v>
      </c>
      <c r="N13" s="163">
        <v>0</v>
      </c>
      <c r="O13" s="163">
        <f t="shared" si="5"/>
        <v>40048.199999999997</v>
      </c>
      <c r="Q13" s="163">
        <f t="shared" si="6"/>
        <v>3.7358576810220256E-3</v>
      </c>
    </row>
    <row r="14" spans="1:17" s="77" customFormat="1" hidden="1">
      <c r="A14" s="161">
        <v>42644</v>
      </c>
      <c r="C14" s="163">
        <f>D33+D49+D66+D83+D99+D115+D131+D147</f>
        <v>0</v>
      </c>
      <c r="F14" s="163">
        <f t="shared" si="3"/>
        <v>0</v>
      </c>
      <c r="J14" s="161">
        <v>42644</v>
      </c>
      <c r="L14" s="163">
        <f>M33+M49+M66+M83+M99+M115+M131+M147</f>
        <v>0</v>
      </c>
      <c r="O14" s="163">
        <f t="shared" si="5"/>
        <v>0</v>
      </c>
    </row>
    <row r="15" spans="1:17" s="77" customFormat="1" hidden="1">
      <c r="A15" s="161">
        <v>42675</v>
      </c>
      <c r="C15" s="163">
        <f>D34+D50+D67+D84+D100+D116+D132+D148</f>
        <v>0</v>
      </c>
      <c r="F15" s="163">
        <f t="shared" si="3"/>
        <v>0</v>
      </c>
      <c r="J15" s="161">
        <v>42675</v>
      </c>
      <c r="L15" s="163">
        <f>M34+M50+M67+M84+M100+M116+M132+M148</f>
        <v>0</v>
      </c>
      <c r="O15" s="163">
        <f t="shared" si="5"/>
        <v>0</v>
      </c>
    </row>
    <row r="16" spans="1:17" s="77" customFormat="1" hidden="1">
      <c r="A16" s="161">
        <v>42705</v>
      </c>
      <c r="C16" s="163">
        <f>D35+D51+D68+D85+D101+D117+D133+D149</f>
        <v>0</v>
      </c>
      <c r="F16" s="163">
        <f t="shared" si="3"/>
        <v>0</v>
      </c>
      <c r="J16" s="161">
        <v>42705</v>
      </c>
      <c r="L16" s="163">
        <f>M35+M51+M68+M85+M101+M117+M133+M149</f>
        <v>0</v>
      </c>
      <c r="O16" s="163">
        <f t="shared" si="5"/>
        <v>0</v>
      </c>
    </row>
    <row r="17" spans="1:17" s="77" customFormat="1" hidden="1">
      <c r="A17" s="161" t="s">
        <v>149</v>
      </c>
      <c r="C17" s="163">
        <f>SUM(C5:C7)</f>
        <v>48160.804090285354</v>
      </c>
      <c r="D17" s="163">
        <f>SUM(D5:D7)</f>
        <v>68343.75</v>
      </c>
      <c r="E17" s="163">
        <f t="shared" ref="E17:F17" si="8">SUM(E5:E7)</f>
        <v>-20182.400000000001</v>
      </c>
      <c r="F17" s="163">
        <f t="shared" si="8"/>
        <v>48161.35</v>
      </c>
      <c r="H17" s="163">
        <f>C17-F17</f>
        <v>-0.54590971464494942</v>
      </c>
      <c r="J17" s="161" t="s">
        <v>149</v>
      </c>
      <c r="L17" s="163">
        <f>SUM(L5:L7)</f>
        <v>66694.047815866739</v>
      </c>
      <c r="M17" s="163">
        <f>SUM(M5:M13)</f>
        <v>293834.57</v>
      </c>
      <c r="N17" s="163">
        <f>SUM(N5:N13)</f>
        <v>-241.31</v>
      </c>
      <c r="O17" s="163">
        <f>SUM(O5:O7)</f>
        <v>66693.87</v>
      </c>
      <c r="Q17" s="163">
        <f>L17-O17</f>
        <v>0.17781586674391292</v>
      </c>
    </row>
    <row r="18" spans="1:17" s="77" customFormat="1" hidden="1">
      <c r="A18" s="161" t="s">
        <v>160</v>
      </c>
      <c r="C18" s="163">
        <f>SUM(C8:C10)</f>
        <v>102332.99500006983</v>
      </c>
      <c r="D18" s="163">
        <f t="shared" ref="D18:E18" si="9">SUM(D8:D10)</f>
        <v>123090.52</v>
      </c>
      <c r="E18" s="163">
        <f t="shared" si="9"/>
        <v>-20757.53</v>
      </c>
      <c r="F18" s="163">
        <f>SUM(F8:F10)</f>
        <v>102332.98999999999</v>
      </c>
      <c r="H18" s="163">
        <f>SUM(H8:H10)</f>
        <v>5.000069835659815E-3</v>
      </c>
      <c r="J18" s="161" t="s">
        <v>160</v>
      </c>
      <c r="L18" s="163">
        <f>SUM(L8:L10)</f>
        <v>106986.07220668434</v>
      </c>
      <c r="M18" s="163">
        <f t="shared" ref="M18:O18" si="10">SUM(M8:M10)</f>
        <v>106986.06</v>
      </c>
      <c r="N18" s="163">
        <f t="shared" si="10"/>
        <v>0</v>
      </c>
      <c r="O18" s="163">
        <f t="shared" si="10"/>
        <v>106986.06</v>
      </c>
      <c r="Q18" s="163">
        <f>L18-O18</f>
        <v>1.2206684346892871E-2</v>
      </c>
    </row>
    <row r="19" spans="1:17" s="77" customFormat="1">
      <c r="A19" s="161" t="s">
        <v>195</v>
      </c>
      <c r="C19" s="163">
        <f>SUM(C11:C13)</f>
        <v>94175.96105801969</v>
      </c>
      <c r="D19" s="163">
        <f t="shared" ref="D19:F19" si="11">SUM(D11:D13)</f>
        <v>127056.98</v>
      </c>
      <c r="E19" s="163">
        <f t="shared" si="11"/>
        <v>-32880.949999999997</v>
      </c>
      <c r="F19" s="163">
        <f t="shared" si="11"/>
        <v>94176.03</v>
      </c>
      <c r="H19" s="163">
        <f>C19-F19</f>
        <v>-6.8941980309318751E-2</v>
      </c>
      <c r="J19" s="161" t="s">
        <v>196</v>
      </c>
      <c r="L19" s="163">
        <f>SUM(L11:L13)</f>
        <v>119916.25815022294</v>
      </c>
      <c r="M19" s="163">
        <f>SUM(M11:M13)</f>
        <v>119913.33</v>
      </c>
      <c r="N19" s="163">
        <f t="shared" ref="N19" si="12">SUM(N11:N13)</f>
        <v>0</v>
      </c>
      <c r="O19" s="163">
        <f>SUM(O11:O13)</f>
        <v>119913.33</v>
      </c>
      <c r="Q19" s="163">
        <f>L19-O19</f>
        <v>2.9281502229423495</v>
      </c>
    </row>
    <row r="20" spans="1:17" s="77" customFormat="1"/>
    <row r="21" spans="1:17">
      <c r="A21">
        <v>186328</v>
      </c>
      <c r="B21" t="s">
        <v>53</v>
      </c>
      <c r="C21" s="159" t="s">
        <v>140</v>
      </c>
      <c r="D21" s="159" t="s">
        <v>141</v>
      </c>
      <c r="E21" s="159"/>
      <c r="F21" s="159" t="s">
        <v>143</v>
      </c>
      <c r="G21" s="77"/>
      <c r="H21" s="159" t="s">
        <v>141</v>
      </c>
      <c r="J21" s="77">
        <v>186328</v>
      </c>
      <c r="K21" s="77" t="s">
        <v>54</v>
      </c>
      <c r="L21" s="159" t="s">
        <v>140</v>
      </c>
      <c r="M21" s="159" t="s">
        <v>141</v>
      </c>
      <c r="N21" s="159"/>
      <c r="O21" s="159" t="s">
        <v>143</v>
      </c>
      <c r="P21" s="77"/>
      <c r="Q21" s="159" t="s">
        <v>141</v>
      </c>
    </row>
    <row r="22" spans="1:17">
      <c r="C22" s="159" t="s">
        <v>144</v>
      </c>
      <c r="D22" s="159" t="s">
        <v>145</v>
      </c>
      <c r="E22" s="159" t="s">
        <v>146</v>
      </c>
      <c r="F22" s="159" t="s">
        <v>142</v>
      </c>
      <c r="G22" s="77"/>
      <c r="H22" s="159" t="s">
        <v>147</v>
      </c>
      <c r="J22" s="77"/>
      <c r="K22" s="77"/>
      <c r="L22" s="159" t="s">
        <v>144</v>
      </c>
      <c r="M22" s="159" t="s">
        <v>145</v>
      </c>
      <c r="N22" s="159" t="s">
        <v>146</v>
      </c>
      <c r="O22" s="159" t="s">
        <v>142</v>
      </c>
      <c r="P22" s="77"/>
      <c r="Q22" s="159" t="s">
        <v>147</v>
      </c>
    </row>
    <row r="23" spans="1:17" hidden="1">
      <c r="A23" s="161">
        <v>42339</v>
      </c>
      <c r="B23" s="162"/>
      <c r="C23" s="162"/>
      <c r="D23" s="77"/>
      <c r="E23" s="77"/>
      <c r="F23" s="163">
        <v>0</v>
      </c>
      <c r="J23" s="161">
        <v>42339</v>
      </c>
      <c r="K23" s="162"/>
      <c r="L23" s="162"/>
      <c r="M23" s="77"/>
      <c r="N23" s="77"/>
      <c r="O23" s="163">
        <v>0</v>
      </c>
      <c r="P23" s="77"/>
      <c r="Q23" s="77"/>
    </row>
    <row r="24" spans="1:17" hidden="1">
      <c r="A24" s="161">
        <v>42370</v>
      </c>
      <c r="B24" s="77"/>
      <c r="C24" s="163">
        <v>-505073.02</v>
      </c>
      <c r="D24" s="163">
        <f t="shared" ref="D24:D35" si="13">(F23+(C24+E24)/2)*H24/12</f>
        <v>-683.95304791666661</v>
      </c>
      <c r="E24" s="77"/>
      <c r="F24" s="163">
        <f t="shared" ref="F24:F35" si="14">F23+C24+D24+E24</f>
        <v>-505756.97304791666</v>
      </c>
      <c r="H24" s="164">
        <v>3.2500000000000001E-2</v>
      </c>
      <c r="J24" s="161">
        <v>42370</v>
      </c>
      <c r="K24" s="77"/>
      <c r="L24" s="163">
        <v>-178200.56</v>
      </c>
      <c r="M24" s="163">
        <f t="shared" ref="M24:M35" si="15">(O23+(L24+N24)/2)*Q24/12</f>
        <v>-241.31325833333335</v>
      </c>
      <c r="N24" s="77"/>
      <c r="O24" s="163">
        <f t="shared" ref="O24:O35" si="16">O23+L24+M24+N24</f>
        <v>-178441.87325833333</v>
      </c>
      <c r="P24" s="77"/>
      <c r="Q24" s="164">
        <v>3.2500000000000001E-2</v>
      </c>
    </row>
    <row r="25" spans="1:17" hidden="1">
      <c r="A25" s="161">
        <v>42401</v>
      </c>
      <c r="B25" s="77"/>
      <c r="C25" s="163">
        <v>1683233.91</v>
      </c>
      <c r="D25" s="163">
        <f t="shared" si="13"/>
        <v>909.62078445355894</v>
      </c>
      <c r="E25" s="77"/>
      <c r="F25" s="163">
        <f t="shared" si="14"/>
        <v>1178386.557736537</v>
      </c>
      <c r="H25" s="164">
        <f>H24</f>
        <v>3.2500000000000001E-2</v>
      </c>
      <c r="J25" s="161">
        <v>42401</v>
      </c>
      <c r="K25" s="77"/>
      <c r="L25" s="163">
        <v>1590110.8</v>
      </c>
      <c r="M25" s="163">
        <f t="shared" si="15"/>
        <v>1669.994968258681</v>
      </c>
      <c r="N25" s="77"/>
      <c r="O25" s="163">
        <f t="shared" si="16"/>
        <v>1413338.9217099254</v>
      </c>
      <c r="P25" s="77"/>
      <c r="Q25" s="164">
        <f>Q24</f>
        <v>3.2500000000000001E-2</v>
      </c>
    </row>
    <row r="26" spans="1:17" hidden="1">
      <c r="A26" s="161">
        <v>42430</v>
      </c>
      <c r="B26" s="77"/>
      <c r="C26" s="169">
        <v>2344774.58</v>
      </c>
      <c r="D26" s="169">
        <f t="shared" si="13"/>
        <v>6366.6791709531208</v>
      </c>
      <c r="E26" s="77"/>
      <c r="F26" s="163">
        <f>F25+C26+D26+E26</f>
        <v>3529527.8169074901</v>
      </c>
      <c r="H26" s="164">
        <f t="shared" ref="H26:H35" si="17">H25</f>
        <v>3.2500000000000001E-2</v>
      </c>
      <c r="J26" s="161">
        <v>42430</v>
      </c>
      <c r="K26" s="77"/>
      <c r="L26" s="169">
        <v>1147195.6299999999</v>
      </c>
      <c r="M26" s="169">
        <f t="shared" si="15"/>
        <v>5381.2869952560477</v>
      </c>
      <c r="N26" s="77"/>
      <c r="O26" s="163">
        <f t="shared" si="16"/>
        <v>2565915.8387051811</v>
      </c>
      <c r="P26" s="77"/>
      <c r="Q26" s="164">
        <f t="shared" ref="Q26" si="18">Q25</f>
        <v>3.2500000000000001E-2</v>
      </c>
    </row>
    <row r="27" spans="1:17" hidden="1">
      <c r="A27" s="161">
        <v>42461</v>
      </c>
      <c r="B27" s="77"/>
      <c r="C27" s="163">
        <v>1617557.1</v>
      </c>
      <c r="D27" s="163">
        <f>(F26+(C27+E27)/2)*H27/12</f>
        <v>12508.783357916596</v>
      </c>
      <c r="E27" s="77"/>
      <c r="F27" s="163">
        <f>F26+C27+D27+E27</f>
        <v>5159593.7002654066</v>
      </c>
      <c r="H27" s="164">
        <v>3.4599999999999999E-2</v>
      </c>
      <c r="J27" s="161">
        <v>42461</v>
      </c>
      <c r="K27" s="77"/>
      <c r="L27" s="163">
        <v>1412741.69</v>
      </c>
      <c r="M27" s="163">
        <f t="shared" si="15"/>
        <v>9435.0932713499369</v>
      </c>
      <c r="N27" s="77"/>
      <c r="O27" s="163">
        <f t="shared" si="16"/>
        <v>3988092.6219765311</v>
      </c>
      <c r="P27" s="77"/>
      <c r="Q27" s="164">
        <v>3.4599999999999999E-2</v>
      </c>
    </row>
    <row r="28" spans="1:17" hidden="1">
      <c r="A28" s="161">
        <v>42491</v>
      </c>
      <c r="B28" s="77"/>
      <c r="C28" s="163">
        <v>2162113.91</v>
      </c>
      <c r="D28" s="163">
        <f t="shared" si="13"/>
        <v>17993.876056015255</v>
      </c>
      <c r="E28" s="77"/>
      <c r="F28" s="163">
        <f t="shared" si="14"/>
        <v>7339701.4863214223</v>
      </c>
      <c r="H28" s="164">
        <f t="shared" si="17"/>
        <v>3.4599999999999999E-2</v>
      </c>
      <c r="J28" s="161">
        <v>42491</v>
      </c>
      <c r="K28" s="77"/>
      <c r="L28" s="163">
        <v>884958.88</v>
      </c>
      <c r="M28" s="163">
        <f t="shared" si="15"/>
        <v>12774.816112032333</v>
      </c>
      <c r="N28" s="77"/>
      <c r="O28" s="163">
        <f t="shared" si="16"/>
        <v>4885826.3180885632</v>
      </c>
      <c r="P28" s="77"/>
      <c r="Q28" s="164">
        <f t="shared" ref="Q28:Q35" si="19">Q27</f>
        <v>3.4599999999999999E-2</v>
      </c>
    </row>
    <row r="29" spans="1:17">
      <c r="A29" s="161">
        <v>42522</v>
      </c>
      <c r="B29" s="77"/>
      <c r="C29" s="163">
        <v>182736.7</v>
      </c>
      <c r="D29" s="163">
        <f t="shared" si="13"/>
        <v>21426.251361393432</v>
      </c>
      <c r="E29" s="77"/>
      <c r="F29" s="163">
        <f t="shared" si="14"/>
        <v>7543864.4376828158</v>
      </c>
      <c r="H29" s="164">
        <f t="shared" si="17"/>
        <v>3.4599999999999999E-2</v>
      </c>
      <c r="J29" s="161">
        <v>42522</v>
      </c>
      <c r="K29" s="77"/>
      <c r="L29" s="163">
        <v>260272.19</v>
      </c>
      <c r="M29" s="163">
        <f t="shared" si="15"/>
        <v>14462.691624405355</v>
      </c>
      <c r="N29" s="77"/>
      <c r="O29" s="163">
        <f t="shared" si="16"/>
        <v>5160561.1997129694</v>
      </c>
      <c r="P29" s="77"/>
      <c r="Q29" s="164">
        <f t="shared" si="19"/>
        <v>3.4599999999999999E-2</v>
      </c>
    </row>
    <row r="30" spans="1:17">
      <c r="A30" s="161">
        <v>42552</v>
      </c>
      <c r="B30" s="77"/>
      <c r="C30" s="163">
        <v>-979262.15</v>
      </c>
      <c r="D30" s="163">
        <f t="shared" si="13"/>
        <v>20574.847307824883</v>
      </c>
      <c r="E30" s="77"/>
      <c r="F30" s="163">
        <f t="shared" si="14"/>
        <v>6585177.13499064</v>
      </c>
      <c r="H30" s="164">
        <v>3.5000000000000003E-2</v>
      </c>
      <c r="J30" s="161">
        <v>42552</v>
      </c>
      <c r="K30" s="77"/>
      <c r="L30" s="163">
        <v>10725.09</v>
      </c>
      <c r="M30" s="163">
        <f t="shared" si="15"/>
        <v>15067.277588746161</v>
      </c>
      <c r="N30" s="77"/>
      <c r="O30" s="163">
        <f t="shared" si="16"/>
        <v>5186353.5673017157</v>
      </c>
      <c r="P30" s="77"/>
      <c r="Q30" s="164">
        <v>3.5000000000000003E-2</v>
      </c>
    </row>
    <row r="31" spans="1:17">
      <c r="A31" s="161">
        <v>42583</v>
      </c>
      <c r="B31" s="77"/>
      <c r="C31" s="163">
        <v>386907.39</v>
      </c>
      <c r="D31" s="163">
        <f>(F30+(C31+E31)/2)*H31/12</f>
        <v>19771.006587472704</v>
      </c>
      <c r="E31" s="77"/>
      <c r="F31" s="163">
        <f t="shared" si="14"/>
        <v>6991855.5315781124</v>
      </c>
      <c r="H31" s="164">
        <f t="shared" si="17"/>
        <v>3.5000000000000003E-2</v>
      </c>
      <c r="J31" s="161">
        <v>42583</v>
      </c>
      <c r="K31" s="77"/>
      <c r="L31" s="163">
        <v>-108531.15</v>
      </c>
      <c r="M31" s="163">
        <f t="shared" si="15"/>
        <v>14968.589977546673</v>
      </c>
      <c r="N31" s="77"/>
      <c r="O31" s="163">
        <f t="shared" si="16"/>
        <v>5092791.0072792619</v>
      </c>
      <c r="P31" s="77"/>
      <c r="Q31" s="164">
        <f t="shared" si="19"/>
        <v>3.5000000000000003E-2</v>
      </c>
    </row>
    <row r="32" spans="1:17">
      <c r="A32" s="161">
        <v>42614</v>
      </c>
      <c r="B32" s="77"/>
      <c r="C32" s="163">
        <v>101801.92</v>
      </c>
      <c r="D32" s="163">
        <f>(F31+(C32+E32)/2)*H32/12</f>
        <v>20541.373100436165</v>
      </c>
      <c r="E32" s="77"/>
      <c r="F32" s="163">
        <f t="shared" si="14"/>
        <v>7114198.8246785486</v>
      </c>
      <c r="H32" s="164">
        <f t="shared" si="17"/>
        <v>3.5000000000000003E-2</v>
      </c>
      <c r="J32" s="161">
        <v>42614</v>
      </c>
      <c r="K32" s="77"/>
      <c r="L32" s="163">
        <v>-364.4</v>
      </c>
      <c r="M32" s="163">
        <f t="shared" si="15"/>
        <v>14853.442354564513</v>
      </c>
      <c r="N32" s="77"/>
      <c r="O32" s="163">
        <f t="shared" si="16"/>
        <v>5107280.0496338261</v>
      </c>
      <c r="P32" s="77"/>
      <c r="Q32" s="164">
        <f t="shared" si="19"/>
        <v>3.5000000000000003E-2</v>
      </c>
    </row>
    <row r="33" spans="1:17" hidden="1">
      <c r="A33" s="161">
        <v>42644</v>
      </c>
      <c r="B33" s="77"/>
      <c r="C33" s="163"/>
      <c r="D33" s="163">
        <f t="shared" si="13"/>
        <v>0</v>
      </c>
      <c r="E33" s="77"/>
      <c r="F33" s="163">
        <f t="shared" si="14"/>
        <v>7114198.8246785486</v>
      </c>
      <c r="H33" s="164">
        <v>0</v>
      </c>
      <c r="J33" s="161">
        <v>42644</v>
      </c>
      <c r="K33" s="77"/>
      <c r="L33" s="163"/>
      <c r="M33" s="163">
        <f t="shared" si="15"/>
        <v>0</v>
      </c>
      <c r="N33" s="77"/>
      <c r="O33" s="163">
        <f t="shared" si="16"/>
        <v>5107280.0496338261</v>
      </c>
      <c r="P33" s="77"/>
      <c r="Q33" s="164">
        <v>0</v>
      </c>
    </row>
    <row r="34" spans="1:17" hidden="1">
      <c r="A34" s="161">
        <v>42675</v>
      </c>
      <c r="B34" s="77"/>
      <c r="C34" s="77"/>
      <c r="D34" s="163">
        <f t="shared" si="13"/>
        <v>0</v>
      </c>
      <c r="E34" s="24"/>
      <c r="F34" s="163">
        <f t="shared" si="14"/>
        <v>7114198.8246785486</v>
      </c>
      <c r="H34" s="164">
        <f t="shared" si="17"/>
        <v>0</v>
      </c>
      <c r="J34" s="161">
        <v>42675</v>
      </c>
      <c r="K34" s="77"/>
      <c r="L34" s="77"/>
      <c r="M34" s="163">
        <f t="shared" si="15"/>
        <v>0</v>
      </c>
      <c r="N34" s="24"/>
      <c r="O34" s="163">
        <f t="shared" si="16"/>
        <v>5107280.0496338261</v>
      </c>
      <c r="P34" s="77"/>
      <c r="Q34" s="164">
        <f t="shared" si="19"/>
        <v>0</v>
      </c>
    </row>
    <row r="35" spans="1:17" hidden="1">
      <c r="A35" s="161">
        <v>42705</v>
      </c>
      <c r="B35" s="162"/>
      <c r="C35" s="163"/>
      <c r="D35" s="163">
        <f t="shared" si="13"/>
        <v>0</v>
      </c>
      <c r="E35" s="24"/>
      <c r="F35" s="163">
        <f t="shared" si="14"/>
        <v>7114198.8246785486</v>
      </c>
      <c r="H35" s="164">
        <f t="shared" si="17"/>
        <v>0</v>
      </c>
      <c r="J35" s="161">
        <v>42705</v>
      </c>
      <c r="K35" s="162"/>
      <c r="L35" s="163"/>
      <c r="M35" s="163">
        <f t="shared" si="15"/>
        <v>0</v>
      </c>
      <c r="N35" s="24"/>
      <c r="O35" s="163">
        <f t="shared" si="16"/>
        <v>5107280.0496338261</v>
      </c>
      <c r="P35" s="77"/>
      <c r="Q35" s="164">
        <f t="shared" si="19"/>
        <v>0</v>
      </c>
    </row>
    <row r="36" spans="1:17">
      <c r="F36" s="163"/>
      <c r="O36" s="163"/>
    </row>
    <row r="37" spans="1:17">
      <c r="A37" s="77">
        <v>186338</v>
      </c>
      <c r="B37" s="77" t="s">
        <v>53</v>
      </c>
      <c r="C37" s="159" t="s">
        <v>140</v>
      </c>
      <c r="D37" s="159" t="s">
        <v>141</v>
      </c>
      <c r="E37" s="159"/>
      <c r="F37" s="163" t="s">
        <v>143</v>
      </c>
      <c r="G37" s="77"/>
      <c r="H37" s="159" t="s">
        <v>141</v>
      </c>
      <c r="I37" s="77"/>
      <c r="J37" s="77">
        <v>186338</v>
      </c>
      <c r="K37" s="77" t="s">
        <v>54</v>
      </c>
      <c r="L37" s="159" t="s">
        <v>140</v>
      </c>
      <c r="M37" s="159" t="s">
        <v>141</v>
      </c>
      <c r="N37" s="159"/>
      <c r="O37" s="163" t="s">
        <v>143</v>
      </c>
      <c r="P37" s="77"/>
      <c r="Q37" s="159" t="s">
        <v>141</v>
      </c>
    </row>
    <row r="38" spans="1:17">
      <c r="A38" s="77"/>
      <c r="B38" s="77"/>
      <c r="C38" s="159" t="s">
        <v>144</v>
      </c>
      <c r="D38" s="159" t="s">
        <v>145</v>
      </c>
      <c r="E38" s="159" t="s">
        <v>146</v>
      </c>
      <c r="F38" s="163" t="s">
        <v>142</v>
      </c>
      <c r="G38" s="77"/>
      <c r="H38" s="159" t="s">
        <v>147</v>
      </c>
      <c r="I38" s="77"/>
      <c r="J38" s="77"/>
      <c r="K38" s="77"/>
      <c r="L38" s="159" t="s">
        <v>144</v>
      </c>
      <c r="M38" s="159" t="s">
        <v>145</v>
      </c>
      <c r="N38" s="159" t="s">
        <v>146</v>
      </c>
      <c r="O38" s="163" t="s">
        <v>142</v>
      </c>
      <c r="P38" s="77"/>
      <c r="Q38" s="159" t="s">
        <v>147</v>
      </c>
    </row>
    <row r="39" spans="1:17" hidden="1">
      <c r="A39" s="161">
        <v>42339</v>
      </c>
      <c r="B39" s="162"/>
      <c r="C39" s="162"/>
      <c r="D39" s="77"/>
      <c r="E39" s="77"/>
      <c r="F39" s="163">
        <v>0</v>
      </c>
      <c r="G39" s="77"/>
      <c r="H39" s="77"/>
      <c r="I39" s="77"/>
      <c r="J39" s="161">
        <v>42339</v>
      </c>
      <c r="K39" s="162"/>
      <c r="L39" s="162"/>
      <c r="M39" s="77"/>
      <c r="N39" s="77"/>
      <c r="O39" s="163">
        <v>0</v>
      </c>
      <c r="P39" s="77"/>
      <c r="Q39" s="77"/>
    </row>
    <row r="40" spans="1:17" hidden="1">
      <c r="A40" s="161">
        <v>42370</v>
      </c>
      <c r="B40" s="77"/>
      <c r="C40" s="163">
        <v>-119421.31</v>
      </c>
      <c r="D40" s="163">
        <f t="shared" ref="D40:D51" si="20">(F39+(C40+E40)/2)*H40/12</f>
        <v>-161.71635729166667</v>
      </c>
      <c r="E40" s="77"/>
      <c r="F40" s="163">
        <f t="shared" ref="F40:F51" si="21">F39+C40+D40+E40</f>
        <v>-119583.02635729166</v>
      </c>
      <c r="G40" s="77"/>
      <c r="H40" s="164">
        <v>3.2500000000000001E-2</v>
      </c>
      <c r="I40" s="77"/>
      <c r="J40" s="161">
        <v>42370</v>
      </c>
      <c r="K40" s="77"/>
      <c r="L40" s="163">
        <v>156602.47</v>
      </c>
      <c r="M40" s="163">
        <f t="shared" ref="M40:M51" si="22">(O39+(L40+N40)/2)*Q40/12</f>
        <v>212.06584479166668</v>
      </c>
      <c r="N40" s="77"/>
      <c r="O40" s="163">
        <f t="shared" ref="O40:O51" si="23">O39+L40+M40+N40</f>
        <v>156814.53584479168</v>
      </c>
      <c r="P40" s="77"/>
      <c r="Q40" s="164">
        <v>3.2500000000000001E-2</v>
      </c>
    </row>
    <row r="41" spans="1:17" hidden="1">
      <c r="A41" s="161">
        <v>42401</v>
      </c>
      <c r="B41" s="77"/>
      <c r="C41" s="163">
        <v>885942.13</v>
      </c>
      <c r="D41" s="163">
        <f t="shared" si="20"/>
        <v>875.84260465733507</v>
      </c>
      <c r="E41" s="77"/>
      <c r="F41" s="163">
        <f t="shared" si="21"/>
        <v>767234.94624736567</v>
      </c>
      <c r="G41" s="77"/>
      <c r="H41" s="164">
        <f>H40</f>
        <v>3.2500000000000001E-2</v>
      </c>
      <c r="I41" s="77"/>
      <c r="J41" s="161">
        <v>42401</v>
      </c>
      <c r="K41" s="77"/>
      <c r="L41" s="163">
        <v>271372.65999999997</v>
      </c>
      <c r="M41" s="163">
        <f t="shared" si="22"/>
        <v>792.18984499631063</v>
      </c>
      <c r="N41" s="77"/>
      <c r="O41" s="163">
        <f t="shared" si="23"/>
        <v>428979.38568978797</v>
      </c>
      <c r="P41" s="77"/>
      <c r="Q41" s="164">
        <f>Q40</f>
        <v>3.2500000000000001E-2</v>
      </c>
    </row>
    <row r="42" spans="1:17" hidden="1">
      <c r="A42" s="161">
        <v>42430</v>
      </c>
      <c r="B42" s="77"/>
      <c r="C42" s="169">
        <v>-208753.06</v>
      </c>
      <c r="D42" s="169">
        <f t="shared" si="20"/>
        <v>1795.2415440032819</v>
      </c>
      <c r="E42" s="77"/>
      <c r="F42" s="163">
        <f t="shared" si="21"/>
        <v>560277.12779136898</v>
      </c>
      <c r="G42" s="77"/>
      <c r="H42" s="164">
        <f t="shared" ref="H42" si="24">H41</f>
        <v>3.2500000000000001E-2</v>
      </c>
      <c r="I42" s="77"/>
      <c r="J42" s="161">
        <v>42430</v>
      </c>
      <c r="K42" s="77"/>
      <c r="L42" s="169">
        <v>184189.84</v>
      </c>
      <c r="M42" s="169">
        <f t="shared" si="22"/>
        <v>1411.2429112431757</v>
      </c>
      <c r="N42" s="77"/>
      <c r="O42" s="163">
        <f t="shared" si="23"/>
        <v>614580.46860103123</v>
      </c>
      <c r="P42" s="77"/>
      <c r="Q42" s="164">
        <f t="shared" ref="Q42" si="25">Q41</f>
        <v>3.2500000000000001E-2</v>
      </c>
    </row>
    <row r="43" spans="1:17" hidden="1">
      <c r="A43" s="161">
        <v>42461</v>
      </c>
      <c r="B43" s="77"/>
      <c r="C43" s="163">
        <v>317982.18</v>
      </c>
      <c r="D43" s="163">
        <f t="shared" si="20"/>
        <v>2073.8900279651139</v>
      </c>
      <c r="E43" s="77"/>
      <c r="F43" s="163">
        <f t="shared" si="21"/>
        <v>880333.19781933411</v>
      </c>
      <c r="G43" s="77"/>
      <c r="H43" s="164">
        <v>3.4599999999999999E-2</v>
      </c>
      <c r="I43" s="77"/>
      <c r="J43" s="161">
        <v>42461</v>
      </c>
      <c r="K43" s="77"/>
      <c r="L43" s="163">
        <v>299490.90000000002</v>
      </c>
      <c r="M43" s="163">
        <f t="shared" si="22"/>
        <v>2203.806398632973</v>
      </c>
      <c r="N43" s="77"/>
      <c r="O43" s="163">
        <f t="shared" si="23"/>
        <v>916275.17499966419</v>
      </c>
      <c r="P43" s="77"/>
      <c r="Q43" s="164">
        <v>3.4599999999999999E-2</v>
      </c>
    </row>
    <row r="44" spans="1:17" hidden="1">
      <c r="A44" s="161">
        <v>42491</v>
      </c>
      <c r="B44" s="77"/>
      <c r="C44" s="163">
        <v>305112.71999999997</v>
      </c>
      <c r="D44" s="163">
        <f t="shared" si="20"/>
        <v>2978.164891712413</v>
      </c>
      <c r="E44" s="77"/>
      <c r="F44" s="163">
        <f t="shared" si="21"/>
        <v>1188424.0827110466</v>
      </c>
      <c r="G44" s="77"/>
      <c r="H44" s="164">
        <f t="shared" ref="H44:H51" si="26">H43</f>
        <v>3.4599999999999999E-2</v>
      </c>
      <c r="I44" s="77"/>
      <c r="J44" s="161">
        <v>42491</v>
      </c>
      <c r="K44" s="77"/>
      <c r="L44" s="163">
        <v>202163.99</v>
      </c>
      <c r="M44" s="163">
        <f t="shared" si="22"/>
        <v>2933.3798401656982</v>
      </c>
      <c r="N44" s="77"/>
      <c r="O44" s="163">
        <f t="shared" si="23"/>
        <v>1121372.5448398299</v>
      </c>
      <c r="P44" s="77"/>
      <c r="Q44" s="164">
        <f t="shared" ref="Q44:Q51" si="27">Q43</f>
        <v>3.4599999999999999E-2</v>
      </c>
    </row>
    <row r="45" spans="1:17">
      <c r="A45" s="161">
        <v>42522</v>
      </c>
      <c r="B45" s="77"/>
      <c r="C45" s="163">
        <v>-2502.6799999999998</v>
      </c>
      <c r="D45" s="163">
        <f t="shared" si="20"/>
        <v>3423.0147414835174</v>
      </c>
      <c r="E45" s="77"/>
      <c r="F45" s="163">
        <f t="shared" si="21"/>
        <v>1189344.4174525302</v>
      </c>
      <c r="G45" s="77"/>
      <c r="H45" s="164">
        <f t="shared" si="26"/>
        <v>3.4599999999999999E-2</v>
      </c>
      <c r="I45" s="77"/>
      <c r="J45" s="161">
        <v>42522</v>
      </c>
      <c r="K45" s="77"/>
      <c r="L45" s="163">
        <v>174675.24</v>
      </c>
      <c r="M45" s="163">
        <f t="shared" si="22"/>
        <v>3485.1143086215088</v>
      </c>
      <c r="N45" s="77"/>
      <c r="O45" s="163">
        <f t="shared" si="23"/>
        <v>1299532.8991484514</v>
      </c>
      <c r="P45" s="77"/>
      <c r="Q45" s="164">
        <f t="shared" si="27"/>
        <v>3.4599999999999999E-2</v>
      </c>
    </row>
    <row r="46" spans="1:17">
      <c r="A46" s="161">
        <v>42552</v>
      </c>
      <c r="B46" s="77"/>
      <c r="C46" s="163">
        <v>422728.23</v>
      </c>
      <c r="D46" s="163">
        <f>(F45+(C46+E46)/2)*H46/12</f>
        <v>4085.3998863198799</v>
      </c>
      <c r="E46" s="77"/>
      <c r="F46" s="163">
        <f t="shared" si="21"/>
        <v>1616158.0473388501</v>
      </c>
      <c r="G46" s="77"/>
      <c r="H46" s="164">
        <v>3.5000000000000003E-2</v>
      </c>
      <c r="I46" s="77"/>
      <c r="J46" s="161">
        <v>42552</v>
      </c>
      <c r="K46" s="77"/>
      <c r="L46" s="163">
        <v>65564.92</v>
      </c>
      <c r="M46" s="163">
        <f t="shared" si="22"/>
        <v>3885.919797516317</v>
      </c>
      <c r="N46" s="77"/>
      <c r="O46" s="163">
        <f t="shared" si="23"/>
        <v>1368983.7389459678</v>
      </c>
      <c r="P46" s="77"/>
      <c r="Q46" s="164">
        <v>3.5000000000000003E-2</v>
      </c>
    </row>
    <row r="47" spans="1:17">
      <c r="A47" s="161">
        <v>42583</v>
      </c>
      <c r="B47" s="77"/>
      <c r="C47" s="163">
        <v>-88610.43</v>
      </c>
      <c r="D47" s="163">
        <f>(F46+(C47+E47)/2)*H47/12</f>
        <v>4584.5707609883129</v>
      </c>
      <c r="E47" s="77"/>
      <c r="F47" s="163">
        <f t="shared" si="21"/>
        <v>1532132.1880998386</v>
      </c>
      <c r="G47" s="77"/>
      <c r="H47" s="164">
        <f t="shared" si="26"/>
        <v>3.5000000000000003E-2</v>
      </c>
      <c r="I47" s="77"/>
      <c r="J47" s="161">
        <v>42583</v>
      </c>
      <c r="K47" s="77"/>
      <c r="L47" s="163">
        <v>33824.519999999997</v>
      </c>
      <c r="M47" s="163">
        <f t="shared" si="22"/>
        <v>4042.1966635924059</v>
      </c>
      <c r="N47" s="77"/>
      <c r="O47" s="163">
        <f t="shared" si="23"/>
        <v>1406850.4556095602</v>
      </c>
      <c r="P47" s="77"/>
      <c r="Q47" s="164">
        <f t="shared" si="27"/>
        <v>3.5000000000000003E-2</v>
      </c>
    </row>
    <row r="48" spans="1:17">
      <c r="A48" s="161">
        <v>42614</v>
      </c>
      <c r="B48" s="77"/>
      <c r="C48" s="163">
        <v>393228.21</v>
      </c>
      <c r="D48" s="163">
        <f>(F47+(C48+E48)/2)*H48/12</f>
        <v>5042.1766882078628</v>
      </c>
      <c r="E48" s="77"/>
      <c r="F48" s="163">
        <f t="shared" si="21"/>
        <v>1930402.5747880463</v>
      </c>
      <c r="G48" s="77"/>
      <c r="H48" s="164">
        <f t="shared" si="26"/>
        <v>3.5000000000000003E-2</v>
      </c>
      <c r="I48" s="77"/>
      <c r="J48" s="161">
        <v>42614</v>
      </c>
      <c r="K48" s="77"/>
      <c r="L48" s="163">
        <v>32710.43</v>
      </c>
      <c r="M48" s="163">
        <f t="shared" si="22"/>
        <v>4151.0165392778845</v>
      </c>
      <c r="N48" s="77"/>
      <c r="O48" s="163">
        <f t="shared" si="23"/>
        <v>1443711.9021488382</v>
      </c>
      <c r="P48" s="77"/>
      <c r="Q48" s="164">
        <f t="shared" si="27"/>
        <v>3.5000000000000003E-2</v>
      </c>
    </row>
    <row r="49" spans="1:17" hidden="1">
      <c r="A49" s="161">
        <v>42644</v>
      </c>
      <c r="B49" s="77"/>
      <c r="C49" s="163"/>
      <c r="D49" s="163">
        <f t="shared" si="20"/>
        <v>0</v>
      </c>
      <c r="E49" s="77"/>
      <c r="F49" s="163">
        <f t="shared" si="21"/>
        <v>1930402.5747880463</v>
      </c>
      <c r="G49" s="77"/>
      <c r="H49" s="164">
        <v>0</v>
      </c>
      <c r="I49" s="77"/>
      <c r="J49" s="161">
        <v>42644</v>
      </c>
      <c r="K49" s="77"/>
      <c r="L49" s="163"/>
      <c r="M49" s="163">
        <f t="shared" si="22"/>
        <v>0</v>
      </c>
      <c r="N49" s="77"/>
      <c r="O49" s="163">
        <f t="shared" si="23"/>
        <v>1443711.9021488382</v>
      </c>
      <c r="P49" s="77"/>
      <c r="Q49" s="164">
        <v>0</v>
      </c>
    </row>
    <row r="50" spans="1:17" hidden="1">
      <c r="A50" s="161">
        <v>42675</v>
      </c>
      <c r="B50" s="77"/>
      <c r="C50" s="77"/>
      <c r="D50" s="163">
        <f t="shared" si="20"/>
        <v>0</v>
      </c>
      <c r="E50" s="24"/>
      <c r="F50" s="163">
        <f t="shared" si="21"/>
        <v>1930402.5747880463</v>
      </c>
      <c r="G50" s="77"/>
      <c r="H50" s="164">
        <f t="shared" si="26"/>
        <v>0</v>
      </c>
      <c r="I50" s="77"/>
      <c r="J50" s="161">
        <v>42675</v>
      </c>
      <c r="K50" s="77"/>
      <c r="L50" s="77"/>
      <c r="M50" s="163">
        <f t="shared" si="22"/>
        <v>0</v>
      </c>
      <c r="N50" s="24"/>
      <c r="O50" s="163">
        <f t="shared" si="23"/>
        <v>1443711.9021488382</v>
      </c>
      <c r="P50" s="77"/>
      <c r="Q50" s="164">
        <f t="shared" si="27"/>
        <v>0</v>
      </c>
    </row>
    <row r="51" spans="1:17" hidden="1">
      <c r="A51" s="161">
        <v>42705</v>
      </c>
      <c r="B51" s="162"/>
      <c r="C51" s="163"/>
      <c r="D51" s="163">
        <f t="shared" si="20"/>
        <v>0</v>
      </c>
      <c r="E51" s="24"/>
      <c r="F51" s="163">
        <f t="shared" si="21"/>
        <v>1930402.5747880463</v>
      </c>
      <c r="G51" s="77"/>
      <c r="H51" s="164">
        <f t="shared" si="26"/>
        <v>0</v>
      </c>
      <c r="I51" s="77"/>
      <c r="J51" s="161">
        <v>42705</v>
      </c>
      <c r="K51" s="162"/>
      <c r="L51" s="163"/>
      <c r="M51" s="163">
        <f t="shared" si="22"/>
        <v>0</v>
      </c>
      <c r="N51" s="24"/>
      <c r="O51" s="163">
        <f t="shared" si="23"/>
        <v>1443711.9021488382</v>
      </c>
      <c r="P51" s="77"/>
      <c r="Q51" s="164">
        <f t="shared" si="27"/>
        <v>0</v>
      </c>
    </row>
    <row r="52" spans="1:17">
      <c r="F52" s="163"/>
      <c r="O52" s="163"/>
    </row>
    <row r="53" spans="1:17">
      <c r="A53" s="77">
        <v>182329</v>
      </c>
      <c r="B53" s="77" t="s">
        <v>53</v>
      </c>
      <c r="C53" s="159" t="s">
        <v>140</v>
      </c>
      <c r="D53" s="159" t="s">
        <v>141</v>
      </c>
      <c r="E53" s="159"/>
      <c r="F53" s="163" t="s">
        <v>143</v>
      </c>
      <c r="G53" s="77"/>
      <c r="H53" s="159" t="s">
        <v>141</v>
      </c>
      <c r="I53" s="77"/>
      <c r="J53" s="77">
        <v>182329</v>
      </c>
      <c r="K53" s="77" t="s">
        <v>54</v>
      </c>
      <c r="L53" s="159" t="s">
        <v>140</v>
      </c>
      <c r="M53" s="159" t="s">
        <v>141</v>
      </c>
      <c r="N53" s="159"/>
      <c r="O53" s="163" t="s">
        <v>143</v>
      </c>
      <c r="P53" s="77"/>
      <c r="Q53" s="159" t="s">
        <v>141</v>
      </c>
    </row>
    <row r="54" spans="1:17">
      <c r="A54" s="77"/>
      <c r="B54" s="77"/>
      <c r="C54" s="159" t="s">
        <v>144</v>
      </c>
      <c r="D54" s="159" t="s">
        <v>145</v>
      </c>
      <c r="E54" s="159" t="s">
        <v>146</v>
      </c>
      <c r="F54" s="163" t="s">
        <v>142</v>
      </c>
      <c r="G54" s="77"/>
      <c r="H54" s="159" t="s">
        <v>147</v>
      </c>
      <c r="I54" s="77"/>
      <c r="J54" s="77"/>
      <c r="K54" s="77"/>
      <c r="L54" s="159" t="s">
        <v>144</v>
      </c>
      <c r="M54" s="159" t="s">
        <v>145</v>
      </c>
      <c r="N54" s="159" t="s">
        <v>146</v>
      </c>
      <c r="O54" s="163" t="s">
        <v>142</v>
      </c>
      <c r="P54" s="77"/>
      <c r="Q54" s="159" t="s">
        <v>147</v>
      </c>
    </row>
    <row r="55" spans="1:17" hidden="1">
      <c r="A55" s="161">
        <v>42339</v>
      </c>
      <c r="B55" s="162"/>
      <c r="C55" s="162"/>
      <c r="D55" s="77"/>
      <c r="E55" s="77"/>
      <c r="F55" s="163">
        <v>7167748.0999999996</v>
      </c>
      <c r="G55" s="77"/>
      <c r="H55" s="77"/>
      <c r="I55" s="77"/>
      <c r="J55" s="161">
        <v>42339</v>
      </c>
      <c r="K55" s="162"/>
      <c r="L55" s="162"/>
      <c r="M55" s="77"/>
      <c r="N55" s="77"/>
      <c r="O55" s="163">
        <v>5311557.9400000004</v>
      </c>
      <c r="P55" s="77"/>
      <c r="Q55" s="77"/>
    </row>
    <row r="56" spans="1:17" hidden="1">
      <c r="A56" s="161">
        <v>42370</v>
      </c>
      <c r="B56" s="77"/>
      <c r="C56" s="163"/>
      <c r="D56" s="163">
        <f t="shared" ref="D56:D60" si="28">(F55+(C56+E56)/2)*H56/12</f>
        <v>19412.651104166667</v>
      </c>
      <c r="E56" s="77"/>
      <c r="F56" s="163">
        <f t="shared" ref="F56:F68" si="29">F55+C56+D56+E56</f>
        <v>7187160.7511041667</v>
      </c>
      <c r="G56" s="77"/>
      <c r="H56" s="164">
        <v>3.2500000000000001E-2</v>
      </c>
      <c r="I56" s="77"/>
      <c r="J56" s="161">
        <v>42370</v>
      </c>
      <c r="K56" s="77"/>
      <c r="L56" s="163"/>
      <c r="M56" s="163">
        <f t="shared" ref="M56:M68" si="30">(O55+(L56+N56)/2)*Q56/12</f>
        <v>14385.469420833337</v>
      </c>
      <c r="N56" s="77"/>
      <c r="O56" s="163">
        <f t="shared" ref="O56:O68" si="31">O55+L56+M56+N56</f>
        <v>5325943.4094208339</v>
      </c>
      <c r="P56" s="77"/>
      <c r="Q56" s="164">
        <v>3.2500000000000001E-2</v>
      </c>
    </row>
    <row r="57" spans="1:17" hidden="1">
      <c r="A57" s="161">
        <v>42401</v>
      </c>
      <c r="B57" s="77"/>
      <c r="C57" s="163"/>
      <c r="D57" s="163">
        <f t="shared" si="28"/>
        <v>19465.227034240452</v>
      </c>
      <c r="E57" s="77"/>
      <c r="F57" s="163">
        <f t="shared" si="29"/>
        <v>7206625.9781384068</v>
      </c>
      <c r="G57" s="77"/>
      <c r="H57" s="164">
        <f>H56</f>
        <v>3.2500000000000001E-2</v>
      </c>
      <c r="I57" s="77"/>
      <c r="J57" s="161">
        <v>42401</v>
      </c>
      <c r="K57" s="77"/>
      <c r="L57" s="163"/>
      <c r="M57" s="163">
        <f t="shared" si="30"/>
        <v>14424.430067181425</v>
      </c>
      <c r="N57" s="77"/>
      <c r="O57" s="163">
        <f t="shared" si="31"/>
        <v>5340367.8394880155</v>
      </c>
      <c r="P57" s="77"/>
      <c r="Q57" s="164">
        <f>Q56</f>
        <v>3.2500000000000001E-2</v>
      </c>
    </row>
    <row r="58" spans="1:17" hidden="1">
      <c r="A58" s="161">
        <v>42430</v>
      </c>
      <c r="B58" s="77"/>
      <c r="C58" s="163"/>
      <c r="D58" s="169">
        <f t="shared" si="28"/>
        <v>19517.945357458186</v>
      </c>
      <c r="E58" s="77"/>
      <c r="F58" s="163">
        <f t="shared" si="29"/>
        <v>7226143.9234958645</v>
      </c>
      <c r="G58" s="77"/>
      <c r="H58" s="170">
        <f t="shared" ref="H58" si="32">H57</f>
        <v>3.2500000000000001E-2</v>
      </c>
      <c r="I58" s="77"/>
      <c r="J58" s="161">
        <v>42430</v>
      </c>
      <c r="K58" s="77"/>
      <c r="L58" s="163"/>
      <c r="M58" s="169">
        <f t="shared" si="30"/>
        <v>14463.496231946709</v>
      </c>
      <c r="N58" s="77"/>
      <c r="O58" s="163">
        <f t="shared" si="31"/>
        <v>5354831.3357199626</v>
      </c>
      <c r="P58" s="77"/>
      <c r="Q58" s="170">
        <f t="shared" ref="Q58" si="33">Q57</f>
        <v>3.2500000000000001E-2</v>
      </c>
    </row>
    <row r="59" spans="1:17" hidden="1">
      <c r="A59" s="161">
        <v>42461</v>
      </c>
      <c r="B59" s="77"/>
      <c r="C59" s="163"/>
      <c r="D59" s="163">
        <f t="shared" si="28"/>
        <v>20835.381646079742</v>
      </c>
      <c r="E59" s="77"/>
      <c r="F59" s="163">
        <f t="shared" si="29"/>
        <v>7246979.3051419444</v>
      </c>
      <c r="G59" s="77"/>
      <c r="H59" s="164">
        <v>3.4599999999999999E-2</v>
      </c>
      <c r="I59" s="77"/>
      <c r="J59" s="161">
        <v>42461</v>
      </c>
      <c r="K59" s="77"/>
      <c r="L59" s="163"/>
      <c r="M59" s="163">
        <f t="shared" si="30"/>
        <v>15439.763684659227</v>
      </c>
      <c r="N59" s="77"/>
      <c r="O59" s="163">
        <f t="shared" si="31"/>
        <v>5370271.0994046219</v>
      </c>
      <c r="P59" s="77"/>
      <c r="Q59" s="164">
        <v>3.4599999999999999E-2</v>
      </c>
    </row>
    <row r="60" spans="1:17" hidden="1">
      <c r="A60" s="161">
        <v>42491</v>
      </c>
      <c r="B60" s="77"/>
      <c r="C60" s="163"/>
      <c r="D60" s="163">
        <f t="shared" si="28"/>
        <v>20895.456996492605</v>
      </c>
      <c r="E60" s="77"/>
      <c r="F60" s="163">
        <f t="shared" si="29"/>
        <v>7267874.7621384375</v>
      </c>
      <c r="G60" s="77"/>
      <c r="H60" s="164">
        <f t="shared" ref="H60:H68" si="34">H59</f>
        <v>3.4599999999999999E-2</v>
      </c>
      <c r="I60" s="77"/>
      <c r="J60" s="161">
        <v>42491</v>
      </c>
      <c r="K60" s="77"/>
      <c r="L60" s="163"/>
      <c r="M60" s="163">
        <f t="shared" si="30"/>
        <v>15484.281669949991</v>
      </c>
      <c r="N60" s="77"/>
      <c r="O60" s="163">
        <f t="shared" si="31"/>
        <v>5385755.381074572</v>
      </c>
      <c r="P60" s="77"/>
      <c r="Q60" s="164">
        <f t="shared" ref="Q60:Q68" si="35">Q59</f>
        <v>3.4599999999999999E-2</v>
      </c>
    </row>
    <row r="61" spans="1:17">
      <c r="A61" s="161">
        <v>42522</v>
      </c>
      <c r="B61" s="77"/>
      <c r="C61" s="163"/>
      <c r="D61" s="163">
        <f>(F60+(C61+E61)/2)*H61/12</f>
        <v>20955.705564165826</v>
      </c>
      <c r="E61" s="77"/>
      <c r="F61" s="163">
        <f t="shared" si="29"/>
        <v>7288830.467702603</v>
      </c>
      <c r="G61" s="77"/>
      <c r="H61" s="164">
        <f t="shared" si="34"/>
        <v>3.4599999999999999E-2</v>
      </c>
      <c r="I61" s="77"/>
      <c r="J61" s="161">
        <v>42522</v>
      </c>
      <c r="K61" s="77"/>
      <c r="L61" s="163"/>
      <c r="M61" s="163">
        <f t="shared" si="30"/>
        <v>15528.928015431682</v>
      </c>
      <c r="N61" s="77"/>
      <c r="O61" s="163">
        <f t="shared" si="31"/>
        <v>5401284.3090900034</v>
      </c>
      <c r="P61" s="77"/>
      <c r="Q61" s="164">
        <f t="shared" si="35"/>
        <v>3.4599999999999999E-2</v>
      </c>
    </row>
    <row r="62" spans="1:17">
      <c r="A62" s="161">
        <v>42552</v>
      </c>
      <c r="B62" s="77"/>
      <c r="C62" s="163"/>
      <c r="D62" s="163">
        <f>(F61+(C62+E62)/2)*H62/12</f>
        <v>21259.088864132595</v>
      </c>
      <c r="E62" s="77"/>
      <c r="F62" s="163">
        <f t="shared" si="29"/>
        <v>7310089.5565667357</v>
      </c>
      <c r="G62" s="77"/>
      <c r="H62" s="164">
        <v>3.5000000000000003E-2</v>
      </c>
      <c r="I62" s="77"/>
      <c r="J62" s="161">
        <v>42552</v>
      </c>
      <c r="K62" s="77"/>
      <c r="L62" s="163"/>
      <c r="M62" s="163">
        <f t="shared" si="30"/>
        <v>15753.745901512511</v>
      </c>
      <c r="N62" s="77"/>
      <c r="O62" s="163">
        <f t="shared" si="31"/>
        <v>5417038.0549915163</v>
      </c>
      <c r="P62" s="77"/>
      <c r="Q62" s="164">
        <v>3.5000000000000003E-2</v>
      </c>
    </row>
    <row r="63" spans="1:17" s="77" customFormat="1">
      <c r="A63" s="161">
        <v>42583</v>
      </c>
      <c r="B63" s="176" t="s">
        <v>198</v>
      </c>
      <c r="C63" s="163">
        <v>-445679</v>
      </c>
      <c r="D63" s="163">
        <v>-8851</v>
      </c>
      <c r="F63" s="163">
        <f t="shared" si="29"/>
        <v>6855559.5565667357</v>
      </c>
      <c r="H63" s="164">
        <v>3.5000000000000003E-2</v>
      </c>
      <c r="J63" s="161"/>
      <c r="L63" s="163"/>
      <c r="M63" s="163"/>
      <c r="O63" s="163"/>
      <c r="Q63" s="164"/>
    </row>
    <row r="64" spans="1:17">
      <c r="A64" s="161">
        <v>42583</v>
      </c>
      <c r="B64" s="77"/>
      <c r="C64" s="163"/>
      <c r="D64" s="163">
        <f>(F63+(C64+E64)/2)*H64/12</f>
        <v>19995.382039986314</v>
      </c>
      <c r="E64" s="77"/>
      <c r="F64" s="163">
        <f t="shared" si="29"/>
        <v>6875554.9386067223</v>
      </c>
      <c r="G64" s="77"/>
      <c r="H64" s="164">
        <f>H62</f>
        <v>3.5000000000000003E-2</v>
      </c>
      <c r="I64" s="77"/>
      <c r="J64" s="161">
        <v>42583</v>
      </c>
      <c r="K64" s="77"/>
      <c r="L64" s="163"/>
      <c r="M64" s="163">
        <f>(O62+(L64+N64)/2)*Q64/12</f>
        <v>15799.694327058591</v>
      </c>
      <c r="N64" s="77"/>
      <c r="O64" s="163">
        <f>O62+L64+M64+N64</f>
        <v>5432837.7493185746</v>
      </c>
      <c r="P64" s="77"/>
      <c r="Q64" s="164">
        <f>Q62</f>
        <v>3.5000000000000003E-2</v>
      </c>
    </row>
    <row r="65" spans="1:17">
      <c r="A65" s="161">
        <v>42614</v>
      </c>
      <c r="B65" s="77"/>
      <c r="C65" s="163"/>
      <c r="D65" s="163">
        <f>(F64+(C65+E65)/2)*H65/12</f>
        <v>20053.701904269608</v>
      </c>
      <c r="E65" s="77"/>
      <c r="F65" s="163">
        <f t="shared" si="29"/>
        <v>6895608.6405109921</v>
      </c>
      <c r="G65" s="77"/>
      <c r="H65" s="164">
        <f>H64</f>
        <v>3.5000000000000003E-2</v>
      </c>
      <c r="I65" s="77"/>
      <c r="J65" s="161">
        <v>42614</v>
      </c>
      <c r="K65" s="77"/>
      <c r="L65" s="163"/>
      <c r="M65" s="163">
        <f>(O64+(L65+N65)/2)*Q65/12</f>
        <v>15845.776768845843</v>
      </c>
      <c r="N65" s="77"/>
      <c r="O65" s="163">
        <f>O64+L65+M65+N65</f>
        <v>5448683.5260874201</v>
      </c>
      <c r="P65" s="77"/>
      <c r="Q65" s="164">
        <f>Q64</f>
        <v>3.5000000000000003E-2</v>
      </c>
    </row>
    <row r="66" spans="1:17" hidden="1">
      <c r="A66" s="161">
        <v>42644</v>
      </c>
      <c r="B66" s="77"/>
      <c r="C66" s="163"/>
      <c r="D66" s="163">
        <f>(F65+(C66+E66)/2)*H66/12</f>
        <v>0</v>
      </c>
      <c r="E66" s="77"/>
      <c r="F66" s="163">
        <f t="shared" si="29"/>
        <v>6895608.6405109921</v>
      </c>
      <c r="G66" s="77"/>
      <c r="H66" s="164">
        <v>0</v>
      </c>
      <c r="I66" s="77"/>
      <c r="J66" s="161">
        <v>42644</v>
      </c>
      <c r="K66" s="77"/>
      <c r="L66" s="163"/>
      <c r="M66" s="163">
        <f t="shared" si="30"/>
        <v>0</v>
      </c>
      <c r="N66" s="77"/>
      <c r="O66" s="163">
        <f t="shared" si="31"/>
        <v>5448683.5260874201</v>
      </c>
      <c r="P66" s="77"/>
      <c r="Q66" s="164">
        <v>0</v>
      </c>
    </row>
    <row r="67" spans="1:17" hidden="1">
      <c r="A67" s="161">
        <v>42675</v>
      </c>
      <c r="B67" s="77"/>
      <c r="C67" s="77"/>
      <c r="D67" s="163">
        <f t="shared" ref="D67:D68" si="36">(F66+(C67+E67)/2)*H67/12</f>
        <v>0</v>
      </c>
      <c r="E67" s="24"/>
      <c r="F67" s="163">
        <f t="shared" si="29"/>
        <v>6895608.6405109921</v>
      </c>
      <c r="G67" s="77"/>
      <c r="H67" s="164">
        <f t="shared" si="34"/>
        <v>0</v>
      </c>
      <c r="I67" s="77"/>
      <c r="J67" s="161">
        <v>42675</v>
      </c>
      <c r="K67" s="77"/>
      <c r="L67" s="77"/>
      <c r="M67" s="163">
        <f t="shared" si="30"/>
        <v>0</v>
      </c>
      <c r="N67" s="24"/>
      <c r="O67" s="163">
        <f t="shared" si="31"/>
        <v>5448683.5260874201</v>
      </c>
      <c r="P67" s="77"/>
      <c r="Q67" s="164">
        <f t="shared" si="35"/>
        <v>0</v>
      </c>
    </row>
    <row r="68" spans="1:17" hidden="1">
      <c r="A68" s="161">
        <v>42705</v>
      </c>
      <c r="B68" s="162"/>
      <c r="C68" s="163"/>
      <c r="D68" s="163">
        <f t="shared" si="36"/>
        <v>0</v>
      </c>
      <c r="E68" s="24"/>
      <c r="F68" s="163">
        <f t="shared" si="29"/>
        <v>6895608.6405109921</v>
      </c>
      <c r="G68" s="77"/>
      <c r="H68" s="164">
        <f t="shared" si="34"/>
        <v>0</v>
      </c>
      <c r="I68" s="77"/>
      <c r="J68" s="161">
        <v>42705</v>
      </c>
      <c r="K68" s="162"/>
      <c r="L68" s="163"/>
      <c r="M68" s="163">
        <f t="shared" si="30"/>
        <v>0</v>
      </c>
      <c r="N68" s="24"/>
      <c r="O68" s="163">
        <f t="shared" si="31"/>
        <v>5448683.5260874201</v>
      </c>
      <c r="P68" s="77"/>
      <c r="Q68" s="164">
        <f t="shared" si="35"/>
        <v>0</v>
      </c>
    </row>
    <row r="69" spans="1:17" ht="30.75" customHeight="1">
      <c r="A69" s="77"/>
      <c r="B69" s="176" t="s">
        <v>198</v>
      </c>
      <c r="C69" s="179" t="s">
        <v>199</v>
      </c>
      <c r="D69" s="179"/>
      <c r="E69" s="179"/>
      <c r="F69" s="179"/>
      <c r="G69" s="179"/>
      <c r="H69" s="179"/>
      <c r="I69" s="77"/>
      <c r="J69" s="77"/>
      <c r="K69" s="77"/>
      <c r="L69" s="77"/>
      <c r="M69" s="77"/>
      <c r="N69" s="77"/>
      <c r="O69" s="163"/>
      <c r="P69" s="77"/>
      <c r="Q69" s="77"/>
    </row>
    <row r="70" spans="1:17">
      <c r="A70" s="77">
        <v>182339</v>
      </c>
      <c r="B70" s="77" t="s">
        <v>53</v>
      </c>
      <c r="C70" s="159" t="s">
        <v>140</v>
      </c>
      <c r="D70" s="159" t="s">
        <v>141</v>
      </c>
      <c r="E70" s="159"/>
      <c r="F70" s="163" t="s">
        <v>143</v>
      </c>
      <c r="G70" s="77"/>
      <c r="H70" s="159" t="s">
        <v>141</v>
      </c>
      <c r="I70" s="77"/>
      <c r="J70" s="77">
        <v>182339</v>
      </c>
      <c r="K70" s="77" t="s">
        <v>54</v>
      </c>
      <c r="L70" s="159" t="s">
        <v>140</v>
      </c>
      <c r="M70" s="159" t="s">
        <v>141</v>
      </c>
      <c r="N70" s="159"/>
      <c r="O70" s="163" t="s">
        <v>143</v>
      </c>
      <c r="P70" s="77"/>
      <c r="Q70" s="159" t="s">
        <v>141</v>
      </c>
    </row>
    <row r="71" spans="1:17">
      <c r="A71" s="77"/>
      <c r="B71" s="77"/>
      <c r="C71" s="159" t="s">
        <v>144</v>
      </c>
      <c r="D71" s="159" t="s">
        <v>145</v>
      </c>
      <c r="E71" s="159" t="s">
        <v>146</v>
      </c>
      <c r="F71" s="163" t="s">
        <v>142</v>
      </c>
      <c r="G71" s="77"/>
      <c r="H71" s="159" t="s">
        <v>147</v>
      </c>
      <c r="I71" s="77"/>
      <c r="J71" s="77"/>
      <c r="K71" s="77"/>
      <c r="L71" s="159" t="s">
        <v>144</v>
      </c>
      <c r="M71" s="159" t="s">
        <v>145</v>
      </c>
      <c r="N71" s="159" t="s">
        <v>146</v>
      </c>
      <c r="O71" s="163" t="s">
        <v>142</v>
      </c>
      <c r="P71" s="77"/>
      <c r="Q71" s="159" t="s">
        <v>147</v>
      </c>
    </row>
    <row r="72" spans="1:17" hidden="1">
      <c r="A72" s="161">
        <v>42339</v>
      </c>
      <c r="B72" s="162"/>
      <c r="C72" s="162"/>
      <c r="D72" s="77"/>
      <c r="E72" s="77"/>
      <c r="F72" s="163">
        <v>-2373471.7799999998</v>
      </c>
      <c r="G72" s="77"/>
      <c r="H72" s="77"/>
      <c r="I72" s="77"/>
      <c r="J72" s="161">
        <v>42339</v>
      </c>
      <c r="K72" s="162"/>
      <c r="L72" s="162"/>
      <c r="M72" s="77"/>
      <c r="N72" s="77"/>
      <c r="O72" s="163">
        <v>1736736.47</v>
      </c>
      <c r="P72" s="77"/>
      <c r="Q72" s="77"/>
    </row>
    <row r="73" spans="1:17" hidden="1">
      <c r="A73" s="161">
        <v>42370</v>
      </c>
      <c r="B73" s="77"/>
      <c r="C73" s="163"/>
      <c r="D73" s="163">
        <f>(F72+(C73+E73)/2)*H73/12</f>
        <v>-6428.1527374999996</v>
      </c>
      <c r="E73" s="77"/>
      <c r="F73" s="163">
        <f>F72+C73+D73+E73</f>
        <v>-2379899.9327374999</v>
      </c>
      <c r="G73" s="77"/>
      <c r="H73" s="164">
        <v>3.2500000000000001E-2</v>
      </c>
      <c r="I73" s="77"/>
      <c r="J73" s="161">
        <v>42370</v>
      </c>
      <c r="K73" s="77"/>
      <c r="L73" s="163"/>
      <c r="M73" s="163">
        <f>(O72+(L73+N73)/2)*Q73/12</f>
        <v>4703.6612729166673</v>
      </c>
      <c r="N73" s="77"/>
      <c r="O73" s="163">
        <f>O72+L73+M73+N73</f>
        <v>1741440.1312729167</v>
      </c>
      <c r="P73" s="77"/>
      <c r="Q73" s="164">
        <v>3.2500000000000001E-2</v>
      </c>
    </row>
    <row r="74" spans="1:17" hidden="1">
      <c r="A74" s="161">
        <v>42401</v>
      </c>
      <c r="B74" s="77"/>
      <c r="C74" s="163"/>
      <c r="D74" s="163">
        <f>(F73+(C74+E74)/2)*H74/12</f>
        <v>-6445.5623178307287</v>
      </c>
      <c r="E74" s="77"/>
      <c r="F74" s="163">
        <f>F73+C74+D74+E74</f>
        <v>-2386345.4950553305</v>
      </c>
      <c r="G74" s="77"/>
      <c r="H74" s="164">
        <f>H73</f>
        <v>3.2500000000000001E-2</v>
      </c>
      <c r="I74" s="77"/>
      <c r="J74" s="161">
        <v>42401</v>
      </c>
      <c r="K74" s="77"/>
      <c r="L74" s="163"/>
      <c r="M74" s="163">
        <f>(O73+(L74+N74)/2)*Q74/12</f>
        <v>4716.4003555308163</v>
      </c>
      <c r="N74" s="77"/>
      <c r="O74" s="163">
        <f>O73+L74+M74+N74</f>
        <v>1746156.5316284476</v>
      </c>
      <c r="P74" s="77"/>
      <c r="Q74" s="164">
        <f>Q73</f>
        <v>3.2500000000000001E-2</v>
      </c>
    </row>
    <row r="75" spans="1:17" hidden="1">
      <c r="A75" s="161">
        <v>42430</v>
      </c>
      <c r="B75" s="77"/>
      <c r="C75" s="163"/>
      <c r="D75" s="169">
        <f>(F74+(C75+E75)/2)*H75/12</f>
        <v>-6463.0190491081876</v>
      </c>
      <c r="E75" s="77"/>
      <c r="F75" s="163">
        <f>F74+C75+D75+E75</f>
        <v>-2392808.5141044385</v>
      </c>
      <c r="G75" s="77"/>
      <c r="H75" s="170">
        <f t="shared" ref="H75" si="37">H74</f>
        <v>3.2500000000000001E-2</v>
      </c>
      <c r="I75" s="77"/>
      <c r="J75" s="161">
        <v>42430</v>
      </c>
      <c r="K75" s="77"/>
      <c r="L75" s="163"/>
      <c r="M75" s="169">
        <f>(O74+(L75+N75)/2)*Q75/12</f>
        <v>4729.1739398270456</v>
      </c>
      <c r="N75" s="77"/>
      <c r="O75" s="163">
        <f>O74+L75+M75+N75</f>
        <v>1750885.7055682747</v>
      </c>
      <c r="P75" s="77"/>
      <c r="Q75" s="170">
        <f t="shared" ref="Q75" si="38">Q74</f>
        <v>3.2500000000000001E-2</v>
      </c>
    </row>
    <row r="76" spans="1:17" s="77" customFormat="1" hidden="1">
      <c r="A76" s="161">
        <v>42461</v>
      </c>
      <c r="C76" s="163"/>
      <c r="D76" s="163">
        <f t="shared" ref="D76:D78" si="39">(F75+(C76+E76)/2)*H76/12</f>
        <v>-6899.2645490011309</v>
      </c>
      <c r="F76" s="163">
        <f t="shared" ref="F76:F85" si="40">F75+C76+D76+E76</f>
        <v>-2399707.7786534396</v>
      </c>
      <c r="H76" s="164">
        <v>3.4599999999999999E-2</v>
      </c>
      <c r="J76" s="161">
        <v>42461</v>
      </c>
      <c r="L76" s="163"/>
      <c r="M76" s="163">
        <f t="shared" ref="M76:M83" si="41">(O75+(L76+N76)/2)*Q76/12</f>
        <v>5048.3871177218589</v>
      </c>
      <c r="O76" s="163">
        <f t="shared" ref="O76:O83" si="42">O75+L76+M76+N76</f>
        <v>1755934.0926859966</v>
      </c>
      <c r="Q76" s="164">
        <v>3.4599999999999999E-2</v>
      </c>
    </row>
    <row r="77" spans="1:17" s="77" customFormat="1" hidden="1">
      <c r="A77" s="161">
        <v>42491</v>
      </c>
      <c r="C77" s="163"/>
      <c r="D77" s="163">
        <f t="shared" si="39"/>
        <v>-6919.1574284507506</v>
      </c>
      <c r="F77" s="163">
        <f t="shared" si="40"/>
        <v>-2406626.9360818905</v>
      </c>
      <c r="H77" s="164">
        <f t="shared" ref="H77:H84" si="43">H76</f>
        <v>3.4599999999999999E-2</v>
      </c>
      <c r="J77" s="161">
        <v>42491</v>
      </c>
      <c r="L77" s="163"/>
      <c r="M77" s="163">
        <f t="shared" si="41"/>
        <v>5062.9433005779565</v>
      </c>
      <c r="O77" s="163">
        <f t="shared" si="42"/>
        <v>1760997.0359865746</v>
      </c>
      <c r="Q77" s="164">
        <f t="shared" ref="Q77:Q84" si="44">Q76</f>
        <v>3.4599999999999999E-2</v>
      </c>
    </row>
    <row r="78" spans="1:17" s="77" customFormat="1">
      <c r="A78" s="161">
        <v>42522</v>
      </c>
      <c r="C78" s="163"/>
      <c r="D78" s="163">
        <f t="shared" si="39"/>
        <v>-6939.1076657027843</v>
      </c>
      <c r="F78" s="163">
        <f t="shared" si="40"/>
        <v>-2413566.0437475932</v>
      </c>
      <c r="H78" s="164">
        <f t="shared" si="43"/>
        <v>3.4599999999999999E-2</v>
      </c>
      <c r="J78" s="161">
        <v>42522</v>
      </c>
      <c r="L78" s="163"/>
      <c r="M78" s="163">
        <f>(O77+(L78+N78)/2)*Q78/12</f>
        <v>5077.5414537612896</v>
      </c>
      <c r="O78" s="163">
        <f t="shared" si="42"/>
        <v>1766074.5774403359</v>
      </c>
      <c r="Q78" s="164">
        <f t="shared" si="44"/>
        <v>3.4599999999999999E-2</v>
      </c>
    </row>
    <row r="79" spans="1:17" s="77" customFormat="1">
      <c r="A79" s="161">
        <v>42552</v>
      </c>
      <c r="C79" s="163"/>
      <c r="D79" s="163">
        <f>(F78+(C79+E79)/2)*H79/12</f>
        <v>-7039.5676275971482</v>
      </c>
      <c r="F79" s="163">
        <f t="shared" si="40"/>
        <v>-2420605.6113751903</v>
      </c>
      <c r="H79" s="164">
        <v>3.5000000000000003E-2</v>
      </c>
      <c r="J79" s="161">
        <v>42552</v>
      </c>
      <c r="L79" s="163"/>
      <c r="M79" s="163">
        <f>(O78+(L79+N79)/2)*Q79/12</f>
        <v>5151.0508508676467</v>
      </c>
      <c r="O79" s="163">
        <f t="shared" si="42"/>
        <v>1771225.6282912036</v>
      </c>
      <c r="Q79" s="164">
        <v>3.5000000000000003E-2</v>
      </c>
    </row>
    <row r="80" spans="1:17" s="77" customFormat="1">
      <c r="A80" s="161">
        <v>42583</v>
      </c>
      <c r="B80" s="176" t="s">
        <v>198</v>
      </c>
      <c r="C80" s="163">
        <v>-453222</v>
      </c>
      <c r="D80" s="163">
        <v>-9000</v>
      </c>
      <c r="F80" s="163">
        <f t="shared" si="40"/>
        <v>-2882827.6113751903</v>
      </c>
      <c r="H80" s="164">
        <v>3.5000000000000003E-2</v>
      </c>
      <c r="J80" s="175"/>
      <c r="K80" s="175"/>
      <c r="L80" s="175"/>
      <c r="M80" s="175"/>
      <c r="N80" s="175"/>
      <c r="O80" s="175"/>
      <c r="P80" s="175"/>
      <c r="Q80" s="175"/>
    </row>
    <row r="81" spans="1:17" s="77" customFormat="1">
      <c r="A81" s="161">
        <v>42583</v>
      </c>
      <c r="C81" s="163"/>
      <c r="D81" s="163">
        <f>(F80+(C81+E81)/2)*H81/12</f>
        <v>-8408.2471998443052</v>
      </c>
      <c r="F81" s="163">
        <f t="shared" si="40"/>
        <v>-2891235.8585750344</v>
      </c>
      <c r="H81" s="164">
        <f>H79</f>
        <v>3.5000000000000003E-2</v>
      </c>
      <c r="J81" s="161">
        <v>42583</v>
      </c>
      <c r="L81" s="163"/>
      <c r="M81" s="163">
        <f>(O79+(L81+N81)/2)*Q81/12</f>
        <v>5166.0747491826778</v>
      </c>
      <c r="O81" s="163">
        <f>O79+L81+M81+N81</f>
        <v>1776391.7030403863</v>
      </c>
      <c r="Q81" s="164">
        <f>Q79</f>
        <v>3.5000000000000003E-2</v>
      </c>
    </row>
    <row r="82" spans="1:17" s="77" customFormat="1">
      <c r="A82" s="161">
        <v>42614</v>
      </c>
      <c r="C82" s="163"/>
      <c r="D82" s="163">
        <f>(F81+(C82+E82)/2)*H82/12</f>
        <v>-8432.7712541771853</v>
      </c>
      <c r="F82" s="163">
        <f t="shared" si="40"/>
        <v>-2899668.6298292116</v>
      </c>
      <c r="H82" s="164">
        <f>H81</f>
        <v>3.5000000000000003E-2</v>
      </c>
      <c r="J82" s="161">
        <v>42614</v>
      </c>
      <c r="L82" s="163"/>
      <c r="M82" s="163">
        <f>(O81+(L82+N82)/2)*Q82/12</f>
        <v>5181.1424672011271</v>
      </c>
      <c r="O82" s="163">
        <f>O81+L82+M82+N82</f>
        <v>1781572.8455075875</v>
      </c>
      <c r="Q82" s="164">
        <f>Q81</f>
        <v>3.5000000000000003E-2</v>
      </c>
    </row>
    <row r="83" spans="1:17" s="77" customFormat="1" hidden="1">
      <c r="A83" s="161">
        <v>42644</v>
      </c>
      <c r="C83" s="163"/>
      <c r="D83" s="163">
        <f t="shared" ref="D83:D85" si="45">(F82+(C83+E83)/2)*H83/12</f>
        <v>0</v>
      </c>
      <c r="F83" s="163">
        <f t="shared" si="40"/>
        <v>-2899668.6298292116</v>
      </c>
      <c r="H83" s="164">
        <v>0</v>
      </c>
      <c r="J83" s="161">
        <v>42644</v>
      </c>
      <c r="L83" s="163"/>
      <c r="M83" s="163">
        <f t="shared" si="41"/>
        <v>0</v>
      </c>
      <c r="O83" s="163">
        <f t="shared" si="42"/>
        <v>1781572.8455075875</v>
      </c>
      <c r="Q83" s="164">
        <v>0</v>
      </c>
    </row>
    <row r="84" spans="1:17" s="77" customFormat="1" hidden="1">
      <c r="A84" s="161">
        <v>42675</v>
      </c>
      <c r="C84" s="163"/>
      <c r="D84" s="163">
        <f t="shared" si="45"/>
        <v>0</v>
      </c>
      <c r="F84" s="163">
        <f t="shared" si="40"/>
        <v>-2899668.6298292116</v>
      </c>
      <c r="H84" s="164">
        <f t="shared" si="43"/>
        <v>0</v>
      </c>
      <c r="J84" s="161">
        <v>42675</v>
      </c>
      <c r="L84" s="163"/>
      <c r="M84" s="163">
        <f>(O83+(L84+N84)/2)*Q84/12</f>
        <v>0</v>
      </c>
      <c r="O84" s="163">
        <f>O83+L84+M84+N84</f>
        <v>1781572.8455075875</v>
      </c>
      <c r="Q84" s="164">
        <f t="shared" si="44"/>
        <v>0</v>
      </c>
    </row>
    <row r="85" spans="1:17" s="77" customFormat="1" hidden="1">
      <c r="A85" s="161">
        <v>42705</v>
      </c>
      <c r="C85" s="163"/>
      <c r="D85" s="163">
        <f t="shared" si="45"/>
        <v>0</v>
      </c>
      <c r="F85" s="163">
        <f t="shared" si="40"/>
        <v>-2899668.6298292116</v>
      </c>
      <c r="H85" s="164">
        <f t="shared" ref="H85" si="46">H84</f>
        <v>0</v>
      </c>
      <c r="J85" s="161">
        <v>42705</v>
      </c>
      <c r="L85" s="163"/>
      <c r="M85" s="163">
        <f t="shared" ref="M85" si="47">(O84+(L85+N85)/2)*Q85/12</f>
        <v>0</v>
      </c>
      <c r="O85" s="163">
        <f t="shared" ref="O85" si="48">O84+L85+M85+N85</f>
        <v>1781572.8455075875</v>
      </c>
      <c r="Q85" s="164">
        <f t="shared" ref="Q85" si="49">Q84</f>
        <v>0</v>
      </c>
    </row>
    <row r="86" spans="1:17" s="77" customFormat="1" ht="29.25" customHeight="1">
      <c r="A86" s="161"/>
      <c r="B86" s="176" t="s">
        <v>198</v>
      </c>
      <c r="C86" s="178" t="s">
        <v>200</v>
      </c>
      <c r="D86" s="178"/>
      <c r="E86" s="178"/>
      <c r="F86" s="178"/>
      <c r="G86" s="178"/>
      <c r="H86" s="178"/>
      <c r="J86" s="161"/>
      <c r="L86" s="163"/>
      <c r="M86" s="163"/>
      <c r="O86" s="163"/>
      <c r="Q86" s="164"/>
    </row>
    <row r="87" spans="1:17">
      <c r="A87" s="77">
        <v>182328</v>
      </c>
      <c r="B87" s="77" t="s">
        <v>53</v>
      </c>
      <c r="C87" s="159" t="s">
        <v>140</v>
      </c>
      <c r="D87" s="159" t="s">
        <v>141</v>
      </c>
      <c r="E87" s="159"/>
      <c r="F87" s="163" t="s">
        <v>143</v>
      </c>
      <c r="G87" s="77"/>
      <c r="H87" s="159" t="s">
        <v>141</v>
      </c>
      <c r="I87" s="77"/>
      <c r="J87" s="77">
        <v>182328</v>
      </c>
      <c r="K87" s="77" t="s">
        <v>54</v>
      </c>
      <c r="L87" s="159" t="s">
        <v>140</v>
      </c>
      <c r="M87" s="159" t="s">
        <v>141</v>
      </c>
      <c r="N87" s="159"/>
      <c r="O87" s="163" t="s">
        <v>143</v>
      </c>
      <c r="P87" s="77"/>
      <c r="Q87" s="159" t="s">
        <v>141</v>
      </c>
    </row>
    <row r="88" spans="1:17">
      <c r="A88" s="77"/>
      <c r="B88" s="77"/>
      <c r="C88" s="159" t="s">
        <v>144</v>
      </c>
      <c r="D88" s="159" t="s">
        <v>145</v>
      </c>
      <c r="E88" s="159" t="s">
        <v>146</v>
      </c>
      <c r="F88" s="163" t="s">
        <v>142</v>
      </c>
      <c r="G88" s="77"/>
      <c r="H88" s="159" t="s">
        <v>147</v>
      </c>
      <c r="I88" s="77"/>
      <c r="J88" s="77"/>
      <c r="K88" s="77"/>
      <c r="L88" s="159" t="s">
        <v>144</v>
      </c>
      <c r="M88" s="159" t="s">
        <v>145</v>
      </c>
      <c r="N88" s="159" t="s">
        <v>146</v>
      </c>
      <c r="O88" s="163" t="s">
        <v>142</v>
      </c>
      <c r="P88" s="77"/>
      <c r="Q88" s="159" t="s">
        <v>147</v>
      </c>
    </row>
    <row r="89" spans="1:17" hidden="1">
      <c r="A89" s="161">
        <v>42339</v>
      </c>
      <c r="B89" s="162"/>
      <c r="C89" s="162"/>
      <c r="D89" s="77"/>
      <c r="E89" s="77"/>
      <c r="F89" s="163">
        <v>0</v>
      </c>
      <c r="G89" s="77"/>
      <c r="H89" s="77"/>
      <c r="I89" s="77"/>
      <c r="J89" s="161">
        <v>42339</v>
      </c>
      <c r="K89" s="162"/>
      <c r="L89" s="162"/>
      <c r="M89" s="77"/>
      <c r="N89" s="77"/>
      <c r="O89" s="163">
        <v>5640</v>
      </c>
      <c r="P89" s="77"/>
      <c r="Q89" s="77"/>
    </row>
    <row r="90" spans="1:17" hidden="1">
      <c r="A90" s="161">
        <v>42370</v>
      </c>
      <c r="B90" s="77"/>
      <c r="C90" s="163"/>
      <c r="D90" s="163">
        <f t="shared" ref="D90:D101" si="50">(F89+(C90+E90)/2)*H90/12</f>
        <v>0</v>
      </c>
      <c r="E90" s="77"/>
      <c r="F90" s="163">
        <f t="shared" ref="F90:F101" si="51">F89+C90+D90+E90</f>
        <v>0</v>
      </c>
      <c r="G90" s="77"/>
      <c r="H90" s="164">
        <v>3.2500000000000001E-2</v>
      </c>
      <c r="I90" s="77"/>
      <c r="J90" s="161">
        <v>42370</v>
      </c>
      <c r="K90" s="77"/>
      <c r="L90" s="163"/>
      <c r="M90" s="163">
        <f t="shared" ref="M90:M101" si="52">(O89+(L90+N90)/2)*Q90/12</f>
        <v>15.275</v>
      </c>
      <c r="N90" s="77"/>
      <c r="O90" s="163">
        <f t="shared" ref="O90:O101" si="53">O89+L90+M90+N90</f>
        <v>5655.2749999999996</v>
      </c>
      <c r="P90" s="77"/>
      <c r="Q90" s="164">
        <v>3.2500000000000001E-2</v>
      </c>
    </row>
    <row r="91" spans="1:17" hidden="1">
      <c r="A91" s="161">
        <v>42401</v>
      </c>
      <c r="B91" s="77"/>
      <c r="C91" s="163"/>
      <c r="D91" s="163">
        <f t="shared" si="50"/>
        <v>0</v>
      </c>
      <c r="E91" s="77"/>
      <c r="F91" s="163">
        <f t="shared" si="51"/>
        <v>0</v>
      </c>
      <c r="G91" s="77"/>
      <c r="H91" s="164">
        <f>H90</f>
        <v>3.2500000000000001E-2</v>
      </c>
      <c r="I91" s="77"/>
      <c r="J91" s="161">
        <v>42401</v>
      </c>
      <c r="K91" s="77"/>
      <c r="L91" s="163"/>
      <c r="M91" s="163">
        <f t="shared" si="52"/>
        <v>15.316369791666666</v>
      </c>
      <c r="N91" s="77"/>
      <c r="O91" s="163">
        <f t="shared" si="53"/>
        <v>5670.5913697916667</v>
      </c>
      <c r="P91" s="77"/>
      <c r="Q91" s="164">
        <f>Q90</f>
        <v>3.2500000000000001E-2</v>
      </c>
    </row>
    <row r="92" spans="1:17" hidden="1">
      <c r="A92" s="161">
        <v>42430</v>
      </c>
      <c r="B92" s="77"/>
      <c r="C92" s="163"/>
      <c r="D92" s="163">
        <f t="shared" si="50"/>
        <v>0</v>
      </c>
      <c r="E92" s="77"/>
      <c r="F92" s="163">
        <f t="shared" si="51"/>
        <v>0</v>
      </c>
      <c r="G92" s="77"/>
      <c r="H92" s="170">
        <f t="shared" ref="H92" si="54">H91</f>
        <v>3.2500000000000001E-2</v>
      </c>
      <c r="I92" s="77"/>
      <c r="J92" s="161">
        <v>42430</v>
      </c>
      <c r="K92" s="77"/>
      <c r="L92" s="163"/>
      <c r="M92" s="169">
        <f t="shared" si="52"/>
        <v>15.357851626519098</v>
      </c>
      <c r="N92" s="77"/>
      <c r="O92" s="163">
        <f t="shared" si="53"/>
        <v>5685.9492214181855</v>
      </c>
      <c r="P92" s="77"/>
      <c r="Q92" s="170">
        <f t="shared" ref="Q92" si="55">Q91</f>
        <v>3.2500000000000001E-2</v>
      </c>
    </row>
    <row r="93" spans="1:17" hidden="1">
      <c r="A93" s="161">
        <v>42461</v>
      </c>
      <c r="B93" s="77"/>
      <c r="C93" s="163"/>
      <c r="D93" s="163">
        <f t="shared" si="50"/>
        <v>0</v>
      </c>
      <c r="E93" s="77"/>
      <c r="F93" s="163">
        <f t="shared" si="51"/>
        <v>0</v>
      </c>
      <c r="G93" s="77"/>
      <c r="H93" s="164">
        <v>3.4599999999999999E-2</v>
      </c>
      <c r="I93" s="77"/>
      <c r="J93" s="161">
        <v>42461</v>
      </c>
      <c r="K93" s="77"/>
      <c r="L93" s="163"/>
      <c r="M93" s="163">
        <f t="shared" si="52"/>
        <v>16.394486921755767</v>
      </c>
      <c r="N93" s="77"/>
      <c r="O93" s="163">
        <f t="shared" si="53"/>
        <v>5702.3437083399413</v>
      </c>
      <c r="P93" s="77"/>
      <c r="Q93" s="164">
        <v>3.4599999999999999E-2</v>
      </c>
    </row>
    <row r="94" spans="1:17" hidden="1">
      <c r="A94" s="161">
        <v>42491</v>
      </c>
      <c r="B94" s="77"/>
      <c r="C94" s="163"/>
      <c r="D94" s="163">
        <f t="shared" si="50"/>
        <v>0</v>
      </c>
      <c r="E94" s="77"/>
      <c r="F94" s="163">
        <f t="shared" si="51"/>
        <v>0</v>
      </c>
      <c r="G94" s="77"/>
      <c r="H94" s="164">
        <f t="shared" ref="H94:H101" si="56">H93</f>
        <v>3.4599999999999999E-2</v>
      </c>
      <c r="I94" s="77"/>
      <c r="J94" s="161">
        <v>42491</v>
      </c>
      <c r="K94" s="77"/>
      <c r="L94" s="163"/>
      <c r="M94" s="163">
        <f t="shared" si="52"/>
        <v>16.441757692380161</v>
      </c>
      <c r="N94" s="77"/>
      <c r="O94" s="163">
        <f t="shared" si="53"/>
        <v>5718.785466032321</v>
      </c>
      <c r="P94" s="77"/>
      <c r="Q94" s="164">
        <f t="shared" ref="Q94:Q101" si="57">Q93</f>
        <v>3.4599999999999999E-2</v>
      </c>
    </row>
    <row r="95" spans="1:17">
      <c r="A95" s="161">
        <v>42522</v>
      </c>
      <c r="B95" s="77"/>
      <c r="C95" s="163"/>
      <c r="D95" s="163">
        <f t="shared" si="50"/>
        <v>0</v>
      </c>
      <c r="E95" s="77"/>
      <c r="F95" s="163">
        <f t="shared" si="51"/>
        <v>0</v>
      </c>
      <c r="G95" s="77"/>
      <c r="H95" s="164">
        <f t="shared" si="56"/>
        <v>3.4599999999999999E-2</v>
      </c>
      <c r="I95" s="77"/>
      <c r="J95" s="161">
        <v>42522</v>
      </c>
      <c r="K95" s="77"/>
      <c r="L95" s="163"/>
      <c r="M95" s="163">
        <f>(O94+(L95+N95)/2)*Q95/12</f>
        <v>16.489164760393191</v>
      </c>
      <c r="N95" s="77"/>
      <c r="O95" s="163">
        <f t="shared" si="53"/>
        <v>5735.2746307927146</v>
      </c>
      <c r="P95" s="77"/>
      <c r="Q95" s="164">
        <f t="shared" si="57"/>
        <v>3.4599999999999999E-2</v>
      </c>
    </row>
    <row r="96" spans="1:17">
      <c r="A96" s="161">
        <v>42552</v>
      </c>
      <c r="B96" s="77"/>
      <c r="C96" s="163"/>
      <c r="D96" s="163">
        <f t="shared" si="50"/>
        <v>0</v>
      </c>
      <c r="E96" s="77"/>
      <c r="F96" s="163">
        <f t="shared" si="51"/>
        <v>0</v>
      </c>
      <c r="G96" s="77"/>
      <c r="H96" s="164">
        <v>3.5000000000000003E-2</v>
      </c>
      <c r="I96" s="77"/>
      <c r="J96" s="161">
        <v>42552</v>
      </c>
      <c r="K96" s="77"/>
      <c r="L96" s="163"/>
      <c r="M96" s="163">
        <f>(O95+(L96+N96)/2)*Q96/12</f>
        <v>16.727884339812086</v>
      </c>
      <c r="N96" s="77"/>
      <c r="O96" s="163">
        <f t="shared" si="53"/>
        <v>5752.0025151325262</v>
      </c>
      <c r="P96" s="77"/>
      <c r="Q96" s="164">
        <v>3.5000000000000003E-2</v>
      </c>
    </row>
    <row r="97" spans="1:17">
      <c r="A97" s="161">
        <v>42583</v>
      </c>
      <c r="B97" s="77"/>
      <c r="C97" s="163"/>
      <c r="D97" s="163">
        <f t="shared" si="50"/>
        <v>0</v>
      </c>
      <c r="E97" s="77"/>
      <c r="F97" s="163">
        <f t="shared" si="51"/>
        <v>0</v>
      </c>
      <c r="G97" s="77"/>
      <c r="H97" s="164">
        <f t="shared" si="56"/>
        <v>3.5000000000000003E-2</v>
      </c>
      <c r="I97" s="77"/>
      <c r="J97" s="161">
        <v>42583</v>
      </c>
      <c r="K97" s="77"/>
      <c r="L97" s="163"/>
      <c r="M97" s="163">
        <f>(O96+(L97+N97)/2)*Q97/12</f>
        <v>16.776674002469871</v>
      </c>
      <c r="N97" s="77"/>
      <c r="O97" s="163">
        <f t="shared" si="53"/>
        <v>5768.7791891349962</v>
      </c>
      <c r="P97" s="77"/>
      <c r="Q97" s="164">
        <f t="shared" si="57"/>
        <v>3.5000000000000003E-2</v>
      </c>
    </row>
    <row r="98" spans="1:17">
      <c r="A98" s="161">
        <v>42614</v>
      </c>
      <c r="B98" s="77"/>
      <c r="C98" s="163"/>
      <c r="D98" s="163">
        <f t="shared" si="50"/>
        <v>0</v>
      </c>
      <c r="E98" s="77"/>
      <c r="F98" s="163">
        <f t="shared" si="51"/>
        <v>0</v>
      </c>
      <c r="G98" s="77"/>
      <c r="H98" s="164">
        <f t="shared" si="56"/>
        <v>3.5000000000000003E-2</v>
      </c>
      <c r="I98" s="77"/>
      <c r="J98" s="161">
        <v>42614</v>
      </c>
      <c r="K98" s="77"/>
      <c r="L98" s="163"/>
      <c r="M98" s="163">
        <f>(O97+(L98+N98)/2)*Q98/12</f>
        <v>16.825605968310409</v>
      </c>
      <c r="N98" s="77"/>
      <c r="O98" s="163">
        <f t="shared" si="53"/>
        <v>5785.604795103307</v>
      </c>
      <c r="P98" s="77"/>
      <c r="Q98" s="164">
        <f t="shared" si="57"/>
        <v>3.5000000000000003E-2</v>
      </c>
    </row>
    <row r="99" spans="1:17" hidden="1">
      <c r="A99" s="161">
        <v>42644</v>
      </c>
      <c r="B99" s="77"/>
      <c r="C99" s="163"/>
      <c r="D99" s="163">
        <f t="shared" si="50"/>
        <v>0</v>
      </c>
      <c r="E99" s="77"/>
      <c r="F99" s="163">
        <f t="shared" si="51"/>
        <v>0</v>
      </c>
      <c r="G99" s="77"/>
      <c r="H99" s="164">
        <v>0</v>
      </c>
      <c r="I99" s="77"/>
      <c r="J99" s="161">
        <v>42644</v>
      </c>
      <c r="K99" s="77"/>
      <c r="L99" s="163"/>
      <c r="M99" s="163">
        <f t="shared" si="52"/>
        <v>0</v>
      </c>
      <c r="N99" s="77"/>
      <c r="O99" s="163">
        <f t="shared" si="53"/>
        <v>5785.604795103307</v>
      </c>
      <c r="P99" s="77"/>
      <c r="Q99" s="164">
        <v>0</v>
      </c>
    </row>
    <row r="100" spans="1:17" hidden="1">
      <c r="A100" s="161">
        <v>42675</v>
      </c>
      <c r="B100" s="77"/>
      <c r="C100" s="77"/>
      <c r="D100" s="163">
        <f t="shared" si="50"/>
        <v>0</v>
      </c>
      <c r="E100" s="24"/>
      <c r="F100" s="163">
        <f t="shared" si="51"/>
        <v>0</v>
      </c>
      <c r="G100" s="77"/>
      <c r="H100" s="164">
        <f t="shared" si="56"/>
        <v>0</v>
      </c>
      <c r="I100" s="77"/>
      <c r="J100" s="161">
        <v>42675</v>
      </c>
      <c r="K100" s="77"/>
      <c r="L100" s="77"/>
      <c r="M100" s="163">
        <f t="shared" si="52"/>
        <v>0</v>
      </c>
      <c r="N100" s="24"/>
      <c r="O100" s="163">
        <f t="shared" si="53"/>
        <v>5785.604795103307</v>
      </c>
      <c r="P100" s="77"/>
      <c r="Q100" s="164">
        <f t="shared" si="57"/>
        <v>0</v>
      </c>
    </row>
    <row r="101" spans="1:17" hidden="1">
      <c r="A101" s="161">
        <v>42705</v>
      </c>
      <c r="B101" s="162"/>
      <c r="C101" s="163"/>
      <c r="D101" s="163">
        <f t="shared" si="50"/>
        <v>0</v>
      </c>
      <c r="E101" s="24"/>
      <c r="F101" s="163">
        <f t="shared" si="51"/>
        <v>0</v>
      </c>
      <c r="G101" s="77"/>
      <c r="H101" s="164">
        <f t="shared" si="56"/>
        <v>0</v>
      </c>
      <c r="I101" s="77"/>
      <c r="J101" s="161">
        <v>42705</v>
      </c>
      <c r="K101" s="162"/>
      <c r="L101" s="163"/>
      <c r="M101" s="163">
        <f t="shared" si="52"/>
        <v>0</v>
      </c>
      <c r="N101" s="24"/>
      <c r="O101" s="163">
        <f t="shared" si="53"/>
        <v>5785.604795103307</v>
      </c>
      <c r="P101" s="77"/>
      <c r="Q101" s="164">
        <f t="shared" si="57"/>
        <v>0</v>
      </c>
    </row>
    <row r="102" spans="1:17">
      <c r="A102" s="77"/>
      <c r="B102" s="77"/>
      <c r="C102" s="77"/>
      <c r="D102" s="77"/>
      <c r="E102" s="77"/>
      <c r="F102" s="163"/>
      <c r="G102" s="77"/>
      <c r="H102" s="77"/>
      <c r="I102" s="77"/>
      <c r="J102" s="77"/>
      <c r="K102" s="77"/>
      <c r="L102" s="77"/>
      <c r="M102" s="77"/>
      <c r="N102" s="77"/>
      <c r="O102" s="163"/>
      <c r="P102" s="77"/>
      <c r="Q102" s="77"/>
    </row>
    <row r="103" spans="1:17">
      <c r="A103" s="77">
        <v>182338</v>
      </c>
      <c r="B103" s="77" t="s">
        <v>53</v>
      </c>
      <c r="C103" s="159" t="s">
        <v>140</v>
      </c>
      <c r="D103" s="159" t="s">
        <v>141</v>
      </c>
      <c r="E103" s="159"/>
      <c r="F103" s="163" t="s">
        <v>143</v>
      </c>
      <c r="G103" s="77"/>
      <c r="H103" s="159" t="s">
        <v>141</v>
      </c>
      <c r="I103" s="77"/>
      <c r="J103" s="77">
        <v>182338</v>
      </c>
      <c r="K103" s="77" t="s">
        <v>54</v>
      </c>
      <c r="L103" s="159" t="s">
        <v>140</v>
      </c>
      <c r="M103" s="159" t="s">
        <v>141</v>
      </c>
      <c r="N103" s="159"/>
      <c r="O103" s="163" t="s">
        <v>143</v>
      </c>
      <c r="P103" s="77"/>
      <c r="Q103" s="159" t="s">
        <v>141</v>
      </c>
    </row>
    <row r="104" spans="1:17">
      <c r="A104" s="77"/>
      <c r="B104" s="77"/>
      <c r="C104" s="159" t="s">
        <v>144</v>
      </c>
      <c r="D104" s="159" t="s">
        <v>145</v>
      </c>
      <c r="E104" s="159" t="s">
        <v>146</v>
      </c>
      <c r="F104" s="163" t="s">
        <v>142</v>
      </c>
      <c r="G104" s="77"/>
      <c r="H104" s="159" t="s">
        <v>147</v>
      </c>
      <c r="I104" s="77"/>
      <c r="J104" s="77"/>
      <c r="K104" s="77"/>
      <c r="L104" s="159" t="s">
        <v>144</v>
      </c>
      <c r="M104" s="159" t="s">
        <v>145</v>
      </c>
      <c r="N104" s="159" t="s">
        <v>146</v>
      </c>
      <c r="O104" s="163" t="s">
        <v>142</v>
      </c>
      <c r="P104" s="77"/>
      <c r="Q104" s="159" t="s">
        <v>147</v>
      </c>
    </row>
    <row r="105" spans="1:17" hidden="1">
      <c r="A105" s="161">
        <v>42339</v>
      </c>
      <c r="B105" s="162"/>
      <c r="C105" s="162"/>
      <c r="D105" s="77"/>
      <c r="E105" s="77"/>
      <c r="F105" s="163">
        <v>0</v>
      </c>
      <c r="G105" s="77"/>
      <c r="H105" s="77"/>
      <c r="I105" s="77"/>
      <c r="J105" s="161">
        <v>42339</v>
      </c>
      <c r="K105" s="162"/>
      <c r="L105" s="162"/>
      <c r="M105" s="77"/>
      <c r="N105" s="77"/>
      <c r="O105" s="163">
        <v>0</v>
      </c>
      <c r="P105" s="77"/>
      <c r="Q105" s="77"/>
    </row>
    <row r="106" spans="1:17" hidden="1">
      <c r="A106" s="161">
        <v>42370</v>
      </c>
      <c r="B106" s="77"/>
      <c r="C106" s="163"/>
      <c r="D106" s="163">
        <f>(F105+(C106+E106)/2)*H106/12</f>
        <v>0</v>
      </c>
      <c r="E106" s="77"/>
      <c r="F106" s="163">
        <f>F105+C106+D106+E106</f>
        <v>0</v>
      </c>
      <c r="G106" s="77"/>
      <c r="H106" s="164">
        <v>3.2500000000000001E-2</v>
      </c>
      <c r="I106" s="77"/>
      <c r="J106" s="161">
        <v>42370</v>
      </c>
      <c r="K106" s="77"/>
      <c r="L106" s="163"/>
      <c r="M106" s="163">
        <f>(O105+(L106+N106)/2)*Q106/12</f>
        <v>0</v>
      </c>
      <c r="N106" s="77"/>
      <c r="O106" s="163">
        <f>O105+L106+M106+N106</f>
        <v>0</v>
      </c>
      <c r="P106" s="77"/>
      <c r="Q106" s="164">
        <v>3.2500000000000001E-2</v>
      </c>
    </row>
    <row r="107" spans="1:17" hidden="1">
      <c r="A107" s="161">
        <v>42401</v>
      </c>
      <c r="B107" s="77"/>
      <c r="C107" s="163"/>
      <c r="D107" s="163">
        <f>(F106+(C107+E107)/2)*H107/12</f>
        <v>0</v>
      </c>
      <c r="E107" s="77"/>
      <c r="F107" s="163">
        <f>F106+C107+D107+E107</f>
        <v>0</v>
      </c>
      <c r="G107" s="77"/>
      <c r="H107" s="164">
        <f>H106</f>
        <v>3.2500000000000001E-2</v>
      </c>
      <c r="I107" s="77"/>
      <c r="J107" s="161">
        <v>42401</v>
      </c>
      <c r="K107" s="77"/>
      <c r="L107" s="163"/>
      <c r="M107" s="163">
        <f>(O106+(L107+N107)/2)*Q107/12</f>
        <v>0</v>
      </c>
      <c r="N107" s="77"/>
      <c r="O107" s="163">
        <f>O106+L107+M107+N107</f>
        <v>0</v>
      </c>
      <c r="P107" s="77"/>
      <c r="Q107" s="164">
        <f>Q106</f>
        <v>3.2500000000000001E-2</v>
      </c>
    </row>
    <row r="108" spans="1:17" hidden="1">
      <c r="A108" s="161">
        <v>42430</v>
      </c>
      <c r="B108" s="77"/>
      <c r="C108" s="163"/>
      <c r="D108" s="163">
        <f>(F107+(C108+E108)/2)*H108/12</f>
        <v>0</v>
      </c>
      <c r="E108" s="77"/>
      <c r="F108" s="163">
        <f>F107+C108+D108+E108</f>
        <v>0</v>
      </c>
      <c r="G108" s="77"/>
      <c r="H108" s="164">
        <f t="shared" ref="H108" si="58">H107</f>
        <v>3.2500000000000001E-2</v>
      </c>
      <c r="I108" s="77"/>
      <c r="J108" s="161">
        <v>42430</v>
      </c>
      <c r="K108" s="77"/>
      <c r="L108" s="163"/>
      <c r="M108" s="163">
        <f>(O107+(L108+N108)/2)*Q108/12</f>
        <v>0</v>
      </c>
      <c r="N108" s="77"/>
      <c r="O108" s="163">
        <f>O107+L108+M108+N108</f>
        <v>0</v>
      </c>
      <c r="P108" s="77"/>
      <c r="Q108" s="164">
        <f t="shared" ref="Q108" si="59">Q107</f>
        <v>3.2500000000000001E-2</v>
      </c>
    </row>
    <row r="109" spans="1:17" s="77" customFormat="1" hidden="1">
      <c r="A109" s="161">
        <v>42461</v>
      </c>
      <c r="C109" s="163"/>
      <c r="D109" s="163">
        <f>(F108+(C109+E109)/2)*H109/12</f>
        <v>0</v>
      </c>
      <c r="F109" s="163">
        <f>F108+C109+D109+E109</f>
        <v>0</v>
      </c>
      <c r="H109" s="164">
        <v>3.4599999999999999E-2</v>
      </c>
      <c r="J109" s="161">
        <v>42461</v>
      </c>
      <c r="L109" s="163"/>
      <c r="M109" s="163">
        <f>(O108+(L109+N109)/2)*Q109/12</f>
        <v>0</v>
      </c>
      <c r="O109" s="163">
        <f>O108+L109+M109+N109</f>
        <v>0</v>
      </c>
      <c r="Q109" s="164">
        <v>3.4599999999999999E-2</v>
      </c>
    </row>
    <row r="110" spans="1:17" s="77" customFormat="1" hidden="1">
      <c r="A110" s="161">
        <v>42491</v>
      </c>
      <c r="C110" s="163"/>
      <c r="D110" s="163">
        <f t="shared" ref="D110:D117" si="60">(F109+(C110+E110)/2)*H110/12</f>
        <v>0</v>
      </c>
      <c r="F110" s="163">
        <f t="shared" ref="F110:F117" si="61">F109+C110+D110+E110</f>
        <v>0</v>
      </c>
      <c r="H110" s="164">
        <f t="shared" ref="H110:H117" si="62">H109</f>
        <v>3.4599999999999999E-2</v>
      </c>
      <c r="J110" s="161">
        <v>42491</v>
      </c>
      <c r="L110" s="163"/>
      <c r="M110" s="163">
        <f t="shared" ref="M110:M117" si="63">(O109+(L110+N110)/2)*Q110/12</f>
        <v>0</v>
      </c>
      <c r="O110" s="163">
        <f t="shared" ref="O110:O117" si="64">O109+L110+M110+N110</f>
        <v>0</v>
      </c>
      <c r="Q110" s="164">
        <f t="shared" ref="Q110:Q117" si="65">Q109</f>
        <v>3.4599999999999999E-2</v>
      </c>
    </row>
    <row r="111" spans="1:17" s="77" customFormat="1">
      <c r="A111" s="161">
        <v>42522</v>
      </c>
      <c r="C111" s="163"/>
      <c r="D111" s="163">
        <f t="shared" si="60"/>
        <v>0</v>
      </c>
      <c r="F111" s="163">
        <f t="shared" si="61"/>
        <v>0</v>
      </c>
      <c r="H111" s="164">
        <v>3.5000000000000003E-2</v>
      </c>
      <c r="J111" s="161">
        <v>42522</v>
      </c>
      <c r="L111" s="163"/>
      <c r="M111" s="163">
        <f t="shared" si="63"/>
        <v>0</v>
      </c>
      <c r="O111" s="163">
        <f t="shared" si="64"/>
        <v>0</v>
      </c>
      <c r="Q111" s="164">
        <f t="shared" si="65"/>
        <v>3.4599999999999999E-2</v>
      </c>
    </row>
    <row r="112" spans="1:17" s="77" customFormat="1">
      <c r="A112" s="161">
        <v>42552</v>
      </c>
      <c r="C112" s="163"/>
      <c r="D112" s="163">
        <f t="shared" si="60"/>
        <v>0</v>
      </c>
      <c r="F112" s="163">
        <f t="shared" si="61"/>
        <v>0</v>
      </c>
      <c r="H112" s="164">
        <f t="shared" si="62"/>
        <v>3.5000000000000003E-2</v>
      </c>
      <c r="J112" s="161">
        <v>42552</v>
      </c>
      <c r="L112" s="163"/>
      <c r="M112" s="163">
        <f t="shared" si="63"/>
        <v>0</v>
      </c>
      <c r="O112" s="163">
        <f t="shared" si="64"/>
        <v>0</v>
      </c>
      <c r="Q112" s="164">
        <v>3.5000000000000003E-2</v>
      </c>
    </row>
    <row r="113" spans="1:17" s="77" customFormat="1">
      <c r="A113" s="161">
        <v>42583</v>
      </c>
      <c r="C113" s="163"/>
      <c r="D113" s="163">
        <f t="shared" si="60"/>
        <v>0</v>
      </c>
      <c r="F113" s="163">
        <f t="shared" si="61"/>
        <v>0</v>
      </c>
      <c r="H113" s="164">
        <f t="shared" si="62"/>
        <v>3.5000000000000003E-2</v>
      </c>
      <c r="J113" s="161">
        <v>42583</v>
      </c>
      <c r="L113" s="163"/>
      <c r="M113" s="163">
        <f t="shared" si="63"/>
        <v>0</v>
      </c>
      <c r="O113" s="163">
        <f t="shared" si="64"/>
        <v>0</v>
      </c>
      <c r="Q113" s="164">
        <f t="shared" si="65"/>
        <v>3.5000000000000003E-2</v>
      </c>
    </row>
    <row r="114" spans="1:17" s="77" customFormat="1">
      <c r="A114" s="161">
        <v>42614</v>
      </c>
      <c r="C114" s="163"/>
      <c r="D114" s="163">
        <f t="shared" si="60"/>
        <v>0</v>
      </c>
      <c r="F114" s="163">
        <f t="shared" si="61"/>
        <v>0</v>
      </c>
      <c r="H114" s="164">
        <f t="shared" si="62"/>
        <v>3.5000000000000003E-2</v>
      </c>
      <c r="J114" s="161">
        <v>42614</v>
      </c>
      <c r="L114" s="163"/>
      <c r="M114" s="163">
        <f t="shared" si="63"/>
        <v>0</v>
      </c>
      <c r="O114" s="163">
        <f t="shared" si="64"/>
        <v>0</v>
      </c>
      <c r="Q114" s="164">
        <f t="shared" si="65"/>
        <v>3.5000000000000003E-2</v>
      </c>
    </row>
    <row r="115" spans="1:17" s="77" customFormat="1" hidden="1">
      <c r="A115" s="161">
        <v>42644</v>
      </c>
      <c r="C115" s="163"/>
      <c r="D115" s="163">
        <f t="shared" si="60"/>
        <v>0</v>
      </c>
      <c r="F115" s="163">
        <f t="shared" si="61"/>
        <v>0</v>
      </c>
      <c r="H115" s="164">
        <v>0</v>
      </c>
      <c r="J115" s="161">
        <v>42644</v>
      </c>
      <c r="L115" s="163"/>
      <c r="M115" s="163">
        <f t="shared" si="63"/>
        <v>0</v>
      </c>
      <c r="O115" s="163">
        <f t="shared" si="64"/>
        <v>0</v>
      </c>
      <c r="Q115" s="164">
        <v>0</v>
      </c>
    </row>
    <row r="116" spans="1:17" s="77" customFormat="1" hidden="1">
      <c r="A116" s="161">
        <v>42675</v>
      </c>
      <c r="C116" s="163"/>
      <c r="D116" s="163">
        <f t="shared" si="60"/>
        <v>0</v>
      </c>
      <c r="F116" s="163">
        <f t="shared" si="61"/>
        <v>0</v>
      </c>
      <c r="H116" s="164">
        <f t="shared" si="62"/>
        <v>0</v>
      </c>
      <c r="J116" s="161">
        <v>42675</v>
      </c>
      <c r="L116" s="163"/>
      <c r="M116" s="163">
        <f t="shared" si="63"/>
        <v>0</v>
      </c>
      <c r="O116" s="163">
        <f t="shared" si="64"/>
        <v>0</v>
      </c>
      <c r="Q116" s="164">
        <f t="shared" si="65"/>
        <v>0</v>
      </c>
    </row>
    <row r="117" spans="1:17" s="77" customFormat="1" hidden="1">
      <c r="A117" s="161">
        <v>42705</v>
      </c>
      <c r="C117" s="163"/>
      <c r="D117" s="163">
        <f t="shared" si="60"/>
        <v>0</v>
      </c>
      <c r="F117" s="163">
        <f t="shared" si="61"/>
        <v>0</v>
      </c>
      <c r="H117" s="164">
        <f t="shared" si="62"/>
        <v>0</v>
      </c>
      <c r="J117" s="161">
        <v>42705</v>
      </c>
      <c r="L117" s="163"/>
      <c r="M117" s="163">
        <f t="shared" si="63"/>
        <v>0</v>
      </c>
      <c r="O117" s="163">
        <f t="shared" si="64"/>
        <v>0</v>
      </c>
      <c r="Q117" s="164">
        <f t="shared" si="65"/>
        <v>0</v>
      </c>
    </row>
    <row r="118" spans="1:17" s="77" customFormat="1">
      <c r="A118" s="161"/>
      <c r="C118" s="163"/>
      <c r="D118" s="163"/>
      <c r="F118" s="163"/>
      <c r="H118" s="164"/>
      <c r="J118" s="161"/>
      <c r="L118" s="163"/>
      <c r="M118" s="163"/>
      <c r="O118" s="163"/>
      <c r="Q118" s="164"/>
    </row>
    <row r="119" spans="1:17">
      <c r="A119" s="77">
        <v>254328</v>
      </c>
      <c r="B119" s="77" t="s">
        <v>53</v>
      </c>
      <c r="C119" s="159" t="s">
        <v>140</v>
      </c>
      <c r="D119" s="159" t="s">
        <v>141</v>
      </c>
      <c r="E119" s="159"/>
      <c r="F119" s="163" t="s">
        <v>143</v>
      </c>
      <c r="G119" s="77"/>
      <c r="H119" s="159" t="s">
        <v>141</v>
      </c>
      <c r="I119" s="77"/>
      <c r="J119" s="77">
        <v>254328</v>
      </c>
      <c r="K119" s="77" t="s">
        <v>54</v>
      </c>
      <c r="L119" s="159" t="s">
        <v>140</v>
      </c>
      <c r="M119" s="159" t="s">
        <v>141</v>
      </c>
      <c r="N119" s="159"/>
      <c r="O119" s="163" t="s">
        <v>143</v>
      </c>
      <c r="P119" s="77"/>
      <c r="Q119" s="159" t="s">
        <v>141</v>
      </c>
    </row>
    <row r="120" spans="1:17">
      <c r="A120" s="77"/>
      <c r="B120" s="77"/>
      <c r="C120" s="159" t="s">
        <v>144</v>
      </c>
      <c r="D120" s="159" t="s">
        <v>145</v>
      </c>
      <c r="E120" s="159" t="s">
        <v>146</v>
      </c>
      <c r="F120" s="163" t="s">
        <v>142</v>
      </c>
      <c r="G120" s="77"/>
      <c r="H120" s="159" t="s">
        <v>147</v>
      </c>
      <c r="I120" s="77"/>
      <c r="J120" s="77"/>
      <c r="K120" s="77"/>
      <c r="L120" s="159" t="s">
        <v>144</v>
      </c>
      <c r="M120" s="159" t="s">
        <v>145</v>
      </c>
      <c r="N120" s="159" t="s">
        <v>146</v>
      </c>
      <c r="O120" s="163" t="s">
        <v>142</v>
      </c>
      <c r="P120" s="77"/>
      <c r="Q120" s="159" t="s">
        <v>147</v>
      </c>
    </row>
    <row r="121" spans="1:17" hidden="1">
      <c r="A121" s="161">
        <v>42339</v>
      </c>
      <c r="B121" s="162"/>
      <c r="C121" s="162"/>
      <c r="D121" s="77"/>
      <c r="E121" s="77"/>
      <c r="F121" s="163">
        <v>0</v>
      </c>
      <c r="G121" s="77"/>
      <c r="H121" s="77"/>
      <c r="I121" s="77"/>
      <c r="J121" s="161">
        <v>42339</v>
      </c>
      <c r="K121" s="162"/>
      <c r="L121" s="162"/>
      <c r="M121" s="77"/>
      <c r="N121" s="77"/>
      <c r="O121" s="163">
        <v>0</v>
      </c>
      <c r="P121" s="77"/>
      <c r="Q121" s="77"/>
    </row>
    <row r="122" spans="1:17" hidden="1">
      <c r="A122" s="161">
        <v>42370</v>
      </c>
      <c r="B122" s="77"/>
      <c r="C122" s="163"/>
      <c r="D122" s="163">
        <f t="shared" ref="D122:D133" si="66">(F121+(C122+E122)/2)*H122/12</f>
        <v>0</v>
      </c>
      <c r="E122" s="77"/>
      <c r="F122" s="163">
        <f t="shared" ref="F122:F133" si="67">F121+C122+D122+E122</f>
        <v>0</v>
      </c>
      <c r="G122" s="77"/>
      <c r="H122" s="164">
        <v>3.2500000000000001E-2</v>
      </c>
      <c r="I122" s="77"/>
      <c r="J122" s="161">
        <v>42370</v>
      </c>
      <c r="K122" s="77"/>
      <c r="L122" s="163"/>
      <c r="M122" s="163">
        <f t="shared" ref="M122:M133" si="68">(O121+(L122+N122)/2)*Q122/12</f>
        <v>0</v>
      </c>
      <c r="N122" s="77"/>
      <c r="O122" s="163">
        <f t="shared" ref="O122:O133" si="69">O121+L122+M122+N122</f>
        <v>0</v>
      </c>
      <c r="P122" s="77"/>
      <c r="Q122" s="164">
        <v>3.2500000000000001E-2</v>
      </c>
    </row>
    <row r="123" spans="1:17" hidden="1">
      <c r="A123" s="161">
        <v>42401</v>
      </c>
      <c r="B123" s="77"/>
      <c r="C123" s="163"/>
      <c r="D123" s="163">
        <f t="shared" si="66"/>
        <v>0</v>
      </c>
      <c r="E123" s="77"/>
      <c r="F123" s="163">
        <f t="shared" si="67"/>
        <v>0</v>
      </c>
      <c r="G123" s="77"/>
      <c r="H123" s="164">
        <f>H122</f>
        <v>3.2500000000000001E-2</v>
      </c>
      <c r="I123" s="77"/>
      <c r="J123" s="161">
        <v>42401</v>
      </c>
      <c r="K123" s="77"/>
      <c r="L123" s="163"/>
      <c r="M123" s="163">
        <f t="shared" si="68"/>
        <v>0</v>
      </c>
      <c r="N123" s="77"/>
      <c r="O123" s="163">
        <f t="shared" si="69"/>
        <v>0</v>
      </c>
      <c r="P123" s="77"/>
      <c r="Q123" s="164">
        <f>Q122</f>
        <v>3.2500000000000001E-2</v>
      </c>
    </row>
    <row r="124" spans="1:17" hidden="1">
      <c r="A124" s="161">
        <v>42430</v>
      </c>
      <c r="B124" s="77"/>
      <c r="C124" s="163"/>
      <c r="D124" s="163">
        <f t="shared" si="66"/>
        <v>0</v>
      </c>
      <c r="E124" s="77"/>
      <c r="F124" s="163">
        <f t="shared" si="67"/>
        <v>0</v>
      </c>
      <c r="G124" s="77"/>
      <c r="H124" s="164">
        <f t="shared" ref="H124" si="70">H123</f>
        <v>3.2500000000000001E-2</v>
      </c>
      <c r="I124" s="77"/>
      <c r="J124" s="161">
        <v>42430</v>
      </c>
      <c r="K124" s="77"/>
      <c r="L124" s="163"/>
      <c r="M124" s="163">
        <f t="shared" si="68"/>
        <v>0</v>
      </c>
      <c r="N124" s="77"/>
      <c r="O124" s="163">
        <f t="shared" si="69"/>
        <v>0</v>
      </c>
      <c r="P124" s="77"/>
      <c r="Q124" s="164">
        <f t="shared" ref="Q124" si="71">Q123</f>
        <v>3.2500000000000001E-2</v>
      </c>
    </row>
    <row r="125" spans="1:17" hidden="1">
      <c r="A125" s="161">
        <v>42461</v>
      </c>
      <c r="B125" s="77"/>
      <c r="C125" s="163"/>
      <c r="D125" s="163">
        <f t="shared" si="66"/>
        <v>0</v>
      </c>
      <c r="E125" s="77"/>
      <c r="F125" s="163">
        <f t="shared" si="67"/>
        <v>0</v>
      </c>
      <c r="G125" s="77"/>
      <c r="H125" s="164">
        <v>3.4599999999999999E-2</v>
      </c>
      <c r="I125" s="77"/>
      <c r="J125" s="161">
        <v>42461</v>
      </c>
      <c r="K125" s="77"/>
      <c r="L125" s="163"/>
      <c r="M125" s="163">
        <f t="shared" si="68"/>
        <v>0</v>
      </c>
      <c r="N125" s="77"/>
      <c r="O125" s="163">
        <f t="shared" si="69"/>
        <v>0</v>
      </c>
      <c r="P125" s="77"/>
      <c r="Q125" s="164">
        <v>3.4599999999999999E-2</v>
      </c>
    </row>
    <row r="126" spans="1:17" hidden="1">
      <c r="A126" s="161">
        <v>42491</v>
      </c>
      <c r="B126" s="77"/>
      <c r="C126" s="163"/>
      <c r="D126" s="163">
        <f t="shared" si="66"/>
        <v>0</v>
      </c>
      <c r="E126" s="77"/>
      <c r="F126" s="163">
        <f t="shared" si="67"/>
        <v>0</v>
      </c>
      <c r="G126" s="77"/>
      <c r="H126" s="164">
        <f t="shared" ref="H126:H133" si="72">H125</f>
        <v>3.4599999999999999E-2</v>
      </c>
      <c r="I126" s="77"/>
      <c r="J126" s="161">
        <v>42491</v>
      </c>
      <c r="K126" s="77"/>
      <c r="L126" s="163"/>
      <c r="M126" s="163">
        <f t="shared" si="68"/>
        <v>0</v>
      </c>
      <c r="N126" s="77"/>
      <c r="O126" s="163">
        <f t="shared" si="69"/>
        <v>0</v>
      </c>
      <c r="P126" s="77"/>
      <c r="Q126" s="164">
        <f t="shared" ref="Q126:Q133" si="73">Q125</f>
        <v>3.4599999999999999E-2</v>
      </c>
    </row>
    <row r="127" spans="1:17">
      <c r="A127" s="161">
        <v>42522</v>
      </c>
      <c r="B127" s="77"/>
      <c r="C127" s="163"/>
      <c r="D127" s="163">
        <f t="shared" si="66"/>
        <v>0</v>
      </c>
      <c r="E127" s="77"/>
      <c r="F127" s="163">
        <f t="shared" si="67"/>
        <v>0</v>
      </c>
      <c r="G127" s="77"/>
      <c r="H127" s="164">
        <f t="shared" si="72"/>
        <v>3.4599999999999999E-2</v>
      </c>
      <c r="I127" s="77"/>
      <c r="J127" s="161">
        <v>42522</v>
      </c>
      <c r="K127" s="77"/>
      <c r="L127" s="163"/>
      <c r="M127" s="163">
        <f t="shared" si="68"/>
        <v>0</v>
      </c>
      <c r="N127" s="77"/>
      <c r="O127" s="163">
        <f t="shared" si="69"/>
        <v>0</v>
      </c>
      <c r="P127" s="77"/>
      <c r="Q127" s="164">
        <f t="shared" si="73"/>
        <v>3.4599999999999999E-2</v>
      </c>
    </row>
    <row r="128" spans="1:17">
      <c r="A128" s="161">
        <v>42552</v>
      </c>
      <c r="B128" s="77"/>
      <c r="C128" s="163"/>
      <c r="D128" s="163">
        <f t="shared" si="66"/>
        <v>0</v>
      </c>
      <c r="E128" s="77"/>
      <c r="F128" s="163">
        <f t="shared" si="67"/>
        <v>0</v>
      </c>
      <c r="G128" s="77"/>
      <c r="H128" s="164">
        <v>3.5000000000000003E-2</v>
      </c>
      <c r="I128" s="77"/>
      <c r="J128" s="161">
        <v>42552</v>
      </c>
      <c r="K128" s="77"/>
      <c r="L128" s="163"/>
      <c r="M128" s="163">
        <f t="shared" si="68"/>
        <v>0</v>
      </c>
      <c r="N128" s="77"/>
      <c r="O128" s="163">
        <f t="shared" si="69"/>
        <v>0</v>
      </c>
      <c r="P128" s="77"/>
      <c r="Q128" s="164">
        <v>3.5000000000000003E-2</v>
      </c>
    </row>
    <row r="129" spans="1:17">
      <c r="A129" s="161">
        <v>42583</v>
      </c>
      <c r="B129" s="77"/>
      <c r="C129" s="163"/>
      <c r="D129" s="163">
        <f t="shared" si="66"/>
        <v>0</v>
      </c>
      <c r="E129" s="77"/>
      <c r="F129" s="163">
        <f t="shared" si="67"/>
        <v>0</v>
      </c>
      <c r="G129" s="77"/>
      <c r="H129" s="164">
        <f t="shared" si="72"/>
        <v>3.5000000000000003E-2</v>
      </c>
      <c r="I129" s="77"/>
      <c r="J129" s="161">
        <v>42583</v>
      </c>
      <c r="K129" s="77"/>
      <c r="L129" s="163"/>
      <c r="M129" s="163">
        <f t="shared" si="68"/>
        <v>0</v>
      </c>
      <c r="N129" s="77"/>
      <c r="O129" s="163">
        <f t="shared" si="69"/>
        <v>0</v>
      </c>
      <c r="P129" s="77"/>
      <c r="Q129" s="164">
        <f t="shared" si="73"/>
        <v>3.5000000000000003E-2</v>
      </c>
    </row>
    <row r="130" spans="1:17">
      <c r="A130" s="161">
        <v>42614</v>
      </c>
      <c r="B130" s="77"/>
      <c r="C130" s="163"/>
      <c r="D130" s="163">
        <f t="shared" si="66"/>
        <v>0</v>
      </c>
      <c r="E130" s="77"/>
      <c r="F130" s="163">
        <f t="shared" si="67"/>
        <v>0</v>
      </c>
      <c r="G130" s="77"/>
      <c r="H130" s="164">
        <f t="shared" si="72"/>
        <v>3.5000000000000003E-2</v>
      </c>
      <c r="I130" s="77"/>
      <c r="J130" s="161">
        <v>42614</v>
      </c>
      <c r="K130" s="77"/>
      <c r="L130" s="163"/>
      <c r="M130" s="163">
        <f t="shared" si="68"/>
        <v>0</v>
      </c>
      <c r="N130" s="77"/>
      <c r="O130" s="163">
        <f t="shared" si="69"/>
        <v>0</v>
      </c>
      <c r="P130" s="77"/>
      <c r="Q130" s="164">
        <f t="shared" si="73"/>
        <v>3.5000000000000003E-2</v>
      </c>
    </row>
    <row r="131" spans="1:17" hidden="1">
      <c r="A131" s="161">
        <v>42644</v>
      </c>
      <c r="B131" s="77"/>
      <c r="C131" s="163"/>
      <c r="D131" s="163">
        <f t="shared" si="66"/>
        <v>0</v>
      </c>
      <c r="E131" s="77"/>
      <c r="F131" s="163">
        <f t="shared" si="67"/>
        <v>0</v>
      </c>
      <c r="G131" s="77"/>
      <c r="H131" s="164">
        <v>0</v>
      </c>
      <c r="I131" s="77"/>
      <c r="J131" s="161">
        <v>42644</v>
      </c>
      <c r="K131" s="77"/>
      <c r="L131" s="163"/>
      <c r="M131" s="163">
        <f t="shared" si="68"/>
        <v>0</v>
      </c>
      <c r="N131" s="77"/>
      <c r="O131" s="163">
        <f t="shared" si="69"/>
        <v>0</v>
      </c>
      <c r="P131" s="77"/>
      <c r="Q131" s="164">
        <v>0</v>
      </c>
    </row>
    <row r="132" spans="1:17" hidden="1">
      <c r="A132" s="161">
        <v>42675</v>
      </c>
      <c r="B132" s="77"/>
      <c r="C132" s="77"/>
      <c r="D132" s="163">
        <f t="shared" si="66"/>
        <v>0</v>
      </c>
      <c r="E132" s="24"/>
      <c r="F132" s="163">
        <f t="shared" si="67"/>
        <v>0</v>
      </c>
      <c r="G132" s="77"/>
      <c r="H132" s="164">
        <f t="shared" si="72"/>
        <v>0</v>
      </c>
      <c r="I132" s="77"/>
      <c r="J132" s="161">
        <v>42675</v>
      </c>
      <c r="K132" s="77"/>
      <c r="L132" s="77"/>
      <c r="M132" s="163">
        <f t="shared" si="68"/>
        <v>0</v>
      </c>
      <c r="N132" s="24"/>
      <c r="O132" s="163">
        <f t="shared" si="69"/>
        <v>0</v>
      </c>
      <c r="P132" s="77"/>
      <c r="Q132" s="164">
        <f t="shared" si="73"/>
        <v>0</v>
      </c>
    </row>
    <row r="133" spans="1:17" hidden="1">
      <c r="A133" s="161">
        <v>42705</v>
      </c>
      <c r="B133" s="162"/>
      <c r="C133" s="163"/>
      <c r="D133" s="163">
        <f t="shared" si="66"/>
        <v>0</v>
      </c>
      <c r="E133" s="24"/>
      <c r="F133" s="163">
        <f t="shared" si="67"/>
        <v>0</v>
      </c>
      <c r="G133" s="77"/>
      <c r="H133" s="164">
        <f t="shared" si="72"/>
        <v>0</v>
      </c>
      <c r="I133" s="77"/>
      <c r="J133" s="161">
        <v>42705</v>
      </c>
      <c r="K133" s="162"/>
      <c r="L133" s="163"/>
      <c r="M133" s="163">
        <f t="shared" si="68"/>
        <v>0</v>
      </c>
      <c r="N133" s="24"/>
      <c r="O133" s="163">
        <f t="shared" si="69"/>
        <v>0</v>
      </c>
      <c r="P133" s="77"/>
      <c r="Q133" s="164">
        <f t="shared" si="73"/>
        <v>0</v>
      </c>
    </row>
    <row r="134" spans="1:17">
      <c r="A134" s="77"/>
      <c r="B134" s="77"/>
      <c r="C134" s="77"/>
      <c r="D134" s="77"/>
      <c r="E134" s="77"/>
      <c r="F134" s="163"/>
      <c r="G134" s="77"/>
      <c r="H134" s="77"/>
      <c r="I134" s="77"/>
      <c r="J134" s="77"/>
      <c r="K134" s="77"/>
      <c r="L134" s="77"/>
      <c r="M134" s="77"/>
      <c r="N134" s="77"/>
      <c r="O134" s="163"/>
      <c r="P134" s="77"/>
      <c r="Q134" s="77"/>
    </row>
    <row r="135" spans="1:17">
      <c r="A135" s="77">
        <v>254338</v>
      </c>
      <c r="B135" s="77" t="s">
        <v>53</v>
      </c>
      <c r="C135" s="159" t="s">
        <v>140</v>
      </c>
      <c r="D135" s="159" t="s">
        <v>141</v>
      </c>
      <c r="E135" s="159"/>
      <c r="F135" s="163" t="s">
        <v>143</v>
      </c>
      <c r="G135" s="77"/>
      <c r="H135" s="159" t="s">
        <v>141</v>
      </c>
      <c r="I135" s="77"/>
      <c r="J135" s="77">
        <v>254338</v>
      </c>
      <c r="K135" s="77" t="s">
        <v>54</v>
      </c>
      <c r="L135" s="159" t="s">
        <v>140</v>
      </c>
      <c r="M135" s="159" t="s">
        <v>141</v>
      </c>
      <c r="N135" s="159"/>
      <c r="O135" s="163" t="s">
        <v>143</v>
      </c>
      <c r="P135" s="77"/>
      <c r="Q135" s="159" t="s">
        <v>141</v>
      </c>
    </row>
    <row r="136" spans="1:17">
      <c r="A136" s="77"/>
      <c r="B136" s="77"/>
      <c r="C136" s="159" t="s">
        <v>144</v>
      </c>
      <c r="D136" s="159" t="s">
        <v>145</v>
      </c>
      <c r="E136" s="159" t="s">
        <v>146</v>
      </c>
      <c r="F136" s="163" t="s">
        <v>142</v>
      </c>
      <c r="G136" s="77"/>
      <c r="H136" s="159" t="s">
        <v>147</v>
      </c>
      <c r="I136" s="77"/>
      <c r="J136" s="77"/>
      <c r="K136" s="77"/>
      <c r="L136" s="159" t="s">
        <v>144</v>
      </c>
      <c r="M136" s="159" t="s">
        <v>145</v>
      </c>
      <c r="N136" s="159" t="s">
        <v>146</v>
      </c>
      <c r="O136" s="163" t="s">
        <v>142</v>
      </c>
      <c r="P136" s="77"/>
      <c r="Q136" s="159" t="s">
        <v>147</v>
      </c>
    </row>
    <row r="137" spans="1:17" hidden="1">
      <c r="A137" s="161">
        <v>42339</v>
      </c>
      <c r="B137" s="162"/>
      <c r="C137" s="162"/>
      <c r="D137" s="77"/>
      <c r="E137" s="77"/>
      <c r="F137" s="163">
        <v>0</v>
      </c>
      <c r="G137" s="77"/>
      <c r="H137" s="77"/>
      <c r="I137" s="77"/>
      <c r="J137" s="161">
        <v>42339</v>
      </c>
      <c r="K137" s="162"/>
      <c r="L137" s="162"/>
      <c r="M137" s="77"/>
      <c r="N137" s="77"/>
      <c r="O137" s="163">
        <v>0</v>
      </c>
      <c r="P137" s="77"/>
      <c r="Q137" s="77"/>
    </row>
    <row r="138" spans="1:17" hidden="1">
      <c r="A138" s="161">
        <v>42370</v>
      </c>
      <c r="B138" s="77"/>
      <c r="C138" s="163"/>
      <c r="D138" s="163">
        <f>(F137+(C138+E138)/2)*H138/12</f>
        <v>0</v>
      </c>
      <c r="E138" s="77"/>
      <c r="F138" s="163">
        <f>F137+C138+D138+E138</f>
        <v>0</v>
      </c>
      <c r="G138" s="77"/>
      <c r="H138" s="164">
        <v>3.2500000000000001E-2</v>
      </c>
      <c r="I138" s="77"/>
      <c r="J138" s="161">
        <v>42370</v>
      </c>
      <c r="K138" s="77"/>
      <c r="L138" s="163"/>
      <c r="M138" s="163">
        <f>(O137+(L138+N138)/2)*Q138/12</f>
        <v>0</v>
      </c>
      <c r="N138" s="77"/>
      <c r="O138" s="163">
        <f>O137+L138+M138+N138</f>
        <v>0</v>
      </c>
      <c r="P138" s="77"/>
      <c r="Q138" s="164">
        <v>3.2500000000000001E-2</v>
      </c>
    </row>
    <row r="139" spans="1:17" hidden="1">
      <c r="A139" s="161">
        <v>42401</v>
      </c>
      <c r="B139" s="77"/>
      <c r="C139" s="163"/>
      <c r="D139" s="163">
        <f>(F138+(C139+E139)/2)*H139/12</f>
        <v>0</v>
      </c>
      <c r="E139" s="77"/>
      <c r="F139" s="163">
        <f>F138+C139+D139+E139</f>
        <v>0</v>
      </c>
      <c r="G139" s="77"/>
      <c r="H139" s="164">
        <f>H138</f>
        <v>3.2500000000000001E-2</v>
      </c>
      <c r="I139" s="77"/>
      <c r="J139" s="161">
        <v>42401</v>
      </c>
      <c r="K139" s="77"/>
      <c r="L139" s="163"/>
      <c r="M139" s="163">
        <f>(O138+(L139+N139)/2)*Q139/12</f>
        <v>0</v>
      </c>
      <c r="N139" s="77"/>
      <c r="O139" s="163">
        <f>O138+L139+M139+N139</f>
        <v>0</v>
      </c>
      <c r="P139" s="77"/>
      <c r="Q139" s="164">
        <f>Q138</f>
        <v>3.2500000000000001E-2</v>
      </c>
    </row>
    <row r="140" spans="1:17" hidden="1">
      <c r="A140" s="161">
        <v>42430</v>
      </c>
      <c r="B140" s="77"/>
      <c r="C140" s="163"/>
      <c r="D140" s="163">
        <f>(F139+(C140+E140)/2)*H140/12</f>
        <v>0</v>
      </c>
      <c r="E140" s="77"/>
      <c r="F140" s="163">
        <f>F139+C140+D140+E140</f>
        <v>0</v>
      </c>
      <c r="G140" s="77"/>
      <c r="H140" s="164">
        <f t="shared" ref="H140" si="74">H139</f>
        <v>3.2500000000000001E-2</v>
      </c>
      <c r="I140" s="77"/>
      <c r="J140" s="161">
        <v>42430</v>
      </c>
      <c r="K140" s="77"/>
      <c r="L140" s="163"/>
      <c r="M140" s="163">
        <f>(O139+(L140+N140)/2)*Q140/12</f>
        <v>0</v>
      </c>
      <c r="N140" s="77"/>
      <c r="O140" s="163">
        <f>O139+L140+M140+N140</f>
        <v>0</v>
      </c>
      <c r="P140" s="77"/>
      <c r="Q140" s="164">
        <f t="shared" ref="Q140" si="75">Q139</f>
        <v>3.2500000000000001E-2</v>
      </c>
    </row>
    <row r="141" spans="1:17" hidden="1">
      <c r="A141" s="161">
        <v>42461</v>
      </c>
      <c r="B141" s="77"/>
      <c r="C141" s="163"/>
      <c r="D141" s="163">
        <f t="shared" ref="D141:D149" si="76">(F140+(C141+E141)/2)*H141/12</f>
        <v>0</v>
      </c>
      <c r="E141" s="77"/>
      <c r="F141" s="163">
        <f t="shared" ref="F141:F149" si="77">F140+C141+D141+E141</f>
        <v>0</v>
      </c>
      <c r="G141" s="77"/>
      <c r="H141" s="164">
        <v>3.4599999999999999E-2</v>
      </c>
      <c r="I141" s="77"/>
      <c r="J141" s="161">
        <v>42461</v>
      </c>
      <c r="K141" s="77"/>
      <c r="L141" s="163"/>
      <c r="M141" s="163">
        <f t="shared" ref="M141:M149" si="78">(O140+(L141+N141)/2)*Q141/12</f>
        <v>0</v>
      </c>
      <c r="N141" s="77"/>
      <c r="O141" s="163">
        <f t="shared" ref="O141:O149" si="79">O140+L141+M141+N141</f>
        <v>0</v>
      </c>
      <c r="P141" s="77"/>
      <c r="Q141" s="164">
        <v>3.4599999999999999E-2</v>
      </c>
    </row>
    <row r="142" spans="1:17" hidden="1">
      <c r="A142" s="161">
        <v>42491</v>
      </c>
      <c r="B142" s="77"/>
      <c r="C142" s="163"/>
      <c r="D142" s="163">
        <f t="shared" si="76"/>
        <v>0</v>
      </c>
      <c r="E142" s="77"/>
      <c r="F142" s="163">
        <f t="shared" si="77"/>
        <v>0</v>
      </c>
      <c r="G142" s="77"/>
      <c r="H142" s="164">
        <f t="shared" ref="H142:H149" si="80">H141</f>
        <v>3.4599999999999999E-2</v>
      </c>
      <c r="I142" s="77"/>
      <c r="J142" s="161">
        <v>42491</v>
      </c>
      <c r="K142" s="77"/>
      <c r="L142" s="163"/>
      <c r="M142" s="163">
        <f t="shared" si="78"/>
        <v>0</v>
      </c>
      <c r="N142" s="77"/>
      <c r="O142" s="163">
        <f t="shared" si="79"/>
        <v>0</v>
      </c>
      <c r="P142" s="77"/>
      <c r="Q142" s="164">
        <f t="shared" ref="Q142:Q149" si="81">Q141</f>
        <v>3.4599999999999999E-2</v>
      </c>
    </row>
    <row r="143" spans="1:17">
      <c r="A143" s="161">
        <v>42522</v>
      </c>
      <c r="B143" s="77"/>
      <c r="C143" s="163"/>
      <c r="D143" s="163">
        <f t="shared" si="76"/>
        <v>0</v>
      </c>
      <c r="E143" s="77"/>
      <c r="F143" s="163">
        <f t="shared" si="77"/>
        <v>0</v>
      </c>
      <c r="G143" s="77"/>
      <c r="H143" s="164">
        <f t="shared" si="80"/>
        <v>3.4599999999999999E-2</v>
      </c>
      <c r="I143" s="77"/>
      <c r="J143" s="161">
        <v>42522</v>
      </c>
      <c r="K143" s="77"/>
      <c r="L143" s="163"/>
      <c r="M143" s="163">
        <f t="shared" si="78"/>
        <v>0</v>
      </c>
      <c r="N143" s="77"/>
      <c r="O143" s="163">
        <f t="shared" si="79"/>
        <v>0</v>
      </c>
      <c r="P143" s="77"/>
      <c r="Q143" s="164">
        <f t="shared" si="81"/>
        <v>3.4599999999999999E-2</v>
      </c>
    </row>
    <row r="144" spans="1:17">
      <c r="A144" s="161">
        <v>42552</v>
      </c>
      <c r="B144" s="77"/>
      <c r="C144" s="163"/>
      <c r="D144" s="163">
        <f t="shared" si="76"/>
        <v>0</v>
      </c>
      <c r="E144" s="77"/>
      <c r="F144" s="163">
        <f t="shared" si="77"/>
        <v>0</v>
      </c>
      <c r="G144" s="77"/>
      <c r="H144" s="164">
        <v>3.5000000000000003E-2</v>
      </c>
      <c r="I144" s="77"/>
      <c r="J144" s="161">
        <v>42552</v>
      </c>
      <c r="K144" s="77"/>
      <c r="L144" s="163"/>
      <c r="M144" s="163">
        <f t="shared" si="78"/>
        <v>0</v>
      </c>
      <c r="N144" s="77"/>
      <c r="O144" s="163">
        <f t="shared" si="79"/>
        <v>0</v>
      </c>
      <c r="P144" s="77"/>
      <c r="Q144" s="164">
        <v>3.5000000000000003E-2</v>
      </c>
    </row>
    <row r="145" spans="1:17">
      <c r="A145" s="161">
        <v>42583</v>
      </c>
      <c r="B145" s="77"/>
      <c r="C145" s="163"/>
      <c r="D145" s="163">
        <f t="shared" si="76"/>
        <v>0</v>
      </c>
      <c r="E145" s="77"/>
      <c r="F145" s="163">
        <f t="shared" si="77"/>
        <v>0</v>
      </c>
      <c r="G145" s="77"/>
      <c r="H145" s="164">
        <f t="shared" si="80"/>
        <v>3.5000000000000003E-2</v>
      </c>
      <c r="I145" s="77"/>
      <c r="J145" s="161">
        <v>42583</v>
      </c>
      <c r="K145" s="77"/>
      <c r="L145" s="163"/>
      <c r="M145" s="163">
        <f t="shared" si="78"/>
        <v>0</v>
      </c>
      <c r="N145" s="77"/>
      <c r="O145" s="163">
        <f t="shared" si="79"/>
        <v>0</v>
      </c>
      <c r="P145" s="77"/>
      <c r="Q145" s="164">
        <f t="shared" si="81"/>
        <v>3.5000000000000003E-2</v>
      </c>
    </row>
    <row r="146" spans="1:17">
      <c r="A146" s="161">
        <v>42614</v>
      </c>
      <c r="B146" s="77"/>
      <c r="C146" s="163"/>
      <c r="D146" s="163">
        <f t="shared" si="76"/>
        <v>0</v>
      </c>
      <c r="E146" s="77"/>
      <c r="F146" s="163">
        <f t="shared" si="77"/>
        <v>0</v>
      </c>
      <c r="G146" s="77"/>
      <c r="H146" s="164">
        <f t="shared" si="80"/>
        <v>3.5000000000000003E-2</v>
      </c>
      <c r="I146" s="77"/>
      <c r="J146" s="161">
        <v>42614</v>
      </c>
      <c r="K146" s="77"/>
      <c r="L146" s="163"/>
      <c r="M146" s="163">
        <f t="shared" si="78"/>
        <v>0</v>
      </c>
      <c r="N146" s="77"/>
      <c r="O146" s="163">
        <f t="shared" si="79"/>
        <v>0</v>
      </c>
      <c r="P146" s="77"/>
      <c r="Q146" s="164">
        <f t="shared" si="81"/>
        <v>3.5000000000000003E-2</v>
      </c>
    </row>
    <row r="147" spans="1:17" hidden="1">
      <c r="A147" s="161">
        <v>42644</v>
      </c>
      <c r="B147" s="77"/>
      <c r="C147" s="163"/>
      <c r="D147" s="163">
        <f t="shared" si="76"/>
        <v>0</v>
      </c>
      <c r="E147" s="77"/>
      <c r="F147" s="163">
        <f t="shared" si="77"/>
        <v>0</v>
      </c>
      <c r="G147" s="77"/>
      <c r="H147" s="164">
        <v>0</v>
      </c>
      <c r="I147" s="77"/>
      <c r="J147" s="161">
        <v>42644</v>
      </c>
      <c r="K147" s="77"/>
      <c r="L147" s="163"/>
      <c r="M147" s="163">
        <f t="shared" si="78"/>
        <v>0</v>
      </c>
      <c r="N147" s="77"/>
      <c r="O147" s="163">
        <f t="shared" si="79"/>
        <v>0</v>
      </c>
      <c r="P147" s="77"/>
      <c r="Q147" s="164">
        <v>0</v>
      </c>
    </row>
    <row r="148" spans="1:17" hidden="1">
      <c r="A148" s="161">
        <v>42675</v>
      </c>
      <c r="B148" s="77"/>
      <c r="C148" s="163"/>
      <c r="D148" s="163">
        <f t="shared" si="76"/>
        <v>0</v>
      </c>
      <c r="E148" s="77"/>
      <c r="F148" s="163">
        <f t="shared" si="77"/>
        <v>0</v>
      </c>
      <c r="G148" s="77"/>
      <c r="H148" s="164">
        <f t="shared" si="80"/>
        <v>0</v>
      </c>
      <c r="I148" s="77"/>
      <c r="J148" s="161">
        <v>42675</v>
      </c>
      <c r="K148" s="77"/>
      <c r="L148" s="163"/>
      <c r="M148" s="163">
        <f t="shared" si="78"/>
        <v>0</v>
      </c>
      <c r="N148" s="77"/>
      <c r="O148" s="163">
        <f t="shared" si="79"/>
        <v>0</v>
      </c>
      <c r="P148" s="77"/>
      <c r="Q148" s="164">
        <f t="shared" si="81"/>
        <v>0</v>
      </c>
    </row>
    <row r="149" spans="1:17" hidden="1">
      <c r="A149" s="161">
        <v>42705</v>
      </c>
      <c r="B149" s="77"/>
      <c r="C149" s="163"/>
      <c r="D149" s="163">
        <f t="shared" si="76"/>
        <v>0</v>
      </c>
      <c r="E149" s="77"/>
      <c r="F149" s="163">
        <f t="shared" si="77"/>
        <v>0</v>
      </c>
      <c r="G149" s="77"/>
      <c r="H149" s="164">
        <f t="shared" si="80"/>
        <v>0</v>
      </c>
      <c r="I149" s="77"/>
      <c r="J149" s="161">
        <v>42705</v>
      </c>
      <c r="K149" s="77"/>
      <c r="L149" s="163"/>
      <c r="M149" s="163">
        <f t="shared" si="78"/>
        <v>0</v>
      </c>
      <c r="N149" s="77"/>
      <c r="O149" s="163">
        <f t="shared" si="79"/>
        <v>0</v>
      </c>
      <c r="P149" s="77"/>
      <c r="Q149" s="164">
        <f t="shared" si="81"/>
        <v>0</v>
      </c>
    </row>
    <row r="150" spans="1:17">
      <c r="F150" s="163"/>
      <c r="O150" s="163"/>
    </row>
    <row r="151" spans="1:17">
      <c r="F151" s="163"/>
      <c r="O151" s="163"/>
    </row>
    <row r="152" spans="1:17">
      <c r="F152" s="163"/>
      <c r="O152" s="163"/>
    </row>
    <row r="153" spans="1:17">
      <c r="F153" s="163"/>
      <c r="O153" s="163"/>
    </row>
    <row r="154" spans="1:17">
      <c r="F154" s="163"/>
      <c r="O154" s="163"/>
    </row>
    <row r="155" spans="1:17">
      <c r="F155" s="163"/>
      <c r="O155" s="163"/>
    </row>
    <row r="156" spans="1:17">
      <c r="F156" s="163"/>
      <c r="O156" s="163"/>
    </row>
    <row r="157" spans="1:17">
      <c r="F157" s="163"/>
      <c r="O157" s="163"/>
    </row>
    <row r="158" spans="1:17">
      <c r="F158" s="163"/>
      <c r="O158" s="163"/>
    </row>
    <row r="159" spans="1:17">
      <c r="F159" s="163"/>
      <c r="O159" s="163"/>
    </row>
    <row r="160" spans="1:17">
      <c r="F160" s="163"/>
      <c r="O160" s="163"/>
    </row>
    <row r="161" spans="6:15">
      <c r="F161" s="163"/>
      <c r="O161" s="163"/>
    </row>
    <row r="162" spans="6:15">
      <c r="F162" s="163"/>
      <c r="O162" s="163"/>
    </row>
    <row r="163" spans="6:15">
      <c r="F163" s="163"/>
      <c r="O163" s="163"/>
    </row>
    <row r="164" spans="6:15">
      <c r="F164" s="163"/>
      <c r="O164" s="163"/>
    </row>
    <row r="165" spans="6:15">
      <c r="F165" s="163"/>
      <c r="O165" s="163"/>
    </row>
    <row r="166" spans="6:15">
      <c r="F166" s="163"/>
      <c r="O166" s="163"/>
    </row>
    <row r="167" spans="6:15">
      <c r="F167" s="163"/>
      <c r="O167" s="163"/>
    </row>
    <row r="168" spans="6:15">
      <c r="F168" s="163"/>
      <c r="O168" s="163"/>
    </row>
    <row r="169" spans="6:15">
      <c r="F169" s="163"/>
      <c r="O169" s="163"/>
    </row>
    <row r="170" spans="6:15">
      <c r="F170" s="163"/>
      <c r="O170" s="163"/>
    </row>
    <row r="171" spans="6:15">
      <c r="F171" s="163"/>
      <c r="O171" s="163"/>
    </row>
    <row r="172" spans="6:15">
      <c r="F172" s="163"/>
      <c r="O172" s="163"/>
    </row>
    <row r="173" spans="6:15">
      <c r="F173" s="163"/>
      <c r="O173" s="163"/>
    </row>
    <row r="174" spans="6:15">
      <c r="F174" s="163"/>
      <c r="O174" s="163"/>
    </row>
    <row r="175" spans="6:15">
      <c r="F175" s="163"/>
      <c r="O175" s="163"/>
    </row>
    <row r="176" spans="6:15">
      <c r="F176" s="163"/>
      <c r="O176" s="163"/>
    </row>
    <row r="177" spans="6:15">
      <c r="F177" s="163"/>
      <c r="O177" s="163"/>
    </row>
    <row r="178" spans="6:15">
      <c r="F178" s="163"/>
      <c r="O178" s="163"/>
    </row>
    <row r="179" spans="6:15">
      <c r="F179" s="163"/>
      <c r="O179" s="163"/>
    </row>
    <row r="180" spans="6:15">
      <c r="F180" s="163"/>
      <c r="O180" s="163"/>
    </row>
    <row r="181" spans="6:15">
      <c r="F181" s="163"/>
      <c r="O181" s="163"/>
    </row>
    <row r="182" spans="6:15">
      <c r="F182" s="163"/>
      <c r="O182" s="163"/>
    </row>
    <row r="183" spans="6:15">
      <c r="F183" s="163"/>
      <c r="O183" s="163"/>
    </row>
    <row r="184" spans="6:15">
      <c r="F184" s="163"/>
      <c r="O184" s="163"/>
    </row>
    <row r="185" spans="6:15">
      <c r="F185" s="163"/>
      <c r="O185" s="163"/>
    </row>
    <row r="186" spans="6:15">
      <c r="F186" s="163"/>
      <c r="O186" s="163"/>
    </row>
    <row r="187" spans="6:15">
      <c r="F187" s="163"/>
      <c r="O187" s="163"/>
    </row>
    <row r="188" spans="6:15">
      <c r="F188" s="163"/>
      <c r="O188" s="163"/>
    </row>
    <row r="189" spans="6:15">
      <c r="F189" s="163"/>
      <c r="O189" s="163"/>
    </row>
    <row r="190" spans="6:15">
      <c r="F190" s="163"/>
      <c r="O190" s="163"/>
    </row>
    <row r="191" spans="6:15">
      <c r="F191" s="163"/>
      <c r="O191" s="163"/>
    </row>
    <row r="192" spans="6:15">
      <c r="F192" s="163"/>
      <c r="O192" s="163"/>
    </row>
    <row r="193" spans="6:15">
      <c r="F193" s="163"/>
      <c r="O193" s="163"/>
    </row>
    <row r="194" spans="6:15">
      <c r="F194" s="163"/>
      <c r="O194" s="163"/>
    </row>
    <row r="195" spans="6:15">
      <c r="F195" s="163"/>
      <c r="O195" s="163"/>
    </row>
    <row r="196" spans="6:15">
      <c r="F196" s="163"/>
      <c r="O196" s="163"/>
    </row>
    <row r="197" spans="6:15">
      <c r="F197" s="163"/>
      <c r="O197" s="163"/>
    </row>
    <row r="198" spans="6:15">
      <c r="F198" s="163"/>
      <c r="O198" s="163"/>
    </row>
    <row r="199" spans="6:15">
      <c r="F199" s="163"/>
      <c r="O199" s="163"/>
    </row>
    <row r="200" spans="6:15">
      <c r="F200" s="163"/>
      <c r="O200" s="163"/>
    </row>
    <row r="201" spans="6:15">
      <c r="F201" s="163"/>
      <c r="O201" s="163"/>
    </row>
    <row r="202" spans="6:15">
      <c r="F202" s="163"/>
      <c r="O202" s="163"/>
    </row>
    <row r="203" spans="6:15">
      <c r="F203" s="163"/>
      <c r="O203" s="163"/>
    </row>
    <row r="204" spans="6:15">
      <c r="F204" s="163"/>
      <c r="O204" s="163"/>
    </row>
    <row r="205" spans="6:15">
      <c r="F205" s="163"/>
      <c r="O205" s="163"/>
    </row>
    <row r="206" spans="6:15">
      <c r="F206" s="163"/>
      <c r="O206" s="163"/>
    </row>
    <row r="207" spans="6:15">
      <c r="F207" s="163"/>
      <c r="O207" s="163"/>
    </row>
    <row r="208" spans="6:15">
      <c r="F208" s="163"/>
      <c r="O208" s="163"/>
    </row>
    <row r="209" spans="6:15">
      <c r="F209" s="163"/>
      <c r="O209" s="163"/>
    </row>
    <row r="210" spans="6:15">
      <c r="F210" s="163"/>
      <c r="O210" s="163"/>
    </row>
    <row r="211" spans="6:15">
      <c r="F211" s="163"/>
      <c r="O211" s="163"/>
    </row>
    <row r="212" spans="6:15">
      <c r="F212" s="163"/>
      <c r="O212" s="163"/>
    </row>
    <row r="213" spans="6:15">
      <c r="F213" s="163"/>
      <c r="O213" s="163"/>
    </row>
    <row r="214" spans="6:15">
      <c r="F214" s="163"/>
      <c r="O214" s="163"/>
    </row>
    <row r="215" spans="6:15">
      <c r="F215" s="163"/>
      <c r="O215" s="163"/>
    </row>
    <row r="216" spans="6:15">
      <c r="F216" s="163"/>
      <c r="O216" s="163"/>
    </row>
    <row r="217" spans="6:15">
      <c r="F217" s="163"/>
      <c r="O217" s="163"/>
    </row>
    <row r="218" spans="6:15">
      <c r="F218" s="163"/>
      <c r="O218" s="163"/>
    </row>
    <row r="219" spans="6:15">
      <c r="F219" s="163"/>
      <c r="O219" s="163"/>
    </row>
    <row r="220" spans="6:15">
      <c r="F220" s="163"/>
      <c r="O220" s="163"/>
    </row>
    <row r="221" spans="6:15">
      <c r="F221" s="163"/>
      <c r="O221" s="163"/>
    </row>
    <row r="222" spans="6:15">
      <c r="F222" s="163"/>
      <c r="O222" s="163"/>
    </row>
    <row r="223" spans="6:15">
      <c r="F223" s="163"/>
      <c r="O223" s="163"/>
    </row>
    <row r="224" spans="6:15">
      <c r="F224" s="163"/>
      <c r="O224" s="163"/>
    </row>
    <row r="225" spans="6:15">
      <c r="F225" s="163"/>
      <c r="O225" s="163"/>
    </row>
    <row r="226" spans="6:15">
      <c r="F226" s="163"/>
      <c r="O226" s="163"/>
    </row>
    <row r="227" spans="6:15">
      <c r="F227" s="163"/>
      <c r="O227" s="163"/>
    </row>
    <row r="228" spans="6:15">
      <c r="F228" s="163"/>
      <c r="O228" s="163"/>
    </row>
    <row r="229" spans="6:15">
      <c r="F229" s="163"/>
      <c r="O229" s="163"/>
    </row>
    <row r="230" spans="6:15">
      <c r="F230" s="163"/>
      <c r="O230" s="163"/>
    </row>
    <row r="231" spans="6:15">
      <c r="F231" s="163"/>
      <c r="O231" s="163"/>
    </row>
    <row r="232" spans="6:15">
      <c r="F232" s="163"/>
      <c r="O232" s="163"/>
    </row>
    <row r="233" spans="6:15">
      <c r="F233" s="163"/>
      <c r="O233" s="163"/>
    </row>
    <row r="234" spans="6:15">
      <c r="F234" s="163"/>
      <c r="O234" s="163"/>
    </row>
    <row r="235" spans="6:15">
      <c r="F235" s="163"/>
      <c r="O235" s="163"/>
    </row>
    <row r="236" spans="6:15">
      <c r="F236" s="163"/>
    </row>
    <row r="237" spans="6:15">
      <c r="F237" s="163"/>
    </row>
    <row r="238" spans="6:15">
      <c r="F238" s="163"/>
    </row>
    <row r="239" spans="6:15">
      <c r="F239" s="163"/>
    </row>
    <row r="240" spans="6:15">
      <c r="F240" s="163"/>
    </row>
    <row r="241" spans="6:6">
      <c r="F241" s="163"/>
    </row>
    <row r="242" spans="6:6">
      <c r="F242" s="163"/>
    </row>
    <row r="243" spans="6:6">
      <c r="F243" s="163"/>
    </row>
    <row r="244" spans="6:6">
      <c r="F244" s="163"/>
    </row>
  </sheetData>
  <mergeCells count="2">
    <mergeCell ref="C86:H86"/>
    <mergeCell ref="C69:H69"/>
  </mergeCells>
  <printOptions horizontalCentered="1"/>
  <pageMargins left="0.7" right="0.7" top="1" bottom="0.75" header="0.35" footer="0.3"/>
  <pageSetup scale="95" firstPageNumber="7" fitToWidth="2" orientation="portrait" useFirstPageNumber="1" r:id="rId1"/>
  <headerFooter>
    <oddHeader>&amp;CAvista Corporation Decoupling Mechanism
Washington Jurisdiction
Quarterly Report for 3rd Quarter 2016</oddHeader>
    <oddFooter>&amp;Cfile: &amp;F / &amp;A&amp;RPage &amp;P of 9</oddFooter>
  </headerFooter>
  <ignoredErrors>
    <ignoredError sqref="E1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view="pageLayout" zoomScaleNormal="100" workbookViewId="0">
      <selection activeCell="J30" sqref="J30"/>
    </sheetView>
  </sheetViews>
  <sheetFormatPr defaultRowHeight="14.4"/>
  <cols>
    <col min="1" max="1" width="2.88671875" customWidth="1"/>
    <col min="2" max="2" width="20.6640625" customWidth="1"/>
    <col min="3" max="3" width="8.33203125" customWidth="1"/>
    <col min="4" max="4" width="8.5546875" customWidth="1"/>
    <col min="5" max="5" width="8.33203125" customWidth="1"/>
    <col min="6" max="6" width="8.5546875" customWidth="1"/>
    <col min="7" max="7" width="8" customWidth="1"/>
    <col min="8" max="8" width="8.33203125" style="77" customWidth="1"/>
    <col min="9" max="12" width="8.5546875" customWidth="1"/>
  </cols>
  <sheetData>
    <row r="1" spans="1:12">
      <c r="A1" t="s">
        <v>72</v>
      </c>
    </row>
    <row r="2" spans="1:12" s="37" customFormat="1" ht="14.4" customHeight="1">
      <c r="A2" s="57"/>
      <c r="B2" s="57"/>
      <c r="C2" s="57"/>
      <c r="D2" s="57"/>
      <c r="E2" s="57"/>
      <c r="F2" s="57"/>
      <c r="G2" s="57"/>
      <c r="H2" s="84"/>
      <c r="I2" s="57"/>
      <c r="J2" s="57"/>
      <c r="K2" s="57"/>
    </row>
    <row r="3" spans="1:12" s="37" customFormat="1" ht="62.4" customHeight="1">
      <c r="A3" s="181" t="s">
        <v>197</v>
      </c>
      <c r="B3" s="181"/>
      <c r="C3" s="181"/>
      <c r="D3" s="181"/>
      <c r="E3" s="181"/>
      <c r="F3" s="181"/>
      <c r="G3" s="181"/>
      <c r="H3" s="181"/>
      <c r="I3" s="181"/>
      <c r="J3" s="181"/>
      <c r="K3" s="181"/>
    </row>
    <row r="4" spans="1:12" ht="14.4" customHeight="1"/>
    <row r="5" spans="1:12" ht="14.4" customHeight="1">
      <c r="A5" s="180" t="s">
        <v>97</v>
      </c>
      <c r="B5" s="180"/>
      <c r="C5" s="180"/>
      <c r="D5" s="180"/>
      <c r="E5" s="180"/>
      <c r="F5" s="180"/>
      <c r="G5" s="180"/>
      <c r="H5" s="180"/>
      <c r="I5" s="180"/>
      <c r="J5" s="180"/>
      <c r="K5" s="180"/>
    </row>
    <row r="6" spans="1:12" s="37" customFormat="1" ht="13.95" customHeight="1">
      <c r="A6" s="180" t="s">
        <v>98</v>
      </c>
      <c r="B6" s="180"/>
      <c r="C6" s="180"/>
      <c r="D6" s="180"/>
      <c r="E6" s="180"/>
      <c r="F6" s="180"/>
      <c r="G6" s="180"/>
      <c r="H6" s="180"/>
      <c r="I6" s="180"/>
      <c r="J6" s="180"/>
      <c r="K6" s="180"/>
    </row>
    <row r="7" spans="1:12" ht="28.95" customHeight="1">
      <c r="A7" s="54"/>
      <c r="B7" s="54"/>
      <c r="C7" s="54"/>
      <c r="E7" s="59" t="s">
        <v>91</v>
      </c>
      <c r="F7" s="59" t="s">
        <v>92</v>
      </c>
      <c r="G7" s="63" t="s">
        <v>101</v>
      </c>
      <c r="H7" s="83" t="s">
        <v>111</v>
      </c>
      <c r="I7" s="107" t="s">
        <v>162</v>
      </c>
      <c r="J7" s="59" t="s">
        <v>93</v>
      </c>
      <c r="K7" s="54"/>
      <c r="L7" s="54"/>
    </row>
    <row r="8" spans="1:12" ht="14.4" customHeight="1">
      <c r="A8" s="58" t="s">
        <v>89</v>
      </c>
      <c r="B8" s="25"/>
      <c r="C8" s="25"/>
      <c r="E8" s="25"/>
      <c r="F8" s="25"/>
      <c r="G8" s="25"/>
      <c r="H8" s="25"/>
      <c r="I8" s="25"/>
      <c r="J8" s="25"/>
      <c r="K8" s="25"/>
      <c r="L8" s="25"/>
    </row>
    <row r="9" spans="1:12" ht="14.4" customHeight="1">
      <c r="A9" s="55"/>
      <c r="B9" s="55" t="s">
        <v>90</v>
      </c>
      <c r="C9" s="55"/>
      <c r="E9" s="61">
        <v>-346</v>
      </c>
      <c r="F9" s="61">
        <v>-196</v>
      </c>
      <c r="G9" s="79">
        <v>108</v>
      </c>
      <c r="H9" s="104"/>
      <c r="I9" s="79">
        <f>SUM(E9:H9)</f>
        <v>-434</v>
      </c>
      <c r="J9" s="106">
        <v>-5.1999999999999998E-2</v>
      </c>
      <c r="K9" s="55"/>
      <c r="L9" s="55"/>
    </row>
    <row r="10" spans="1:12" ht="14.4" customHeight="1">
      <c r="A10" s="55"/>
      <c r="B10" s="55" t="s">
        <v>99</v>
      </c>
      <c r="C10" s="55"/>
      <c r="E10" s="60">
        <v>-17.63</v>
      </c>
      <c r="F10" s="60">
        <v>-19.86</v>
      </c>
      <c r="G10" s="80">
        <v>2.4500000000000002</v>
      </c>
      <c r="H10" s="105"/>
      <c r="I10" s="80">
        <f>SUM(E10:H10)</f>
        <v>-35.039999999999992</v>
      </c>
      <c r="J10" s="106">
        <v>-6.6000000000000003E-2</v>
      </c>
      <c r="K10" s="55"/>
      <c r="L10" s="55"/>
    </row>
    <row r="11" spans="1:12">
      <c r="B11" s="37" t="s">
        <v>100</v>
      </c>
      <c r="E11" s="60">
        <v>17.63</v>
      </c>
      <c r="F11" s="60">
        <v>19.86</v>
      </c>
      <c r="G11" s="60">
        <v>-2.4500000000000002</v>
      </c>
      <c r="H11" s="60"/>
      <c r="I11" s="80">
        <f>SUM(E11:H11)</f>
        <v>35.039999999999992</v>
      </c>
    </row>
    <row r="12" spans="1:12" s="37" customFormat="1" ht="6" customHeight="1">
      <c r="E12" s="60"/>
      <c r="F12" s="60"/>
      <c r="G12" s="80"/>
      <c r="H12" s="101"/>
      <c r="I12" s="80"/>
    </row>
    <row r="13" spans="1:12">
      <c r="A13" s="58" t="s">
        <v>94</v>
      </c>
      <c r="B13" s="25"/>
      <c r="C13" s="25"/>
      <c r="E13" s="25"/>
      <c r="F13" s="25"/>
      <c r="G13" s="81"/>
      <c r="H13" s="102"/>
      <c r="I13" s="81"/>
      <c r="J13" s="25"/>
      <c r="K13" s="56"/>
      <c r="L13" s="56"/>
    </row>
    <row r="14" spans="1:12">
      <c r="A14" s="55"/>
      <c r="B14" s="55" t="s">
        <v>90</v>
      </c>
      <c r="C14" s="55"/>
      <c r="E14" s="61">
        <v>-461</v>
      </c>
      <c r="F14" s="61">
        <v>-255</v>
      </c>
      <c r="G14" s="79">
        <v>-174</v>
      </c>
      <c r="H14" s="104"/>
      <c r="I14" s="79">
        <f>SUM(E14:H14)</f>
        <v>-890</v>
      </c>
      <c r="J14" s="106">
        <v>-1.9E-2</v>
      </c>
      <c r="K14" s="56"/>
      <c r="L14" s="56"/>
    </row>
    <row r="15" spans="1:12" ht="14.4" customHeight="1">
      <c r="A15" s="55"/>
      <c r="B15" s="55" t="s">
        <v>99</v>
      </c>
      <c r="C15" s="55"/>
      <c r="E15" s="60">
        <v>-16.47</v>
      </c>
      <c r="F15" s="60">
        <v>-18.29</v>
      </c>
      <c r="G15" s="80">
        <v>-21.4</v>
      </c>
      <c r="H15" s="105"/>
      <c r="I15" s="80">
        <f>SUM(E15:H15)</f>
        <v>-56.16</v>
      </c>
      <c r="J15" s="106">
        <v>-1.7000000000000001E-2</v>
      </c>
      <c r="K15" s="56"/>
      <c r="L15" s="56"/>
    </row>
    <row r="16" spans="1:12">
      <c r="B16" s="37" t="s">
        <v>100</v>
      </c>
      <c r="E16" s="60">
        <v>16.47</v>
      </c>
      <c r="F16" s="60">
        <v>18.29</v>
      </c>
      <c r="G16" s="60">
        <v>21.4</v>
      </c>
      <c r="H16" s="60"/>
      <c r="I16" s="80">
        <f>SUM(E16:H16)</f>
        <v>56.16</v>
      </c>
    </row>
    <row r="17" spans="1:11" s="37" customFormat="1" ht="9" customHeight="1">
      <c r="G17" s="41"/>
      <c r="H17" s="103"/>
      <c r="I17" s="41"/>
    </row>
    <row r="18" spans="1:11" ht="14.4" customHeight="1">
      <c r="A18" s="58" t="s">
        <v>95</v>
      </c>
      <c r="B18" s="25"/>
      <c r="C18" s="25"/>
      <c r="E18" s="25"/>
      <c r="F18" s="25"/>
      <c r="G18" s="81"/>
      <c r="H18" s="102"/>
      <c r="I18" s="81"/>
      <c r="J18" s="25"/>
    </row>
    <row r="19" spans="1:11" ht="14.4" customHeight="1">
      <c r="A19" s="55"/>
      <c r="B19" s="55" t="s">
        <v>90</v>
      </c>
      <c r="C19" s="55"/>
      <c r="E19" s="61">
        <v>-47</v>
      </c>
      <c r="F19" s="61">
        <v>-31</v>
      </c>
      <c r="G19" s="79">
        <v>4</v>
      </c>
      <c r="H19" s="104"/>
      <c r="I19" s="79">
        <f>SUM(E19:H19)</f>
        <v>-74</v>
      </c>
      <c r="J19" s="106">
        <v>-0.14699999999999999</v>
      </c>
    </row>
    <row r="20" spans="1:11">
      <c r="A20" s="55"/>
      <c r="B20" s="55" t="s">
        <v>99</v>
      </c>
      <c r="C20" s="55"/>
      <c r="E20" s="60">
        <v>-17.48</v>
      </c>
      <c r="F20" s="60">
        <v>-17.48</v>
      </c>
      <c r="G20" s="80">
        <v>0.67</v>
      </c>
      <c r="H20" s="105"/>
      <c r="I20" s="80">
        <f>SUM(E20:H20)</f>
        <v>-34.29</v>
      </c>
      <c r="J20" s="106">
        <v>-0.159</v>
      </c>
    </row>
    <row r="21" spans="1:11" s="37" customFormat="1">
      <c r="A21" s="55"/>
      <c r="B21" s="37" t="s">
        <v>100</v>
      </c>
      <c r="C21" s="55"/>
      <c r="E21" s="60">
        <v>17.48</v>
      </c>
      <c r="F21" s="60">
        <v>17.48</v>
      </c>
      <c r="G21" s="60">
        <v>-0.67</v>
      </c>
      <c r="H21" s="60"/>
      <c r="I21" s="80">
        <f>SUM(E21:H21)</f>
        <v>34.29</v>
      </c>
      <c r="J21" s="62"/>
    </row>
    <row r="22" spans="1:11" ht="9" customHeight="1">
      <c r="A22" s="37"/>
      <c r="B22" s="37"/>
      <c r="C22" s="37"/>
      <c r="E22" s="37"/>
      <c r="F22" s="37"/>
      <c r="G22" s="41"/>
      <c r="H22" s="103"/>
      <c r="I22" s="41"/>
      <c r="J22" s="37"/>
    </row>
    <row r="23" spans="1:11">
      <c r="A23" s="58" t="s">
        <v>96</v>
      </c>
      <c r="B23" s="25"/>
      <c r="C23" s="25"/>
      <c r="E23" s="25"/>
      <c r="F23" s="25"/>
      <c r="G23" s="81"/>
      <c r="H23" s="102"/>
      <c r="I23" s="81"/>
      <c r="J23" s="25"/>
    </row>
    <row r="24" spans="1:11">
      <c r="A24" s="55"/>
      <c r="B24" s="55" t="s">
        <v>90</v>
      </c>
      <c r="C24" s="55"/>
      <c r="E24" s="61">
        <v>-1121</v>
      </c>
      <c r="F24" s="61">
        <v>-899</v>
      </c>
      <c r="G24" s="79">
        <v>-18</v>
      </c>
      <c r="H24" s="104"/>
      <c r="I24" s="79">
        <f>SUM(E24:H24)</f>
        <v>-2038</v>
      </c>
      <c r="J24" s="106">
        <v>-0.151</v>
      </c>
    </row>
    <row r="25" spans="1:11">
      <c r="A25" s="55"/>
      <c r="B25" s="55" t="s">
        <v>99</v>
      </c>
      <c r="C25" s="55"/>
      <c r="E25" s="60">
        <v>-238.26</v>
      </c>
      <c r="F25" s="60">
        <v>-254.35</v>
      </c>
      <c r="G25" s="80">
        <v>-49.65</v>
      </c>
      <c r="H25" s="105"/>
      <c r="I25" s="80">
        <f>SUM(E25:H25)</f>
        <v>-542.26</v>
      </c>
      <c r="J25" s="106">
        <v>-0.16200000000000001</v>
      </c>
    </row>
    <row r="26" spans="1:11">
      <c r="B26" s="37" t="s">
        <v>100</v>
      </c>
      <c r="E26" s="60">
        <v>238.26</v>
      </c>
      <c r="F26" s="60">
        <v>254.35</v>
      </c>
      <c r="G26" s="60">
        <v>49.65</v>
      </c>
      <c r="H26" s="60"/>
      <c r="I26" s="80">
        <f>SUM(E26:H26)</f>
        <v>542.26</v>
      </c>
    </row>
    <row r="29" spans="1:11" ht="140.25" customHeight="1">
      <c r="A29" s="182" t="s">
        <v>161</v>
      </c>
      <c r="B29" s="182"/>
      <c r="C29" s="182"/>
      <c r="D29" s="182"/>
      <c r="E29" s="182"/>
      <c r="F29" s="182"/>
      <c r="G29" s="182"/>
      <c r="H29" s="182"/>
      <c r="I29" s="182"/>
      <c r="J29" s="182"/>
      <c r="K29" s="182"/>
    </row>
  </sheetData>
  <mergeCells count="4">
    <mergeCell ref="A5:K5"/>
    <mergeCell ref="A6:K6"/>
    <mergeCell ref="A3:K3"/>
    <mergeCell ref="A29:K29"/>
  </mergeCells>
  <pageMargins left="0.7" right="0.7" top="1.43" bottom="0.75" header="0.75" footer="0.73"/>
  <pageSetup scale="90" orientation="portrait" r:id="rId1"/>
  <headerFooter>
    <oddHeader>&amp;CAvista Corporation Decoupling Mechanism
Washington Jurisdiction
Quarterly Report for 3rd Quarter 2016</oddHeader>
    <oddFooter>&amp;Cfile: &amp;F / &amp;A&amp;RPage 9 of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2017-06-02T07:00:00+00:00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208C0673-FB10-4E22-A5F1-CB27AD4E9022}"/>
</file>

<file path=customXml/itemProps2.xml><?xml version="1.0" encoding="utf-8"?>
<ds:datastoreItem xmlns:ds="http://schemas.openxmlformats.org/officeDocument/2006/customXml" ds:itemID="{DBB3E500-34C3-4658-81BF-02BF329FDA0B}"/>
</file>

<file path=customXml/itemProps3.xml><?xml version="1.0" encoding="utf-8"?>
<ds:datastoreItem xmlns:ds="http://schemas.openxmlformats.org/officeDocument/2006/customXml" ds:itemID="{9B17DB41-19DC-4F50-8F0D-5954228AE170}"/>
</file>

<file path=customXml/itemProps4.xml><?xml version="1.0" encoding="utf-8"?>
<ds:datastoreItem xmlns:ds="http://schemas.openxmlformats.org/officeDocument/2006/customXml" ds:itemID="{3B9FACE6-01CA-483B-B783-D7435C7B5C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2016-11-10T22:27:25Z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