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7\2017_ WA Elec and Gas GRC\Rebuttal Testimony &amp; Exhibits\Johnson\"/>
    </mc:Choice>
  </mc:AlternateContent>
  <bookViews>
    <workbookView xWindow="0" yWindow="0" windowWidth="16800" windowHeight="6465"/>
  </bookViews>
  <sheets>
    <sheet name="Act v Auth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3" l="1"/>
  <c r="H6" i="3" l="1"/>
  <c r="L20" i="3" l="1"/>
  <c r="K20" i="3"/>
  <c r="E17" i="3" l="1"/>
  <c r="E18" i="3"/>
  <c r="E10" i="3"/>
  <c r="E5" i="3"/>
  <c r="E16" i="3"/>
  <c r="E11" i="3"/>
  <c r="E9" i="3"/>
  <c r="F10" i="3"/>
  <c r="F18" i="3"/>
  <c r="F17" i="3"/>
  <c r="F16" i="3" l="1"/>
  <c r="E15" i="3" l="1"/>
  <c r="F15" i="3"/>
  <c r="E14" i="3" l="1"/>
  <c r="F14" i="3"/>
  <c r="E13" i="3"/>
  <c r="F13" i="3"/>
  <c r="F11" i="3"/>
  <c r="F9" i="3"/>
  <c r="E8" i="3"/>
  <c r="F8" i="3"/>
  <c r="E7" i="3"/>
  <c r="F7" i="3"/>
  <c r="E6" i="3"/>
  <c r="F6" i="3"/>
  <c r="F5" i="3"/>
  <c r="G20" i="3"/>
  <c r="M18" i="3"/>
  <c r="H18" i="3"/>
  <c r="M17" i="3"/>
  <c r="H17" i="3"/>
  <c r="M16" i="3"/>
  <c r="H16" i="3"/>
  <c r="M15" i="3"/>
  <c r="H15" i="3"/>
  <c r="L14" i="3"/>
  <c r="M14" i="3" s="1"/>
  <c r="H14" i="3"/>
  <c r="K13" i="3"/>
  <c r="H13" i="3"/>
  <c r="M12" i="3"/>
  <c r="H12" i="3"/>
  <c r="M11" i="3"/>
  <c r="H11" i="3"/>
  <c r="M10" i="3"/>
  <c r="H10" i="3"/>
  <c r="M9" i="3"/>
  <c r="H9" i="3"/>
  <c r="M8" i="3"/>
  <c r="H8" i="3"/>
  <c r="M7" i="3"/>
  <c r="H7" i="3"/>
  <c r="M6" i="3"/>
  <c r="M5" i="3"/>
  <c r="H5" i="3"/>
  <c r="G21" i="3" l="1"/>
  <c r="G22" i="3"/>
  <c r="F20" i="3"/>
  <c r="M20" i="3"/>
  <c r="E20" i="3"/>
  <c r="L13" i="3"/>
  <c r="K23" i="3"/>
  <c r="K21" i="3"/>
  <c r="L21" i="3" l="1"/>
  <c r="L23" i="3"/>
  <c r="M23" i="3" s="1"/>
  <c r="M13" i="3"/>
  <c r="M21" i="3" s="1"/>
</calcChain>
</file>

<file path=xl/sharedStrings.xml><?xml version="1.0" encoding="utf-8"?>
<sst xmlns="http://schemas.openxmlformats.org/spreadsheetml/2006/main" count="42" uniqueCount="33">
  <si>
    <t>Total</t>
  </si>
  <si>
    <t>Cumulative</t>
  </si>
  <si>
    <t>Average Actual - Authorized per Year</t>
  </si>
  <si>
    <t>2003 was the first full year of the ERM</t>
  </si>
  <si>
    <t>ERM History</t>
  </si>
  <si>
    <t>Actual vs Authorized Power Supply  Expense</t>
  </si>
  <si>
    <t>ERM Actual Costs vs. Authorized Costs</t>
  </si>
  <si>
    <t>for 2003-2005, $9MM deadband then 10%</t>
  </si>
  <si>
    <t>Actual</t>
  </si>
  <si>
    <t>Authorized</t>
  </si>
  <si>
    <t>Year</t>
  </si>
  <si>
    <t>Average Percent Variance</t>
  </si>
  <si>
    <t>Amount Deferred</t>
  </si>
  <si>
    <t>Amount Absorbed by the Company</t>
  </si>
  <si>
    <t>Total All Years</t>
  </si>
  <si>
    <t>Total 2011-2016</t>
  </si>
  <si>
    <t>Total 2003-2009</t>
  </si>
  <si>
    <t>ERM Deferrals &amp; Amounts Absorbed by the Company</t>
  </si>
  <si>
    <t>Order No.</t>
  </si>
  <si>
    <t>UE-170218</t>
  </si>
  <si>
    <t>Docket No.</t>
  </si>
  <si>
    <t>01</t>
  </si>
  <si>
    <t>UE-160357</t>
  </si>
  <si>
    <t>UE-150520</t>
  </si>
  <si>
    <t>UE-140540</t>
  </si>
  <si>
    <t>Contract</t>
  </si>
  <si>
    <t>PGE Contract</t>
  </si>
  <si>
    <t xml:space="preserve">Amount </t>
  </si>
  <si>
    <t>Chelan PUD</t>
  </si>
  <si>
    <t>Lancaster PPA</t>
  </si>
  <si>
    <t>Palouse Wind</t>
  </si>
  <si>
    <t>Wells Dam</t>
  </si>
  <si>
    <t>No ERM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</si>
</sst>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164" fontId="0" fillId="0" borderId="0" xfId="0" applyNumberFormat="1" applyFill="1"/>
    <xf numFmtId="5" fontId="0" fillId="0" borderId="0" xfId="2" applyNumberFormat="1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0" borderId="1" xfId="0" applyFont="1" applyBorder="1"/>
    <xf numFmtId="164" fontId="4" fillId="0" borderId="5" xfId="0" applyNumberFormat="1" applyFont="1" applyBorder="1"/>
    <xf numFmtId="164" fontId="4" fillId="0" borderId="2" xfId="0" applyNumberFormat="1" applyFont="1" applyBorder="1"/>
    <xf numFmtId="0" fontId="4" fillId="0" borderId="3" xfId="0" applyFont="1" applyBorder="1"/>
    <xf numFmtId="164" fontId="4" fillId="0" borderId="6" xfId="0" applyNumberFormat="1" applyFont="1" applyBorder="1"/>
    <xf numFmtId="164" fontId="4" fillId="0" borderId="4" xfId="0" applyNumberFormat="1" applyFont="1" applyBorder="1"/>
    <xf numFmtId="0" fontId="4" fillId="0" borderId="7" xfId="0" applyFont="1" applyBorder="1"/>
    <xf numFmtId="164" fontId="4" fillId="0" borderId="8" xfId="0" applyNumberFormat="1" applyFont="1" applyBorder="1"/>
    <xf numFmtId="164" fontId="4" fillId="0" borderId="8" xfId="0" applyNumberFormat="1" applyFont="1" applyFill="1" applyBorder="1"/>
    <xf numFmtId="164" fontId="4" fillId="0" borderId="9" xfId="0" applyNumberFormat="1" applyFont="1" applyBorder="1"/>
    <xf numFmtId="0" fontId="0" fillId="0" borderId="0" xfId="0" applyFont="1" applyBorder="1"/>
    <xf numFmtId="164" fontId="0" fillId="0" borderId="0" xfId="0" applyNumberFormat="1" applyFont="1" applyBorder="1"/>
    <xf numFmtId="10" fontId="1" fillId="0" borderId="0" xfId="1" applyNumberFormat="1" applyFont="1" applyBorder="1"/>
    <xf numFmtId="164" fontId="4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5" fontId="7" fillId="0" borderId="0" xfId="2" applyNumberFormat="1" applyFont="1"/>
    <xf numFmtId="6" fontId="7" fillId="0" borderId="11" xfId="0" applyNumberFormat="1" applyFont="1" applyBorder="1"/>
    <xf numFmtId="165" fontId="7" fillId="0" borderId="0" xfId="0" applyNumberFormat="1" applyFont="1"/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13" workbookViewId="0">
      <selection activeCell="B24" sqref="B24:B25"/>
    </sheetView>
  </sheetViews>
  <sheetFormatPr defaultRowHeight="15" x14ac:dyDescent="0.25"/>
  <cols>
    <col min="3" max="3" width="17.140625" customWidth="1"/>
    <col min="4" max="4" width="9.140625" customWidth="1"/>
    <col min="5" max="6" width="16" customWidth="1"/>
    <col min="7" max="7" width="18.5703125" customWidth="1"/>
    <col min="8" max="8" width="13.42578125" bestFit="1" customWidth="1"/>
    <col min="9" max="9" width="4.140625" customWidth="1"/>
    <col min="10" max="10" width="14.7109375" customWidth="1"/>
    <col min="11" max="11" width="23.28515625" customWidth="1"/>
    <col min="12" max="12" width="19.42578125" customWidth="1"/>
    <col min="13" max="13" width="16.140625" customWidth="1"/>
    <col min="14" max="14" width="17.7109375" customWidth="1"/>
  </cols>
  <sheetData>
    <row r="1" spans="1:14" ht="18.75" x14ac:dyDescent="0.3">
      <c r="D1" s="34" t="s">
        <v>4</v>
      </c>
      <c r="E1" s="34"/>
      <c r="F1" s="34"/>
      <c r="G1" s="34"/>
      <c r="H1" s="34"/>
      <c r="J1" s="34" t="s">
        <v>4</v>
      </c>
      <c r="K1" s="34"/>
      <c r="L1" s="34"/>
      <c r="M1" s="34"/>
    </row>
    <row r="2" spans="1:14" ht="18.75" x14ac:dyDescent="0.3">
      <c r="D2" s="34" t="s">
        <v>5</v>
      </c>
      <c r="E2" s="34"/>
      <c r="F2" s="34"/>
      <c r="G2" s="34"/>
      <c r="H2" s="34"/>
      <c r="J2" s="34" t="s">
        <v>17</v>
      </c>
      <c r="K2" s="34"/>
      <c r="L2" s="34"/>
      <c r="M2" s="34"/>
    </row>
    <row r="3" spans="1:14" ht="14.45" customHeight="1" x14ac:dyDescent="0.25">
      <c r="D3" s="35"/>
      <c r="E3" s="35"/>
      <c r="F3" s="35"/>
      <c r="G3" s="35"/>
      <c r="H3" s="35"/>
      <c r="I3" s="2"/>
      <c r="J3" s="36"/>
      <c r="K3" s="36"/>
      <c r="L3" s="36"/>
      <c r="M3" s="36"/>
    </row>
    <row r="4" spans="1:14" ht="45" x14ac:dyDescent="0.25">
      <c r="D4" s="9" t="s">
        <v>10</v>
      </c>
      <c r="E4" s="9" t="s">
        <v>8</v>
      </c>
      <c r="F4" s="9" t="s">
        <v>9</v>
      </c>
      <c r="G4" s="10" t="s">
        <v>6</v>
      </c>
      <c r="H4" s="9" t="s">
        <v>1</v>
      </c>
      <c r="J4" s="33" t="s">
        <v>10</v>
      </c>
      <c r="K4" s="33" t="s">
        <v>12</v>
      </c>
      <c r="L4" s="33" t="s">
        <v>13</v>
      </c>
      <c r="M4" s="33" t="s">
        <v>0</v>
      </c>
    </row>
    <row r="5" spans="1:14" x14ac:dyDescent="0.25">
      <c r="A5" t="s">
        <v>3</v>
      </c>
      <c r="D5">
        <v>2003</v>
      </c>
      <c r="E5" s="8">
        <f>(94611130+25309296)*0.6629-2146841+114176-2</f>
        <v>77462583.395400003</v>
      </c>
      <c r="F5" s="8">
        <f>65866619*0.6629</f>
        <v>43662981.735100001</v>
      </c>
      <c r="G5" s="3">
        <v>33799602</v>
      </c>
      <c r="H5" s="3">
        <f>SUM(G$5:G5)</f>
        <v>33799602</v>
      </c>
      <c r="I5" s="3"/>
      <c r="J5" s="1">
        <v>2003</v>
      </c>
      <c r="K5" s="3">
        <v>22319644</v>
      </c>
      <c r="L5" s="3">
        <v>11479958</v>
      </c>
      <c r="M5" s="3">
        <f>SUM(K5:L5)</f>
        <v>33799602</v>
      </c>
      <c r="N5" t="s">
        <v>7</v>
      </c>
    </row>
    <row r="6" spans="1:14" x14ac:dyDescent="0.25">
      <c r="D6">
        <v>2004</v>
      </c>
      <c r="E6" s="8">
        <f>43662982+20663573</f>
        <v>64326555</v>
      </c>
      <c r="F6" s="8">
        <f>65866619*0.6629</f>
        <v>43662981.735100001</v>
      </c>
      <c r="G6" s="7">
        <v>20663573</v>
      </c>
      <c r="H6" s="3">
        <f>SUM(G$5:G6)</f>
        <v>54463175</v>
      </c>
      <c r="I6" s="3"/>
      <c r="J6" s="1">
        <v>2004</v>
      </c>
      <c r="K6" s="3">
        <v>10497216</v>
      </c>
      <c r="L6" s="3">
        <v>10166357</v>
      </c>
      <c r="M6" s="3">
        <f t="shared" ref="M6:M18" si="0">SUM(K6:L6)</f>
        <v>20663573</v>
      </c>
    </row>
    <row r="7" spans="1:14" x14ac:dyDescent="0.25">
      <c r="D7">
        <v>2005</v>
      </c>
      <c r="E7" s="8">
        <f>43662982+13588374</f>
        <v>57251356</v>
      </c>
      <c r="F7" s="8">
        <f>65866619*0.6629</f>
        <v>43662981.735100001</v>
      </c>
      <c r="G7" s="3">
        <v>13588374</v>
      </c>
      <c r="H7" s="3">
        <f>SUM(G$5:G7)</f>
        <v>68051549</v>
      </c>
      <c r="I7" s="3"/>
      <c r="J7" s="1">
        <v>2005</v>
      </c>
      <c r="K7" s="3">
        <v>4129537</v>
      </c>
      <c r="L7" s="3">
        <v>9458837</v>
      </c>
      <c r="M7" s="3">
        <f t="shared" si="0"/>
        <v>13588374</v>
      </c>
    </row>
    <row r="8" spans="1:14" x14ac:dyDescent="0.25">
      <c r="D8">
        <v>2006</v>
      </c>
      <c r="E8" s="8">
        <f>70389766-2601664</f>
        <v>67788102</v>
      </c>
      <c r="F8" s="8">
        <f>108026038*0.6516</f>
        <v>70389766.360799998</v>
      </c>
      <c r="G8" s="3">
        <v>-2601664</v>
      </c>
      <c r="H8" s="3">
        <f>SUM(G$5:G8)</f>
        <v>65449885</v>
      </c>
      <c r="I8" s="3"/>
      <c r="J8" s="1">
        <v>2006</v>
      </c>
      <c r="K8" s="3">
        <v>0</v>
      </c>
      <c r="L8" s="3">
        <v>-2601664</v>
      </c>
      <c r="M8" s="3">
        <f t="shared" si="0"/>
        <v>-2601664</v>
      </c>
    </row>
    <row r="9" spans="1:14" x14ac:dyDescent="0.25">
      <c r="D9">
        <v>2007</v>
      </c>
      <c r="E9" s="8">
        <f>70389766+24826407</f>
        <v>95216173</v>
      </c>
      <c r="F9" s="8">
        <f>108026038*0.6516</f>
        <v>70389766.360799998</v>
      </c>
      <c r="G9" s="3">
        <v>24826407</v>
      </c>
      <c r="H9" s="3">
        <f>SUM(G$5:G9)</f>
        <v>90276292</v>
      </c>
      <c r="I9" s="3"/>
      <c r="J9" s="1">
        <v>2007</v>
      </c>
      <c r="K9" s="3">
        <v>16343766</v>
      </c>
      <c r="L9" s="3">
        <v>8482641</v>
      </c>
      <c r="M9" s="3">
        <f t="shared" si="0"/>
        <v>24826407</v>
      </c>
    </row>
    <row r="10" spans="1:14" x14ac:dyDescent="0.25">
      <c r="D10">
        <v>2008</v>
      </c>
      <c r="E10" s="8">
        <f>122166945+1</f>
        <v>122166946</v>
      </c>
      <c r="F10" s="8">
        <f>163555401*0.6583</f>
        <v>107668520.47830001</v>
      </c>
      <c r="G10" s="3">
        <v>14498426</v>
      </c>
      <c r="H10" s="3">
        <f>SUM(G$5:G10)</f>
        <v>104774718</v>
      </c>
      <c r="I10" s="3"/>
      <c r="J10" s="1">
        <v>2008</v>
      </c>
      <c r="K10" s="3">
        <v>7048583</v>
      </c>
      <c r="L10" s="3">
        <v>7449843</v>
      </c>
      <c r="M10" s="3">
        <f t="shared" si="0"/>
        <v>14498426</v>
      </c>
    </row>
    <row r="11" spans="1:14" x14ac:dyDescent="0.25">
      <c r="D11">
        <v>2009</v>
      </c>
      <c r="E11" s="8">
        <f>122589229-3037637</f>
        <v>119551592</v>
      </c>
      <c r="F11" s="8">
        <f>189795989*0.6459</f>
        <v>122589229.2951</v>
      </c>
      <c r="G11" s="3">
        <v>-3037637</v>
      </c>
      <c r="H11" s="3">
        <f>SUM(G$5:G11)</f>
        <v>101737081</v>
      </c>
      <c r="I11" s="3"/>
      <c r="J11" s="1">
        <v>2009</v>
      </c>
      <c r="K11" s="3">
        <v>0</v>
      </c>
      <c r="L11" s="3">
        <v>-3037637</v>
      </c>
      <c r="M11" s="3">
        <f t="shared" si="0"/>
        <v>-3037637</v>
      </c>
    </row>
    <row r="12" spans="1:14" x14ac:dyDescent="0.25">
      <c r="A12" t="s">
        <v>32</v>
      </c>
      <c r="D12">
        <v>2010</v>
      </c>
      <c r="E12" s="8"/>
      <c r="F12" s="8"/>
      <c r="G12" s="3">
        <v>0</v>
      </c>
      <c r="H12" s="3">
        <f>SUM(G$5:G12)</f>
        <v>101737081</v>
      </c>
      <c r="I12" s="3"/>
      <c r="J12" s="1">
        <v>2010</v>
      </c>
      <c r="K12" s="3">
        <v>0</v>
      </c>
      <c r="L12" s="3">
        <v>0</v>
      </c>
      <c r="M12" s="3">
        <f t="shared" si="0"/>
        <v>0</v>
      </c>
    </row>
    <row r="13" spans="1:14" x14ac:dyDescent="0.25">
      <c r="D13">
        <v>2011</v>
      </c>
      <c r="E13" s="8">
        <f>120930162-19208401</f>
        <v>101721761</v>
      </c>
      <c r="F13" s="8">
        <f>(22736207+19448034+19950428+8461615+3661014+4078472+11240539+17168148+16063688+18506590+21138950+23965556)*0.6487</f>
        <v>120930161.6367</v>
      </c>
      <c r="G13" s="3">
        <v>-19208401</v>
      </c>
      <c r="H13" s="3">
        <f>SUM(G$5:G13)</f>
        <v>82528680</v>
      </c>
      <c r="I13" s="3"/>
      <c r="J13" s="1">
        <v>2011</v>
      </c>
      <c r="K13" s="3">
        <f>-12787561</f>
        <v>-12787561</v>
      </c>
      <c r="L13" s="3">
        <f>G13-K13</f>
        <v>-6420840</v>
      </c>
      <c r="M13" s="3">
        <f t="shared" si="0"/>
        <v>-19208401</v>
      </c>
    </row>
    <row r="14" spans="1:14" x14ac:dyDescent="0.25">
      <c r="D14">
        <v>2012</v>
      </c>
      <c r="E14" s="8">
        <f>128931859-14704389</f>
        <v>114227470</v>
      </c>
      <c r="F14" s="8">
        <f>197869642*0.6516</f>
        <v>128931858.72719999</v>
      </c>
      <c r="G14" s="3">
        <v>-14704389</v>
      </c>
      <c r="H14" s="3">
        <f>SUM(G$5:G14)</f>
        <v>67824291</v>
      </c>
      <c r="I14" s="3"/>
      <c r="J14" s="1">
        <v>2012</v>
      </c>
      <c r="K14" s="3">
        <v>-8733950</v>
      </c>
      <c r="L14" s="3">
        <f>G14-K14</f>
        <v>-5970439</v>
      </c>
      <c r="M14" s="3">
        <f t="shared" si="0"/>
        <v>-14704389</v>
      </c>
    </row>
    <row r="15" spans="1:14" x14ac:dyDescent="0.25">
      <c r="D15">
        <v>2013</v>
      </c>
      <c r="E15" s="8">
        <f>118241099+5037302</f>
        <v>123278401</v>
      </c>
      <c r="F15" s="8">
        <f>181240188*0.6524</f>
        <v>118241098.6512</v>
      </c>
      <c r="G15" s="3">
        <v>5037302</v>
      </c>
      <c r="H15" s="3">
        <f>SUM(G$5:G15)</f>
        <v>72861593</v>
      </c>
      <c r="I15" s="3"/>
      <c r="J15" s="1">
        <v>2013</v>
      </c>
      <c r="K15" s="3">
        <v>518651</v>
      </c>
      <c r="L15" s="3">
        <v>4518651</v>
      </c>
      <c r="M15" s="3">
        <f t="shared" si="0"/>
        <v>5037302</v>
      </c>
    </row>
    <row r="16" spans="1:14" x14ac:dyDescent="0.25">
      <c r="D16">
        <v>2014</v>
      </c>
      <c r="E16" s="8">
        <f>118241099-9526639</f>
        <v>108714460</v>
      </c>
      <c r="F16" s="8">
        <f>181240188*0.6524</f>
        <v>118241098.6512</v>
      </c>
      <c r="G16" s="3">
        <v>-9526639</v>
      </c>
      <c r="H16" s="3">
        <f>SUM(G$5:G16)</f>
        <v>63334954</v>
      </c>
      <c r="I16" s="3"/>
      <c r="J16" s="1">
        <v>2014</v>
      </c>
      <c r="K16" s="3">
        <v>-4144980</v>
      </c>
      <c r="L16" s="3">
        <v>-5381660</v>
      </c>
      <c r="M16" s="3">
        <f t="shared" si="0"/>
        <v>-9526640</v>
      </c>
    </row>
    <row r="17" spans="2:13" x14ac:dyDescent="0.25">
      <c r="D17">
        <v>2015</v>
      </c>
      <c r="E17" s="8">
        <f>113768576-17578148-1</f>
        <v>96190427</v>
      </c>
      <c r="F17" s="8">
        <f>174518448*0.6519</f>
        <v>113768576.25120001</v>
      </c>
      <c r="G17" s="3">
        <v>-17578149</v>
      </c>
      <c r="H17" s="3">
        <f>SUM(G$5:G17)</f>
        <v>45756805</v>
      </c>
      <c r="I17" s="3"/>
      <c r="J17" s="1">
        <v>2015</v>
      </c>
      <c r="K17" s="3">
        <v>-11320333</v>
      </c>
      <c r="L17" s="3">
        <v>-6257815</v>
      </c>
      <c r="M17" s="3">
        <f t="shared" si="0"/>
        <v>-17578148</v>
      </c>
    </row>
    <row r="18" spans="2:13" x14ac:dyDescent="0.25">
      <c r="D18">
        <v>2016</v>
      </c>
      <c r="E18" s="8">
        <f>89760656-8426688</f>
        <v>81333968</v>
      </c>
      <c r="F18" s="8">
        <f>(18022781*0.6486)+((138670410-18022781)*0.6471)</f>
        <v>89760656.482499987</v>
      </c>
      <c r="G18" s="3">
        <v>-8426688</v>
      </c>
      <c r="H18" s="3">
        <f>SUM(G$5:G18)</f>
        <v>37330117</v>
      </c>
      <c r="I18" s="3"/>
      <c r="J18" s="1">
        <v>2016</v>
      </c>
      <c r="K18" s="3">
        <v>-3320016</v>
      </c>
      <c r="L18" s="3">
        <v>-5106672</v>
      </c>
      <c r="M18" s="3">
        <f t="shared" si="0"/>
        <v>-8426688</v>
      </c>
    </row>
    <row r="19" spans="2:13" ht="15.75" thickBot="1" x14ac:dyDescent="0.3">
      <c r="D19">
        <v>2017</v>
      </c>
      <c r="E19" s="5"/>
      <c r="F19" s="5"/>
      <c r="M19" s="4"/>
    </row>
    <row r="20" spans="2:13" ht="15.75" thickBot="1" x14ac:dyDescent="0.3">
      <c r="B20" t="s">
        <v>0</v>
      </c>
      <c r="D20" s="21" t="s">
        <v>0</v>
      </c>
      <c r="E20" s="22">
        <f>SUM(E5:E18)</f>
        <v>1229229794.3954</v>
      </c>
      <c r="F20" s="22">
        <f>SUM(F5:F18)</f>
        <v>1191899678.1003001</v>
      </c>
      <c r="G20" s="24">
        <f>SUM(G5:G18)</f>
        <v>37330117</v>
      </c>
      <c r="H20" s="6"/>
      <c r="J20" s="11" t="s">
        <v>16</v>
      </c>
      <c r="K20" s="12">
        <f>SUM(K5:K11)</f>
        <v>60338746</v>
      </c>
      <c r="L20" s="12">
        <f>SUM(L5:L11)</f>
        <v>41398335</v>
      </c>
      <c r="M20" s="13">
        <f>SUM(M5:M11)</f>
        <v>101737081</v>
      </c>
    </row>
    <row r="21" spans="2:13" ht="15.75" thickBot="1" x14ac:dyDescent="0.3">
      <c r="D21" s="21" t="s">
        <v>2</v>
      </c>
      <c r="E21" s="21"/>
      <c r="F21" s="21"/>
      <c r="G21" s="22">
        <f>G20/13</f>
        <v>2871547.4615384615</v>
      </c>
      <c r="J21" s="14" t="s">
        <v>15</v>
      </c>
      <c r="K21" s="15">
        <f>SUM(K13:K18)</f>
        <v>-39788189</v>
      </c>
      <c r="L21" s="15">
        <f>SUM(L13:L18)</f>
        <v>-24618775</v>
      </c>
      <c r="M21" s="16">
        <f>SUM(M13:M18)</f>
        <v>-64406964</v>
      </c>
    </row>
    <row r="22" spans="2:13" ht="15.75" thickBot="1" x14ac:dyDescent="0.3">
      <c r="D22" s="21" t="s">
        <v>11</v>
      </c>
      <c r="E22" s="21"/>
      <c r="F22" s="21"/>
      <c r="G22" s="23">
        <f>G20/E20</f>
        <v>3.0368704997393036E-2</v>
      </c>
    </row>
    <row r="23" spans="2:13" ht="15.75" thickBot="1" x14ac:dyDescent="0.3">
      <c r="J23" s="17" t="s">
        <v>14</v>
      </c>
      <c r="K23" s="18">
        <f>SUM(K5:K19)</f>
        <v>20550557</v>
      </c>
      <c r="L23" s="19">
        <f>SUM(L5:L19)</f>
        <v>16779560</v>
      </c>
      <c r="M23" s="20">
        <f>SUM(K23:L23)</f>
        <v>37330117</v>
      </c>
    </row>
    <row r="26" spans="2:13" x14ac:dyDescent="0.25">
      <c r="F26" s="6"/>
    </row>
    <row r="29" spans="2:13" x14ac:dyDescent="0.25">
      <c r="K29" s="25" t="s">
        <v>10</v>
      </c>
      <c r="L29" s="25" t="s">
        <v>20</v>
      </c>
      <c r="M29" s="25" t="s">
        <v>18</v>
      </c>
    </row>
    <row r="30" spans="2:13" x14ac:dyDescent="0.25">
      <c r="K30" s="26">
        <v>2013</v>
      </c>
      <c r="L30" s="26" t="s">
        <v>24</v>
      </c>
      <c r="M30" s="27" t="s">
        <v>21</v>
      </c>
    </row>
    <row r="31" spans="2:13" x14ac:dyDescent="0.25">
      <c r="K31" s="26">
        <v>2014</v>
      </c>
      <c r="L31" s="26" t="s">
        <v>23</v>
      </c>
      <c r="M31" s="27" t="s">
        <v>21</v>
      </c>
    </row>
    <row r="32" spans="2:13" x14ac:dyDescent="0.25">
      <c r="K32" s="26">
        <v>2015</v>
      </c>
      <c r="L32" s="26" t="s">
        <v>22</v>
      </c>
      <c r="M32" s="27" t="s">
        <v>21</v>
      </c>
    </row>
    <row r="33" spans="11:13" x14ac:dyDescent="0.25">
      <c r="K33" s="26">
        <v>2016</v>
      </c>
      <c r="L33" s="26" t="s">
        <v>19</v>
      </c>
      <c r="M33" s="27" t="s">
        <v>21</v>
      </c>
    </row>
    <row r="36" spans="11:13" ht="15.75" x14ac:dyDescent="0.25">
      <c r="K36" s="28" t="s">
        <v>25</v>
      </c>
      <c r="L36" s="28" t="s">
        <v>27</v>
      </c>
    </row>
    <row r="37" spans="11:13" ht="15.75" x14ac:dyDescent="0.25">
      <c r="K37" s="29" t="s">
        <v>26</v>
      </c>
      <c r="L37" s="30">
        <v>10562000</v>
      </c>
    </row>
    <row r="38" spans="11:13" ht="15.75" x14ac:dyDescent="0.25">
      <c r="K38" s="29" t="s">
        <v>28</v>
      </c>
      <c r="L38" s="30">
        <v>1600000</v>
      </c>
    </row>
    <row r="39" spans="11:13" ht="15.75" x14ac:dyDescent="0.25">
      <c r="K39" s="29" t="s">
        <v>29</v>
      </c>
      <c r="L39" s="30">
        <v>378000</v>
      </c>
    </row>
    <row r="40" spans="11:13" ht="15.75" x14ac:dyDescent="0.25">
      <c r="K40" s="29" t="s">
        <v>30</v>
      </c>
      <c r="L40" s="30">
        <v>574000</v>
      </c>
    </row>
    <row r="41" spans="11:13" ht="15.75" x14ac:dyDescent="0.25">
      <c r="K41" s="29" t="s">
        <v>31</v>
      </c>
      <c r="L41" s="31">
        <v>758000</v>
      </c>
    </row>
    <row r="42" spans="11:13" ht="15.75" x14ac:dyDescent="0.25">
      <c r="K42" s="29" t="s">
        <v>0</v>
      </c>
      <c r="L42" s="32">
        <f>SUM(L37:L41)</f>
        <v>13872000</v>
      </c>
    </row>
  </sheetData>
  <mergeCells count="6">
    <mergeCell ref="D1:H1"/>
    <mergeCell ref="D2:H2"/>
    <mergeCell ref="D3:H3"/>
    <mergeCell ref="J1:M1"/>
    <mergeCell ref="J2:M2"/>
    <mergeCell ref="J3:M3"/>
  </mergeCells>
  <pageMargins left="0.7" right="0.7" top="0.75" bottom="0.75" header="0.3" footer="0.3"/>
  <pageSetup orientation="portrait" r:id="rId1"/>
  <ignoredErrors>
    <ignoredError sqref="H6:H8 H9:H17 M5:M12 M15:M18 K20:L20" formulaRange="1"/>
    <ignoredError sqref="M30:M3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BDAD14D-3FB7-490B-B9BF-C9B9331E0BF8}"/>
</file>

<file path=customXml/itemProps2.xml><?xml version="1.0" encoding="utf-8"?>
<ds:datastoreItem xmlns:ds="http://schemas.openxmlformats.org/officeDocument/2006/customXml" ds:itemID="{983ADF5E-C9A7-44E0-8093-87560EC53589}"/>
</file>

<file path=customXml/itemProps3.xml><?xml version="1.0" encoding="utf-8"?>
<ds:datastoreItem xmlns:ds="http://schemas.openxmlformats.org/officeDocument/2006/customXml" ds:itemID="{EAFF1E87-6868-4A37-8DE0-97BBC28D3247}"/>
</file>

<file path=customXml/itemProps4.xml><?xml version="1.0" encoding="utf-8"?>
<ds:datastoreItem xmlns:ds="http://schemas.openxmlformats.org/officeDocument/2006/customXml" ds:itemID="{A8023C2C-0449-43F4-A39D-A3B0C11E2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 v Auth 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annette brandon</cp:lastModifiedBy>
  <cp:lastPrinted>2017-08-01T14:43:16Z</cp:lastPrinted>
  <dcterms:created xsi:type="dcterms:W3CDTF">2017-07-31T22:43:19Z</dcterms:created>
  <dcterms:modified xsi:type="dcterms:W3CDTF">2017-11-29T17:28:44Z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