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externalLinks/externalLink9.xml" ContentType="application/vnd.openxmlformats-officedocument.spreadsheetml.externalLink+xml"/>
  <Override PartName="/xl/externalLinks/externalLink1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1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0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6.xml" ContentType="application/vnd.openxmlformats-officedocument.spreadsheetml.comments+xml"/>
  <Override PartName="/xl/externalLinks/externalLink7.xml" ContentType="application/vnd.openxmlformats-officedocument.spreadsheetml.externalLink+xml"/>
  <Override PartName="/xl/comments5.xml" ContentType="application/vnd.openxmlformats-officedocument.spreadsheetml.comments+xml"/>
  <Override PartName="/xl/externalLinks/externalLink8.xml" ContentType="application/vnd.openxmlformats-officedocument.spreadsheetml.externalLink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950" windowHeight="9735" tabRatio="806"/>
  </bookViews>
  <sheets>
    <sheet name="Can Total" sheetId="5" r:id="rId1"/>
    <sheet name="Can_9-16" sheetId="1" r:id="rId2"/>
    <sheet name="Can_8-16" sheetId="3" r:id="rId3"/>
    <sheet name="Can_7-16" sheetId="4" r:id="rId4"/>
    <sheet name="Can_6-16" sheetId="6" r:id="rId5"/>
    <sheet name="Can_5-16" sheetId="7" r:id="rId6"/>
    <sheet name="Can_4-16" sheetId="8" r:id="rId7"/>
    <sheet name="Can_3-16" sheetId="11" r:id="rId8"/>
    <sheet name="Can_2-16" sheetId="12" r:id="rId9"/>
    <sheet name="Can_1-16" sheetId="13" r:id="rId10"/>
    <sheet name="Can_12-15" sheetId="14" r:id="rId11"/>
    <sheet name="Can_11-15" sheetId="15" r:id="rId12"/>
    <sheet name="Can_10-15" sheetId="9" r:id="rId13"/>
    <sheet name="Sheet2" sheetId="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0">'Can Total'!$A$1:$U$25</definedName>
    <definedName name="_xlnm.Print_Area" localSheetId="12">'Can_10-15'!$A$1:$M$66</definedName>
    <definedName name="_xlnm.Print_Area" localSheetId="11">'Can_11-15'!$A$1:$M$66</definedName>
    <definedName name="_xlnm.Print_Area" localSheetId="9">'Can_1-16'!$A$1:$M$66</definedName>
    <definedName name="_xlnm.Print_Area" localSheetId="10">'Can_12-15'!$A$1:$M$66</definedName>
    <definedName name="_xlnm.Print_Area" localSheetId="8">'Can_2-16'!$A$1:$M$66</definedName>
    <definedName name="_xlnm.Print_Area" localSheetId="7">'Can_3-16'!$A$1:$M$66</definedName>
    <definedName name="_xlnm.Print_Area" localSheetId="6">'Can_4-16'!$A$1:$M$66</definedName>
    <definedName name="_xlnm.Print_Area" localSheetId="5">'Can_5-16'!$A$1:$M$66</definedName>
    <definedName name="_xlnm.Print_Area" localSheetId="4">'Can_6-16'!$A$1:$M$65</definedName>
    <definedName name="_xlnm.Print_Area" localSheetId="3">'Can_7-16'!$A$1:$M$65</definedName>
    <definedName name="_xlnm.Print_Area" localSheetId="2">'Can_8-16'!$A$1:$M$65</definedName>
    <definedName name="_xlnm.Print_Area" localSheetId="1">'Can_9-16'!$A$1:$M$65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5" l="1"/>
  <c r="U20" i="5"/>
  <c r="U19" i="5"/>
  <c r="U18" i="5"/>
  <c r="U17" i="5"/>
  <c r="U16" i="5"/>
  <c r="U15" i="5"/>
  <c r="U14" i="5"/>
  <c r="U13" i="5"/>
  <c r="U11" i="5"/>
  <c r="U23" i="5"/>
  <c r="T60" i="5" l="1"/>
  <c r="S60" i="5"/>
  <c r="R60" i="5"/>
  <c r="Q60" i="5"/>
  <c r="P60" i="5"/>
  <c r="T58" i="5"/>
  <c r="S58" i="5"/>
  <c r="R58" i="5"/>
  <c r="Q58" i="5"/>
  <c r="P58" i="5"/>
  <c r="S57" i="5"/>
  <c r="R57" i="5"/>
  <c r="T57" i="5" s="1"/>
  <c r="Q57" i="5"/>
  <c r="P57" i="5"/>
  <c r="S56" i="5"/>
  <c r="R56" i="5"/>
  <c r="T56" i="5" s="1"/>
  <c r="Q56" i="5"/>
  <c r="P56" i="5"/>
  <c r="S55" i="5"/>
  <c r="R55" i="5"/>
  <c r="T55" i="5" s="1"/>
  <c r="Q55" i="5"/>
  <c r="P55" i="5"/>
  <c r="T54" i="5"/>
  <c r="S54" i="5"/>
  <c r="R54" i="5"/>
  <c r="Q54" i="5"/>
  <c r="P54" i="5"/>
  <c r="S53" i="5"/>
  <c r="R53" i="5"/>
  <c r="T53" i="5" s="1"/>
  <c r="Q53" i="5"/>
  <c r="P53" i="5"/>
  <c r="S52" i="5"/>
  <c r="R52" i="5"/>
  <c r="T52" i="5" s="1"/>
  <c r="Q52" i="5"/>
  <c r="P52" i="5"/>
  <c r="T47" i="5"/>
  <c r="S47" i="5"/>
  <c r="R47" i="5"/>
  <c r="Q47" i="5"/>
  <c r="P47" i="5"/>
  <c r="S46" i="5"/>
  <c r="R46" i="5"/>
  <c r="T46" i="5" s="1"/>
  <c r="Q46" i="5"/>
  <c r="P46" i="5"/>
  <c r="S45" i="5"/>
  <c r="R45" i="5"/>
  <c r="T45" i="5" s="1"/>
  <c r="Q45" i="5"/>
  <c r="P45" i="5"/>
  <c r="S44" i="5"/>
  <c r="R44" i="5"/>
  <c r="T44" i="5" s="1"/>
  <c r="Q44" i="5"/>
  <c r="P44" i="5"/>
  <c r="T43" i="5"/>
  <c r="S43" i="5"/>
  <c r="R43" i="5"/>
  <c r="Q43" i="5"/>
  <c r="P43" i="5"/>
  <c r="T42" i="5"/>
  <c r="S42" i="5"/>
  <c r="R42" i="5"/>
  <c r="Q42" i="5"/>
  <c r="P42" i="5"/>
  <c r="S41" i="5"/>
  <c r="R41" i="5"/>
  <c r="T41" i="5" s="1"/>
  <c r="Q41" i="5"/>
  <c r="P41" i="5"/>
  <c r="S40" i="5"/>
  <c r="T40" i="5" s="1"/>
  <c r="R40" i="5"/>
  <c r="Q40" i="5"/>
  <c r="P40" i="5"/>
  <c r="S39" i="5"/>
  <c r="R39" i="5"/>
  <c r="T39" i="5" s="1"/>
  <c r="Q39" i="5"/>
  <c r="P39" i="5"/>
  <c r="S38" i="5"/>
  <c r="R38" i="5"/>
  <c r="T38" i="5" s="1"/>
  <c r="Q38" i="5"/>
  <c r="P38" i="5"/>
  <c r="T32" i="5"/>
  <c r="S32" i="5"/>
  <c r="R32" i="5"/>
  <c r="Q32" i="5"/>
  <c r="P32" i="5"/>
  <c r="S31" i="5"/>
  <c r="R31" i="5"/>
  <c r="T31" i="5" s="1"/>
  <c r="Q31" i="5"/>
  <c r="P31" i="5"/>
  <c r="S30" i="5"/>
  <c r="R30" i="5"/>
  <c r="T30" i="5" s="1"/>
  <c r="Q30" i="5"/>
  <c r="P30" i="5"/>
  <c r="S29" i="5"/>
  <c r="R29" i="5"/>
  <c r="T29" i="5" s="1"/>
  <c r="Q29" i="5"/>
  <c r="P29" i="5"/>
  <c r="T28" i="5"/>
  <c r="S28" i="5"/>
  <c r="R28" i="5"/>
  <c r="Q28" i="5"/>
  <c r="P28" i="5"/>
  <c r="T25" i="5"/>
  <c r="S25" i="5"/>
  <c r="R25" i="5"/>
  <c r="Q25" i="5"/>
  <c r="P25" i="5"/>
  <c r="T23" i="5"/>
  <c r="S23" i="5"/>
  <c r="R23" i="5"/>
  <c r="Q23" i="5"/>
  <c r="P23" i="5"/>
  <c r="S22" i="5"/>
  <c r="R22" i="5"/>
  <c r="T22" i="5" s="1"/>
  <c r="Q22" i="5"/>
  <c r="P22" i="5"/>
  <c r="S21" i="5"/>
  <c r="R21" i="5"/>
  <c r="T21" i="5" s="1"/>
  <c r="Q21" i="5"/>
  <c r="P21" i="5"/>
  <c r="S20" i="5"/>
  <c r="R20" i="5"/>
  <c r="T20" i="5" s="1"/>
  <c r="Q20" i="5"/>
  <c r="P20" i="5"/>
  <c r="T19" i="5"/>
  <c r="S19" i="5"/>
  <c r="R19" i="5"/>
  <c r="Q19" i="5"/>
  <c r="P19" i="5"/>
  <c r="S18" i="5"/>
  <c r="R18" i="5"/>
  <c r="T18" i="5" s="1"/>
  <c r="Q18" i="5"/>
  <c r="P18" i="5"/>
  <c r="S17" i="5"/>
  <c r="R17" i="5"/>
  <c r="T17" i="5" s="1"/>
  <c r="Q17" i="5"/>
  <c r="P17" i="5"/>
  <c r="S16" i="5"/>
  <c r="T16" i="5" s="1"/>
  <c r="R16" i="5"/>
  <c r="Q16" i="5"/>
  <c r="P16" i="5"/>
  <c r="S15" i="5"/>
  <c r="R15" i="5"/>
  <c r="T15" i="5" s="1"/>
  <c r="Q15" i="5"/>
  <c r="P15" i="5"/>
  <c r="S14" i="5"/>
  <c r="R14" i="5"/>
  <c r="T14" i="5" s="1"/>
  <c r="Q14" i="5"/>
  <c r="P14" i="5"/>
  <c r="S13" i="5"/>
  <c r="R13" i="5"/>
  <c r="T13" i="5" s="1"/>
  <c r="Q13" i="5"/>
  <c r="P13" i="5"/>
  <c r="T11" i="5"/>
  <c r="S11" i="5"/>
  <c r="R11" i="5"/>
  <c r="Q11" i="5"/>
  <c r="P11" i="5"/>
  <c r="S10" i="5"/>
  <c r="R10" i="5"/>
  <c r="T10" i="5" s="1"/>
  <c r="Q10" i="5"/>
  <c r="P10" i="5"/>
  <c r="S9" i="5"/>
  <c r="R9" i="5"/>
  <c r="T9" i="5" s="1"/>
  <c r="Q9" i="5"/>
  <c r="P9" i="5"/>
  <c r="T8" i="5"/>
  <c r="S8" i="5"/>
  <c r="R8" i="5"/>
  <c r="Q8" i="5"/>
  <c r="P8" i="5"/>
  <c r="H57" i="5" l="1"/>
  <c r="G57" i="5"/>
  <c r="F57" i="5"/>
  <c r="E57" i="5"/>
  <c r="D57" i="5"/>
  <c r="C57" i="5"/>
  <c r="H56" i="5"/>
  <c r="G56" i="5"/>
  <c r="F56" i="5"/>
  <c r="E56" i="5"/>
  <c r="D56" i="5"/>
  <c r="C56" i="5"/>
  <c r="H55" i="5"/>
  <c r="G55" i="5"/>
  <c r="F55" i="5"/>
  <c r="E55" i="5"/>
  <c r="D55" i="5"/>
  <c r="C55" i="5"/>
  <c r="H54" i="5"/>
  <c r="G54" i="5"/>
  <c r="F54" i="5"/>
  <c r="E54" i="5"/>
  <c r="D54" i="5"/>
  <c r="C54" i="5"/>
  <c r="H53" i="5"/>
  <c r="G53" i="5"/>
  <c r="F53" i="5"/>
  <c r="E53" i="5"/>
  <c r="D53" i="5"/>
  <c r="C53" i="5"/>
  <c r="H52" i="5"/>
  <c r="G52" i="5"/>
  <c r="F52" i="5"/>
  <c r="E52" i="5"/>
  <c r="D52" i="5"/>
  <c r="C52" i="5"/>
  <c r="H46" i="5"/>
  <c r="G46" i="5"/>
  <c r="F46" i="5"/>
  <c r="E46" i="5"/>
  <c r="D46" i="5"/>
  <c r="C46" i="5"/>
  <c r="H45" i="5"/>
  <c r="G45" i="5"/>
  <c r="F45" i="5"/>
  <c r="E45" i="5"/>
  <c r="D45" i="5"/>
  <c r="C45" i="5"/>
  <c r="H44" i="5"/>
  <c r="G44" i="5"/>
  <c r="F44" i="5"/>
  <c r="E44" i="5"/>
  <c r="D44" i="5"/>
  <c r="C44" i="5"/>
  <c r="H43" i="5"/>
  <c r="G43" i="5"/>
  <c r="F43" i="5"/>
  <c r="E43" i="5"/>
  <c r="D43" i="5"/>
  <c r="C43" i="5"/>
  <c r="H42" i="5"/>
  <c r="G42" i="5"/>
  <c r="F42" i="5"/>
  <c r="E42" i="5"/>
  <c r="D42" i="5"/>
  <c r="C42" i="5"/>
  <c r="H41" i="5"/>
  <c r="G41" i="5"/>
  <c r="F41" i="5"/>
  <c r="E41" i="5"/>
  <c r="D41" i="5"/>
  <c r="C41" i="5"/>
  <c r="H40" i="5"/>
  <c r="G40" i="5"/>
  <c r="F40" i="5"/>
  <c r="E40" i="5"/>
  <c r="D40" i="5"/>
  <c r="C40" i="5"/>
  <c r="H39" i="5"/>
  <c r="G39" i="5"/>
  <c r="F39" i="5"/>
  <c r="E39" i="5"/>
  <c r="D39" i="5"/>
  <c r="C39" i="5"/>
  <c r="H38" i="5"/>
  <c r="G38" i="5"/>
  <c r="F38" i="5"/>
  <c r="E38" i="5"/>
  <c r="D38" i="5"/>
  <c r="C38" i="5"/>
  <c r="H31" i="5"/>
  <c r="G31" i="5"/>
  <c r="F31" i="5"/>
  <c r="E31" i="5"/>
  <c r="D31" i="5"/>
  <c r="C31" i="5"/>
  <c r="H30" i="5"/>
  <c r="G30" i="5"/>
  <c r="F30" i="5"/>
  <c r="E30" i="5"/>
  <c r="D30" i="5"/>
  <c r="C30" i="5"/>
  <c r="H29" i="5"/>
  <c r="G29" i="5"/>
  <c r="F29" i="5"/>
  <c r="E29" i="5"/>
  <c r="D29" i="5"/>
  <c r="C29" i="5"/>
  <c r="H28" i="5"/>
  <c r="G28" i="5"/>
  <c r="F28" i="5"/>
  <c r="E28" i="5"/>
  <c r="D28" i="5"/>
  <c r="C28" i="5"/>
  <c r="H22" i="5"/>
  <c r="G22" i="5"/>
  <c r="F22" i="5"/>
  <c r="E22" i="5"/>
  <c r="D22" i="5"/>
  <c r="C22" i="5"/>
  <c r="H21" i="5"/>
  <c r="G21" i="5"/>
  <c r="F21" i="5"/>
  <c r="E21" i="5"/>
  <c r="D21" i="5"/>
  <c r="C21" i="5"/>
  <c r="H20" i="5"/>
  <c r="G20" i="5"/>
  <c r="F20" i="5"/>
  <c r="E20" i="5"/>
  <c r="D20" i="5"/>
  <c r="C20" i="5"/>
  <c r="H19" i="5"/>
  <c r="G19" i="5"/>
  <c r="F19" i="5"/>
  <c r="E19" i="5"/>
  <c r="D19" i="5"/>
  <c r="C19" i="5"/>
  <c r="H18" i="5"/>
  <c r="G18" i="5"/>
  <c r="F18" i="5"/>
  <c r="E18" i="5"/>
  <c r="D18" i="5"/>
  <c r="C18" i="5"/>
  <c r="H17" i="5"/>
  <c r="G17" i="5"/>
  <c r="F17" i="5"/>
  <c r="E17" i="5"/>
  <c r="D17" i="5"/>
  <c r="C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F14" i="5"/>
  <c r="E14" i="5"/>
  <c r="D14" i="5"/>
  <c r="C14" i="5"/>
  <c r="H13" i="5"/>
  <c r="G13" i="5"/>
  <c r="F13" i="5"/>
  <c r="E13" i="5"/>
  <c r="D13" i="5"/>
  <c r="C13" i="5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8" i="5"/>
  <c r="E8" i="5"/>
  <c r="D8" i="5"/>
  <c r="C8" i="5" l="1"/>
  <c r="I64" i="15"/>
  <c r="I62" i="15"/>
  <c r="I57" i="15"/>
  <c r="N57" i="15" s="1"/>
  <c r="J57" i="15"/>
  <c r="J56" i="15"/>
  <c r="J55" i="15"/>
  <c r="J54" i="15"/>
  <c r="F58" i="15"/>
  <c r="F60" i="15" s="1"/>
  <c r="E58" i="15"/>
  <c r="J53" i="15"/>
  <c r="I52" i="15"/>
  <c r="N52" i="15" s="1"/>
  <c r="H58" i="15"/>
  <c r="G58" i="15"/>
  <c r="D58" i="15"/>
  <c r="C58" i="15"/>
  <c r="J46" i="15"/>
  <c r="I45" i="15"/>
  <c r="N45" i="15" s="1"/>
  <c r="J45" i="15"/>
  <c r="J44" i="15"/>
  <c r="J43" i="15"/>
  <c r="I42" i="15"/>
  <c r="N42" i="15" s="1"/>
  <c r="J42" i="15"/>
  <c r="J41" i="15"/>
  <c r="J40" i="15"/>
  <c r="J39" i="15"/>
  <c r="I39" i="15"/>
  <c r="N39" i="15" s="1"/>
  <c r="I38" i="15"/>
  <c r="J38" i="15"/>
  <c r="I31" i="15"/>
  <c r="I30" i="15"/>
  <c r="J30" i="15" s="1"/>
  <c r="I29" i="15"/>
  <c r="I28" i="15"/>
  <c r="I22" i="15"/>
  <c r="I21" i="15"/>
  <c r="N21" i="15" s="1"/>
  <c r="J21" i="15"/>
  <c r="I20" i="15"/>
  <c r="I19" i="15"/>
  <c r="I18" i="15"/>
  <c r="N18" i="15" s="1"/>
  <c r="I17" i="15"/>
  <c r="I16" i="15"/>
  <c r="N16" i="15" s="1"/>
  <c r="I15" i="15"/>
  <c r="N15" i="15" s="1"/>
  <c r="J15" i="15"/>
  <c r="I14" i="15"/>
  <c r="G60" i="15"/>
  <c r="I13" i="15"/>
  <c r="I10" i="15"/>
  <c r="I9" i="15"/>
  <c r="N9" i="15" s="1"/>
  <c r="I8" i="15"/>
  <c r="N8" i="15" s="1"/>
  <c r="B4" i="15"/>
  <c r="O25" i="15"/>
  <c r="J18" i="15" l="1"/>
  <c r="L39" i="15"/>
  <c r="M39" i="15" s="1"/>
  <c r="J19" i="15"/>
  <c r="N19" i="15"/>
  <c r="L41" i="15"/>
  <c r="M41" i="15"/>
  <c r="N14" i="15"/>
  <c r="J14" i="15"/>
  <c r="L21" i="15"/>
  <c r="M21" i="15" s="1"/>
  <c r="L46" i="15"/>
  <c r="M46" i="15" s="1"/>
  <c r="L55" i="15"/>
  <c r="M55" i="15" s="1"/>
  <c r="L30" i="15"/>
  <c r="M30" i="15" s="1"/>
  <c r="L18" i="15"/>
  <c r="M18" i="15" s="1"/>
  <c r="M40" i="15"/>
  <c r="L40" i="15"/>
  <c r="L57" i="15"/>
  <c r="M57" i="15" s="1"/>
  <c r="L42" i="15"/>
  <c r="M42" i="15" s="1"/>
  <c r="N20" i="15"/>
  <c r="J20" i="15"/>
  <c r="J16" i="15"/>
  <c r="N29" i="15"/>
  <c r="J29" i="15"/>
  <c r="L44" i="15"/>
  <c r="M44" i="15" s="1"/>
  <c r="L54" i="15"/>
  <c r="M54" i="15" s="1"/>
  <c r="L45" i="15"/>
  <c r="M45" i="15" s="1"/>
  <c r="L56" i="15"/>
  <c r="M56" i="15" s="1"/>
  <c r="D60" i="15"/>
  <c r="L15" i="15"/>
  <c r="M15" i="15" s="1"/>
  <c r="N17" i="15"/>
  <c r="J17" i="15"/>
  <c r="J28" i="15"/>
  <c r="N28" i="15"/>
  <c r="I32" i="15"/>
  <c r="N32" i="15" s="1"/>
  <c r="N31" i="15"/>
  <c r="J31" i="15"/>
  <c r="H60" i="15"/>
  <c r="J9" i="15"/>
  <c r="J10" i="15"/>
  <c r="N10" i="15"/>
  <c r="I23" i="15"/>
  <c r="J13" i="15"/>
  <c r="N13" i="15"/>
  <c r="L38" i="15"/>
  <c r="J47" i="15"/>
  <c r="L43" i="15"/>
  <c r="M43" i="15" s="1"/>
  <c r="L53" i="15"/>
  <c r="M53" i="15" s="1"/>
  <c r="N30" i="15"/>
  <c r="N38" i="15"/>
  <c r="I54" i="15"/>
  <c r="N54" i="15" s="1"/>
  <c r="J8" i="15"/>
  <c r="I40" i="15"/>
  <c r="N40" i="15" s="1"/>
  <c r="I43" i="15"/>
  <c r="N43" i="15" s="1"/>
  <c r="J52" i="15"/>
  <c r="I55" i="15"/>
  <c r="N55" i="15" s="1"/>
  <c r="E60" i="15"/>
  <c r="I46" i="15"/>
  <c r="N46" i="15" s="1"/>
  <c r="I41" i="15"/>
  <c r="N41" i="15" s="1"/>
  <c r="I53" i="15"/>
  <c r="N53" i="15" s="1"/>
  <c r="I11" i="15"/>
  <c r="N11" i="15" s="1"/>
  <c r="I44" i="15"/>
  <c r="N44" i="15" s="1"/>
  <c r="I56" i="15"/>
  <c r="N56" i="15" s="1"/>
  <c r="N23" i="15" l="1"/>
  <c r="I25" i="15"/>
  <c r="I58" i="15"/>
  <c r="N58" i="15" s="1"/>
  <c r="J32" i="15"/>
  <c r="L28" i="15"/>
  <c r="M28" i="15" s="1"/>
  <c r="L9" i="15"/>
  <c r="M9" i="15" s="1"/>
  <c r="L17" i="15"/>
  <c r="M17" i="15"/>
  <c r="L16" i="15"/>
  <c r="M16" i="15"/>
  <c r="L29" i="15"/>
  <c r="M29" i="15" s="1"/>
  <c r="L47" i="15"/>
  <c r="C60" i="15"/>
  <c r="L19" i="15"/>
  <c r="M19" i="15" s="1"/>
  <c r="I47" i="15"/>
  <c r="N47" i="15" s="1"/>
  <c r="M10" i="15"/>
  <c r="L10" i="15"/>
  <c r="M38" i="15"/>
  <c r="M47" i="15" s="1"/>
  <c r="L31" i="15"/>
  <c r="M31" i="15" s="1"/>
  <c r="L20" i="15"/>
  <c r="M20" i="15" s="1"/>
  <c r="J11" i="15"/>
  <c r="L8" i="15"/>
  <c r="M8" i="15" s="1"/>
  <c r="N25" i="15"/>
  <c r="P25" i="15" s="1"/>
  <c r="J58" i="15"/>
  <c r="L52" i="15"/>
  <c r="L58" i="15" s="1"/>
  <c r="L13" i="15"/>
  <c r="J23" i="15"/>
  <c r="L14" i="15"/>
  <c r="M14" i="15"/>
  <c r="M32" i="15" l="1"/>
  <c r="L23" i="15"/>
  <c r="M52" i="15"/>
  <c r="M58" i="15" s="1"/>
  <c r="L11" i="15"/>
  <c r="L25" i="15" s="1"/>
  <c r="L60" i="15" s="1"/>
  <c r="L32" i="15"/>
  <c r="M11" i="15"/>
  <c r="J25" i="15"/>
  <c r="J60" i="15" s="1"/>
  <c r="M13" i="15"/>
  <c r="M23" i="15" s="1"/>
  <c r="I60" i="15"/>
  <c r="I61" i="15" s="1"/>
  <c r="I63" i="15" s="1"/>
  <c r="I65" i="15" s="1"/>
  <c r="M25" i="15" l="1"/>
  <c r="M60" i="15" s="1"/>
  <c r="I64" i="14" l="1"/>
  <c r="I62" i="14"/>
  <c r="I56" i="14"/>
  <c r="E58" i="14"/>
  <c r="D58" i="14"/>
  <c r="C58" i="14"/>
  <c r="J46" i="14"/>
  <c r="I44" i="14"/>
  <c r="J43" i="14"/>
  <c r="J42" i="14"/>
  <c r="I39" i="14"/>
  <c r="J38" i="14"/>
  <c r="L38" i="14" s="1"/>
  <c r="I30" i="14"/>
  <c r="I29" i="14"/>
  <c r="J29" i="14" s="1"/>
  <c r="I22" i="14"/>
  <c r="J21" i="14"/>
  <c r="I21" i="14"/>
  <c r="I19" i="14"/>
  <c r="I18" i="14"/>
  <c r="I17" i="14"/>
  <c r="I16" i="14"/>
  <c r="I14" i="14"/>
  <c r="I13" i="14"/>
  <c r="I8" i="14"/>
  <c r="B4" i="14"/>
  <c r="J40" i="14" l="1"/>
  <c r="J57" i="14"/>
  <c r="I31" i="14"/>
  <c r="F60" i="14"/>
  <c r="I10" i="14"/>
  <c r="J10" i="14" s="1"/>
  <c r="J39" i="14"/>
  <c r="J41" i="14"/>
  <c r="M41" i="14" s="1"/>
  <c r="J44" i="14"/>
  <c r="L44" i="14" s="1"/>
  <c r="M44" i="14" s="1"/>
  <c r="F58" i="14"/>
  <c r="I55" i="14"/>
  <c r="J14" i="14"/>
  <c r="J16" i="14"/>
  <c r="J45" i="14"/>
  <c r="G58" i="14"/>
  <c r="I9" i="14"/>
  <c r="J9" i="14" s="1"/>
  <c r="L9" i="14" s="1"/>
  <c r="M9" i="14" s="1"/>
  <c r="G60" i="14"/>
  <c r="H58" i="14"/>
  <c r="I54" i="14"/>
  <c r="I15" i="14"/>
  <c r="J18" i="14"/>
  <c r="I20" i="14"/>
  <c r="J20" i="14" s="1"/>
  <c r="L20" i="14" s="1"/>
  <c r="E60" i="14"/>
  <c r="J30" i="14"/>
  <c r="L30" i="14" s="1"/>
  <c r="M30" i="14" s="1"/>
  <c r="I52" i="14"/>
  <c r="J54" i="14"/>
  <c r="J56" i="14"/>
  <c r="J17" i="14"/>
  <c r="I38" i="14"/>
  <c r="I43" i="14"/>
  <c r="J53" i="14"/>
  <c r="L53" i="14" s="1"/>
  <c r="M53" i="14" s="1"/>
  <c r="L57" i="14"/>
  <c r="M57" i="14" s="1"/>
  <c r="L21" i="14"/>
  <c r="M21" i="14" s="1"/>
  <c r="L46" i="14"/>
  <c r="M46" i="14" s="1"/>
  <c r="J15" i="14"/>
  <c r="L41" i="14"/>
  <c r="L42" i="14"/>
  <c r="M42" i="14" s="1"/>
  <c r="L16" i="14"/>
  <c r="M16" i="14" s="1"/>
  <c r="L45" i="14"/>
  <c r="M45" i="14" s="1"/>
  <c r="M29" i="14"/>
  <c r="L29" i="14"/>
  <c r="D60" i="14"/>
  <c r="J19" i="14"/>
  <c r="J31" i="14"/>
  <c r="L54" i="14"/>
  <c r="M54" i="14" s="1"/>
  <c r="L56" i="14"/>
  <c r="M56" i="14" s="1"/>
  <c r="L40" i="14"/>
  <c r="M40" i="14" s="1"/>
  <c r="J13" i="14"/>
  <c r="L17" i="14"/>
  <c r="M17" i="14" s="1"/>
  <c r="M38" i="14"/>
  <c r="J47" i="14"/>
  <c r="J55" i="14"/>
  <c r="H60" i="14"/>
  <c r="I40" i="14"/>
  <c r="L43" i="14"/>
  <c r="M43" i="14" s="1"/>
  <c r="J8" i="14"/>
  <c r="J52" i="14"/>
  <c r="I41" i="14"/>
  <c r="I45" i="14"/>
  <c r="I53" i="14"/>
  <c r="I57" i="14"/>
  <c r="I28" i="14"/>
  <c r="I42" i="14"/>
  <c r="I46" i="14"/>
  <c r="L39" i="14" l="1"/>
  <c r="M39" i="14" s="1"/>
  <c r="M47" i="14" s="1"/>
  <c r="I58" i="14"/>
  <c r="I11" i="14"/>
  <c r="I47" i="14"/>
  <c r="L18" i="14"/>
  <c r="M18" i="14" s="1"/>
  <c r="M20" i="14"/>
  <c r="I23" i="14"/>
  <c r="I25" i="14" s="1"/>
  <c r="I60" i="14" s="1"/>
  <c r="I61" i="14" s="1"/>
  <c r="I63" i="14" s="1"/>
  <c r="I65" i="14" s="1"/>
  <c r="L14" i="14"/>
  <c r="M14" i="14" s="1"/>
  <c r="L47" i="14"/>
  <c r="C60" i="14"/>
  <c r="L19" i="14"/>
  <c r="M19" i="14" s="1"/>
  <c r="J58" i="14"/>
  <c r="L52" i="14"/>
  <c r="L58" i="14" s="1"/>
  <c r="M13" i="14"/>
  <c r="J23" i="14"/>
  <c r="L13" i="14"/>
  <c r="J28" i="14"/>
  <c r="I32" i="14"/>
  <c r="L8" i="14"/>
  <c r="J11" i="14"/>
  <c r="L31" i="14"/>
  <c r="M31" i="14" s="1"/>
  <c r="L10" i="14"/>
  <c r="M10" i="14" s="1"/>
  <c r="L15" i="14"/>
  <c r="M15" i="14" s="1"/>
  <c r="L55" i="14"/>
  <c r="M55" i="14" s="1"/>
  <c r="J25" i="14" l="1"/>
  <c r="L11" i="14"/>
  <c r="M23" i="14"/>
  <c r="M52" i="14"/>
  <c r="M58" i="14" s="1"/>
  <c r="M8" i="14"/>
  <c r="M11" i="14" s="1"/>
  <c r="M25" i="14" s="1"/>
  <c r="L28" i="14"/>
  <c r="L32" i="14" s="1"/>
  <c r="J32" i="14"/>
  <c r="J60" i="14" s="1"/>
  <c r="L23" i="14"/>
  <c r="L25" i="14" s="1"/>
  <c r="M28" i="14" l="1"/>
  <c r="M32" i="14" s="1"/>
  <c r="M60" i="14" s="1"/>
  <c r="L60" i="14"/>
  <c r="I64" i="13" l="1"/>
  <c r="I62" i="13"/>
  <c r="J57" i="13"/>
  <c r="J56" i="13"/>
  <c r="J55" i="13"/>
  <c r="I54" i="13"/>
  <c r="N54" i="13" s="1"/>
  <c r="J54" i="13"/>
  <c r="I53" i="13"/>
  <c r="N53" i="13" s="1"/>
  <c r="J53" i="13"/>
  <c r="H58" i="13"/>
  <c r="G58" i="13"/>
  <c r="F58" i="13"/>
  <c r="E58" i="13"/>
  <c r="D58" i="13"/>
  <c r="C58" i="13"/>
  <c r="I46" i="13"/>
  <c r="N46" i="13" s="1"/>
  <c r="J46" i="13"/>
  <c r="J45" i="13"/>
  <c r="J44" i="13"/>
  <c r="J43" i="13"/>
  <c r="I43" i="13"/>
  <c r="N43" i="13" s="1"/>
  <c r="I42" i="13"/>
  <c r="N42" i="13" s="1"/>
  <c r="J42" i="13"/>
  <c r="J41" i="13"/>
  <c r="J40" i="13"/>
  <c r="J39" i="13"/>
  <c r="I39" i="13"/>
  <c r="N39" i="13" s="1"/>
  <c r="F60" i="13"/>
  <c r="J38" i="13"/>
  <c r="I31" i="13"/>
  <c r="N31" i="13" s="1"/>
  <c r="J31" i="13"/>
  <c r="I30" i="13"/>
  <c r="J29" i="13"/>
  <c r="I29" i="13"/>
  <c r="N29" i="13" s="1"/>
  <c r="I28" i="13"/>
  <c r="J28" i="13" s="1"/>
  <c r="I22" i="13"/>
  <c r="I21" i="13"/>
  <c r="I20" i="13"/>
  <c r="N20" i="13" s="1"/>
  <c r="I19" i="13"/>
  <c r="J19" i="13" s="1"/>
  <c r="I18" i="13"/>
  <c r="I17" i="13"/>
  <c r="N17" i="13" s="1"/>
  <c r="I16" i="13"/>
  <c r="I15" i="13"/>
  <c r="N15" i="13" s="1"/>
  <c r="I14" i="13"/>
  <c r="N14" i="13" s="1"/>
  <c r="I13" i="13"/>
  <c r="I10" i="13"/>
  <c r="N10" i="13" s="1"/>
  <c r="I9" i="13"/>
  <c r="B4" i="13"/>
  <c r="O25" i="13"/>
  <c r="J17" i="13" l="1"/>
  <c r="L42" i="13"/>
  <c r="M42" i="13" s="1"/>
  <c r="M56" i="13"/>
  <c r="L56" i="13"/>
  <c r="I23" i="13"/>
  <c r="J13" i="13"/>
  <c r="N13" i="13"/>
  <c r="N18" i="13"/>
  <c r="J18" i="13"/>
  <c r="L28" i="13"/>
  <c r="M28" i="13" s="1"/>
  <c r="L57" i="13"/>
  <c r="M57" i="13" s="1"/>
  <c r="D60" i="13"/>
  <c r="L41" i="13"/>
  <c r="M41" i="13" s="1"/>
  <c r="L43" i="13"/>
  <c r="M43" i="13" s="1"/>
  <c r="L46" i="13"/>
  <c r="M46" i="13" s="1"/>
  <c r="L55" i="13"/>
  <c r="M55" i="13" s="1"/>
  <c r="L29" i="13"/>
  <c r="M29" i="13" s="1"/>
  <c r="E60" i="13"/>
  <c r="J20" i="13"/>
  <c r="L31" i="13"/>
  <c r="M31" i="13" s="1"/>
  <c r="L45" i="13"/>
  <c r="M45" i="13" s="1"/>
  <c r="L54" i="13"/>
  <c r="M54" i="13" s="1"/>
  <c r="L17" i="13"/>
  <c r="M17" i="13" s="1"/>
  <c r="J16" i="13"/>
  <c r="N16" i="13"/>
  <c r="J21" i="13"/>
  <c r="N21" i="13"/>
  <c r="L40" i="13"/>
  <c r="M40" i="13" s="1"/>
  <c r="L38" i="13"/>
  <c r="J47" i="13"/>
  <c r="J30" i="13"/>
  <c r="J32" i="13" s="1"/>
  <c r="N30" i="13"/>
  <c r="J9" i="13"/>
  <c r="N9" i="13"/>
  <c r="J15" i="13"/>
  <c r="G60" i="13"/>
  <c r="L19" i="13"/>
  <c r="M19" i="13" s="1"/>
  <c r="L44" i="13"/>
  <c r="M44" i="13" s="1"/>
  <c r="L53" i="13"/>
  <c r="M53" i="13" s="1"/>
  <c r="J14" i="13"/>
  <c r="H60" i="13"/>
  <c r="I32" i="13"/>
  <c r="N32" i="13" s="1"/>
  <c r="L39" i="13"/>
  <c r="M39" i="13" s="1"/>
  <c r="I45" i="13"/>
  <c r="N45" i="13" s="1"/>
  <c r="I57" i="13"/>
  <c r="N57" i="13" s="1"/>
  <c r="J10" i="13"/>
  <c r="N19" i="13"/>
  <c r="C60" i="13"/>
  <c r="N28" i="13"/>
  <c r="I40" i="13"/>
  <c r="N40" i="13" s="1"/>
  <c r="I52" i="13"/>
  <c r="I8" i="13"/>
  <c r="J8" i="13" s="1"/>
  <c r="J52" i="13"/>
  <c r="I55" i="13"/>
  <c r="N55" i="13" s="1"/>
  <c r="I38" i="13"/>
  <c r="I41" i="13"/>
  <c r="N41" i="13" s="1"/>
  <c r="I44" i="13"/>
  <c r="N44" i="13" s="1"/>
  <c r="I56" i="13"/>
  <c r="N56" i="13" s="1"/>
  <c r="L47" i="13" l="1"/>
  <c r="M38" i="13"/>
  <c r="M47" i="13" s="1"/>
  <c r="L10" i="13"/>
  <c r="M10" i="13" s="1"/>
  <c r="L20" i="13"/>
  <c r="M20" i="13" s="1"/>
  <c r="L13" i="13"/>
  <c r="M13" i="13"/>
  <c r="J23" i="13"/>
  <c r="L14" i="13"/>
  <c r="M14" i="13" s="1"/>
  <c r="N23" i="13"/>
  <c r="J58" i="13"/>
  <c r="L52" i="13"/>
  <c r="L58" i="13" s="1"/>
  <c r="L9" i="13"/>
  <c r="M9" i="13" s="1"/>
  <c r="N8" i="13"/>
  <c r="I11" i="13"/>
  <c r="N11" i="13" s="1"/>
  <c r="N25" i="13" s="1"/>
  <c r="P25" i="13" s="1"/>
  <c r="L16" i="13"/>
  <c r="M16" i="13" s="1"/>
  <c r="N52" i="13"/>
  <c r="I58" i="13"/>
  <c r="N58" i="13" s="1"/>
  <c r="L30" i="13"/>
  <c r="M30" i="13" s="1"/>
  <c r="M32" i="13" s="1"/>
  <c r="L21" i="13"/>
  <c r="M21" i="13" s="1"/>
  <c r="L18" i="13"/>
  <c r="M18" i="13" s="1"/>
  <c r="M8" i="13"/>
  <c r="J11" i="13"/>
  <c r="J25" i="13" s="1"/>
  <c r="J60" i="13" s="1"/>
  <c r="L8" i="13"/>
  <c r="I47" i="13"/>
  <c r="N47" i="13" s="1"/>
  <c r="N38" i="13"/>
  <c r="L15" i="13"/>
  <c r="M15" i="13" s="1"/>
  <c r="L23" i="13" l="1"/>
  <c r="L32" i="13"/>
  <c r="L11" i="13"/>
  <c r="M52" i="13"/>
  <c r="M58" i="13" s="1"/>
  <c r="I25" i="13"/>
  <c r="I60" i="13" s="1"/>
  <c r="I61" i="13" s="1"/>
  <c r="I63" i="13" s="1"/>
  <c r="I65" i="13" s="1"/>
  <c r="M23" i="13"/>
  <c r="L25" i="13"/>
  <c r="L60" i="13" s="1"/>
  <c r="M11" i="13"/>
  <c r="M25" i="13" l="1"/>
  <c r="M60" i="13" s="1"/>
  <c r="I64" i="12" l="1"/>
  <c r="I62" i="12"/>
  <c r="J57" i="12"/>
  <c r="J56" i="12"/>
  <c r="J55" i="12"/>
  <c r="I55" i="12"/>
  <c r="N55" i="12" s="1"/>
  <c r="I54" i="12"/>
  <c r="N54" i="12" s="1"/>
  <c r="J54" i="12"/>
  <c r="I53" i="12"/>
  <c r="N53" i="12" s="1"/>
  <c r="J53" i="12"/>
  <c r="H58" i="12"/>
  <c r="G58" i="12"/>
  <c r="F58" i="12"/>
  <c r="E58" i="12"/>
  <c r="D58" i="12"/>
  <c r="C58" i="12"/>
  <c r="I46" i="12"/>
  <c r="N46" i="12" s="1"/>
  <c r="J46" i="12"/>
  <c r="J45" i="12"/>
  <c r="J44" i="12"/>
  <c r="J43" i="12"/>
  <c r="J42" i="12"/>
  <c r="I42" i="12"/>
  <c r="N42" i="12" s="1"/>
  <c r="J41" i="12"/>
  <c r="J40" i="12"/>
  <c r="I39" i="12"/>
  <c r="N39" i="12" s="1"/>
  <c r="F60" i="12"/>
  <c r="J38" i="12"/>
  <c r="I31" i="12"/>
  <c r="N31" i="12" s="1"/>
  <c r="J31" i="12"/>
  <c r="I30" i="12"/>
  <c r="J29" i="12"/>
  <c r="I29" i="12"/>
  <c r="N29" i="12" s="1"/>
  <c r="I28" i="12"/>
  <c r="I22" i="12"/>
  <c r="I21" i="12"/>
  <c r="I20" i="12"/>
  <c r="N20" i="12" s="1"/>
  <c r="I19" i="12"/>
  <c r="I18" i="12"/>
  <c r="N18" i="12" s="1"/>
  <c r="I17" i="12"/>
  <c r="N17" i="12" s="1"/>
  <c r="I16" i="12"/>
  <c r="I15" i="12"/>
  <c r="N15" i="12" s="1"/>
  <c r="I14" i="12"/>
  <c r="N14" i="12" s="1"/>
  <c r="G60" i="12"/>
  <c r="E60" i="12"/>
  <c r="I13" i="12"/>
  <c r="I10" i="12"/>
  <c r="N10" i="12" s="1"/>
  <c r="I9" i="12"/>
  <c r="B4" i="12"/>
  <c r="O25" i="12"/>
  <c r="J18" i="12" l="1"/>
  <c r="J14" i="12"/>
  <c r="J10" i="12"/>
  <c r="L41" i="12"/>
  <c r="M41" i="12" s="1"/>
  <c r="L18" i="12"/>
  <c r="M18" i="12" s="1"/>
  <c r="J30" i="12"/>
  <c r="N30" i="12"/>
  <c r="J19" i="12"/>
  <c r="N19" i="12"/>
  <c r="L40" i="12"/>
  <c r="M40" i="12" s="1"/>
  <c r="L45" i="12"/>
  <c r="M45" i="12" s="1"/>
  <c r="L29" i="12"/>
  <c r="M29" i="12" s="1"/>
  <c r="L10" i="12"/>
  <c r="M10" i="12" s="1"/>
  <c r="J16" i="12"/>
  <c r="N16" i="12"/>
  <c r="L14" i="12"/>
  <c r="M14" i="12" s="1"/>
  <c r="L31" i="12"/>
  <c r="M31" i="12" s="1"/>
  <c r="L44" i="12"/>
  <c r="M44" i="12" s="1"/>
  <c r="L54" i="12"/>
  <c r="M54" i="12" s="1"/>
  <c r="J9" i="12"/>
  <c r="N9" i="12"/>
  <c r="L56" i="12"/>
  <c r="M56" i="12" s="1"/>
  <c r="I23" i="12"/>
  <c r="J13" i="12"/>
  <c r="N13" i="12"/>
  <c r="J20" i="12"/>
  <c r="J28" i="12"/>
  <c r="N28" i="12"/>
  <c r="I32" i="12"/>
  <c r="N32" i="12" s="1"/>
  <c r="L53" i="12"/>
  <c r="M53" i="12" s="1"/>
  <c r="L57" i="12"/>
  <c r="M57" i="12" s="1"/>
  <c r="L46" i="12"/>
  <c r="M46" i="12" s="1"/>
  <c r="D60" i="12"/>
  <c r="J15" i="12"/>
  <c r="J21" i="12"/>
  <c r="N21" i="12"/>
  <c r="L38" i="12"/>
  <c r="L43" i="12"/>
  <c r="M43" i="12" s="1"/>
  <c r="J39" i="12"/>
  <c r="J47" i="12" s="1"/>
  <c r="H60" i="12"/>
  <c r="J17" i="12"/>
  <c r="I45" i="12"/>
  <c r="N45" i="12" s="1"/>
  <c r="I57" i="12"/>
  <c r="N57" i="12" s="1"/>
  <c r="I40" i="12"/>
  <c r="N40" i="12" s="1"/>
  <c r="L42" i="12"/>
  <c r="M42" i="12" s="1"/>
  <c r="I52" i="12"/>
  <c r="I8" i="12"/>
  <c r="I43" i="12"/>
  <c r="N43" i="12" s="1"/>
  <c r="J52" i="12"/>
  <c r="I38" i="12"/>
  <c r="I41" i="12"/>
  <c r="N41" i="12" s="1"/>
  <c r="L55" i="12"/>
  <c r="M55" i="12" s="1"/>
  <c r="I44" i="12"/>
  <c r="N44" i="12" s="1"/>
  <c r="I56" i="12"/>
  <c r="N56" i="12" s="1"/>
  <c r="L9" i="12" l="1"/>
  <c r="M9" i="12" s="1"/>
  <c r="L20" i="12"/>
  <c r="M20" i="12" s="1"/>
  <c r="I11" i="12"/>
  <c r="N11" i="12" s="1"/>
  <c r="N8" i="12"/>
  <c r="L17" i="12"/>
  <c r="M17" i="12" s="1"/>
  <c r="N52" i="12"/>
  <c r="I58" i="12"/>
  <c r="N58" i="12" s="1"/>
  <c r="L21" i="12"/>
  <c r="M21" i="12" s="1"/>
  <c r="L13" i="12"/>
  <c r="M13" i="12" s="1"/>
  <c r="J23" i="12"/>
  <c r="L16" i="12"/>
  <c r="M16" i="12" s="1"/>
  <c r="L30" i="12"/>
  <c r="M30" i="12" s="1"/>
  <c r="L39" i="12"/>
  <c r="L47" i="12" s="1"/>
  <c r="L15" i="12"/>
  <c r="M15" i="12" s="1"/>
  <c r="N23" i="12"/>
  <c r="I25" i="12"/>
  <c r="J58" i="12"/>
  <c r="L52" i="12"/>
  <c r="L58" i="12" s="1"/>
  <c r="M38" i="12"/>
  <c r="L19" i="12"/>
  <c r="M19" i="12" s="1"/>
  <c r="J8" i="12"/>
  <c r="J32" i="12"/>
  <c r="L28" i="12"/>
  <c r="L32" i="12" s="1"/>
  <c r="I47" i="12"/>
  <c r="N47" i="12" s="1"/>
  <c r="N38" i="12"/>
  <c r="C60" i="12"/>
  <c r="N25" i="12" l="1"/>
  <c r="P25" i="12" s="1"/>
  <c r="M23" i="12"/>
  <c r="M28" i="12"/>
  <c r="M32" i="12" s="1"/>
  <c r="L23" i="12"/>
  <c r="M39" i="12"/>
  <c r="M47" i="12" s="1"/>
  <c r="M52" i="12"/>
  <c r="M58" i="12" s="1"/>
  <c r="I60" i="12"/>
  <c r="I61" i="12" s="1"/>
  <c r="I63" i="12" s="1"/>
  <c r="I65" i="12" s="1"/>
  <c r="M8" i="12"/>
  <c r="M11" i="12" s="1"/>
  <c r="M25" i="12" s="1"/>
  <c r="J11" i="12"/>
  <c r="J25" i="12" s="1"/>
  <c r="J60" i="12" s="1"/>
  <c r="L8" i="12"/>
  <c r="L11" i="12" s="1"/>
  <c r="L25" i="12" l="1"/>
  <c r="L60" i="12" s="1"/>
  <c r="M60" i="12"/>
  <c r="I64" i="11" l="1"/>
  <c r="I62" i="11"/>
  <c r="I54" i="11"/>
  <c r="C58" i="11"/>
  <c r="I40" i="11"/>
  <c r="N40" i="11" s="1"/>
  <c r="I22" i="11"/>
  <c r="I18" i="11"/>
  <c r="N18" i="11" s="1"/>
  <c r="P13" i="11"/>
  <c r="B4" i="11"/>
  <c r="O25" i="11"/>
  <c r="I15" i="11" l="1"/>
  <c r="N15" i="11" s="1"/>
  <c r="I17" i="11"/>
  <c r="I29" i="11"/>
  <c r="N29" i="11" s="1"/>
  <c r="I57" i="11"/>
  <c r="N57" i="11" s="1"/>
  <c r="I14" i="11"/>
  <c r="N14" i="11" s="1"/>
  <c r="D58" i="11"/>
  <c r="J56" i="11"/>
  <c r="L56" i="11" s="1"/>
  <c r="M56" i="11" s="1"/>
  <c r="I42" i="11"/>
  <c r="N42" i="11" s="1"/>
  <c r="I46" i="11"/>
  <c r="N46" i="11" s="1"/>
  <c r="N17" i="11"/>
  <c r="I31" i="11"/>
  <c r="I10" i="11"/>
  <c r="I20" i="11"/>
  <c r="N20" i="11" s="1"/>
  <c r="J41" i="11"/>
  <c r="L41" i="11" s="1"/>
  <c r="M41" i="11" s="1"/>
  <c r="I45" i="11"/>
  <c r="N45" i="11" s="1"/>
  <c r="I30" i="11"/>
  <c r="J30" i="11" s="1"/>
  <c r="J14" i="11"/>
  <c r="L14" i="11" s="1"/>
  <c r="J29" i="11"/>
  <c r="E58" i="11"/>
  <c r="I19" i="11"/>
  <c r="J46" i="11"/>
  <c r="F58" i="11"/>
  <c r="F60" i="11" s="1"/>
  <c r="N54" i="11"/>
  <c r="J15" i="11"/>
  <c r="L15" i="11" s="1"/>
  <c r="M15" i="11" s="1"/>
  <c r="J40" i="11"/>
  <c r="L40" i="11" s="1"/>
  <c r="M40" i="11" s="1"/>
  <c r="G58" i="11"/>
  <c r="J55" i="11"/>
  <c r="L55" i="11" s="1"/>
  <c r="M55" i="11" s="1"/>
  <c r="J20" i="11"/>
  <c r="I39" i="11"/>
  <c r="N39" i="11" s="1"/>
  <c r="J44" i="11"/>
  <c r="L44" i="11" s="1"/>
  <c r="M44" i="11" s="1"/>
  <c r="H58" i="11"/>
  <c r="J54" i="11"/>
  <c r="J57" i="11"/>
  <c r="I9" i="11"/>
  <c r="J9" i="11" s="1"/>
  <c r="L9" i="11" s="1"/>
  <c r="M9" i="11" s="1"/>
  <c r="E60" i="11"/>
  <c r="I16" i="11"/>
  <c r="I28" i="11"/>
  <c r="I52" i="11"/>
  <c r="N52" i="11" s="1"/>
  <c r="I8" i="11"/>
  <c r="N8" i="11" s="1"/>
  <c r="I21" i="11"/>
  <c r="N21" i="11" s="1"/>
  <c r="I38" i="11"/>
  <c r="J43" i="11"/>
  <c r="J53" i="11"/>
  <c r="J18" i="11"/>
  <c r="J38" i="11"/>
  <c r="J42" i="11"/>
  <c r="L42" i="11" s="1"/>
  <c r="M42" i="11" s="1"/>
  <c r="J45" i="11"/>
  <c r="L45" i="11" s="1"/>
  <c r="M45" i="11" s="1"/>
  <c r="I53" i="11"/>
  <c r="N53" i="11" s="1"/>
  <c r="I13" i="11"/>
  <c r="N31" i="11"/>
  <c r="J31" i="11"/>
  <c r="J19" i="11"/>
  <c r="N19" i="11"/>
  <c r="L29" i="11"/>
  <c r="M29" i="11" s="1"/>
  <c r="J10" i="11"/>
  <c r="N10" i="11"/>
  <c r="L20" i="11"/>
  <c r="M20" i="11" s="1"/>
  <c r="L57" i="11"/>
  <c r="J16" i="11"/>
  <c r="N16" i="11"/>
  <c r="J28" i="11"/>
  <c r="N28" i="11"/>
  <c r="N9" i="11"/>
  <c r="N38" i="11"/>
  <c r="L43" i="11"/>
  <c r="M43" i="11" s="1"/>
  <c r="L53" i="11"/>
  <c r="M53" i="11" s="1"/>
  <c r="L46" i="11"/>
  <c r="M46" i="11" s="1"/>
  <c r="L18" i="11"/>
  <c r="M18" i="11" s="1"/>
  <c r="L38" i="11"/>
  <c r="J39" i="11"/>
  <c r="M14" i="11"/>
  <c r="J17" i="11"/>
  <c r="I43" i="11"/>
  <c r="N43" i="11" s="1"/>
  <c r="J52" i="11"/>
  <c r="I55" i="11"/>
  <c r="N55" i="11" s="1"/>
  <c r="J13" i="11"/>
  <c r="I41" i="11"/>
  <c r="N41" i="11" s="1"/>
  <c r="I44" i="11"/>
  <c r="N44" i="11" s="1"/>
  <c r="I56" i="11"/>
  <c r="N56" i="11" s="1"/>
  <c r="N30" i="11" l="1"/>
  <c r="I32" i="11"/>
  <c r="I11" i="11"/>
  <c r="N11" i="11" s="1"/>
  <c r="L54" i="11"/>
  <c r="M54" i="11" s="1"/>
  <c r="J21" i="11"/>
  <c r="L21" i="11" s="1"/>
  <c r="M21" i="11" s="1"/>
  <c r="M57" i="11"/>
  <c r="M38" i="11"/>
  <c r="J8" i="11"/>
  <c r="L8" i="11" s="1"/>
  <c r="M8" i="11" s="1"/>
  <c r="G60" i="11"/>
  <c r="J47" i="11"/>
  <c r="N32" i="11"/>
  <c r="D60" i="11"/>
  <c r="L19" i="11"/>
  <c r="M19" i="11" s="1"/>
  <c r="I58" i="11"/>
  <c r="N58" i="11" s="1"/>
  <c r="C60" i="11"/>
  <c r="I47" i="11"/>
  <c r="N47" i="11" s="1"/>
  <c r="L16" i="11"/>
  <c r="M16" i="11" s="1"/>
  <c r="L31" i="11"/>
  <c r="M31" i="11" s="1"/>
  <c r="J32" i="11"/>
  <c r="L28" i="11"/>
  <c r="L13" i="11"/>
  <c r="J23" i="11"/>
  <c r="H60" i="11"/>
  <c r="L17" i="11"/>
  <c r="M17" i="11" s="1"/>
  <c r="L30" i="11"/>
  <c r="M30" i="11" s="1"/>
  <c r="I23" i="11"/>
  <c r="N13" i="11"/>
  <c r="L39" i="11"/>
  <c r="M39" i="11" s="1"/>
  <c r="J58" i="11"/>
  <c r="L52" i="11"/>
  <c r="L58" i="11" s="1"/>
  <c r="L10" i="11"/>
  <c r="M47" i="11" l="1"/>
  <c r="L11" i="11"/>
  <c r="J11" i="11"/>
  <c r="J25" i="11"/>
  <c r="J60" i="11" s="1"/>
  <c r="L32" i="11"/>
  <c r="M28" i="11"/>
  <c r="M32" i="11" s="1"/>
  <c r="M10" i="11"/>
  <c r="M11" i="11" s="1"/>
  <c r="N23" i="11"/>
  <c r="N25" i="11" s="1"/>
  <c r="P25" i="11" s="1"/>
  <c r="I25" i="11"/>
  <c r="I60" i="11" s="1"/>
  <c r="I61" i="11" s="1"/>
  <c r="I63" i="11" s="1"/>
  <c r="I65" i="11" s="1"/>
  <c r="L47" i="11"/>
  <c r="L23" i="11"/>
  <c r="L25" i="11" s="1"/>
  <c r="M52" i="11"/>
  <c r="M58" i="11" s="1"/>
  <c r="M13" i="11"/>
  <c r="M23" i="11" s="1"/>
  <c r="L60" i="11" l="1"/>
  <c r="M25" i="11"/>
  <c r="M60" i="11" s="1"/>
  <c r="I64" i="9" l="1"/>
  <c r="I62" i="9"/>
  <c r="J57" i="9"/>
  <c r="I56" i="9"/>
  <c r="J56" i="9"/>
  <c r="I55" i="9"/>
  <c r="E58" i="9"/>
  <c r="D58" i="9"/>
  <c r="D60" i="9" s="1"/>
  <c r="J54" i="9"/>
  <c r="F58" i="9"/>
  <c r="J53" i="9"/>
  <c r="J52" i="9"/>
  <c r="I52" i="9"/>
  <c r="H58" i="9"/>
  <c r="G58" i="9"/>
  <c r="C58" i="9"/>
  <c r="J46" i="9"/>
  <c r="I46" i="9"/>
  <c r="J45" i="9"/>
  <c r="J44" i="9"/>
  <c r="I44" i="9"/>
  <c r="J43" i="9"/>
  <c r="I43" i="9"/>
  <c r="J42" i="9"/>
  <c r="J41" i="9"/>
  <c r="J40" i="9"/>
  <c r="I40" i="9"/>
  <c r="J39" i="9"/>
  <c r="I39" i="9"/>
  <c r="F60" i="9"/>
  <c r="J38" i="9"/>
  <c r="I31" i="9"/>
  <c r="J31" i="9"/>
  <c r="I30" i="9"/>
  <c r="J30" i="9" s="1"/>
  <c r="I29" i="9"/>
  <c r="J29" i="9" s="1"/>
  <c r="I22" i="9"/>
  <c r="I21" i="9"/>
  <c r="J21" i="9" s="1"/>
  <c r="I20" i="9"/>
  <c r="J20" i="9" s="1"/>
  <c r="I19" i="9"/>
  <c r="I18" i="9"/>
  <c r="J18" i="9"/>
  <c r="I17" i="9"/>
  <c r="J17" i="9" s="1"/>
  <c r="I16" i="9"/>
  <c r="J16" i="9" s="1"/>
  <c r="I15" i="9"/>
  <c r="J15" i="9" s="1"/>
  <c r="I14" i="9"/>
  <c r="J14" i="9"/>
  <c r="G60" i="9"/>
  <c r="E60" i="9"/>
  <c r="I13" i="9"/>
  <c r="I10" i="9"/>
  <c r="I9" i="9"/>
  <c r="J9" i="9"/>
  <c r="B4" i="9"/>
  <c r="J10" i="9" l="1"/>
  <c r="L57" i="9"/>
  <c r="M57" i="9" s="1"/>
  <c r="L9" i="9"/>
  <c r="M9" i="9" s="1"/>
  <c r="L29" i="9"/>
  <c r="M29" i="9" s="1"/>
  <c r="L41" i="9"/>
  <c r="M41" i="9" s="1"/>
  <c r="I23" i="9"/>
  <c r="J13" i="9"/>
  <c r="L31" i="9"/>
  <c r="M31" i="9" s="1"/>
  <c r="L46" i="9"/>
  <c r="M46" i="9" s="1"/>
  <c r="L17" i="9"/>
  <c r="M17" i="9"/>
  <c r="L45" i="9"/>
  <c r="M45" i="9" s="1"/>
  <c r="L15" i="9"/>
  <c r="M15" i="9" s="1"/>
  <c r="M21" i="9"/>
  <c r="L21" i="9"/>
  <c r="L39" i="9"/>
  <c r="M39" i="9" s="1"/>
  <c r="L14" i="9"/>
  <c r="M14" i="9" s="1"/>
  <c r="L16" i="9"/>
  <c r="M16" i="9"/>
  <c r="J19" i="9"/>
  <c r="L38" i="9"/>
  <c r="M38" i="9" s="1"/>
  <c r="J47" i="9"/>
  <c r="L54" i="9"/>
  <c r="M54" i="9" s="1"/>
  <c r="L18" i="9"/>
  <c r="M18" i="9" s="1"/>
  <c r="L20" i="9"/>
  <c r="M20" i="9"/>
  <c r="L43" i="9"/>
  <c r="M43" i="9" s="1"/>
  <c r="J58" i="9"/>
  <c r="L56" i="9"/>
  <c r="M56" i="9" s="1"/>
  <c r="H60" i="9"/>
  <c r="L30" i="9"/>
  <c r="M30" i="9" s="1"/>
  <c r="L42" i="9"/>
  <c r="M42" i="9"/>
  <c r="L53" i="9"/>
  <c r="M53" i="9" s="1"/>
  <c r="J55" i="9"/>
  <c r="L40" i="9"/>
  <c r="M40" i="9" s="1"/>
  <c r="I41" i="9"/>
  <c r="L44" i="9"/>
  <c r="M44" i="9" s="1"/>
  <c r="I45" i="9"/>
  <c r="L52" i="9"/>
  <c r="I53" i="9"/>
  <c r="I57" i="9"/>
  <c r="C60" i="9"/>
  <c r="I28" i="9"/>
  <c r="I38" i="9"/>
  <c r="I47" i="9" s="1"/>
  <c r="I42" i="9"/>
  <c r="I54" i="9"/>
  <c r="I8" i="9"/>
  <c r="I11" i="9" s="1"/>
  <c r="I58" i="9" l="1"/>
  <c r="J8" i="9"/>
  <c r="L19" i="9"/>
  <c r="M19" i="9" s="1"/>
  <c r="M52" i="9"/>
  <c r="J23" i="9"/>
  <c r="L13" i="9"/>
  <c r="L23" i="9" s="1"/>
  <c r="J28" i="9"/>
  <c r="I32" i="9"/>
  <c r="M47" i="9"/>
  <c r="I25" i="9"/>
  <c r="I60" i="9" s="1"/>
  <c r="I61" i="9" s="1"/>
  <c r="I63" i="9" s="1"/>
  <c r="I65" i="9" s="1"/>
  <c r="M55" i="9"/>
  <c r="L55" i="9"/>
  <c r="L58" i="9" s="1"/>
  <c r="L47" i="9"/>
  <c r="L10" i="9"/>
  <c r="M10" i="9" s="1"/>
  <c r="M13" i="9" l="1"/>
  <c r="M23" i="9" s="1"/>
  <c r="M58" i="9"/>
  <c r="L28" i="9"/>
  <c r="L32" i="9" s="1"/>
  <c r="J32" i="9"/>
  <c r="J11" i="9"/>
  <c r="J25" i="9" s="1"/>
  <c r="J60" i="9" s="1"/>
  <c r="L8" i="9"/>
  <c r="L11" i="9" s="1"/>
  <c r="L25" i="9" s="1"/>
  <c r="L60" i="9" s="1"/>
  <c r="M8" i="9" l="1"/>
  <c r="M11" i="9" s="1"/>
  <c r="M25" i="9" s="1"/>
  <c r="M28" i="9"/>
  <c r="M32" i="9" s="1"/>
  <c r="M60" i="9" l="1"/>
  <c r="I64" i="8" l="1"/>
  <c r="I62" i="8"/>
  <c r="I57" i="8"/>
  <c r="N57" i="8" s="1"/>
  <c r="I54" i="8"/>
  <c r="N54" i="8" s="1"/>
  <c r="F58" i="8"/>
  <c r="F60" i="8" s="1"/>
  <c r="E58" i="8"/>
  <c r="D58" i="8"/>
  <c r="I52" i="8"/>
  <c r="N52" i="8" s="1"/>
  <c r="J45" i="8"/>
  <c r="I45" i="8"/>
  <c r="N45" i="8" s="1"/>
  <c r="I42" i="8"/>
  <c r="N42" i="8" s="1"/>
  <c r="J41" i="8"/>
  <c r="I40" i="8"/>
  <c r="J39" i="8"/>
  <c r="J38" i="8"/>
  <c r="I31" i="8"/>
  <c r="I30" i="8"/>
  <c r="I29" i="8"/>
  <c r="J29" i="8"/>
  <c r="I22" i="8"/>
  <c r="I21" i="8"/>
  <c r="I20" i="8"/>
  <c r="N20" i="8" s="1"/>
  <c r="I19" i="8"/>
  <c r="I17" i="8"/>
  <c r="N17" i="8" s="1"/>
  <c r="I15" i="8"/>
  <c r="N15" i="8" s="1"/>
  <c r="I14" i="8"/>
  <c r="P13" i="8"/>
  <c r="I9" i="8"/>
  <c r="N9" i="8" s="1"/>
  <c r="B4" i="8"/>
  <c r="O25" i="8"/>
  <c r="N29" i="8" l="1"/>
  <c r="J56" i="8"/>
  <c r="J46" i="8"/>
  <c r="I18" i="8"/>
  <c r="N18" i="8" s="1"/>
  <c r="J40" i="8"/>
  <c r="G58" i="8"/>
  <c r="J55" i="8"/>
  <c r="J15" i="8"/>
  <c r="J20" i="8"/>
  <c r="I39" i="8"/>
  <c r="N39" i="8" s="1"/>
  <c r="J44" i="8"/>
  <c r="H58" i="8"/>
  <c r="J54" i="8"/>
  <c r="J57" i="8"/>
  <c r="I8" i="8"/>
  <c r="J8" i="8" s="1"/>
  <c r="I10" i="8"/>
  <c r="I28" i="8"/>
  <c r="I16" i="8"/>
  <c r="N40" i="8"/>
  <c r="J43" i="8"/>
  <c r="L43" i="8" s="1"/>
  <c r="M43" i="8" s="1"/>
  <c r="J53" i="8"/>
  <c r="J42" i="8"/>
  <c r="C58" i="8"/>
  <c r="L29" i="8"/>
  <c r="M29" i="8" s="1"/>
  <c r="N31" i="8"/>
  <c r="J31" i="8"/>
  <c r="J19" i="8"/>
  <c r="N19" i="8"/>
  <c r="L41" i="8"/>
  <c r="M41" i="8" s="1"/>
  <c r="L56" i="8"/>
  <c r="M56" i="8" s="1"/>
  <c r="J14" i="8"/>
  <c r="N14" i="8"/>
  <c r="J30" i="8"/>
  <c r="N30" i="8"/>
  <c r="L46" i="8"/>
  <c r="M46" i="8" s="1"/>
  <c r="I13" i="8"/>
  <c r="L40" i="8"/>
  <c r="M40" i="8" s="1"/>
  <c r="L55" i="8"/>
  <c r="M55" i="8" s="1"/>
  <c r="L15" i="8"/>
  <c r="M15" i="8" s="1"/>
  <c r="L20" i="8"/>
  <c r="M20" i="8" s="1"/>
  <c r="L44" i="8"/>
  <c r="M44" i="8" s="1"/>
  <c r="L54" i="8"/>
  <c r="M54" i="8" s="1"/>
  <c r="L57" i="8"/>
  <c r="M57" i="8" s="1"/>
  <c r="L8" i="8"/>
  <c r="M8" i="8" s="1"/>
  <c r="J10" i="8"/>
  <c r="N10" i="8"/>
  <c r="J28" i="8"/>
  <c r="N28" i="8"/>
  <c r="I32" i="8"/>
  <c r="G60" i="8"/>
  <c r="J21" i="8"/>
  <c r="N21" i="8"/>
  <c r="L45" i="8"/>
  <c r="M45" i="8" s="1"/>
  <c r="L53" i="8"/>
  <c r="M53" i="8"/>
  <c r="J16" i="8"/>
  <c r="N16" i="8"/>
  <c r="L38" i="8"/>
  <c r="J47" i="8"/>
  <c r="M42" i="8"/>
  <c r="L42" i="8"/>
  <c r="J17" i="8"/>
  <c r="L39" i="8"/>
  <c r="M39" i="8" s="1"/>
  <c r="N8" i="8"/>
  <c r="J9" i="8"/>
  <c r="J11" i="8" s="1"/>
  <c r="I43" i="8"/>
  <c r="N43" i="8" s="1"/>
  <c r="J52" i="8"/>
  <c r="I55" i="8"/>
  <c r="N55" i="8" s="1"/>
  <c r="I11" i="8"/>
  <c r="N11" i="8" s="1"/>
  <c r="J13" i="8"/>
  <c r="I38" i="8"/>
  <c r="I46" i="8"/>
  <c r="N46" i="8" s="1"/>
  <c r="I41" i="8"/>
  <c r="N41" i="8" s="1"/>
  <c r="I53" i="8"/>
  <c r="N53" i="8" s="1"/>
  <c r="I44" i="8"/>
  <c r="N44" i="8" s="1"/>
  <c r="I56" i="8"/>
  <c r="N56" i="8" s="1"/>
  <c r="J18" i="8" l="1"/>
  <c r="L18" i="8" s="1"/>
  <c r="M18" i="8" s="1"/>
  <c r="E60" i="8"/>
  <c r="L17" i="8"/>
  <c r="M17" i="8" s="1"/>
  <c r="L10" i="8"/>
  <c r="M10" i="8"/>
  <c r="L30" i="8"/>
  <c r="M30" i="8" s="1"/>
  <c r="L19" i="8"/>
  <c r="M19" i="8" s="1"/>
  <c r="J58" i="8"/>
  <c r="L52" i="8"/>
  <c r="L58" i="8" s="1"/>
  <c r="L16" i="8"/>
  <c r="M16" i="8" s="1"/>
  <c r="L31" i="8"/>
  <c r="M31" i="8" s="1"/>
  <c r="I58" i="8"/>
  <c r="N58" i="8" s="1"/>
  <c r="L21" i="8"/>
  <c r="M21" i="8" s="1"/>
  <c r="L14" i="8"/>
  <c r="M14" i="8" s="1"/>
  <c r="L9" i="8"/>
  <c r="L11" i="8" s="1"/>
  <c r="I23" i="8"/>
  <c r="N13" i="8"/>
  <c r="I47" i="8"/>
  <c r="N47" i="8" s="1"/>
  <c r="N38" i="8"/>
  <c r="N32" i="8"/>
  <c r="L47" i="8"/>
  <c r="L13" i="8"/>
  <c r="M13" i="8" s="1"/>
  <c r="C60" i="8"/>
  <c r="M38" i="8"/>
  <c r="M47" i="8" s="1"/>
  <c r="J32" i="8"/>
  <c r="M28" i="8"/>
  <c r="L28" i="8"/>
  <c r="L32" i="8" s="1"/>
  <c r="D60" i="8"/>
  <c r="H60" i="8"/>
  <c r="J23" i="8" l="1"/>
  <c r="J25" i="8" s="1"/>
  <c r="J60" i="8" s="1"/>
  <c r="M32" i="8"/>
  <c r="M23" i="8"/>
  <c r="M9" i="8"/>
  <c r="M11" i="8" s="1"/>
  <c r="M25" i="8" s="1"/>
  <c r="M52" i="8"/>
  <c r="M58" i="8" s="1"/>
  <c r="N23" i="8"/>
  <c r="N25" i="8" s="1"/>
  <c r="P25" i="8" s="1"/>
  <c r="I25" i="8"/>
  <c r="I60" i="8" s="1"/>
  <c r="I61" i="8" s="1"/>
  <c r="I63" i="8" s="1"/>
  <c r="I65" i="8" s="1"/>
  <c r="L23" i="8"/>
  <c r="L25" i="8" s="1"/>
  <c r="L60" i="8" s="1"/>
  <c r="M60" i="8" l="1"/>
  <c r="I64" i="7" l="1"/>
  <c r="I62" i="7"/>
  <c r="I22" i="7"/>
  <c r="I20" i="7"/>
  <c r="N20" i="7" s="1"/>
  <c r="P13" i="7"/>
  <c r="I10" i="7"/>
  <c r="E11" i="7"/>
  <c r="I9" i="7"/>
  <c r="N9" i="7" s="1"/>
  <c r="H11" i="7"/>
  <c r="G11" i="7"/>
  <c r="F11" i="7"/>
  <c r="D11" i="7"/>
  <c r="I8" i="7"/>
  <c r="B4" i="7"/>
  <c r="O25" i="7"/>
  <c r="I57" i="7" l="1"/>
  <c r="D58" i="7"/>
  <c r="F58" i="7"/>
  <c r="I31" i="7"/>
  <c r="E47" i="7"/>
  <c r="I45" i="7"/>
  <c r="N45" i="7" s="1"/>
  <c r="I54" i="7"/>
  <c r="N54" i="7" s="1"/>
  <c r="H58" i="7"/>
  <c r="G23" i="7"/>
  <c r="G25" i="7" s="1"/>
  <c r="N57" i="7"/>
  <c r="I29" i="7"/>
  <c r="N29" i="7" s="1"/>
  <c r="C58" i="7"/>
  <c r="I18" i="7"/>
  <c r="N18" i="7" s="1"/>
  <c r="J39" i="7"/>
  <c r="L39" i="7" s="1"/>
  <c r="M39" i="7" s="1"/>
  <c r="I14" i="7"/>
  <c r="J14" i="7" s="1"/>
  <c r="I28" i="7"/>
  <c r="N28" i="7" s="1"/>
  <c r="I42" i="7"/>
  <c r="N42" i="7" s="1"/>
  <c r="I17" i="7"/>
  <c r="N17" i="7" s="1"/>
  <c r="I30" i="7"/>
  <c r="I40" i="7"/>
  <c r="N40" i="7" s="1"/>
  <c r="D23" i="7"/>
  <c r="H23" i="7"/>
  <c r="H25" i="7" s="1"/>
  <c r="I15" i="7"/>
  <c r="N15" i="7" s="1"/>
  <c r="E23" i="7"/>
  <c r="E25" i="7" s="1"/>
  <c r="J17" i="7"/>
  <c r="L17" i="7" s="1"/>
  <c r="M17" i="7" s="1"/>
  <c r="I19" i="7"/>
  <c r="G32" i="7"/>
  <c r="F47" i="7"/>
  <c r="F60" i="7" s="1"/>
  <c r="E58" i="7"/>
  <c r="G47" i="7"/>
  <c r="J41" i="7"/>
  <c r="L41" i="7" s="1"/>
  <c r="J56" i="7"/>
  <c r="L56" i="7" s="1"/>
  <c r="M56" i="7" s="1"/>
  <c r="H47" i="7"/>
  <c r="J40" i="7"/>
  <c r="L40" i="7" s="1"/>
  <c r="M40" i="7" s="1"/>
  <c r="J46" i="7"/>
  <c r="L46" i="7" s="1"/>
  <c r="M46" i="7" s="1"/>
  <c r="J20" i="7"/>
  <c r="I39" i="7"/>
  <c r="N39" i="7" s="1"/>
  <c r="G58" i="7"/>
  <c r="J55" i="7"/>
  <c r="L55" i="7" s="1"/>
  <c r="M55" i="7" s="1"/>
  <c r="J44" i="7"/>
  <c r="L44" i="7" s="1"/>
  <c r="M44" i="7" s="1"/>
  <c r="J54" i="7"/>
  <c r="J57" i="7"/>
  <c r="L57" i="7" s="1"/>
  <c r="M57" i="7" s="1"/>
  <c r="I16" i="7"/>
  <c r="I21" i="7"/>
  <c r="N21" i="7" s="1"/>
  <c r="D32" i="7"/>
  <c r="J38" i="7"/>
  <c r="L38" i="7" s="1"/>
  <c r="M38" i="7" s="1"/>
  <c r="I52" i="7"/>
  <c r="N52" i="7" s="1"/>
  <c r="E32" i="7"/>
  <c r="D47" i="7"/>
  <c r="J43" i="7"/>
  <c r="L43" i="7" s="1"/>
  <c r="M43" i="7" s="1"/>
  <c r="J53" i="7"/>
  <c r="L53" i="7" s="1"/>
  <c r="M53" i="7" s="1"/>
  <c r="J29" i="7"/>
  <c r="J42" i="7"/>
  <c r="J45" i="7"/>
  <c r="L45" i="7" s="1"/>
  <c r="M45" i="7" s="1"/>
  <c r="I53" i="7"/>
  <c r="N53" i="7" s="1"/>
  <c r="I13" i="7"/>
  <c r="L20" i="7"/>
  <c r="M20" i="7" s="1"/>
  <c r="J19" i="7"/>
  <c r="N19" i="7"/>
  <c r="D25" i="7"/>
  <c r="L54" i="7"/>
  <c r="M54" i="7" s="1"/>
  <c r="N14" i="7"/>
  <c r="J10" i="7"/>
  <c r="N10" i="7"/>
  <c r="J16" i="7"/>
  <c r="N16" i="7"/>
  <c r="J9" i="7"/>
  <c r="J8" i="7"/>
  <c r="N8" i="7"/>
  <c r="I11" i="7"/>
  <c r="N11" i="7" s="1"/>
  <c r="J30" i="7"/>
  <c r="N30" i="7"/>
  <c r="J18" i="7"/>
  <c r="L29" i="7"/>
  <c r="M29" i="7" s="1"/>
  <c r="N31" i="7"/>
  <c r="J31" i="7"/>
  <c r="L42" i="7"/>
  <c r="M42" i="7" s="1"/>
  <c r="H32" i="7"/>
  <c r="C47" i="7"/>
  <c r="C23" i="7"/>
  <c r="C25" i="7" s="1"/>
  <c r="C11" i="7"/>
  <c r="I43" i="7"/>
  <c r="N43" i="7" s="1"/>
  <c r="J52" i="7"/>
  <c r="I55" i="7"/>
  <c r="N55" i="7" s="1"/>
  <c r="C32" i="7"/>
  <c r="I38" i="7"/>
  <c r="I46" i="7"/>
  <c r="N46" i="7" s="1"/>
  <c r="I41" i="7"/>
  <c r="N41" i="7" s="1"/>
  <c r="I44" i="7"/>
  <c r="N44" i="7" s="1"/>
  <c r="I56" i="7"/>
  <c r="N56" i="7" s="1"/>
  <c r="M41" i="7" l="1"/>
  <c r="M47" i="7" s="1"/>
  <c r="J28" i="7"/>
  <c r="G60" i="7"/>
  <c r="H60" i="7"/>
  <c r="I32" i="7"/>
  <c r="N32" i="7" s="1"/>
  <c r="J15" i="7"/>
  <c r="L15" i="7" s="1"/>
  <c r="M15" i="7" s="1"/>
  <c r="J47" i="7"/>
  <c r="J21" i="7"/>
  <c r="L21" i="7" s="1"/>
  <c r="M21" i="7" s="1"/>
  <c r="E60" i="7"/>
  <c r="C60" i="7"/>
  <c r="D60" i="7"/>
  <c r="I58" i="7"/>
  <c r="N58" i="7" s="1"/>
  <c r="L14" i="7"/>
  <c r="M14" i="7" s="1"/>
  <c r="L19" i="7"/>
  <c r="M19" i="7" s="1"/>
  <c r="L31" i="7"/>
  <c r="M31" i="7" s="1"/>
  <c r="L30" i="7"/>
  <c r="M30" i="7" s="1"/>
  <c r="J32" i="7"/>
  <c r="L28" i="7"/>
  <c r="L18" i="7"/>
  <c r="M18" i="7" s="1"/>
  <c r="I47" i="7"/>
  <c r="N47" i="7" s="1"/>
  <c r="N38" i="7"/>
  <c r="L16" i="7"/>
  <c r="M16" i="7" s="1"/>
  <c r="J58" i="7"/>
  <c r="L52" i="7"/>
  <c r="L58" i="7" s="1"/>
  <c r="L47" i="7"/>
  <c r="L9" i="7"/>
  <c r="M9" i="7" s="1"/>
  <c r="I23" i="7"/>
  <c r="N13" i="7"/>
  <c r="J13" i="7"/>
  <c r="J11" i="7"/>
  <c r="L8" i="7"/>
  <c r="L11" i="7" s="1"/>
  <c r="L10" i="7"/>
  <c r="M10" i="7" s="1"/>
  <c r="L13" i="7" l="1"/>
  <c r="L23" i="7" s="1"/>
  <c r="J23" i="7"/>
  <c r="J25" i="7" s="1"/>
  <c r="J60" i="7" s="1"/>
  <c r="L32" i="7"/>
  <c r="M28" i="7"/>
  <c r="M32" i="7" s="1"/>
  <c r="L25" i="7"/>
  <c r="L60" i="7" s="1"/>
  <c r="M8" i="7"/>
  <c r="M11" i="7" s="1"/>
  <c r="N23" i="7"/>
  <c r="N25" i="7" s="1"/>
  <c r="P25" i="7" s="1"/>
  <c r="I25" i="7"/>
  <c r="I60" i="7" s="1"/>
  <c r="I63" i="7" s="1"/>
  <c r="I65" i="7" s="1"/>
  <c r="M52" i="7"/>
  <c r="M58" i="7" s="1"/>
  <c r="M13" i="7" l="1"/>
  <c r="M23" i="7" s="1"/>
  <c r="M25" i="7" s="1"/>
  <c r="M60" i="7" s="1"/>
  <c r="I64" i="6" l="1"/>
  <c r="J61" i="6"/>
  <c r="I22" i="6"/>
  <c r="P13" i="6"/>
  <c r="I10" i="6"/>
  <c r="I9" i="6"/>
  <c r="B4" i="6"/>
  <c r="I54" i="6" l="1"/>
  <c r="N54" i="6" s="1"/>
  <c r="I52" i="6"/>
  <c r="I40" i="6"/>
  <c r="J56" i="6"/>
  <c r="I42" i="6"/>
  <c r="N42" i="6" s="1"/>
  <c r="I44" i="6"/>
  <c r="N44" i="6" s="1"/>
  <c r="D58" i="6"/>
  <c r="I14" i="6"/>
  <c r="N14" i="6" s="1"/>
  <c r="I18" i="6"/>
  <c r="I28" i="6"/>
  <c r="N28" i="6" s="1"/>
  <c r="I39" i="6"/>
  <c r="N39" i="6" s="1"/>
  <c r="J46" i="6"/>
  <c r="L46" i="6" s="1"/>
  <c r="M46" i="6" s="1"/>
  <c r="E58" i="6"/>
  <c r="I17" i="6"/>
  <c r="N17" i="6" s="1"/>
  <c r="J41" i="6"/>
  <c r="L41" i="6" s="1"/>
  <c r="M41" i="6" s="1"/>
  <c r="I16" i="6"/>
  <c r="N16" i="6" s="1"/>
  <c r="I20" i="6"/>
  <c r="N20" i="6" s="1"/>
  <c r="J18" i="6"/>
  <c r="L18" i="6" s="1"/>
  <c r="M18" i="6" s="1"/>
  <c r="J44" i="6"/>
  <c r="L44" i="6" s="1"/>
  <c r="M44" i="6" s="1"/>
  <c r="J53" i="6"/>
  <c r="N9" i="6"/>
  <c r="I31" i="6"/>
  <c r="N31" i="6" s="1"/>
  <c r="I19" i="6"/>
  <c r="N19" i="6" s="1"/>
  <c r="I30" i="6"/>
  <c r="N30" i="6" s="1"/>
  <c r="J40" i="6"/>
  <c r="L40" i="6" s="1"/>
  <c r="M40" i="6" s="1"/>
  <c r="F58" i="6"/>
  <c r="J55" i="6"/>
  <c r="L55" i="6" s="1"/>
  <c r="M55" i="6" s="1"/>
  <c r="I15" i="6"/>
  <c r="J17" i="6"/>
  <c r="J45" i="6"/>
  <c r="L45" i="6" s="1"/>
  <c r="M45" i="6" s="1"/>
  <c r="G58" i="6"/>
  <c r="I29" i="6"/>
  <c r="I32" i="6" s="1"/>
  <c r="N32" i="6" s="1"/>
  <c r="N40" i="6"/>
  <c r="H58" i="6"/>
  <c r="J54" i="6"/>
  <c r="L54" i="6" s="1"/>
  <c r="M54" i="6" s="1"/>
  <c r="J16" i="6"/>
  <c r="L16" i="6" s="1"/>
  <c r="M16" i="6" s="1"/>
  <c r="J20" i="6"/>
  <c r="L20" i="6" s="1"/>
  <c r="M20" i="6" s="1"/>
  <c r="J39" i="6"/>
  <c r="L39" i="6" s="1"/>
  <c r="M39" i="6" s="1"/>
  <c r="J43" i="6"/>
  <c r="L43" i="6" s="1"/>
  <c r="M43" i="6" s="1"/>
  <c r="I53" i="6"/>
  <c r="N53" i="6" s="1"/>
  <c r="N18" i="6"/>
  <c r="I21" i="6"/>
  <c r="N21" i="6" s="1"/>
  <c r="J42" i="6"/>
  <c r="L42" i="6" s="1"/>
  <c r="M42" i="6" s="1"/>
  <c r="J57" i="6"/>
  <c r="L57" i="6" s="1"/>
  <c r="M57" i="6" s="1"/>
  <c r="J9" i="6"/>
  <c r="N10" i="6"/>
  <c r="J10" i="6"/>
  <c r="J30" i="6"/>
  <c r="N52" i="6"/>
  <c r="L56" i="6"/>
  <c r="M56" i="6" s="1"/>
  <c r="J15" i="6"/>
  <c r="N15" i="6"/>
  <c r="L17" i="6"/>
  <c r="M17" i="6" s="1"/>
  <c r="I43" i="6"/>
  <c r="N43" i="6" s="1"/>
  <c r="J52" i="6"/>
  <c r="I55" i="6"/>
  <c r="N55" i="6" s="1"/>
  <c r="I38" i="6"/>
  <c r="I46" i="6"/>
  <c r="N46" i="6" s="1"/>
  <c r="I8" i="6"/>
  <c r="J8" i="6" s="1"/>
  <c r="E60" i="6"/>
  <c r="J38" i="6"/>
  <c r="I41" i="6"/>
  <c r="N41" i="6" s="1"/>
  <c r="I56" i="6"/>
  <c r="N56" i="6" s="1"/>
  <c r="C58" i="6"/>
  <c r="J14" i="6"/>
  <c r="L53" i="6"/>
  <c r="M53" i="6" s="1"/>
  <c r="I45" i="6"/>
  <c r="N45" i="6" s="1"/>
  <c r="I57" i="6"/>
  <c r="N57" i="6" s="1"/>
  <c r="J28" i="6" l="1"/>
  <c r="J31" i="6"/>
  <c r="N29" i="6"/>
  <c r="G60" i="6"/>
  <c r="J29" i="6"/>
  <c r="L29" i="6" s="1"/>
  <c r="M29" i="6" s="1"/>
  <c r="J19" i="6"/>
  <c r="L19" i="6" s="1"/>
  <c r="M19" i="6" s="1"/>
  <c r="C60" i="6"/>
  <c r="H60" i="6"/>
  <c r="F60" i="6"/>
  <c r="D60" i="6"/>
  <c r="J21" i="6"/>
  <c r="L21" i="6" s="1"/>
  <c r="M21" i="6" s="1"/>
  <c r="L8" i="6"/>
  <c r="J11" i="6"/>
  <c r="I13" i="6"/>
  <c r="J47" i="6"/>
  <c r="L38" i="6"/>
  <c r="L47" i="6" s="1"/>
  <c r="I58" i="6"/>
  <c r="N58" i="6" s="1"/>
  <c r="L28" i="6"/>
  <c r="N8" i="6"/>
  <c r="I11" i="6"/>
  <c r="N11" i="6" s="1"/>
  <c r="L31" i="6"/>
  <c r="M31" i="6" s="1"/>
  <c r="L30" i="6"/>
  <c r="M30" i="6" s="1"/>
  <c r="L14" i="6"/>
  <c r="M14" i="6" s="1"/>
  <c r="L10" i="6"/>
  <c r="M10" i="6" s="1"/>
  <c r="N38" i="6"/>
  <c r="I47" i="6"/>
  <c r="N47" i="6" s="1"/>
  <c r="L15" i="6"/>
  <c r="M15" i="6" s="1"/>
  <c r="L9" i="6"/>
  <c r="M9" i="6" s="1"/>
  <c r="J58" i="6"/>
  <c r="L52" i="6"/>
  <c r="L58" i="6" s="1"/>
  <c r="J32" i="6" l="1"/>
  <c r="M38" i="6"/>
  <c r="M47" i="6" s="1"/>
  <c r="I23" i="6"/>
  <c r="N13" i="6"/>
  <c r="Q13" i="6" s="1"/>
  <c r="J13" i="6"/>
  <c r="L32" i="6"/>
  <c r="M28" i="6"/>
  <c r="M32" i="6" s="1"/>
  <c r="L11" i="6"/>
  <c r="M52" i="6"/>
  <c r="M58" i="6" s="1"/>
  <c r="M8" i="6"/>
  <c r="M11" i="6" s="1"/>
  <c r="J23" i="6" l="1"/>
  <c r="J25" i="6" s="1"/>
  <c r="J60" i="6" s="1"/>
  <c r="L13" i="6"/>
  <c r="L23" i="6" s="1"/>
  <c r="L25" i="6" s="1"/>
  <c r="L60" i="6" s="1"/>
  <c r="N23" i="6"/>
  <c r="N25" i="6" s="1"/>
  <c r="I25" i="6"/>
  <c r="I60" i="6" s="1"/>
  <c r="I61" i="6" s="1"/>
  <c r="K61" i="6" l="1"/>
  <c r="I63" i="6"/>
  <c r="I65" i="6" s="1"/>
  <c r="I67" i="6" s="1"/>
  <c r="M13" i="6"/>
  <c r="M23" i="6" s="1"/>
  <c r="M25" i="6" s="1"/>
  <c r="M60" i="6" s="1"/>
  <c r="H58" i="5" l="1"/>
  <c r="G58" i="5"/>
  <c r="F58" i="5"/>
  <c r="E58" i="5"/>
  <c r="D58" i="5"/>
  <c r="C58" i="5"/>
  <c r="H47" i="5"/>
  <c r="G47" i="5"/>
  <c r="F47" i="5"/>
  <c r="E47" i="5"/>
  <c r="D47" i="5"/>
  <c r="C47" i="5"/>
  <c r="H32" i="5"/>
  <c r="G32" i="5"/>
  <c r="E32" i="5"/>
  <c r="D32" i="5"/>
  <c r="C32" i="5"/>
  <c r="I30" i="5"/>
  <c r="I29" i="5"/>
  <c r="J29" i="5" s="1"/>
  <c r="H23" i="5"/>
  <c r="G23" i="5"/>
  <c r="E23" i="5"/>
  <c r="D23" i="5"/>
  <c r="C23" i="5"/>
  <c r="H11" i="5"/>
  <c r="G11" i="5"/>
  <c r="F11" i="5"/>
  <c r="E11" i="5"/>
  <c r="D11" i="5"/>
  <c r="F60" i="5"/>
  <c r="J57" i="5"/>
  <c r="I57" i="5"/>
  <c r="N57" i="5" s="1"/>
  <c r="J56" i="5"/>
  <c r="I56" i="5"/>
  <c r="N56" i="5" s="1"/>
  <c r="N55" i="5"/>
  <c r="J55" i="5"/>
  <c r="L55" i="5" s="1"/>
  <c r="M55" i="5" s="1"/>
  <c r="I55" i="5"/>
  <c r="J54" i="5"/>
  <c r="L54" i="5" s="1"/>
  <c r="I54" i="5"/>
  <c r="J53" i="5"/>
  <c r="I53" i="5"/>
  <c r="N53" i="5" s="1"/>
  <c r="J52" i="5"/>
  <c r="J58" i="5" s="1"/>
  <c r="I52" i="5"/>
  <c r="N52" i="5" s="1"/>
  <c r="N46" i="5"/>
  <c r="J46" i="5"/>
  <c r="I46" i="5"/>
  <c r="J45" i="5"/>
  <c r="L45" i="5" s="1"/>
  <c r="I45" i="5"/>
  <c r="N45" i="5" s="1"/>
  <c r="J44" i="5"/>
  <c r="L44" i="5" s="1"/>
  <c r="M44" i="5" s="1"/>
  <c r="I44" i="5"/>
  <c r="N44" i="5" s="1"/>
  <c r="J43" i="5"/>
  <c r="L43" i="5" s="1"/>
  <c r="M43" i="5" s="1"/>
  <c r="I43" i="5"/>
  <c r="N43" i="5" s="1"/>
  <c r="J42" i="5"/>
  <c r="L42" i="5" s="1"/>
  <c r="I42" i="5"/>
  <c r="N42" i="5" s="1"/>
  <c r="J41" i="5"/>
  <c r="I41" i="5"/>
  <c r="N41" i="5" s="1"/>
  <c r="J40" i="5"/>
  <c r="L40" i="5" s="1"/>
  <c r="M40" i="5" s="1"/>
  <c r="I40" i="5"/>
  <c r="N40" i="5" s="1"/>
  <c r="J39" i="5"/>
  <c r="I39" i="5"/>
  <c r="N39" i="5" s="1"/>
  <c r="J38" i="5"/>
  <c r="I38" i="5"/>
  <c r="N38" i="5" s="1"/>
  <c r="I31" i="5"/>
  <c r="N31" i="5" s="1"/>
  <c r="I28" i="5"/>
  <c r="J28" i="5" s="1"/>
  <c r="I22" i="5"/>
  <c r="I21" i="5"/>
  <c r="J21" i="5" s="1"/>
  <c r="I20" i="5"/>
  <c r="N20" i="5" s="1"/>
  <c r="I19" i="5"/>
  <c r="J19" i="5" s="1"/>
  <c r="I18" i="5"/>
  <c r="N18" i="5" s="1"/>
  <c r="I17" i="5"/>
  <c r="N17" i="5" s="1"/>
  <c r="I16" i="5"/>
  <c r="N16" i="5" s="1"/>
  <c r="I15" i="5"/>
  <c r="N15" i="5" s="1"/>
  <c r="I14" i="5"/>
  <c r="J14" i="5" s="1"/>
  <c r="I13" i="5"/>
  <c r="J13" i="5" s="1"/>
  <c r="I10" i="5"/>
  <c r="N10" i="5" s="1"/>
  <c r="I9" i="5"/>
  <c r="N9" i="5" s="1"/>
  <c r="I64" i="4"/>
  <c r="I62" i="4"/>
  <c r="J61" i="4"/>
  <c r="J57" i="4"/>
  <c r="J56" i="4"/>
  <c r="J55" i="4"/>
  <c r="I54" i="4"/>
  <c r="N54" i="4" s="1"/>
  <c r="J54" i="4"/>
  <c r="I53" i="4"/>
  <c r="N53" i="4" s="1"/>
  <c r="H58" i="4"/>
  <c r="J53" i="4"/>
  <c r="G58" i="4"/>
  <c r="F58" i="4"/>
  <c r="E58" i="4"/>
  <c r="D58" i="4"/>
  <c r="I52" i="4"/>
  <c r="J46" i="4"/>
  <c r="J45" i="4"/>
  <c r="J44" i="4"/>
  <c r="I43" i="4"/>
  <c r="N43" i="4" s="1"/>
  <c r="J43" i="4"/>
  <c r="I42" i="4"/>
  <c r="N42" i="4" s="1"/>
  <c r="J42" i="4"/>
  <c r="I41" i="4"/>
  <c r="N41" i="4" s="1"/>
  <c r="J41" i="4"/>
  <c r="I40" i="4"/>
  <c r="N40" i="4" s="1"/>
  <c r="J39" i="4"/>
  <c r="I39" i="4"/>
  <c r="N39" i="4" s="1"/>
  <c r="F60" i="4"/>
  <c r="J38" i="4"/>
  <c r="I31" i="4"/>
  <c r="I30" i="4"/>
  <c r="N30" i="4" s="1"/>
  <c r="I29" i="4"/>
  <c r="N29" i="4" s="1"/>
  <c r="I28" i="4"/>
  <c r="I22" i="4"/>
  <c r="I21" i="4"/>
  <c r="N21" i="4" s="1"/>
  <c r="I20" i="4"/>
  <c r="I19" i="4"/>
  <c r="N19" i="4" s="1"/>
  <c r="I18" i="4"/>
  <c r="I17" i="4"/>
  <c r="I16" i="4"/>
  <c r="N16" i="4" s="1"/>
  <c r="I15" i="4"/>
  <c r="N15" i="4" s="1"/>
  <c r="I14" i="4"/>
  <c r="N14" i="4" s="1"/>
  <c r="P13" i="4"/>
  <c r="G60" i="4"/>
  <c r="D60" i="4"/>
  <c r="I10" i="4"/>
  <c r="N10" i="4" s="1"/>
  <c r="J10" i="4"/>
  <c r="I9" i="4"/>
  <c r="B4" i="4"/>
  <c r="O25" i="4"/>
  <c r="L52" i="5" l="1"/>
  <c r="M52" i="5" s="1"/>
  <c r="D25" i="5"/>
  <c r="D60" i="5" s="1"/>
  <c r="E25" i="5"/>
  <c r="E60" i="5" s="1"/>
  <c r="G25" i="5"/>
  <c r="G60" i="5" s="1"/>
  <c r="H25" i="5"/>
  <c r="H60" i="5" s="1"/>
  <c r="J10" i="5"/>
  <c r="I58" i="5"/>
  <c r="N58" i="5" s="1"/>
  <c r="L41" i="5"/>
  <c r="M41" i="5" s="1"/>
  <c r="J30" i="5"/>
  <c r="L30" i="5" s="1"/>
  <c r="M30" i="5" s="1"/>
  <c r="N30" i="5"/>
  <c r="L28" i="5"/>
  <c r="M28" i="5" s="1"/>
  <c r="I32" i="5"/>
  <c r="N32" i="5" s="1"/>
  <c r="J16" i="5"/>
  <c r="L16" i="5" s="1"/>
  <c r="M16" i="5" s="1"/>
  <c r="N13" i="5"/>
  <c r="N14" i="5"/>
  <c r="J20" i="5"/>
  <c r="J17" i="5"/>
  <c r="L17" i="5" s="1"/>
  <c r="N19" i="5"/>
  <c r="J9" i="5"/>
  <c r="L9" i="5" s="1"/>
  <c r="M9" i="5" s="1"/>
  <c r="L19" i="5"/>
  <c r="M19" i="5" s="1"/>
  <c r="L29" i="5"/>
  <c r="M29" i="5" s="1"/>
  <c r="L21" i="5"/>
  <c r="M21" i="5" s="1"/>
  <c r="L13" i="5"/>
  <c r="L14" i="5"/>
  <c r="M14" i="5" s="1"/>
  <c r="I47" i="5"/>
  <c r="N47" i="5" s="1"/>
  <c r="J18" i="5"/>
  <c r="J47" i="5"/>
  <c r="J15" i="5"/>
  <c r="J31" i="5"/>
  <c r="L39" i="5"/>
  <c r="M39" i="5" s="1"/>
  <c r="M42" i="5"/>
  <c r="M54" i="5"/>
  <c r="L57" i="5"/>
  <c r="M57" i="5" s="1"/>
  <c r="N21" i="5"/>
  <c r="N29" i="5"/>
  <c r="N54" i="5"/>
  <c r="L56" i="5"/>
  <c r="M56" i="5" s="1"/>
  <c r="M45" i="5"/>
  <c r="L53" i="5"/>
  <c r="L58" i="5" s="1"/>
  <c r="L10" i="5"/>
  <c r="M10" i="5" s="1"/>
  <c r="I23" i="5"/>
  <c r="L38" i="5"/>
  <c r="M38" i="5" s="1"/>
  <c r="L46" i="5"/>
  <c r="M46" i="5" s="1"/>
  <c r="N28" i="5"/>
  <c r="J30" i="4"/>
  <c r="J15" i="4"/>
  <c r="J19" i="4"/>
  <c r="N52" i="4"/>
  <c r="L15" i="4"/>
  <c r="M15" i="4" s="1"/>
  <c r="J47" i="4"/>
  <c r="L38" i="4"/>
  <c r="M38" i="4" s="1"/>
  <c r="J14" i="4"/>
  <c r="J20" i="4"/>
  <c r="N20" i="4"/>
  <c r="J29" i="4"/>
  <c r="L41" i="4"/>
  <c r="M41" i="4" s="1"/>
  <c r="L55" i="4"/>
  <c r="M55" i="4" s="1"/>
  <c r="N28" i="4"/>
  <c r="I32" i="4"/>
  <c r="N32" i="4" s="1"/>
  <c r="L56" i="4"/>
  <c r="M56" i="4" s="1"/>
  <c r="L45" i="4"/>
  <c r="M45" i="4" s="1"/>
  <c r="L46" i="4"/>
  <c r="M46" i="4" s="1"/>
  <c r="J17" i="4"/>
  <c r="N17" i="4"/>
  <c r="L30" i="4"/>
  <c r="M30" i="4" s="1"/>
  <c r="L54" i="4"/>
  <c r="M54" i="4" s="1"/>
  <c r="M19" i="4"/>
  <c r="L19" i="4"/>
  <c r="L10" i="4"/>
  <c r="M10" i="4" s="1"/>
  <c r="N18" i="4"/>
  <c r="J18" i="4"/>
  <c r="L44" i="4"/>
  <c r="M44" i="4" s="1"/>
  <c r="L53" i="4"/>
  <c r="M53" i="4" s="1"/>
  <c r="L43" i="4"/>
  <c r="M43" i="4" s="1"/>
  <c r="L42" i="4"/>
  <c r="M42" i="4" s="1"/>
  <c r="J9" i="4"/>
  <c r="N9" i="4"/>
  <c r="J31" i="4"/>
  <c r="N31" i="4"/>
  <c r="J16" i="4"/>
  <c r="L57" i="4"/>
  <c r="M57" i="4" s="1"/>
  <c r="J40" i="4"/>
  <c r="E60" i="4"/>
  <c r="J52" i="4"/>
  <c r="I55" i="4"/>
  <c r="N55" i="4" s="1"/>
  <c r="J21" i="4"/>
  <c r="I38" i="4"/>
  <c r="I46" i="4"/>
  <c r="N46" i="4" s="1"/>
  <c r="H60" i="4"/>
  <c r="I44" i="4"/>
  <c r="N44" i="4" s="1"/>
  <c r="I56" i="4"/>
  <c r="N56" i="4" s="1"/>
  <c r="C58" i="4"/>
  <c r="C60" i="4" s="1"/>
  <c r="I8" i="4"/>
  <c r="J28" i="4"/>
  <c r="I13" i="4"/>
  <c r="J13" i="4" s="1"/>
  <c r="L39" i="4"/>
  <c r="M39" i="4" s="1"/>
  <c r="I45" i="4"/>
  <c r="N45" i="4" s="1"/>
  <c r="I57" i="4"/>
  <c r="N57" i="4" s="1"/>
  <c r="M17" i="5" l="1"/>
  <c r="L20" i="5"/>
  <c r="M20" i="5" s="1"/>
  <c r="M47" i="5"/>
  <c r="L18" i="5"/>
  <c r="M18" i="5" s="1"/>
  <c r="M13" i="5"/>
  <c r="J23" i="5"/>
  <c r="L31" i="5"/>
  <c r="M31" i="5" s="1"/>
  <c r="M32" i="5" s="1"/>
  <c r="M53" i="5"/>
  <c r="M58" i="5" s="1"/>
  <c r="L47" i="5"/>
  <c r="L15" i="5"/>
  <c r="N23" i="5"/>
  <c r="J32" i="5"/>
  <c r="L18" i="4"/>
  <c r="M18" i="4" s="1"/>
  <c r="J23" i="4"/>
  <c r="L13" i="4"/>
  <c r="M13" i="4" s="1"/>
  <c r="J58" i="4"/>
  <c r="L52" i="4"/>
  <c r="L58" i="4" s="1"/>
  <c r="L29" i="4"/>
  <c r="M29" i="4" s="1"/>
  <c r="N8" i="4"/>
  <c r="I11" i="4"/>
  <c r="N11" i="4" s="1"/>
  <c r="L31" i="4"/>
  <c r="M31" i="4" s="1"/>
  <c r="I58" i="4"/>
  <c r="N58" i="4" s="1"/>
  <c r="M16" i="4"/>
  <c r="L16" i="4"/>
  <c r="L40" i="4"/>
  <c r="M40" i="4" s="1"/>
  <c r="M47" i="4" s="1"/>
  <c r="L17" i="4"/>
  <c r="M17" i="4" s="1"/>
  <c r="L20" i="4"/>
  <c r="M20" i="4"/>
  <c r="I23" i="4"/>
  <c r="N13" i="4"/>
  <c r="Q13" i="4" s="1"/>
  <c r="L9" i="4"/>
  <c r="M9" i="4"/>
  <c r="L14" i="4"/>
  <c r="M14" i="4" s="1"/>
  <c r="J8" i="4"/>
  <c r="L21" i="4"/>
  <c r="M21" i="4" s="1"/>
  <c r="J32" i="4"/>
  <c r="L28" i="4"/>
  <c r="N38" i="4"/>
  <c r="I47" i="4"/>
  <c r="N47" i="4" s="1"/>
  <c r="L47" i="4"/>
  <c r="L23" i="5" l="1"/>
  <c r="L32" i="5"/>
  <c r="M15" i="5"/>
  <c r="M23" i="5"/>
  <c r="M52" i="4"/>
  <c r="M58" i="4" s="1"/>
  <c r="L23" i="4"/>
  <c r="L32" i="4"/>
  <c r="M23" i="4"/>
  <c r="M28" i="4"/>
  <c r="M32" i="4" s="1"/>
  <c r="J11" i="4"/>
  <c r="J25" i="4" s="1"/>
  <c r="J60" i="4" s="1"/>
  <c r="L8" i="4"/>
  <c r="L11" i="4" s="1"/>
  <c r="L25" i="4" s="1"/>
  <c r="L60" i="4" s="1"/>
  <c r="N23" i="4"/>
  <c r="N25" i="4" s="1"/>
  <c r="P25" i="4" s="1"/>
  <c r="Q25" i="4" s="1"/>
  <c r="I25" i="4"/>
  <c r="I60" i="4" s="1"/>
  <c r="I61" i="4" s="1"/>
  <c r="K61" i="4" l="1"/>
  <c r="I63" i="4"/>
  <c r="I65" i="4" s="1"/>
  <c r="I67" i="4" s="1"/>
  <c r="M8" i="4"/>
  <c r="M11" i="4" s="1"/>
  <c r="M25" i="4" s="1"/>
  <c r="M60" i="4" s="1"/>
  <c r="I64" i="3" l="1"/>
  <c r="J61" i="3"/>
  <c r="J57" i="3"/>
  <c r="J56" i="3"/>
  <c r="J55" i="3"/>
  <c r="I54" i="3"/>
  <c r="N54" i="3" s="1"/>
  <c r="J54" i="3"/>
  <c r="I53" i="3"/>
  <c r="N53" i="3" s="1"/>
  <c r="H58" i="3"/>
  <c r="J53" i="3"/>
  <c r="G58" i="3"/>
  <c r="F58" i="3"/>
  <c r="F60" i="3" s="1"/>
  <c r="E58" i="3"/>
  <c r="D58" i="3"/>
  <c r="I52" i="3"/>
  <c r="J46" i="3"/>
  <c r="I46" i="3"/>
  <c r="N46" i="3" s="1"/>
  <c r="J45" i="3"/>
  <c r="J44" i="3"/>
  <c r="J43" i="3"/>
  <c r="I42" i="3"/>
  <c r="N42" i="3" s="1"/>
  <c r="J42" i="3"/>
  <c r="I41" i="3"/>
  <c r="N41" i="3" s="1"/>
  <c r="J41" i="3"/>
  <c r="I40" i="3"/>
  <c r="N40" i="3" s="1"/>
  <c r="J39" i="3"/>
  <c r="I39" i="3"/>
  <c r="N39" i="3" s="1"/>
  <c r="I38" i="3"/>
  <c r="N38" i="3" s="1"/>
  <c r="I31" i="3"/>
  <c r="I30" i="3"/>
  <c r="N30" i="3" s="1"/>
  <c r="J30" i="3"/>
  <c r="I29" i="3"/>
  <c r="N29" i="3" s="1"/>
  <c r="I28" i="3"/>
  <c r="I22" i="3"/>
  <c r="I21" i="3"/>
  <c r="N21" i="3" s="1"/>
  <c r="I20" i="3"/>
  <c r="I19" i="3"/>
  <c r="N19" i="3" s="1"/>
  <c r="J19" i="3"/>
  <c r="I18" i="3"/>
  <c r="I17" i="3"/>
  <c r="I16" i="3"/>
  <c r="N16" i="3" s="1"/>
  <c r="J16" i="3"/>
  <c r="I15" i="3"/>
  <c r="N15" i="3" s="1"/>
  <c r="I14" i="3"/>
  <c r="N14" i="3" s="1"/>
  <c r="P13" i="3"/>
  <c r="I10" i="3"/>
  <c r="J10" i="3" s="1"/>
  <c r="I9" i="3"/>
  <c r="I8" i="3"/>
  <c r="N8" i="3" s="1"/>
  <c r="J8" i="3"/>
  <c r="B4" i="3"/>
  <c r="O25" i="3"/>
  <c r="J14" i="3" l="1"/>
  <c r="J29" i="3"/>
  <c r="J20" i="3"/>
  <c r="N20" i="3"/>
  <c r="L29" i="3"/>
  <c r="M29" i="3" s="1"/>
  <c r="J31" i="3"/>
  <c r="N31" i="3"/>
  <c r="L42" i="3"/>
  <c r="M42" i="3" s="1"/>
  <c r="N52" i="3"/>
  <c r="L56" i="3"/>
  <c r="M56" i="3" s="1"/>
  <c r="L16" i="3"/>
  <c r="M16" i="3" s="1"/>
  <c r="N18" i="3"/>
  <c r="J18" i="3"/>
  <c r="L41" i="3"/>
  <c r="M41" i="3" s="1"/>
  <c r="L45" i="3"/>
  <c r="M45" i="3" s="1"/>
  <c r="D60" i="3"/>
  <c r="L55" i="3"/>
  <c r="M55" i="3" s="1"/>
  <c r="L10" i="3"/>
  <c r="M10" i="3" s="1"/>
  <c r="E60" i="3"/>
  <c r="J15" i="3"/>
  <c r="J17" i="3"/>
  <c r="N17" i="3"/>
  <c r="L44" i="3"/>
  <c r="M44" i="3" s="1"/>
  <c r="L8" i="3"/>
  <c r="J9" i="3"/>
  <c r="N9" i="3"/>
  <c r="G60" i="3"/>
  <c r="L19" i="3"/>
  <c r="M19" i="3" s="1"/>
  <c r="N28" i="3"/>
  <c r="I32" i="3"/>
  <c r="N32" i="3" s="1"/>
  <c r="L54" i="3"/>
  <c r="M54" i="3" s="1"/>
  <c r="L14" i="3"/>
  <c r="M14" i="3" s="1"/>
  <c r="L30" i="3"/>
  <c r="M30" i="3" s="1"/>
  <c r="L43" i="3"/>
  <c r="M43" i="3" s="1"/>
  <c r="L53" i="3"/>
  <c r="M53" i="3" s="1"/>
  <c r="L39" i="3"/>
  <c r="M39" i="3" s="1"/>
  <c r="L57" i="3"/>
  <c r="M57" i="3" s="1"/>
  <c r="J40" i="3"/>
  <c r="I43" i="3"/>
  <c r="N43" i="3" s="1"/>
  <c r="J52" i="3"/>
  <c r="I55" i="3"/>
  <c r="N55" i="3" s="1"/>
  <c r="J21" i="3"/>
  <c r="H60" i="3"/>
  <c r="J38" i="3"/>
  <c r="I11" i="3"/>
  <c r="N11" i="3" s="1"/>
  <c r="I44" i="3"/>
  <c r="N44" i="3" s="1"/>
  <c r="L46" i="3"/>
  <c r="M46" i="3" s="1"/>
  <c r="I56" i="3"/>
  <c r="N56" i="3" s="1"/>
  <c r="C58" i="3"/>
  <c r="N10" i="3"/>
  <c r="J28" i="3"/>
  <c r="I13" i="3"/>
  <c r="J13" i="3" s="1"/>
  <c r="I45" i="3"/>
  <c r="N45" i="3" s="1"/>
  <c r="I57" i="3"/>
  <c r="N57" i="3" s="1"/>
  <c r="J23" i="3" l="1"/>
  <c r="L13" i="3"/>
  <c r="J58" i="3"/>
  <c r="M52" i="3"/>
  <c r="M58" i="3" s="1"/>
  <c r="L52" i="3"/>
  <c r="L58" i="3" s="1"/>
  <c r="L17" i="3"/>
  <c r="M17" i="3" s="1"/>
  <c r="C60" i="3"/>
  <c r="L40" i="3"/>
  <c r="M40" i="3" s="1"/>
  <c r="L9" i="3"/>
  <c r="L11" i="3" s="1"/>
  <c r="L15" i="3"/>
  <c r="M15" i="3"/>
  <c r="L31" i="3"/>
  <c r="M31" i="3" s="1"/>
  <c r="N13" i="3"/>
  <c r="Q13" i="3" s="1"/>
  <c r="I23" i="3"/>
  <c r="J11" i="3"/>
  <c r="J25" i="3" s="1"/>
  <c r="J32" i="3"/>
  <c r="L28" i="3"/>
  <c r="M28" i="3" s="1"/>
  <c r="M8" i="3"/>
  <c r="L18" i="3"/>
  <c r="M18" i="3" s="1"/>
  <c r="I58" i="3"/>
  <c r="N58" i="3" s="1"/>
  <c r="J47" i="3"/>
  <c r="L38" i="3"/>
  <c r="L47" i="3" s="1"/>
  <c r="L21" i="3"/>
  <c r="M21" i="3" s="1"/>
  <c r="L20" i="3"/>
  <c r="M20" i="3" s="1"/>
  <c r="I47" i="3"/>
  <c r="N47" i="3" s="1"/>
  <c r="M38" i="3" l="1"/>
  <c r="M47" i="3" s="1"/>
  <c r="J60" i="3"/>
  <c r="M9" i="3"/>
  <c r="M11" i="3" s="1"/>
  <c r="M25" i="3" s="1"/>
  <c r="M60" i="3" s="1"/>
  <c r="M32" i="3"/>
  <c r="N23" i="3"/>
  <c r="N25" i="3" s="1"/>
  <c r="P25" i="3" s="1"/>
  <c r="Q25" i="3" s="1"/>
  <c r="I25" i="3"/>
  <c r="I60" i="3" s="1"/>
  <c r="I61" i="3" s="1"/>
  <c r="L23" i="3"/>
  <c r="L25" i="3" s="1"/>
  <c r="L32" i="3"/>
  <c r="M13" i="3"/>
  <c r="M23" i="3" s="1"/>
  <c r="L60" i="3" l="1"/>
  <c r="K61" i="3"/>
  <c r="I63" i="3"/>
  <c r="I65" i="3" s="1"/>
  <c r="I67" i="3" s="1"/>
  <c r="I64" i="1" l="1"/>
  <c r="I62" i="1"/>
  <c r="J57" i="1"/>
  <c r="J56" i="1"/>
  <c r="I55" i="1"/>
  <c r="N55" i="1" s="1"/>
  <c r="J55" i="1"/>
  <c r="J54" i="1"/>
  <c r="I54" i="1"/>
  <c r="N54" i="1" s="1"/>
  <c r="J53" i="1"/>
  <c r="I52" i="1"/>
  <c r="N52" i="1" s="1"/>
  <c r="H58" i="1"/>
  <c r="G58" i="1"/>
  <c r="F58" i="1"/>
  <c r="E58" i="1"/>
  <c r="D58" i="1"/>
  <c r="C58" i="1"/>
  <c r="J46" i="1"/>
  <c r="J45" i="1"/>
  <c r="I45" i="1"/>
  <c r="N45" i="1" s="1"/>
  <c r="J44" i="1"/>
  <c r="I43" i="1"/>
  <c r="N43" i="1" s="1"/>
  <c r="J43" i="1"/>
  <c r="I42" i="1"/>
  <c r="N42" i="1" s="1"/>
  <c r="J42" i="1"/>
  <c r="J41" i="1"/>
  <c r="I40" i="1"/>
  <c r="N40" i="1" s="1"/>
  <c r="J40" i="1"/>
  <c r="J39" i="1"/>
  <c r="I39" i="1"/>
  <c r="N39" i="1" s="1"/>
  <c r="J38" i="1"/>
  <c r="I31" i="1"/>
  <c r="I30" i="1"/>
  <c r="N30" i="1" s="1"/>
  <c r="I29" i="1"/>
  <c r="N29" i="1" s="1"/>
  <c r="J28" i="1"/>
  <c r="I28" i="1"/>
  <c r="I22" i="1"/>
  <c r="I21" i="1"/>
  <c r="N21" i="1" s="1"/>
  <c r="I20" i="1"/>
  <c r="I19" i="1"/>
  <c r="I18" i="1"/>
  <c r="N18" i="1" s="1"/>
  <c r="J18" i="1"/>
  <c r="I17" i="1"/>
  <c r="I16" i="1"/>
  <c r="N16" i="1" s="1"/>
  <c r="I15" i="1"/>
  <c r="N15" i="1" s="1"/>
  <c r="J15" i="1"/>
  <c r="I14" i="1"/>
  <c r="N14" i="1" s="1"/>
  <c r="P13" i="1"/>
  <c r="I10" i="1"/>
  <c r="N10" i="1" s="1"/>
  <c r="I9" i="1"/>
  <c r="J9" i="1" s="1"/>
  <c r="I8" i="1"/>
  <c r="O25" i="1"/>
  <c r="J21" i="1" l="1"/>
  <c r="J16" i="1"/>
  <c r="J10" i="1"/>
  <c r="L41" i="1"/>
  <c r="M41" i="1" s="1"/>
  <c r="L56" i="1"/>
  <c r="M56" i="1" s="1"/>
  <c r="D60" i="1"/>
  <c r="L15" i="1"/>
  <c r="M15" i="1" s="1"/>
  <c r="J17" i="1"/>
  <c r="N17" i="1"/>
  <c r="N28" i="1"/>
  <c r="I32" i="1"/>
  <c r="N32" i="1" s="1"/>
  <c r="L40" i="1"/>
  <c r="M40" i="1" s="1"/>
  <c r="L44" i="1"/>
  <c r="M44" i="1"/>
  <c r="L55" i="1"/>
  <c r="M55" i="1" s="1"/>
  <c r="L28" i="1"/>
  <c r="M28" i="1" s="1"/>
  <c r="L46" i="1"/>
  <c r="M46" i="1" s="1"/>
  <c r="J47" i="1"/>
  <c r="L38" i="1"/>
  <c r="J19" i="1"/>
  <c r="N19" i="1"/>
  <c r="L9" i="1"/>
  <c r="M9" i="1" s="1"/>
  <c r="G60" i="1"/>
  <c r="J14" i="1"/>
  <c r="J30" i="1"/>
  <c r="L43" i="1"/>
  <c r="M43" i="1" s="1"/>
  <c r="L57" i="1"/>
  <c r="M57" i="1" s="1"/>
  <c r="L16" i="1"/>
  <c r="M16" i="1" s="1"/>
  <c r="H60" i="1"/>
  <c r="L18" i="1"/>
  <c r="M18" i="1" s="1"/>
  <c r="N20" i="1"/>
  <c r="J20" i="1"/>
  <c r="J31" i="1"/>
  <c r="N31" i="1"/>
  <c r="L42" i="1"/>
  <c r="M42" i="1" s="1"/>
  <c r="M10" i="1"/>
  <c r="L10" i="1"/>
  <c r="L21" i="1"/>
  <c r="M21" i="1" s="1"/>
  <c r="I11" i="1"/>
  <c r="N11" i="1" s="1"/>
  <c r="J8" i="1"/>
  <c r="N8" i="1"/>
  <c r="F60" i="1"/>
  <c r="L53" i="1"/>
  <c r="M53" i="1" s="1"/>
  <c r="L39" i="1"/>
  <c r="M39" i="1" s="1"/>
  <c r="I57" i="1"/>
  <c r="N57" i="1" s="1"/>
  <c r="J29" i="1"/>
  <c r="L54" i="1"/>
  <c r="M54" i="1" s="1"/>
  <c r="L45" i="1"/>
  <c r="M45" i="1" s="1"/>
  <c r="J52" i="1"/>
  <c r="N9" i="1"/>
  <c r="C60" i="1"/>
  <c r="I38" i="1"/>
  <c r="I46" i="1"/>
  <c r="N46" i="1" s="1"/>
  <c r="I41" i="1"/>
  <c r="N41" i="1" s="1"/>
  <c r="I53" i="1"/>
  <c r="N53" i="1" s="1"/>
  <c r="I44" i="1"/>
  <c r="N44" i="1" s="1"/>
  <c r="I56" i="1"/>
  <c r="N56" i="1" s="1"/>
  <c r="I58" i="1" l="1"/>
  <c r="N58" i="1" s="1"/>
  <c r="L29" i="1"/>
  <c r="M29" i="1" s="1"/>
  <c r="I13" i="1"/>
  <c r="E60" i="1"/>
  <c r="L19" i="1"/>
  <c r="M19" i="1" s="1"/>
  <c r="J32" i="1"/>
  <c r="N38" i="1"/>
  <c r="I47" i="1"/>
  <c r="N47" i="1" s="1"/>
  <c r="J11" i="1"/>
  <c r="L8" i="1"/>
  <c r="L11" i="1" s="1"/>
  <c r="M8" i="1"/>
  <c r="M11" i="1" s="1"/>
  <c r="L20" i="1"/>
  <c r="M20" i="1" s="1"/>
  <c r="L30" i="1"/>
  <c r="M30" i="1" s="1"/>
  <c r="L47" i="1"/>
  <c r="J58" i="1"/>
  <c r="L52" i="1"/>
  <c r="L58" i="1" s="1"/>
  <c r="L31" i="1"/>
  <c r="M31" i="1" s="1"/>
  <c r="L14" i="1"/>
  <c r="M14" i="1" s="1"/>
  <c r="M38" i="1"/>
  <c r="M47" i="1" s="1"/>
  <c r="L17" i="1"/>
  <c r="M17" i="1" s="1"/>
  <c r="L32" i="1" l="1"/>
  <c r="M32" i="1"/>
  <c r="I23" i="1"/>
  <c r="N13" i="1"/>
  <c r="Q13" i="1" s="1"/>
  <c r="J13" i="1"/>
  <c r="M52" i="1"/>
  <c r="M58" i="1" s="1"/>
  <c r="J23" i="1" l="1"/>
  <c r="J25" i="1" s="1"/>
  <c r="J60" i="1" s="1"/>
  <c r="L13" i="1"/>
  <c r="L23" i="1" s="1"/>
  <c r="L25" i="1" s="1"/>
  <c r="L60" i="1" s="1"/>
  <c r="I25" i="1"/>
  <c r="I60" i="1" s="1"/>
  <c r="I61" i="1" s="1"/>
  <c r="I63" i="1" s="1"/>
  <c r="I65" i="1" s="1"/>
  <c r="I67" i="1" s="1"/>
  <c r="N23" i="1"/>
  <c r="N25" i="1" s="1"/>
  <c r="P25" i="1" s="1"/>
  <c r="Q25" i="1" s="1"/>
  <c r="M13" i="1" l="1"/>
  <c r="M23" i="1" s="1"/>
  <c r="M25" i="1" s="1"/>
  <c r="M60" i="1" s="1"/>
  <c r="C11" i="5" l="1"/>
  <c r="C25" i="5" s="1"/>
  <c r="C60" i="5" s="1"/>
  <c r="I8" i="5"/>
  <c r="N8" i="5" s="1"/>
  <c r="I11" i="5" l="1"/>
  <c r="J8" i="5"/>
  <c r="I25" i="5" l="1"/>
  <c r="I60" i="5" s="1"/>
  <c r="I61" i="5" s="1"/>
  <c r="N11" i="5"/>
  <c r="N25" i="5" s="1"/>
  <c r="J11" i="5"/>
  <c r="J25" i="5" s="1"/>
  <c r="J60" i="5" s="1"/>
  <c r="L8" i="5"/>
  <c r="L11" i="5" s="1"/>
  <c r="L25" i="5" s="1"/>
  <c r="L60" i="5" s="1"/>
  <c r="M8" i="5" l="1"/>
  <c r="M11" i="5" s="1"/>
  <c r="M25" i="5" s="1"/>
  <c r="M60" i="5" s="1"/>
</calcChain>
</file>

<file path=xl/comments1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comments2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comments3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comments4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comments5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comments6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comments7.xml><?xml version="1.0" encoding="utf-8"?>
<comments xmlns="http://schemas.openxmlformats.org/spreadsheetml/2006/main">
  <authors>
    <author>johnf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Reduces NWCR rentals</t>
        </r>
      </text>
    </comment>
  </commentList>
</comments>
</file>

<file path=xl/sharedStrings.xml><?xml version="1.0" encoding="utf-8"?>
<sst xmlns="http://schemas.openxmlformats.org/spreadsheetml/2006/main" count="1180" uniqueCount="93">
  <si>
    <t>NWCR</t>
  </si>
  <si>
    <t>Can Count Summary</t>
  </si>
  <si>
    <t>by Franchise / Tax Area</t>
  </si>
  <si>
    <t xml:space="preserve"> ------------------ Garbage - Can Size --------------------</t>
  </si>
  <si>
    <t>96REC</t>
  </si>
  <si>
    <t xml:space="preserve"> &lt;=96</t>
  </si>
  <si>
    <t>Sub Total</t>
  </si>
  <si>
    <t>Tax Rate</t>
  </si>
  <si>
    <t>Total Tax</t>
  </si>
  <si>
    <t>Total Due</t>
  </si>
  <si>
    <t>Total Cans</t>
  </si>
  <si>
    <t>BDI cans</t>
  </si>
  <si>
    <t>Cost per can</t>
  </si>
  <si>
    <t>03</t>
  </si>
  <si>
    <t>BDI-03-BEN_WUTC</t>
  </si>
  <si>
    <t>02</t>
  </si>
  <si>
    <t>BDI-02-FRAN_WUTC</t>
  </si>
  <si>
    <t>04</t>
  </si>
  <si>
    <t>BDI-04-WALLA_WUTC</t>
  </si>
  <si>
    <t>01</t>
  </si>
  <si>
    <t>BDI-01-PASCO</t>
  </si>
  <si>
    <t>11</t>
  </si>
  <si>
    <t>BDI-11-KENNEWICK</t>
  </si>
  <si>
    <t>08</t>
  </si>
  <si>
    <t>BDI-08-CONNELL_DIRECT_BILL</t>
  </si>
  <si>
    <t>17</t>
  </si>
  <si>
    <t>BDI-DAYTON_DIRECT_BILL</t>
  </si>
  <si>
    <t>BDI-HATTON_CITY_BILL</t>
  </si>
  <si>
    <t>09</t>
  </si>
  <si>
    <t>BDI-KAHLOTUS_CITY_BILL</t>
  </si>
  <si>
    <t>07</t>
  </si>
  <si>
    <t>BDI-MESA_CITY_BILL</t>
  </si>
  <si>
    <t>15</t>
  </si>
  <si>
    <t>BDI-PROSSER_CITY_BILL</t>
  </si>
  <si>
    <t>16</t>
  </si>
  <si>
    <t>BDI-WAITSBURG_CITY_BILL</t>
  </si>
  <si>
    <t>Total BDI</t>
  </si>
  <si>
    <t>ED'S BILLING</t>
  </si>
  <si>
    <t>EDS-03-BEN_CO</t>
  </si>
  <si>
    <t>EDS-12_RICHLAND</t>
  </si>
  <si>
    <t>EDS-14-BENTON_CITY</t>
  </si>
  <si>
    <t>EDS-WR_CITY_BILLED</t>
  </si>
  <si>
    <t>Total ED'S</t>
  </si>
  <si>
    <t>YAKIMA BILLING</t>
  </si>
  <si>
    <t>Cost per can WUTC</t>
  </si>
  <si>
    <t>06</t>
  </si>
  <si>
    <t>YAK-06_YAKCO_COMM</t>
  </si>
  <si>
    <t>YAK-06_YAKCO_RES</t>
  </si>
  <si>
    <t>20</t>
  </si>
  <si>
    <t>YAK-20 - SELAH</t>
  </si>
  <si>
    <t>21</t>
  </si>
  <si>
    <t>YAK-21_UNION_GAP</t>
  </si>
  <si>
    <t>22</t>
  </si>
  <si>
    <t>YAK-22_MOXEE</t>
  </si>
  <si>
    <t>23</t>
  </si>
  <si>
    <t>YAK-23_WAPATO</t>
  </si>
  <si>
    <t>24</t>
  </si>
  <si>
    <t>YAK-24_GRANDVIEW_COMM</t>
  </si>
  <si>
    <t>YAK-24_GRANDVIEW_RES</t>
  </si>
  <si>
    <t>25</t>
  </si>
  <si>
    <t>YAK-25_SUNNYSIDE_RES</t>
  </si>
  <si>
    <t>Total Yakima</t>
  </si>
  <si>
    <t>WALLA WALLA BILLING</t>
  </si>
  <si>
    <t>Cost per can (other Recycle)</t>
  </si>
  <si>
    <t>WW-04-WALLA_WALLA_CO</t>
  </si>
  <si>
    <t>05</t>
  </si>
  <si>
    <t>WW-05-COLUMBIA_CO</t>
  </si>
  <si>
    <t>WW-17-DAYTON</t>
  </si>
  <si>
    <t>18</t>
  </si>
  <si>
    <t>WW-18-COLLEGE_PLACE</t>
  </si>
  <si>
    <t>19</t>
  </si>
  <si>
    <t>WW-ANNEX</t>
  </si>
  <si>
    <t>WW-CITY OF WALLA WALLA</t>
  </si>
  <si>
    <t>Total Walla Walla</t>
  </si>
  <si>
    <t>Total Cans by Size</t>
  </si>
  <si>
    <t>from CanData</t>
  </si>
  <si>
    <t>DIFF</t>
  </si>
  <si>
    <t>(non unit data/activity)</t>
  </si>
  <si>
    <t>NoAdd</t>
  </si>
  <si>
    <t>BDI owned Cans</t>
  </si>
  <si>
    <t>Should be Zero</t>
  </si>
  <si>
    <t xml:space="preserve"> </t>
  </si>
  <si>
    <t>Sept 2016</t>
  </si>
  <si>
    <t>BDI-CONNELL_CITY_BILL</t>
  </si>
  <si>
    <t>(non unit data/activit;y)</t>
  </si>
  <si>
    <t>C01</t>
  </si>
  <si>
    <t>C02</t>
  </si>
  <si>
    <t>Sub-total</t>
  </si>
  <si>
    <t>Tax</t>
  </si>
  <si>
    <t>Total Amt</t>
  </si>
  <si>
    <t>Oct 2015 to Sept 2016</t>
  </si>
  <si>
    <t>Non-Regulated</t>
  </si>
  <si>
    <t>Basin Disposal,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</si>
</sst>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4" fontId="2" fillId="0" borderId="6" xfId="2" applyFont="1" applyBorder="1"/>
    <xf numFmtId="44" fontId="2" fillId="0" borderId="0" xfId="2" applyFont="1"/>
    <xf numFmtId="49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7" xfId="1" applyNumberFormat="1" applyFont="1" applyBorder="1"/>
    <xf numFmtId="164" fontId="0" fillId="0" borderId="0" xfId="0" applyNumberFormat="1"/>
    <xf numFmtId="44" fontId="0" fillId="0" borderId="0" xfId="2" applyFont="1"/>
    <xf numFmtId="165" fontId="0" fillId="0" borderId="0" xfId="3" applyNumberFormat="1" applyFont="1"/>
    <xf numFmtId="44" fontId="0" fillId="0" borderId="0" xfId="0" applyNumberFormat="1"/>
    <xf numFmtId="164" fontId="0" fillId="0" borderId="8" xfId="0" applyNumberFormat="1" applyBorder="1"/>
    <xf numFmtId="164" fontId="0" fillId="0" borderId="9" xfId="0" applyNumberFormat="1" applyBorder="1"/>
    <xf numFmtId="44" fontId="0" fillId="0" borderId="8" xfId="0" applyNumberFormat="1" applyBorder="1"/>
    <xf numFmtId="164" fontId="2" fillId="0" borderId="8" xfId="0" applyNumberFormat="1" applyFont="1" applyBorder="1"/>
    <xf numFmtId="0" fontId="0" fillId="0" borderId="7" xfId="0" applyBorder="1"/>
    <xf numFmtId="0" fontId="0" fillId="0" borderId="0" xfId="0" applyFont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2" fillId="2" borderId="0" xfId="0" applyFont="1" applyFill="1"/>
    <xf numFmtId="164" fontId="2" fillId="0" borderId="0" xfId="0" applyNumberFormat="1" applyFont="1"/>
    <xf numFmtId="164" fontId="2" fillId="0" borderId="7" xfId="0" applyNumberFormat="1" applyFont="1" applyBorder="1"/>
    <xf numFmtId="44" fontId="2" fillId="2" borderId="0" xfId="2" applyFont="1" applyFill="1"/>
    <xf numFmtId="165" fontId="2" fillId="0" borderId="0" xfId="3" applyNumberFormat="1" applyFont="1"/>
    <xf numFmtId="0" fontId="2" fillId="0" borderId="0" xfId="0" applyFont="1" applyAlignment="1">
      <alignment horizontal="center"/>
    </xf>
    <xf numFmtId="44" fontId="2" fillId="2" borderId="8" xfId="2" applyFont="1" applyFill="1" applyBorder="1"/>
    <xf numFmtId="44" fontId="2" fillId="0" borderId="8" xfId="2" applyFont="1" applyBorder="1"/>
    <xf numFmtId="0" fontId="2" fillId="3" borderId="0" xfId="0" applyFont="1" applyFill="1" applyBorder="1" applyAlignment="1">
      <alignment horizontal="right"/>
    </xf>
    <xf numFmtId="44" fontId="2" fillId="3" borderId="0" xfId="2" applyFont="1" applyFill="1"/>
    <xf numFmtId="0" fontId="0" fillId="3" borderId="0" xfId="0" applyFill="1"/>
    <xf numFmtId="44" fontId="2" fillId="2" borderId="8" xfId="0" applyNumberFormat="1" applyFont="1" applyFill="1" applyBorder="1"/>
    <xf numFmtId="44" fontId="2" fillId="0" borderId="8" xfId="0" applyNumberFormat="1" applyFont="1" applyBorder="1"/>
    <xf numFmtId="164" fontId="0" fillId="3" borderId="0" xfId="1" applyNumberFormat="1" applyFont="1" applyFill="1"/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0" fontId="0" fillId="4" borderId="0" xfId="0" applyFill="1"/>
    <xf numFmtId="164" fontId="0" fillId="4" borderId="0" xfId="0" applyNumberFormat="1" applyFill="1"/>
    <xf numFmtId="164" fontId="0" fillId="2" borderId="0" xfId="1" applyNumberFormat="1" applyFont="1" applyFill="1"/>
    <xf numFmtId="14" fontId="0" fillId="0" borderId="0" xfId="0" quotePrefix="1" applyNumberFormat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164" fontId="0" fillId="0" borderId="0" xfId="0" applyNumberFormat="1" applyFill="1"/>
    <xf numFmtId="0" fontId="0" fillId="0" borderId="0" xfId="0" applyFont="1" applyFill="1"/>
    <xf numFmtId="0" fontId="2" fillId="0" borderId="0" xfId="0" applyFont="1" applyFill="1"/>
    <xf numFmtId="0" fontId="0" fillId="0" borderId="1" xfId="0" quotePrefix="1" applyBorder="1" applyAlignment="1"/>
    <xf numFmtId="0" fontId="0" fillId="0" borderId="2" xfId="0" applyBorder="1" applyAlignment="1"/>
    <xf numFmtId="0" fontId="0" fillId="0" borderId="3" xfId="0" applyBorder="1" applyAlignment="1"/>
    <xf numFmtId="10" fontId="0" fillId="0" borderId="0" xfId="0" applyNumberForma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0" fillId="0" borderId="0" xfId="0" applyNumberFormat="1" applyAlignment="1">
      <alignment horizontal="centerContinuous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Sep%202016/CBLLC-01%20CORE%20Revenue%209-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5/Nov%202015/CBLLC-01%20CORE%20Revenue%2011-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5/Dec%202015/CBLLC-01%20CORE%20Revenue%2012-15_REVISED%20Septic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5/Oct%202015/CBLLC-01%20CORE%20Revenue%2010-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Aug%202016/CBLLC-01%20CORE%20Revenue%208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July%202016/CBLLC-01%20CORE%20Revenue%207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Jun%202016/CBLLC-01%20CORE%20Revenue%206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May%202016/CBLLC-01%20CORE%20Revenue%205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Apr%202016/CBLLC-01%20CORE%20Revenue%20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Mar%202016/CBLLC-01%20CORE%20Revenue%203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Feb%202016/CBLLC-01%20CORE%20Revenue%202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JE/CBLLC/2016/Jan%202016/CBLLC-01%20CORE%20Revenue%2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art Rev JE 01"/>
      <sheetName val="CBLLC JE Export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4">
          <cell r="A4" t="str">
            <v>Sum of CanCount</v>
          </cell>
        </row>
      </sheetData>
      <sheetData sheetId="6">
        <row r="1">
          <cell r="N1">
            <v>82736</v>
          </cell>
          <cell r="P1">
            <v>3294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"/>
      <sheetName val="Septic Rev JE"/>
      <sheetName val="Cart Rev JE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B3" t="str">
            <v>Nov 2015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>
        <row r="1">
          <cell r="N1">
            <v>80478</v>
          </cell>
          <cell r="P1">
            <v>3100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"/>
      <sheetName val="Septic Rev JE"/>
      <sheetName val="Cart Rev JE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B3" t="str">
            <v>Dec15</v>
          </cell>
        </row>
      </sheetData>
      <sheetData sheetId="2" refreshError="1"/>
      <sheetData sheetId="3" refreshError="1"/>
      <sheetData sheetId="4" refreshError="1"/>
      <sheetData sheetId="5"/>
      <sheetData sheetId="6">
        <row r="4">
          <cell r="A4" t="str">
            <v>Sum of CanCount</v>
          </cell>
        </row>
      </sheetData>
      <sheetData sheetId="7">
        <row r="1">
          <cell r="N1">
            <v>80589</v>
          </cell>
          <cell r="P1">
            <v>3110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"/>
      <sheetName val="Septic Rev JE"/>
      <sheetName val="Cart Rev JE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B3" t="str">
            <v>Oct 2015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>
        <row r="1">
          <cell r="N1">
            <v>80689</v>
          </cell>
          <cell r="P1">
            <v>3157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Sheet2"/>
      <sheetName val="Sheet3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August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>
        <row r="4">
          <cell r="A4" t="str">
            <v>Sum of CanCount</v>
          </cell>
        </row>
      </sheetData>
      <sheetData sheetId="10">
        <row r="1">
          <cell r="P1">
            <v>3211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Sheet2"/>
      <sheetName val="Sheet3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July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>
        <row r="4">
          <cell r="A4" t="str">
            <v>Sum of CanCount</v>
          </cell>
        </row>
      </sheetData>
      <sheetData sheetId="10">
        <row r="1">
          <cell r="N1">
            <v>80872</v>
          </cell>
          <cell r="P1">
            <v>3257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Sheet2"/>
      <sheetName val="Sheet3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June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>
        <row r="1">
          <cell r="P1">
            <v>3324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May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4">
          <cell r="A4" t="str">
            <v>Sum of CanCount</v>
          </cell>
        </row>
      </sheetData>
      <sheetData sheetId="8">
        <row r="1">
          <cell r="N1">
            <v>81774</v>
          </cell>
          <cell r="P1">
            <v>3283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Apr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4">
          <cell r="A4" t="str">
            <v>Sum of CanCount</v>
          </cell>
        </row>
      </sheetData>
      <sheetData sheetId="8">
        <row r="1">
          <cell r="N1">
            <v>81540</v>
          </cell>
          <cell r="P1">
            <v>3210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Apr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4">
          <cell r="A4" t="str">
            <v>Sum of CanCount</v>
          </cell>
        </row>
      </sheetData>
      <sheetData sheetId="8">
        <row r="1">
          <cell r="N1">
            <v>81150</v>
          </cell>
          <cell r="P1">
            <v>3175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Feb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4">
          <cell r="A4" t="str">
            <v>Sum of CanCount</v>
          </cell>
        </row>
      </sheetData>
      <sheetData sheetId="8">
        <row r="1">
          <cell r="N1">
            <v>80910</v>
          </cell>
          <cell r="P1">
            <v>3135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T Rev JE 03"/>
      <sheetName val="Septic Rev JE 02"/>
      <sheetName val="Cart Rev JE 01"/>
      <sheetName val="CBLLC JE Export"/>
      <sheetName val="CB LLX"/>
      <sheetName val="CanSum"/>
      <sheetName val="Old_Can_Sort"/>
      <sheetName val="CanData"/>
      <sheetName val="CORE_Cross_Ref"/>
      <sheetName val="CrossCheck"/>
      <sheetName val="CORE_Credits"/>
      <sheetName val="RevData"/>
      <sheetName val="ServiceCodes"/>
      <sheetName val="CB Table"/>
    </sheetNames>
    <sheetDataSet>
      <sheetData sheetId="0" refreshError="1"/>
      <sheetData sheetId="1">
        <row r="3">
          <cell r="A3" t="str">
            <v>Jan 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4">
          <cell r="A4" t="str">
            <v>Sum of CanCount</v>
          </cell>
        </row>
      </sheetData>
      <sheetData sheetId="8">
        <row r="1">
          <cell r="N1">
            <v>80641</v>
          </cell>
          <cell r="P1">
            <v>3111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U25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.7109375" customWidth="1"/>
    <col min="7" max="7" width="8.7109375" bestFit="1" customWidth="1"/>
    <col min="8" max="8" width="10.28515625" customWidth="1"/>
    <col min="9" max="9" width="10.5703125" bestFit="1" customWidth="1"/>
    <col min="10" max="10" width="14.42578125" customWidth="1"/>
    <col min="12" max="12" width="13" customWidth="1"/>
    <col min="13" max="13" width="14" customWidth="1"/>
    <col min="15" max="15" width="5.7109375" customWidth="1"/>
    <col min="18" max="18" width="14.28515625" bestFit="1" customWidth="1"/>
    <col min="19" max="19" width="12.5703125" bestFit="1" customWidth="1"/>
    <col min="20" max="20" width="14.28515625" bestFit="1" customWidth="1"/>
  </cols>
  <sheetData>
    <row r="1" spans="1:21" x14ac:dyDescent="0.25">
      <c r="B1" s="63" t="s">
        <v>92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x14ac:dyDescent="0.25">
      <c r="B2" s="63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x14ac:dyDescent="0.25">
      <c r="B3" s="64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thickBot="1" x14ac:dyDescent="0.3">
      <c r="B4" s="65" t="s">
        <v>90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21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85</v>
      </c>
      <c r="Q6" s="12" t="s">
        <v>86</v>
      </c>
      <c r="R6" s="52" t="s">
        <v>87</v>
      </c>
      <c r="S6" s="52" t="s">
        <v>88</v>
      </c>
      <c r="T6" s="52" t="s">
        <v>89</v>
      </c>
    </row>
    <row r="7" spans="1:21" x14ac:dyDescent="0.25">
      <c r="B7" s="13" t="s">
        <v>12</v>
      </c>
      <c r="H7" s="14">
        <v>2.9</v>
      </c>
      <c r="I7" s="15">
        <v>1.5</v>
      </c>
    </row>
    <row r="8" spans="1:21" x14ac:dyDescent="0.25">
      <c r="A8" s="16" t="s">
        <v>13</v>
      </c>
      <c r="B8" t="s">
        <v>14</v>
      </c>
      <c r="C8" s="17">
        <f>SUM('Can_9-16:Can_10-15'!C8)</f>
        <v>40</v>
      </c>
      <c r="D8" s="17">
        <f>SUM('Can_9-16:Can_10-15'!D8)</f>
        <v>1657</v>
      </c>
      <c r="E8" s="17">
        <f>SUM('Can_9-16:Can_10-15'!E8)</f>
        <v>10148</v>
      </c>
      <c r="F8" s="17">
        <f>SUM('Can_9-16:Can_10-15'!F8)</f>
        <v>0</v>
      </c>
      <c r="G8" s="17">
        <f>SUM('Can_9-16:Can_10-15'!G8)</f>
        <v>0</v>
      </c>
      <c r="H8" s="17">
        <f>SUM('Can_9-16:Can_10-15'!H8)</f>
        <v>34</v>
      </c>
      <c r="I8" s="19">
        <f>SUM(C8:E8)</f>
        <v>11845</v>
      </c>
      <c r="J8" s="20">
        <f>+(H8*H$7)+(I8*I$7)</f>
        <v>17866.099999999999</v>
      </c>
      <c r="K8" s="21">
        <v>0.08</v>
      </c>
      <c r="L8" s="20">
        <f>+J8*K8</f>
        <v>1429.288</v>
      </c>
      <c r="M8" s="22">
        <f>+J8+L8</f>
        <v>19295.387999999999</v>
      </c>
      <c r="N8" s="19">
        <f>+I8+H8+G8</f>
        <v>11879</v>
      </c>
      <c r="P8" s="19">
        <f>+I8</f>
        <v>11845</v>
      </c>
      <c r="Q8" s="19">
        <f>+H8</f>
        <v>34</v>
      </c>
      <c r="R8" s="22">
        <f>+J8</f>
        <v>17866.099999999999</v>
      </c>
      <c r="S8" s="22">
        <f>+L8</f>
        <v>1429.288</v>
      </c>
      <c r="T8" s="22">
        <f>+R8+S8</f>
        <v>19295.387999999999</v>
      </c>
    </row>
    <row r="9" spans="1:21" x14ac:dyDescent="0.25">
      <c r="A9" s="16" t="s">
        <v>15</v>
      </c>
      <c r="B9" s="4" t="s">
        <v>16</v>
      </c>
      <c r="C9" s="17">
        <f>SUM('Can_9-16:Can_10-15'!C9)</f>
        <v>108</v>
      </c>
      <c r="D9" s="17">
        <f>SUM('Can_9-16:Can_10-15'!D9)</f>
        <v>5090</v>
      </c>
      <c r="E9" s="17">
        <f>SUM('Can_9-16:Can_10-15'!E9)</f>
        <v>31183</v>
      </c>
      <c r="F9" s="17">
        <f>SUM('Can_9-16:Can_10-15'!F9)</f>
        <v>0</v>
      </c>
      <c r="G9" s="17">
        <f>SUM('Can_9-16:Can_10-15'!G9)</f>
        <v>0</v>
      </c>
      <c r="H9" s="17">
        <f>SUM('Can_9-16:Can_10-15'!H9)</f>
        <v>445</v>
      </c>
      <c r="I9" s="19">
        <f>SUM(C9:E9)</f>
        <v>36381</v>
      </c>
      <c r="J9" s="20">
        <f>+(H9*H$7)+(I9*I$7)</f>
        <v>55862</v>
      </c>
      <c r="K9" s="21">
        <v>0.08</v>
      </c>
      <c r="L9" s="20">
        <f>+J9*K9</f>
        <v>4468.96</v>
      </c>
      <c r="M9" s="22">
        <f>+J9+L9</f>
        <v>60330.96</v>
      </c>
      <c r="N9" s="19">
        <f>+I9+H9+G9</f>
        <v>36826</v>
      </c>
      <c r="P9" s="19">
        <f>+I9</f>
        <v>36381</v>
      </c>
      <c r="Q9" s="19">
        <f>+H9</f>
        <v>445</v>
      </c>
      <c r="R9" s="22">
        <f>+J9</f>
        <v>55862</v>
      </c>
      <c r="S9" s="22">
        <f>+L9</f>
        <v>4468.96</v>
      </c>
      <c r="T9" s="22">
        <f>+R9+S9</f>
        <v>60330.96</v>
      </c>
    </row>
    <row r="10" spans="1:21" x14ac:dyDescent="0.25">
      <c r="A10" s="16" t="s">
        <v>17</v>
      </c>
      <c r="B10" s="4" t="s">
        <v>18</v>
      </c>
      <c r="C10" s="17">
        <f>SUM('Can_9-16:Can_10-15'!C10)</f>
        <v>36</v>
      </c>
      <c r="D10" s="17">
        <f>SUM('Can_9-16:Can_10-15'!D10)</f>
        <v>1826</v>
      </c>
      <c r="E10" s="17">
        <f>SUM('Can_9-16:Can_10-15'!E10)</f>
        <v>14777</v>
      </c>
      <c r="F10" s="17">
        <f>SUM('Can_9-16:Can_10-15'!F10)</f>
        <v>0</v>
      </c>
      <c r="G10" s="17">
        <f>SUM('Can_9-16:Can_10-15'!G10)</f>
        <v>0</v>
      </c>
      <c r="H10" s="17">
        <f>SUM('Can_9-16:Can_10-15'!H10)</f>
        <v>83</v>
      </c>
      <c r="I10" s="19">
        <f>SUM(C10:E10)</f>
        <v>16639</v>
      </c>
      <c r="J10" s="20">
        <f>+(H10*H$7)+(I10*I$7)</f>
        <v>25199.200000000001</v>
      </c>
      <c r="K10" s="21">
        <v>8.1000000000000003E-2</v>
      </c>
      <c r="L10" s="20">
        <f>+J10*K10</f>
        <v>2041.1352000000002</v>
      </c>
      <c r="M10" s="22">
        <f>+J10+L10</f>
        <v>27240.335200000001</v>
      </c>
      <c r="N10" s="19">
        <f>+I10+H10+G10</f>
        <v>16722</v>
      </c>
      <c r="P10" s="19">
        <f>+I10</f>
        <v>16639</v>
      </c>
      <c r="Q10" s="19">
        <f>+H10</f>
        <v>83</v>
      </c>
      <c r="R10" s="22">
        <f>+J10</f>
        <v>25199.200000000001</v>
      </c>
      <c r="S10" s="22">
        <f>+L10</f>
        <v>2041.1352000000002</v>
      </c>
      <c r="T10" s="22">
        <f>+R10+S10</f>
        <v>27240.335200000001</v>
      </c>
    </row>
    <row r="11" spans="1:21" x14ac:dyDescent="0.25">
      <c r="C11" s="23">
        <f t="shared" ref="C11:H11" si="0">SUM(C8:C10)</f>
        <v>184</v>
      </c>
      <c r="D11" s="23">
        <f t="shared" si="0"/>
        <v>8573</v>
      </c>
      <c r="E11" s="23">
        <f t="shared" si="0"/>
        <v>56108</v>
      </c>
      <c r="F11" s="23">
        <f t="shared" si="0"/>
        <v>0</v>
      </c>
      <c r="G11" s="23">
        <f t="shared" si="0"/>
        <v>0</v>
      </c>
      <c r="H11" s="24">
        <f t="shared" si="0"/>
        <v>562</v>
      </c>
      <c r="I11" s="23">
        <f>SUM(I8:I10)</f>
        <v>64865</v>
      </c>
      <c r="J11" s="25">
        <f t="shared" ref="J11:T11" si="1">SUM(J8:J10)</f>
        <v>98927.3</v>
      </c>
      <c r="K11" s="21"/>
      <c r="L11" s="25">
        <f>SUM(L8:L10)</f>
        <v>7939.3832000000002</v>
      </c>
      <c r="M11" s="25">
        <f>SUM(M8:M10)</f>
        <v>106866.6832</v>
      </c>
      <c r="N11" s="26">
        <f>+I11+H11+G11</f>
        <v>65427</v>
      </c>
      <c r="P11" s="23">
        <f t="shared" ref="P11:Q11" si="2">SUM(P8:P10)</f>
        <v>64865</v>
      </c>
      <c r="Q11" s="23">
        <f t="shared" si="2"/>
        <v>562</v>
      </c>
      <c r="R11" s="25">
        <f t="shared" si="1"/>
        <v>98927.3</v>
      </c>
      <c r="S11" s="25">
        <f t="shared" si="1"/>
        <v>7939.3832000000002</v>
      </c>
      <c r="T11" s="25">
        <f t="shared" si="1"/>
        <v>106866.6832</v>
      </c>
      <c r="U11" s="62">
        <f>+T11/T25</f>
        <v>0.15523023185554491</v>
      </c>
    </row>
    <row r="12" spans="1:21" x14ac:dyDescent="0.25">
      <c r="B12" s="2" t="s">
        <v>91</v>
      </c>
      <c r="H12" s="27"/>
      <c r="K12" s="21"/>
    </row>
    <row r="13" spans="1:21" x14ac:dyDescent="0.25">
      <c r="A13" s="16" t="s">
        <v>19</v>
      </c>
      <c r="B13" s="4" t="s">
        <v>20</v>
      </c>
      <c r="C13" s="17">
        <f>SUM('Can_9-16:Can_10-15'!C13)</f>
        <v>74</v>
      </c>
      <c r="D13" s="17">
        <f>SUM('Can_9-16:Can_10-15'!D13)</f>
        <v>1425</v>
      </c>
      <c r="E13" s="17">
        <f>SUM('Can_9-16:Can_10-15'!E13)</f>
        <v>290481</v>
      </c>
      <c r="F13" s="17">
        <f>SUM('Can_9-16:Can_10-15'!F13)</f>
        <v>0</v>
      </c>
      <c r="G13" s="17">
        <f>SUM('Can_9-16:Can_10-15'!G13)</f>
        <v>0</v>
      </c>
      <c r="H13" s="17">
        <f>SUM('Can_9-16:Can_10-15'!H13)</f>
        <v>0</v>
      </c>
      <c r="I13" s="19">
        <f t="shared" ref="I13:I22" si="3">SUM(C13:E13)</f>
        <v>291980</v>
      </c>
      <c r="J13" s="20">
        <f t="shared" ref="J13:J21" si="4">+(H13*H$7)+(I13*I$7)</f>
        <v>437970</v>
      </c>
      <c r="K13" s="21">
        <v>8.5999999999999993E-2</v>
      </c>
      <c r="L13" s="20">
        <f t="shared" ref="L13:L21" si="5">+J13*K13</f>
        <v>37665.42</v>
      </c>
      <c r="M13" s="22">
        <f t="shared" ref="M13:M21" si="6">+J13+L13</f>
        <v>475635.42</v>
      </c>
      <c r="N13" s="19">
        <f t="shared" ref="N13:N21" si="7">+I13+H13+G13</f>
        <v>291980</v>
      </c>
      <c r="P13" s="19">
        <f t="shared" ref="P13:P22" si="8">+I13</f>
        <v>291980</v>
      </c>
      <c r="Q13" s="19">
        <f t="shared" ref="Q13:Q22" si="9">+H13</f>
        <v>0</v>
      </c>
      <c r="R13" s="22">
        <f t="shared" ref="R13:R22" si="10">+J13</f>
        <v>437970</v>
      </c>
      <c r="S13" s="22">
        <f t="shared" ref="S13:S22" si="11">+L13</f>
        <v>37665.42</v>
      </c>
      <c r="T13" s="22">
        <f t="shared" ref="T13:T22" si="12">+R13+S13</f>
        <v>475635.42</v>
      </c>
      <c r="U13" s="62">
        <f>+T13/$T$25</f>
        <v>0.69088881880175612</v>
      </c>
    </row>
    <row r="14" spans="1:21" x14ac:dyDescent="0.25">
      <c r="A14" s="16" t="s">
        <v>21</v>
      </c>
      <c r="B14" t="s">
        <v>22</v>
      </c>
      <c r="C14" s="17">
        <f>SUM('Can_9-16:Can_10-15'!C14)</f>
        <v>0</v>
      </c>
      <c r="D14" s="17">
        <f>SUM('Can_9-16:Can_10-15'!D14)</f>
        <v>91</v>
      </c>
      <c r="E14" s="17">
        <f>SUM('Can_9-16:Can_10-15'!E14)</f>
        <v>1129</v>
      </c>
      <c r="F14" s="17">
        <f>SUM('Can_9-16:Can_10-15'!F14)</f>
        <v>0</v>
      </c>
      <c r="G14" s="17">
        <f>SUM('Can_9-16:Can_10-15'!G14)</f>
        <v>0</v>
      </c>
      <c r="H14" s="17">
        <f>SUM('Can_9-16:Can_10-15'!H14)</f>
        <v>0</v>
      </c>
      <c r="I14" s="19">
        <f t="shared" si="3"/>
        <v>1220</v>
      </c>
      <c r="J14" s="20">
        <f t="shared" si="4"/>
        <v>1830</v>
      </c>
      <c r="K14" s="21">
        <v>8.5999999999999993E-2</v>
      </c>
      <c r="L14" s="20">
        <f t="shared" si="5"/>
        <v>157.38</v>
      </c>
      <c r="M14" s="22">
        <f t="shared" si="6"/>
        <v>1987.38</v>
      </c>
      <c r="N14" s="19">
        <f t="shared" si="7"/>
        <v>1220</v>
      </c>
      <c r="P14" s="19">
        <f t="shared" si="8"/>
        <v>1220</v>
      </c>
      <c r="Q14" s="19">
        <f t="shared" si="9"/>
        <v>0</v>
      </c>
      <c r="R14" s="22">
        <f t="shared" si="10"/>
        <v>1830</v>
      </c>
      <c r="S14" s="22">
        <f t="shared" si="11"/>
        <v>157.38</v>
      </c>
      <c r="T14" s="22">
        <f t="shared" si="12"/>
        <v>1987.38</v>
      </c>
      <c r="U14" s="62">
        <f t="shared" ref="U14:U21" si="13">+T14/$T$25</f>
        <v>2.8867879955412788E-3</v>
      </c>
    </row>
    <row r="15" spans="1:21" x14ac:dyDescent="0.25">
      <c r="A15" s="16" t="s">
        <v>23</v>
      </c>
      <c r="B15" t="s">
        <v>24</v>
      </c>
      <c r="C15" s="17">
        <f>SUM('Can_9-16:Can_10-15'!C15)</f>
        <v>0</v>
      </c>
      <c r="D15" s="17">
        <f>SUM('Can_9-16:Can_10-15'!D15)</f>
        <v>0</v>
      </c>
      <c r="E15" s="17">
        <f>SUM('Can_9-16:Can_10-15'!E15)</f>
        <v>10766</v>
      </c>
      <c r="F15" s="17">
        <f>SUM('Can_9-16:Can_10-15'!F15)</f>
        <v>0</v>
      </c>
      <c r="G15" s="17">
        <f>SUM('Can_9-16:Can_10-15'!G15)</f>
        <v>0</v>
      </c>
      <c r="H15" s="17">
        <f>SUM('Can_9-16:Can_10-15'!H15)</f>
        <v>84</v>
      </c>
      <c r="I15" s="19">
        <f t="shared" si="3"/>
        <v>10766</v>
      </c>
      <c r="J15" s="20">
        <f>+(H15*H$7)+(I15*I$7)</f>
        <v>16392.599999999999</v>
      </c>
      <c r="K15" s="21">
        <v>0.08</v>
      </c>
      <c r="L15" s="20">
        <f t="shared" si="5"/>
        <v>1311.4079999999999</v>
      </c>
      <c r="M15" s="22">
        <f t="shared" si="6"/>
        <v>17704.007999999998</v>
      </c>
      <c r="N15" s="19">
        <f t="shared" si="7"/>
        <v>10850</v>
      </c>
      <c r="P15" s="19">
        <f t="shared" si="8"/>
        <v>10766</v>
      </c>
      <c r="Q15" s="19">
        <f t="shared" si="9"/>
        <v>84</v>
      </c>
      <c r="R15" s="22">
        <f t="shared" si="10"/>
        <v>16392.599999999999</v>
      </c>
      <c r="S15" s="22">
        <f t="shared" si="11"/>
        <v>1311.4079999999999</v>
      </c>
      <c r="T15" s="22">
        <f t="shared" si="12"/>
        <v>17704.007999999998</v>
      </c>
      <c r="U15" s="62">
        <f t="shared" si="13"/>
        <v>2.571612764914951E-2</v>
      </c>
    </row>
    <row r="16" spans="1:21" x14ac:dyDescent="0.25">
      <c r="A16" s="16" t="s">
        <v>25</v>
      </c>
      <c r="B16" s="28" t="s">
        <v>26</v>
      </c>
      <c r="C16" s="17">
        <f>SUM('Can_9-16:Can_10-15'!C16)</f>
        <v>0</v>
      </c>
      <c r="D16" s="17">
        <f>SUM('Can_9-16:Can_10-15'!D16)</f>
        <v>12</v>
      </c>
      <c r="E16" s="17">
        <f>SUM('Can_9-16:Can_10-15'!E16)</f>
        <v>13426</v>
      </c>
      <c r="F16" s="17">
        <f>SUM('Can_9-16:Can_10-15'!F16)</f>
        <v>0</v>
      </c>
      <c r="G16" s="17">
        <f>SUM('Can_9-16:Can_10-15'!G16)</f>
        <v>0</v>
      </c>
      <c r="H16" s="17">
        <f>SUM('Can_9-16:Can_10-15'!H16)</f>
        <v>455</v>
      </c>
      <c r="I16" s="19">
        <f t="shared" si="3"/>
        <v>13438</v>
      </c>
      <c r="J16" s="20">
        <f t="shared" si="4"/>
        <v>21476.5</v>
      </c>
      <c r="K16" s="21">
        <v>8.1000000000000003E-2</v>
      </c>
      <c r="L16" s="20">
        <f t="shared" si="5"/>
        <v>1739.5965000000001</v>
      </c>
      <c r="M16" s="22">
        <f t="shared" si="6"/>
        <v>23216.0965</v>
      </c>
      <c r="N16" s="19">
        <f t="shared" si="7"/>
        <v>13893</v>
      </c>
      <c r="P16" s="19">
        <f t="shared" si="8"/>
        <v>13438</v>
      </c>
      <c r="Q16" s="19">
        <f t="shared" si="9"/>
        <v>455</v>
      </c>
      <c r="R16" s="22">
        <f t="shared" si="10"/>
        <v>21476.5</v>
      </c>
      <c r="S16" s="22">
        <f t="shared" si="11"/>
        <v>1739.5965000000001</v>
      </c>
      <c r="T16" s="22">
        <f t="shared" si="12"/>
        <v>23216.0965</v>
      </c>
      <c r="U16" s="62">
        <f t="shared" si="13"/>
        <v>3.3722764986830848E-2</v>
      </c>
    </row>
    <row r="17" spans="1:22" x14ac:dyDescent="0.25">
      <c r="A17" s="16">
        <v>10</v>
      </c>
      <c r="B17" s="28" t="s">
        <v>27</v>
      </c>
      <c r="C17" s="17">
        <f>SUM('Can_9-16:Can_10-15'!C17)</f>
        <v>0</v>
      </c>
      <c r="D17" s="17">
        <f>SUM('Can_9-16:Can_10-15'!D17)</f>
        <v>0</v>
      </c>
      <c r="E17" s="17">
        <f>SUM('Can_9-16:Can_10-15'!E17)</f>
        <v>480</v>
      </c>
      <c r="F17" s="17">
        <f>SUM('Can_9-16:Can_10-15'!F17)</f>
        <v>0</v>
      </c>
      <c r="G17" s="17">
        <f>SUM('Can_9-16:Can_10-15'!G17)</f>
        <v>0</v>
      </c>
      <c r="H17" s="17">
        <f>SUM('Can_9-16:Can_10-15'!H17)</f>
        <v>0</v>
      </c>
      <c r="I17" s="19">
        <f t="shared" si="3"/>
        <v>480</v>
      </c>
      <c r="J17" s="20">
        <f t="shared" si="4"/>
        <v>720</v>
      </c>
      <c r="K17" s="21">
        <v>7.6999999999999999E-2</v>
      </c>
      <c r="L17" s="20">
        <f t="shared" si="5"/>
        <v>55.44</v>
      </c>
      <c r="M17" s="22">
        <f t="shared" si="6"/>
        <v>775.44</v>
      </c>
      <c r="N17" s="19">
        <f t="shared" si="7"/>
        <v>480</v>
      </c>
      <c r="P17" s="19">
        <f t="shared" si="8"/>
        <v>480</v>
      </c>
      <c r="Q17" s="19">
        <f t="shared" si="9"/>
        <v>0</v>
      </c>
      <c r="R17" s="22">
        <f t="shared" si="10"/>
        <v>720</v>
      </c>
      <c r="S17" s="22">
        <f t="shared" si="11"/>
        <v>55.44</v>
      </c>
      <c r="T17" s="22">
        <f t="shared" si="12"/>
        <v>775.44</v>
      </c>
      <c r="U17" s="62">
        <f t="shared" si="13"/>
        <v>1.1263728543421637E-3</v>
      </c>
    </row>
    <row r="18" spans="1:22" x14ac:dyDescent="0.25">
      <c r="A18" s="16" t="s">
        <v>28</v>
      </c>
      <c r="B18" s="28" t="s">
        <v>29</v>
      </c>
      <c r="C18" s="17">
        <f>SUM('Can_9-16:Can_10-15'!C18)</f>
        <v>0</v>
      </c>
      <c r="D18" s="17">
        <f>SUM('Can_9-16:Can_10-15'!D18)</f>
        <v>0</v>
      </c>
      <c r="E18" s="17">
        <f>SUM('Can_9-16:Can_10-15'!E18)</f>
        <v>984</v>
      </c>
      <c r="F18" s="17">
        <f>SUM('Can_9-16:Can_10-15'!F18)</f>
        <v>0</v>
      </c>
      <c r="G18" s="17">
        <f>SUM('Can_9-16:Can_10-15'!G18)</f>
        <v>0</v>
      </c>
      <c r="H18" s="17">
        <f>SUM('Can_9-16:Can_10-15'!H18)</f>
        <v>84</v>
      </c>
      <c r="I18" s="19">
        <f t="shared" si="3"/>
        <v>984</v>
      </c>
      <c r="J18" s="20">
        <f t="shared" si="4"/>
        <v>1719.6</v>
      </c>
      <c r="K18" s="21">
        <v>0.08</v>
      </c>
      <c r="L18" s="20">
        <f t="shared" si="5"/>
        <v>137.56799999999998</v>
      </c>
      <c r="M18" s="22">
        <f t="shared" si="6"/>
        <v>1857.1679999999999</v>
      </c>
      <c r="N18" s="19">
        <f t="shared" si="7"/>
        <v>1068</v>
      </c>
      <c r="P18" s="19">
        <f t="shared" si="8"/>
        <v>984</v>
      </c>
      <c r="Q18" s="19">
        <f t="shared" si="9"/>
        <v>84</v>
      </c>
      <c r="R18" s="22">
        <f t="shared" si="10"/>
        <v>1719.6</v>
      </c>
      <c r="S18" s="22">
        <f t="shared" si="11"/>
        <v>137.56799999999998</v>
      </c>
      <c r="T18" s="22">
        <f t="shared" si="12"/>
        <v>1857.1679999999999</v>
      </c>
      <c r="U18" s="62">
        <f t="shared" si="13"/>
        <v>2.6976472985052705E-3</v>
      </c>
    </row>
    <row r="19" spans="1:22" x14ac:dyDescent="0.25">
      <c r="A19" s="16" t="s">
        <v>30</v>
      </c>
      <c r="B19" s="28" t="s">
        <v>31</v>
      </c>
      <c r="C19" s="17">
        <f>SUM('Can_9-16:Can_10-15'!C19)</f>
        <v>0</v>
      </c>
      <c r="D19" s="17">
        <f>SUM('Can_9-16:Can_10-15'!D19)</f>
        <v>12</v>
      </c>
      <c r="E19" s="17">
        <f>SUM('Can_9-16:Can_10-15'!E19)</f>
        <v>1608</v>
      </c>
      <c r="F19" s="17">
        <f>SUM('Can_9-16:Can_10-15'!F19)</f>
        <v>0</v>
      </c>
      <c r="G19" s="17">
        <f>SUM('Can_9-16:Can_10-15'!G19)</f>
        <v>0</v>
      </c>
      <c r="H19" s="17">
        <f>SUM('Can_9-16:Can_10-15'!H19)</f>
        <v>0</v>
      </c>
      <c r="I19" s="19">
        <f t="shared" si="3"/>
        <v>1620</v>
      </c>
      <c r="J19" s="20">
        <f t="shared" si="4"/>
        <v>2430</v>
      </c>
      <c r="K19" s="21">
        <v>0.08</v>
      </c>
      <c r="L19" s="20">
        <f t="shared" si="5"/>
        <v>194.4</v>
      </c>
      <c r="M19" s="22">
        <f t="shared" si="6"/>
        <v>2624.4</v>
      </c>
      <c r="N19" s="19">
        <f t="shared" si="7"/>
        <v>1620</v>
      </c>
      <c r="P19" s="19">
        <f t="shared" si="8"/>
        <v>1620</v>
      </c>
      <c r="Q19" s="19">
        <f t="shared" si="9"/>
        <v>0</v>
      </c>
      <c r="R19" s="22">
        <f t="shared" si="10"/>
        <v>2430</v>
      </c>
      <c r="S19" s="22">
        <f t="shared" si="11"/>
        <v>194.4</v>
      </c>
      <c r="T19" s="22">
        <f t="shared" si="12"/>
        <v>2624.4</v>
      </c>
      <c r="U19" s="62">
        <f t="shared" si="13"/>
        <v>3.8120975432471551E-3</v>
      </c>
    </row>
    <row r="20" spans="1:22" x14ac:dyDescent="0.25">
      <c r="A20" s="16" t="s">
        <v>32</v>
      </c>
      <c r="B20" s="28" t="s">
        <v>33</v>
      </c>
      <c r="C20" s="17">
        <f>SUM('Can_9-16:Can_10-15'!C20)</f>
        <v>0</v>
      </c>
      <c r="D20" s="17">
        <f>SUM('Can_9-16:Can_10-15'!D20)</f>
        <v>411</v>
      </c>
      <c r="E20" s="17">
        <f>SUM('Can_9-16:Can_10-15'!E20)</f>
        <v>25458</v>
      </c>
      <c r="F20" s="17">
        <f>SUM('Can_9-16:Can_10-15'!F20)</f>
        <v>0</v>
      </c>
      <c r="G20" s="17">
        <f>SUM('Can_9-16:Can_10-15'!G20)</f>
        <v>0</v>
      </c>
      <c r="H20" s="17">
        <f>SUM('Can_9-16:Can_10-15'!H20)</f>
        <v>24</v>
      </c>
      <c r="I20" s="19">
        <f t="shared" si="3"/>
        <v>25869</v>
      </c>
      <c r="J20" s="20">
        <f t="shared" si="4"/>
        <v>38873.1</v>
      </c>
      <c r="K20" s="21">
        <v>8.5999999999999993E-2</v>
      </c>
      <c r="L20" s="20">
        <f t="shared" si="5"/>
        <v>3343.0865999999996</v>
      </c>
      <c r="M20" s="22">
        <f t="shared" si="6"/>
        <v>42216.186600000001</v>
      </c>
      <c r="N20" s="19">
        <f t="shared" si="7"/>
        <v>25893</v>
      </c>
      <c r="P20" s="19">
        <f t="shared" si="8"/>
        <v>25869</v>
      </c>
      <c r="Q20" s="19">
        <f t="shared" si="9"/>
        <v>24</v>
      </c>
      <c r="R20" s="22">
        <f t="shared" si="10"/>
        <v>38873.1</v>
      </c>
      <c r="S20" s="22">
        <f t="shared" si="11"/>
        <v>3343.0865999999996</v>
      </c>
      <c r="T20" s="22">
        <f t="shared" si="12"/>
        <v>42216.186600000001</v>
      </c>
      <c r="U20" s="62">
        <f t="shared" si="13"/>
        <v>6.1321529196434799E-2</v>
      </c>
    </row>
    <row r="21" spans="1:22" x14ac:dyDescent="0.25">
      <c r="A21" s="16" t="s">
        <v>34</v>
      </c>
      <c r="B21" s="28" t="s">
        <v>35</v>
      </c>
      <c r="C21" s="17">
        <f>SUM('Can_9-16:Can_10-15'!C21)</f>
        <v>0</v>
      </c>
      <c r="D21" s="17">
        <f>SUM('Can_9-16:Can_10-15'!D21)</f>
        <v>0</v>
      </c>
      <c r="E21" s="17">
        <f>SUM('Can_9-16:Can_10-15'!E21)</f>
        <v>9394</v>
      </c>
      <c r="F21" s="17">
        <f>SUM('Can_9-16:Can_10-15'!F21)</f>
        <v>0</v>
      </c>
      <c r="G21" s="17">
        <f>SUM('Can_9-16:Can_10-15'!G21)</f>
        <v>0</v>
      </c>
      <c r="H21" s="17">
        <f>SUM('Can_9-16:Can_10-15'!H21)</f>
        <v>99</v>
      </c>
      <c r="I21" s="19">
        <f t="shared" si="3"/>
        <v>9394</v>
      </c>
      <c r="J21" s="20">
        <f t="shared" si="4"/>
        <v>14378.1</v>
      </c>
      <c r="K21" s="21">
        <v>8.2000000000000003E-2</v>
      </c>
      <c r="L21" s="20">
        <f t="shared" si="5"/>
        <v>1179.0042000000001</v>
      </c>
      <c r="M21" s="22">
        <f t="shared" si="6"/>
        <v>15557.1042</v>
      </c>
      <c r="N21" s="19">
        <f t="shared" si="7"/>
        <v>9493</v>
      </c>
      <c r="P21" s="19">
        <f t="shared" si="8"/>
        <v>9394</v>
      </c>
      <c r="Q21" s="19">
        <f t="shared" si="9"/>
        <v>99</v>
      </c>
      <c r="R21" s="22">
        <f t="shared" si="10"/>
        <v>14378.1</v>
      </c>
      <c r="S21" s="22">
        <f t="shared" si="11"/>
        <v>1179.0042000000001</v>
      </c>
      <c r="T21" s="22">
        <f t="shared" si="12"/>
        <v>15557.1042</v>
      </c>
      <c r="U21" s="62">
        <f t="shared" si="13"/>
        <v>2.2597621818648071E-2</v>
      </c>
    </row>
    <row r="22" spans="1:22" x14ac:dyDescent="0.25">
      <c r="A22" s="16"/>
      <c r="C22" s="17">
        <f>SUM('Can_9-16:Can_10-15'!C22)</f>
        <v>0</v>
      </c>
      <c r="D22" s="17">
        <f>SUM('Can_9-16:Can_10-15'!D22)</f>
        <v>0</v>
      </c>
      <c r="E22" s="17">
        <f>SUM('Can_9-16:Can_10-15'!E22)</f>
        <v>0</v>
      </c>
      <c r="F22" s="17">
        <f>SUM('Can_9-16:Can_10-15'!F22)</f>
        <v>0</v>
      </c>
      <c r="G22" s="17">
        <f>SUM('Can_9-16:Can_10-15'!G22)</f>
        <v>0</v>
      </c>
      <c r="H22" s="17">
        <f>SUM('Can_9-16:Can_10-15'!H22)</f>
        <v>0</v>
      </c>
      <c r="I22" s="19">
        <f t="shared" si="3"/>
        <v>0</v>
      </c>
      <c r="K22" s="21"/>
      <c r="P22" s="19">
        <f t="shared" si="8"/>
        <v>0</v>
      </c>
      <c r="Q22" s="19">
        <f t="shared" si="9"/>
        <v>0</v>
      </c>
      <c r="R22" s="22">
        <f t="shared" si="10"/>
        <v>0</v>
      </c>
      <c r="S22" s="22">
        <f t="shared" si="11"/>
        <v>0</v>
      </c>
      <c r="T22" s="22">
        <f t="shared" si="12"/>
        <v>0</v>
      </c>
    </row>
    <row r="23" spans="1:22" x14ac:dyDescent="0.25">
      <c r="A23" s="16"/>
      <c r="C23" s="29">
        <f>SUM(C13:C22)</f>
        <v>74</v>
      </c>
      <c r="D23" s="29">
        <f t="shared" ref="D23:G23" si="14">SUM(D13:D22)</f>
        <v>1951</v>
      </c>
      <c r="E23" s="29">
        <f t="shared" si="14"/>
        <v>353726</v>
      </c>
      <c r="F23" s="29"/>
      <c r="G23" s="29">
        <f t="shared" si="14"/>
        <v>0</v>
      </c>
      <c r="H23" s="30">
        <f>SUM(H13:H22)</f>
        <v>746</v>
      </c>
      <c r="I23" s="31">
        <f>SUM(I13:I22)</f>
        <v>355751</v>
      </c>
      <c r="J23" s="25">
        <f>SUM(J13:J22)</f>
        <v>535789.89999999991</v>
      </c>
      <c r="K23" s="25"/>
      <c r="L23" s="25">
        <f>SUM(L13:L22)</f>
        <v>45783.303300000007</v>
      </c>
      <c r="M23" s="25">
        <f>SUM(M13:M22)</f>
        <v>581573.20329999994</v>
      </c>
      <c r="N23" s="26">
        <f>+I23+H23+G23</f>
        <v>356497</v>
      </c>
      <c r="P23" s="29">
        <f t="shared" ref="P23:T23" si="15">SUM(P13:P22)</f>
        <v>355751</v>
      </c>
      <c r="Q23" s="29">
        <f t="shared" si="15"/>
        <v>746</v>
      </c>
      <c r="R23" s="25">
        <f t="shared" si="15"/>
        <v>535789.89999999991</v>
      </c>
      <c r="S23" s="25">
        <f t="shared" si="15"/>
        <v>45783.303300000007</v>
      </c>
      <c r="T23" s="25">
        <f t="shared" si="15"/>
        <v>581573.20329999994</v>
      </c>
      <c r="U23" s="62">
        <f>+T23/T25</f>
        <v>0.84476976814445515</v>
      </c>
      <c r="V23" s="62"/>
    </row>
    <row r="24" spans="1:22" ht="9" customHeight="1" x14ac:dyDescent="0.25">
      <c r="A24" s="16"/>
      <c r="H24" s="27"/>
      <c r="K24" s="21"/>
    </row>
    <row r="25" spans="1:22" x14ac:dyDescent="0.25">
      <c r="A25" s="16"/>
      <c r="B25" s="32" t="s">
        <v>36</v>
      </c>
      <c r="C25" s="33">
        <f t="shared" ref="C25:G25" si="16">+C23+C11</f>
        <v>258</v>
      </c>
      <c r="D25" s="33">
        <f t="shared" si="16"/>
        <v>10524</v>
      </c>
      <c r="E25" s="33">
        <f>+E23+E11</f>
        <v>409834</v>
      </c>
      <c r="F25" s="33"/>
      <c r="G25" s="33">
        <f t="shared" si="16"/>
        <v>0</v>
      </c>
      <c r="H25" s="34">
        <f>+H23+H11</f>
        <v>1308</v>
      </c>
      <c r="I25" s="33">
        <f>+I23+I11</f>
        <v>420616</v>
      </c>
      <c r="J25" s="35">
        <f>+J11+J23</f>
        <v>634717.19999999995</v>
      </c>
      <c r="K25" s="36"/>
      <c r="L25" s="15">
        <f>+L11+L23</f>
        <v>53722.686500000011</v>
      </c>
      <c r="M25" s="15">
        <f>+M11+M23</f>
        <v>688439.88649999991</v>
      </c>
      <c r="N25" s="19">
        <f>+N11+N23</f>
        <v>421924</v>
      </c>
      <c r="O25" s="17"/>
      <c r="P25" s="33">
        <f>+P23+P11</f>
        <v>420616</v>
      </c>
      <c r="Q25" s="33">
        <f>+Q23+Q11</f>
        <v>1308</v>
      </c>
      <c r="R25" s="15">
        <f t="shared" ref="R25:T25" si="17">+R11+R23</f>
        <v>634717.19999999995</v>
      </c>
      <c r="S25" s="15">
        <f t="shared" si="17"/>
        <v>53722.686500000011</v>
      </c>
      <c r="T25" s="15">
        <f t="shared" si="17"/>
        <v>688439.88649999991</v>
      </c>
    </row>
    <row r="26" spans="1:22" x14ac:dyDescent="0.25">
      <c r="A26" s="16"/>
    </row>
    <row r="27" spans="1:22" x14ac:dyDescent="0.25">
      <c r="A27" s="16"/>
      <c r="B27" s="32" t="s">
        <v>37</v>
      </c>
    </row>
    <row r="28" spans="1:22" x14ac:dyDescent="0.25">
      <c r="A28" s="16" t="s">
        <v>13</v>
      </c>
      <c r="B28" t="s">
        <v>38</v>
      </c>
      <c r="C28" s="17">
        <f>SUM('Can_9-16:Can_10-15'!C28)</f>
        <v>12</v>
      </c>
      <c r="D28" s="17">
        <f>SUM('Can_9-16:Can_10-15'!D28)</f>
        <v>3265</v>
      </c>
      <c r="E28" s="17">
        <f>SUM('Can_9-16:Can_10-15'!E28)</f>
        <v>46360</v>
      </c>
      <c r="F28" s="17">
        <f>SUM('Can_9-16:Can_10-15'!F28)</f>
        <v>0</v>
      </c>
      <c r="G28" s="17">
        <f>SUM('Can_9-16:Can_10-15'!G28)</f>
        <v>0</v>
      </c>
      <c r="H28" s="17">
        <f>SUM('Can_9-16:Can_10-15'!H28)</f>
        <v>415</v>
      </c>
      <c r="I28" s="19">
        <f>SUM(C28:E28)</f>
        <v>49637</v>
      </c>
      <c r="J28" s="20">
        <f t="shared" ref="J28" si="18">+(H28*H$7)+(I28*I$7)</f>
        <v>75659</v>
      </c>
      <c r="K28" s="21">
        <v>0.08</v>
      </c>
      <c r="L28" s="20">
        <f t="shared" ref="L28:L31" si="19">+J28*K28</f>
        <v>6052.72</v>
      </c>
      <c r="M28" s="22">
        <f t="shared" ref="M28:M31" si="20">+J28+L28</f>
        <v>81711.72</v>
      </c>
      <c r="N28" s="19">
        <f t="shared" ref="N28:N32" si="21">+I28+H28+G28</f>
        <v>50052</v>
      </c>
      <c r="P28" s="19">
        <f t="shared" ref="P28:P31" si="22">+I28</f>
        <v>49637</v>
      </c>
      <c r="Q28" s="19">
        <f t="shared" ref="Q28:Q31" si="23">+H28</f>
        <v>415</v>
      </c>
      <c r="R28" s="22">
        <f t="shared" ref="R28:R31" si="24">+J28</f>
        <v>75659</v>
      </c>
      <c r="S28" s="22">
        <f t="shared" ref="S28:S31" si="25">+L28</f>
        <v>6052.72</v>
      </c>
      <c r="T28" s="22">
        <f t="shared" ref="T28:T31" si="26">+R28+S28</f>
        <v>81711.72</v>
      </c>
    </row>
    <row r="29" spans="1:22" x14ac:dyDescent="0.25">
      <c r="A29" s="16">
        <v>12</v>
      </c>
      <c r="B29" t="s">
        <v>39</v>
      </c>
      <c r="C29" s="17">
        <f>SUM('Can_9-16:Can_10-15'!C29)</f>
        <v>0</v>
      </c>
      <c r="D29" s="17">
        <f>SUM('Can_9-16:Can_10-15'!D29)</f>
        <v>10</v>
      </c>
      <c r="E29" s="17">
        <f>SUM('Can_9-16:Can_10-15'!E29)</f>
        <v>1332</v>
      </c>
      <c r="F29" s="17">
        <f>SUM('Can_9-16:Can_10-15'!F29)</f>
        <v>0</v>
      </c>
      <c r="G29" s="17">
        <f>SUM('Can_9-16:Can_10-15'!G29)</f>
        <v>0</v>
      </c>
      <c r="H29" s="17">
        <f>SUM('Can_9-16:Can_10-15'!H29)</f>
        <v>0</v>
      </c>
      <c r="I29" s="19">
        <f>SUM(C29:E29)</f>
        <v>1342</v>
      </c>
      <c r="J29" s="20">
        <f>+(H29*H$7)+(I29*I$7)</f>
        <v>2013</v>
      </c>
      <c r="K29" s="21">
        <v>8.5999999999999993E-2</v>
      </c>
      <c r="L29" s="20">
        <f t="shared" si="19"/>
        <v>173.11799999999999</v>
      </c>
      <c r="M29" s="22">
        <f t="shared" si="20"/>
        <v>2186.1179999999999</v>
      </c>
      <c r="N29" s="19">
        <f t="shared" si="21"/>
        <v>1342</v>
      </c>
      <c r="P29" s="19">
        <f t="shared" si="22"/>
        <v>1342</v>
      </c>
      <c r="Q29" s="19">
        <f t="shared" si="23"/>
        <v>0</v>
      </c>
      <c r="R29" s="22">
        <f t="shared" si="24"/>
        <v>2013</v>
      </c>
      <c r="S29" s="22">
        <f t="shared" si="25"/>
        <v>173.11799999999999</v>
      </c>
      <c r="T29" s="22">
        <f t="shared" si="26"/>
        <v>2186.1179999999999</v>
      </c>
    </row>
    <row r="30" spans="1:22" x14ac:dyDescent="0.25">
      <c r="A30" s="16">
        <v>14</v>
      </c>
      <c r="B30" t="s">
        <v>40</v>
      </c>
      <c r="C30" s="17">
        <f>SUM('Can_9-16:Can_10-15'!C30)</f>
        <v>0</v>
      </c>
      <c r="D30" s="17">
        <f>SUM('Can_9-16:Can_10-15'!D30)</f>
        <v>171</v>
      </c>
      <c r="E30" s="17">
        <f>SUM('Can_9-16:Can_10-15'!E30)</f>
        <v>14142</v>
      </c>
      <c r="F30" s="17">
        <f>SUM('Can_9-16:Can_10-15'!F30)</f>
        <v>0</v>
      </c>
      <c r="G30" s="17">
        <f>SUM('Can_9-16:Can_10-15'!G30)</f>
        <v>0</v>
      </c>
      <c r="H30" s="17">
        <f>SUM('Can_9-16:Can_10-15'!H30)</f>
        <v>0</v>
      </c>
      <c r="I30" s="19">
        <f>SUM(C30:E30)</f>
        <v>14313</v>
      </c>
      <c r="J30" s="20">
        <f>+(H30*H$7)+(I30*I$7)</f>
        <v>21469.5</v>
      </c>
      <c r="K30" s="21">
        <v>8.5999999999999993E-2</v>
      </c>
      <c r="L30" s="20">
        <f t="shared" si="19"/>
        <v>1846.377</v>
      </c>
      <c r="M30" s="22">
        <f t="shared" si="20"/>
        <v>23315.877</v>
      </c>
      <c r="N30" s="19">
        <f t="shared" si="21"/>
        <v>14313</v>
      </c>
      <c r="P30" s="19">
        <f t="shared" si="22"/>
        <v>14313</v>
      </c>
      <c r="Q30" s="19">
        <f t="shared" si="23"/>
        <v>0</v>
      </c>
      <c r="R30" s="22">
        <f t="shared" si="24"/>
        <v>21469.5</v>
      </c>
      <c r="S30" s="22">
        <f t="shared" si="25"/>
        <v>1846.377</v>
      </c>
      <c r="T30" s="22">
        <f t="shared" si="26"/>
        <v>23315.877</v>
      </c>
    </row>
    <row r="31" spans="1:22" x14ac:dyDescent="0.25">
      <c r="A31" s="16">
        <v>13</v>
      </c>
      <c r="B31" t="s">
        <v>41</v>
      </c>
      <c r="C31" s="17">
        <f>SUM('Can_9-16:Can_10-15'!C31)</f>
        <v>0</v>
      </c>
      <c r="D31" s="17">
        <f>SUM('Can_9-16:Can_10-15'!D31)</f>
        <v>701</v>
      </c>
      <c r="E31" s="17">
        <f>SUM('Can_9-16:Can_10-15'!E31)</f>
        <v>83961</v>
      </c>
      <c r="F31" s="17">
        <f>SUM('Can_9-16:Can_10-15'!F31)</f>
        <v>0</v>
      </c>
      <c r="G31" s="17">
        <f>SUM('Can_9-16:Can_10-15'!G31)</f>
        <v>0</v>
      </c>
      <c r="H31" s="17">
        <f>SUM('Can_9-16:Can_10-15'!H31)</f>
        <v>0</v>
      </c>
      <c r="I31" s="19">
        <f>SUM(C31:E31)</f>
        <v>84662</v>
      </c>
      <c r="J31" s="20">
        <f>+(H31*H$7)+(I31*I$7)</f>
        <v>126993</v>
      </c>
      <c r="K31" s="21">
        <v>8.5999999999999993E-2</v>
      </c>
      <c r="L31" s="20">
        <f t="shared" si="19"/>
        <v>10921.397999999999</v>
      </c>
      <c r="M31" s="22">
        <f t="shared" si="20"/>
        <v>137914.39799999999</v>
      </c>
      <c r="N31" s="19">
        <f t="shared" si="21"/>
        <v>84662</v>
      </c>
      <c r="P31" s="19">
        <f t="shared" si="22"/>
        <v>84662</v>
      </c>
      <c r="Q31" s="19">
        <f t="shared" si="23"/>
        <v>0</v>
      </c>
      <c r="R31" s="22">
        <f t="shared" si="24"/>
        <v>126993</v>
      </c>
      <c r="S31" s="22">
        <f t="shared" si="25"/>
        <v>10921.397999999999</v>
      </c>
      <c r="T31" s="22">
        <f t="shared" si="26"/>
        <v>137914.39799999999</v>
      </c>
    </row>
    <row r="32" spans="1:22" x14ac:dyDescent="0.25">
      <c r="A32" s="16"/>
      <c r="B32" s="37" t="s">
        <v>42</v>
      </c>
      <c r="C32" s="26">
        <f>SUM(C28:C31)</f>
        <v>12</v>
      </c>
      <c r="D32" s="26">
        <f t="shared" ref="D32:H32" si="27">SUM(D28:D31)</f>
        <v>4147</v>
      </c>
      <c r="E32" s="26">
        <f t="shared" si="27"/>
        <v>145795</v>
      </c>
      <c r="F32" s="26"/>
      <c r="G32" s="26">
        <f t="shared" si="27"/>
        <v>0</v>
      </c>
      <c r="H32" s="26">
        <f t="shared" si="27"/>
        <v>415</v>
      </c>
      <c r="I32" s="26">
        <f>SUM(I28:I31)</f>
        <v>149954</v>
      </c>
      <c r="J32" s="38">
        <f>SUM(J28:J31)</f>
        <v>226134.5</v>
      </c>
      <c r="K32" s="2"/>
      <c r="L32" s="39">
        <f>SUM(L28:L31)</f>
        <v>18993.612999999998</v>
      </c>
      <c r="M32" s="39">
        <f>SUM(M28:M31)</f>
        <v>245128.11299999998</v>
      </c>
      <c r="N32" s="26">
        <f t="shared" si="21"/>
        <v>150369</v>
      </c>
      <c r="P32" s="26">
        <f t="shared" ref="P32:T32" si="28">SUM(P28:P31)</f>
        <v>149954</v>
      </c>
      <c r="Q32" s="26">
        <f t="shared" si="28"/>
        <v>415</v>
      </c>
      <c r="R32" s="39">
        <f t="shared" si="28"/>
        <v>226134.5</v>
      </c>
      <c r="S32" s="39">
        <f t="shared" si="28"/>
        <v>18993.612999999998</v>
      </c>
      <c r="T32" s="39">
        <f t="shared" si="28"/>
        <v>245128.11299999998</v>
      </c>
    </row>
    <row r="33" spans="1:20" x14ac:dyDescent="0.25">
      <c r="A33" s="16"/>
    </row>
    <row r="34" spans="1:20" ht="15.75" thickBot="1" x14ac:dyDescent="0.3">
      <c r="A34" s="16"/>
    </row>
    <row r="35" spans="1:20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20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20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20" x14ac:dyDescent="0.25">
      <c r="A38" s="16" t="s">
        <v>45</v>
      </c>
      <c r="B38" s="42" t="s">
        <v>46</v>
      </c>
      <c r="C38" s="17">
        <f>SUM('Can_9-16:Can_10-15'!C38)</f>
        <v>3</v>
      </c>
      <c r="D38" s="17">
        <f>SUM('Can_9-16:Can_10-15'!D38)</f>
        <v>3</v>
      </c>
      <c r="E38" s="17">
        <f>SUM('Can_9-16:Can_10-15'!E38)</f>
        <v>63</v>
      </c>
      <c r="F38" s="17">
        <f>SUM('Can_9-16:Can_10-15'!F38)</f>
        <v>0</v>
      </c>
      <c r="G38" s="17">
        <f>SUM('Can_9-16:Can_10-15'!G38)</f>
        <v>172</v>
      </c>
      <c r="H38" s="17">
        <f>SUM('Can_9-16:Can_10-15'!H38)</f>
        <v>1129</v>
      </c>
      <c r="I38" s="19">
        <f t="shared" ref="I38:I46" si="29">SUM(C38:F38)</f>
        <v>69</v>
      </c>
      <c r="J38" s="20">
        <f>+(C38*C$36)+(D38*D$37)+(E38*E$36)+(F38*F$36)+(G38*G$36)+(H38*H$36)</f>
        <v>4162.9000000000005</v>
      </c>
      <c r="K38" s="21">
        <v>7.9000000000000001E-2</v>
      </c>
      <c r="L38" s="20">
        <f t="shared" ref="L38:L46" si="30">+J38*K38</f>
        <v>328.86910000000006</v>
      </c>
      <c r="M38" s="22">
        <f t="shared" ref="M38:M46" si="31">+J38+L38</f>
        <v>4491.7691000000004</v>
      </c>
      <c r="N38" s="19">
        <f t="shared" ref="N38:N47" si="32">+I38+H38+G38</f>
        <v>1370</v>
      </c>
      <c r="P38" s="19">
        <f t="shared" ref="P38:P46" si="33">+I38</f>
        <v>69</v>
      </c>
      <c r="Q38" s="19">
        <f t="shared" ref="Q38:Q46" si="34">+H38</f>
        <v>1129</v>
      </c>
      <c r="R38" s="22">
        <f t="shared" ref="R38:R46" si="35">+J38</f>
        <v>4162.9000000000005</v>
      </c>
      <c r="S38" s="22">
        <f t="shared" ref="S38:S46" si="36">+L38</f>
        <v>328.86910000000006</v>
      </c>
      <c r="T38" s="22">
        <f t="shared" ref="T38:T46" si="37">+R38+S38</f>
        <v>4491.7691000000004</v>
      </c>
    </row>
    <row r="39" spans="1:20" x14ac:dyDescent="0.25">
      <c r="A39" s="16" t="s">
        <v>45</v>
      </c>
      <c r="B39" s="42" t="s">
        <v>47</v>
      </c>
      <c r="C39" s="17">
        <f>SUM('Can_9-16:Can_10-15'!C39)</f>
        <v>2137</v>
      </c>
      <c r="D39" s="17">
        <f>SUM('Can_9-16:Can_10-15'!D39)</f>
        <v>7841</v>
      </c>
      <c r="E39" s="17">
        <f>SUM('Can_9-16:Can_10-15'!E39)</f>
        <v>15373</v>
      </c>
      <c r="F39" s="17">
        <f>SUM('Can_9-16:Can_10-15'!F39)</f>
        <v>0</v>
      </c>
      <c r="G39" s="17">
        <f>SUM('Can_9-16:Can_10-15'!G39)</f>
        <v>182</v>
      </c>
      <c r="H39" s="17">
        <f>SUM('Can_9-16:Can_10-15'!H39)</f>
        <v>5868</v>
      </c>
      <c r="I39" s="19">
        <f t="shared" si="29"/>
        <v>25351</v>
      </c>
      <c r="J39" s="20">
        <f>+(C39*C$36)+(D39*D$37)+(E39*E$36)+(F39*F$36)+(G39*G$36)+(H39*H$36)</f>
        <v>50300.600000000006</v>
      </c>
      <c r="K39" s="21">
        <v>7.9000000000000001E-2</v>
      </c>
      <c r="L39" s="20">
        <f t="shared" si="30"/>
        <v>3973.7474000000007</v>
      </c>
      <c r="M39" s="22">
        <f t="shared" si="31"/>
        <v>54274.347400000006</v>
      </c>
      <c r="N39" s="19">
        <f t="shared" si="32"/>
        <v>31401</v>
      </c>
      <c r="P39" s="19">
        <f t="shared" si="33"/>
        <v>25351</v>
      </c>
      <c r="Q39" s="19">
        <f t="shared" si="34"/>
        <v>5868</v>
      </c>
      <c r="R39" s="22">
        <f t="shared" si="35"/>
        <v>50300.600000000006</v>
      </c>
      <c r="S39" s="22">
        <f t="shared" si="36"/>
        <v>3973.7474000000007</v>
      </c>
      <c r="T39" s="22">
        <f t="shared" si="37"/>
        <v>54274.347400000006</v>
      </c>
    </row>
    <row r="40" spans="1:20" x14ac:dyDescent="0.25">
      <c r="A40" s="16" t="s">
        <v>48</v>
      </c>
      <c r="B40" t="s">
        <v>49</v>
      </c>
      <c r="C40" s="17">
        <f>SUM('Can_9-16:Can_10-15'!C40)</f>
        <v>24</v>
      </c>
      <c r="D40" s="17">
        <f>SUM('Can_9-16:Can_10-15'!D40)</f>
        <v>22253</v>
      </c>
      <c r="E40" s="17">
        <f>SUM('Can_9-16:Can_10-15'!E40)</f>
        <v>8057</v>
      </c>
      <c r="F40" s="17">
        <f>SUM('Can_9-16:Can_10-15'!F40)</f>
        <v>16415</v>
      </c>
      <c r="G40" s="17">
        <f>SUM('Can_9-16:Can_10-15'!G40)</f>
        <v>54</v>
      </c>
      <c r="H40" s="17">
        <f>SUM('Can_9-16:Can_10-15'!H40)</f>
        <v>149</v>
      </c>
      <c r="I40" s="19">
        <f t="shared" si="29"/>
        <v>46749</v>
      </c>
      <c r="J40" s="20">
        <f>+(C40*C$36)+(D40*D$36)+(E40*E$36)+(F40*F$36)+(G40*G$36)+(H40*H$36)</f>
        <v>52049.200000000012</v>
      </c>
      <c r="K40" s="21">
        <v>8.2000000000000003E-2</v>
      </c>
      <c r="L40" s="20">
        <f t="shared" si="30"/>
        <v>4268.0344000000014</v>
      </c>
      <c r="M40" s="22">
        <f t="shared" si="31"/>
        <v>56317.234400000016</v>
      </c>
      <c r="N40" s="19">
        <f t="shared" si="32"/>
        <v>46952</v>
      </c>
      <c r="P40" s="19">
        <f t="shared" si="33"/>
        <v>46749</v>
      </c>
      <c r="Q40" s="19">
        <f t="shared" si="34"/>
        <v>149</v>
      </c>
      <c r="R40" s="22">
        <f t="shared" si="35"/>
        <v>52049.200000000012</v>
      </c>
      <c r="S40" s="22">
        <f t="shared" si="36"/>
        <v>4268.0344000000014</v>
      </c>
      <c r="T40" s="22">
        <f t="shared" si="37"/>
        <v>56317.234400000016</v>
      </c>
    </row>
    <row r="41" spans="1:20" x14ac:dyDescent="0.25">
      <c r="A41" s="16" t="s">
        <v>50</v>
      </c>
      <c r="B41" t="s">
        <v>51</v>
      </c>
      <c r="C41" s="17">
        <f>SUM('Can_9-16:Can_10-15'!C41)</f>
        <v>0</v>
      </c>
      <c r="D41" s="17">
        <f>SUM('Can_9-16:Can_10-15'!D41)</f>
        <v>324</v>
      </c>
      <c r="E41" s="17">
        <f>SUM('Can_9-16:Can_10-15'!E41)</f>
        <v>24256</v>
      </c>
      <c r="F41" s="17">
        <f>SUM('Can_9-16:Can_10-15'!F41)</f>
        <v>125</v>
      </c>
      <c r="G41" s="17">
        <f>SUM('Can_9-16:Can_10-15'!G41)</f>
        <v>12</v>
      </c>
      <c r="H41" s="17">
        <f>SUM('Can_9-16:Can_10-15'!H41)</f>
        <v>543</v>
      </c>
      <c r="I41" s="19">
        <f t="shared" si="29"/>
        <v>24705</v>
      </c>
      <c r="J41" s="20">
        <f>+(C41*C$36)+(D41*D$36)+(E41*E$36)+(F41*F$36)+(G41*G$36)+(H41*H$36)</f>
        <v>28946.100000000002</v>
      </c>
      <c r="K41" s="21">
        <v>8.1000000000000003E-2</v>
      </c>
      <c r="L41" s="20">
        <f t="shared" si="30"/>
        <v>2344.6341000000002</v>
      </c>
      <c r="M41" s="22">
        <f t="shared" si="31"/>
        <v>31290.734100000001</v>
      </c>
      <c r="N41" s="19">
        <f t="shared" si="32"/>
        <v>25260</v>
      </c>
      <c r="P41" s="19">
        <f t="shared" si="33"/>
        <v>24705</v>
      </c>
      <c r="Q41" s="19">
        <f t="shared" si="34"/>
        <v>543</v>
      </c>
      <c r="R41" s="22">
        <f t="shared" si="35"/>
        <v>28946.100000000002</v>
      </c>
      <c r="S41" s="22">
        <f t="shared" si="36"/>
        <v>2344.6341000000002</v>
      </c>
      <c r="T41" s="22">
        <f t="shared" si="37"/>
        <v>31290.734100000001</v>
      </c>
    </row>
    <row r="42" spans="1:20" x14ac:dyDescent="0.25">
      <c r="A42" s="16" t="s">
        <v>52</v>
      </c>
      <c r="B42" t="s">
        <v>53</v>
      </c>
      <c r="C42" s="17">
        <f>SUM('Can_9-16:Can_10-15'!C42)</f>
        <v>0</v>
      </c>
      <c r="D42" s="17">
        <f>SUM('Can_9-16:Can_10-15'!D42)</f>
        <v>6036</v>
      </c>
      <c r="E42" s="17">
        <f>SUM('Can_9-16:Can_10-15'!E42)</f>
        <v>7114</v>
      </c>
      <c r="F42" s="17">
        <f>SUM('Can_9-16:Can_10-15'!F42)</f>
        <v>6462</v>
      </c>
      <c r="G42" s="17">
        <f>SUM('Can_9-16:Can_10-15'!G42)</f>
        <v>36</v>
      </c>
      <c r="H42" s="17">
        <f>SUM('Can_9-16:Can_10-15'!H42)</f>
        <v>36</v>
      </c>
      <c r="I42" s="19">
        <f t="shared" si="29"/>
        <v>19612</v>
      </c>
      <c r="J42" s="20">
        <f>+(C42*C$36)+(D42*D$36)+(E42*E$36)+(G42*G$36)+(H42*H$36)+(F42*F$36)</f>
        <v>21787.4</v>
      </c>
      <c r="K42" s="21">
        <v>7.9000000000000001E-2</v>
      </c>
      <c r="L42" s="20">
        <f t="shared" si="30"/>
        <v>1721.2046</v>
      </c>
      <c r="M42" s="22">
        <f t="shared" si="31"/>
        <v>23508.604600000002</v>
      </c>
      <c r="N42" s="19">
        <f t="shared" si="32"/>
        <v>19684</v>
      </c>
      <c r="P42" s="19">
        <f t="shared" si="33"/>
        <v>19612</v>
      </c>
      <c r="Q42" s="19">
        <f t="shared" si="34"/>
        <v>36</v>
      </c>
      <c r="R42" s="22">
        <f t="shared" si="35"/>
        <v>21787.4</v>
      </c>
      <c r="S42" s="22">
        <f t="shared" si="36"/>
        <v>1721.2046</v>
      </c>
      <c r="T42" s="22">
        <f t="shared" si="37"/>
        <v>23508.604600000002</v>
      </c>
    </row>
    <row r="43" spans="1:20" x14ac:dyDescent="0.25">
      <c r="A43" s="16" t="s">
        <v>54</v>
      </c>
      <c r="B43" t="s">
        <v>55</v>
      </c>
      <c r="C43" s="17">
        <f>SUM('Can_9-16:Can_10-15'!C43)</f>
        <v>1024</v>
      </c>
      <c r="D43" s="17">
        <f>SUM('Can_9-16:Can_10-15'!D43)</f>
        <v>4134</v>
      </c>
      <c r="E43" s="17">
        <f>SUM('Can_9-16:Can_10-15'!E43)</f>
        <v>7274</v>
      </c>
      <c r="F43" s="17">
        <f>SUM('Can_9-16:Can_10-15'!F43)</f>
        <v>0</v>
      </c>
      <c r="G43" s="17">
        <f>SUM('Can_9-16:Can_10-15'!G43)</f>
        <v>0</v>
      </c>
      <c r="H43" s="17">
        <f>SUM('Can_9-16:Can_10-15'!H43)</f>
        <v>277</v>
      </c>
      <c r="I43" s="19">
        <f t="shared" si="29"/>
        <v>12432</v>
      </c>
      <c r="J43" s="20">
        <f>+(C43*C$36)+(D43*D$36)+(E43*E$36)+(F43*F$36)+(G43*G$36)+(H43*H$36)</f>
        <v>14561.6</v>
      </c>
      <c r="K43" s="21">
        <v>7.9000000000000001E-2</v>
      </c>
      <c r="L43" s="20">
        <f t="shared" si="30"/>
        <v>1150.3664000000001</v>
      </c>
      <c r="M43" s="22">
        <f t="shared" si="31"/>
        <v>15711.966400000001</v>
      </c>
      <c r="N43" s="19">
        <f t="shared" si="32"/>
        <v>12709</v>
      </c>
      <c r="P43" s="19">
        <f t="shared" si="33"/>
        <v>12432</v>
      </c>
      <c r="Q43" s="19">
        <f t="shared" si="34"/>
        <v>277</v>
      </c>
      <c r="R43" s="22">
        <f t="shared" si="35"/>
        <v>14561.6</v>
      </c>
      <c r="S43" s="22">
        <f t="shared" si="36"/>
        <v>1150.3664000000001</v>
      </c>
      <c r="T43" s="22">
        <f t="shared" si="37"/>
        <v>15711.966400000001</v>
      </c>
    </row>
    <row r="44" spans="1:20" x14ac:dyDescent="0.25">
      <c r="A44" s="16" t="s">
        <v>56</v>
      </c>
      <c r="B44" t="s">
        <v>57</v>
      </c>
      <c r="C44" s="17">
        <f>SUM('Can_9-16:Can_10-15'!C44)</f>
        <v>0</v>
      </c>
      <c r="D44" s="17">
        <f>SUM('Can_9-16:Can_10-15'!D44)</f>
        <v>0</v>
      </c>
      <c r="E44" s="17">
        <f>SUM('Can_9-16:Can_10-15'!E44)</f>
        <v>0</v>
      </c>
      <c r="F44" s="17">
        <f>SUM('Can_9-16:Can_10-15'!F44)</f>
        <v>0</v>
      </c>
      <c r="G44" s="17">
        <f>SUM('Can_9-16:Can_10-15'!G44)</f>
        <v>0</v>
      </c>
      <c r="H44" s="17">
        <f>SUM('Can_9-16:Can_10-15'!H44)</f>
        <v>2</v>
      </c>
      <c r="I44" s="19">
        <f t="shared" si="29"/>
        <v>0</v>
      </c>
      <c r="J44" s="20">
        <f>+(C44*C$36)+(D44*D$36)+(E44*E$36)+(G44*G$36)+(H44*H$36)+(F44*F$36)</f>
        <v>6.4</v>
      </c>
      <c r="K44" s="21">
        <v>7.9000000000000001E-2</v>
      </c>
      <c r="L44" s="20">
        <f t="shared" si="30"/>
        <v>0.50560000000000005</v>
      </c>
      <c r="M44" s="22">
        <f t="shared" si="31"/>
        <v>6.9056000000000006</v>
      </c>
      <c r="N44" s="19">
        <f t="shared" si="32"/>
        <v>2</v>
      </c>
      <c r="P44" s="19">
        <f t="shared" si="33"/>
        <v>0</v>
      </c>
      <c r="Q44" s="19">
        <f t="shared" si="34"/>
        <v>2</v>
      </c>
      <c r="R44" s="22">
        <f t="shared" si="35"/>
        <v>6.4</v>
      </c>
      <c r="S44" s="22">
        <f t="shared" si="36"/>
        <v>0.50560000000000005</v>
      </c>
      <c r="T44" s="22">
        <f t="shared" si="37"/>
        <v>6.9056000000000006</v>
      </c>
    </row>
    <row r="45" spans="1:20" x14ac:dyDescent="0.25">
      <c r="A45" s="16" t="s">
        <v>56</v>
      </c>
      <c r="B45" t="s">
        <v>58</v>
      </c>
      <c r="C45" s="17">
        <f>SUM('Can_9-16:Can_10-15'!C45)</f>
        <v>12</v>
      </c>
      <c r="D45" s="17">
        <f>SUM('Can_9-16:Can_10-15'!D45)</f>
        <v>12</v>
      </c>
      <c r="E45" s="17">
        <f>SUM('Can_9-16:Can_10-15'!E45)</f>
        <v>22</v>
      </c>
      <c r="F45" s="17">
        <f>SUM('Can_9-16:Can_10-15'!F45)</f>
        <v>0</v>
      </c>
      <c r="G45" s="17">
        <f>SUM('Can_9-16:Can_10-15'!G45)</f>
        <v>0</v>
      </c>
      <c r="H45" s="17">
        <f>SUM('Can_9-16:Can_10-15'!H45)</f>
        <v>0</v>
      </c>
      <c r="I45" s="19">
        <f t="shared" si="29"/>
        <v>46</v>
      </c>
      <c r="J45" s="20">
        <f>+(C45*C$36)+(D45*D$36)+(E45*E$36)+(G45*G$36)+(H45*H$36)+(F45*F$36)</f>
        <v>50.600000000000009</v>
      </c>
      <c r="K45" s="21">
        <v>7.9000000000000001E-2</v>
      </c>
      <c r="L45" s="20">
        <f t="shared" si="30"/>
        <v>3.9974000000000007</v>
      </c>
      <c r="M45" s="22">
        <f t="shared" si="31"/>
        <v>54.597400000000007</v>
      </c>
      <c r="N45" s="19">
        <f t="shared" si="32"/>
        <v>46</v>
      </c>
      <c r="P45" s="19">
        <f t="shared" si="33"/>
        <v>46</v>
      </c>
      <c r="Q45" s="19">
        <f t="shared" si="34"/>
        <v>0</v>
      </c>
      <c r="R45" s="22">
        <f t="shared" si="35"/>
        <v>50.600000000000009</v>
      </c>
      <c r="S45" s="22">
        <f t="shared" si="36"/>
        <v>3.9974000000000007</v>
      </c>
      <c r="T45" s="22">
        <f t="shared" si="37"/>
        <v>54.597400000000007</v>
      </c>
    </row>
    <row r="46" spans="1:20" x14ac:dyDescent="0.25">
      <c r="A46" s="16" t="s">
        <v>59</v>
      </c>
      <c r="B46" t="s">
        <v>60</v>
      </c>
      <c r="C46" s="17">
        <f>SUM('Can_9-16:Can_10-15'!C46)</f>
        <v>0</v>
      </c>
      <c r="D46" s="17">
        <f>SUM('Can_9-16:Can_10-15'!D46)</f>
        <v>32</v>
      </c>
      <c r="E46" s="17">
        <f>SUM('Can_9-16:Can_10-15'!E46)</f>
        <v>11</v>
      </c>
      <c r="F46" s="17">
        <f>SUM('Can_9-16:Can_10-15'!F46)</f>
        <v>0</v>
      </c>
      <c r="G46" s="17">
        <f>SUM('Can_9-16:Can_10-15'!G46)</f>
        <v>12</v>
      </c>
      <c r="H46" s="17">
        <f>SUM('Can_9-16:Can_10-15'!H46)</f>
        <v>31</v>
      </c>
      <c r="I46" s="19">
        <f t="shared" si="29"/>
        <v>43</v>
      </c>
      <c r="J46" s="20">
        <f>+(C46*C$36)+(D46*D$36)+(E46*E$36)+(G46*G$36)+(H46*H$36)+(F46*F$36)</f>
        <v>179.5</v>
      </c>
      <c r="K46" s="21">
        <v>7.9000000000000001E-2</v>
      </c>
      <c r="L46" s="20">
        <f t="shared" si="30"/>
        <v>14.1805</v>
      </c>
      <c r="M46" s="22">
        <f t="shared" si="31"/>
        <v>193.68049999999999</v>
      </c>
      <c r="N46" s="19">
        <f t="shared" si="32"/>
        <v>86</v>
      </c>
      <c r="P46" s="19">
        <f t="shared" si="33"/>
        <v>43</v>
      </c>
      <c r="Q46" s="19">
        <f t="shared" si="34"/>
        <v>31</v>
      </c>
      <c r="R46" s="22">
        <f t="shared" si="35"/>
        <v>179.5</v>
      </c>
      <c r="S46" s="22">
        <f t="shared" si="36"/>
        <v>14.1805</v>
      </c>
      <c r="T46" s="22">
        <f t="shared" si="37"/>
        <v>193.68049999999999</v>
      </c>
    </row>
    <row r="47" spans="1:20" x14ac:dyDescent="0.25">
      <c r="A47" s="16"/>
      <c r="B47" s="37" t="s">
        <v>61</v>
      </c>
      <c r="C47" s="26">
        <f t="shared" ref="C47:H47" si="38">SUM(C38:C46)</f>
        <v>3200</v>
      </c>
      <c r="D47" s="26">
        <f t="shared" si="38"/>
        <v>40635</v>
      </c>
      <c r="E47" s="26">
        <f t="shared" si="38"/>
        <v>62170</v>
      </c>
      <c r="F47" s="26">
        <f t="shared" si="38"/>
        <v>23002</v>
      </c>
      <c r="G47" s="26">
        <f t="shared" si="38"/>
        <v>468</v>
      </c>
      <c r="H47" s="26">
        <f t="shared" si="38"/>
        <v>8035</v>
      </c>
      <c r="I47" s="26">
        <f>SUM(I38:I46)</f>
        <v>129007</v>
      </c>
      <c r="J47" s="43">
        <f t="shared" ref="J47" si="39">SUM(J38:J46)</f>
        <v>172044.30000000002</v>
      </c>
      <c r="K47" s="2"/>
      <c r="L47" s="44">
        <f>SUM(L38:L46)</f>
        <v>13805.539500000006</v>
      </c>
      <c r="M47" s="44">
        <f>SUM(M38:M46)</f>
        <v>185849.8395</v>
      </c>
      <c r="N47" s="26">
        <f t="shared" si="32"/>
        <v>137510</v>
      </c>
      <c r="P47" s="26">
        <f t="shared" ref="P47:T47" si="40">SUM(P38:P46)</f>
        <v>129007</v>
      </c>
      <c r="Q47" s="26">
        <f t="shared" si="40"/>
        <v>8035</v>
      </c>
      <c r="R47" s="44">
        <f t="shared" si="40"/>
        <v>172044.30000000002</v>
      </c>
      <c r="S47" s="44">
        <f t="shared" si="40"/>
        <v>13805.539500000006</v>
      </c>
      <c r="T47" s="44">
        <f t="shared" si="40"/>
        <v>185849.8395</v>
      </c>
    </row>
    <row r="48" spans="1:20" ht="9.6" customHeight="1" thickBot="1" x14ac:dyDescent="0.3">
      <c r="A48" s="16"/>
    </row>
    <row r="49" spans="1:20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20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20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20" x14ac:dyDescent="0.25">
      <c r="A52" s="16" t="s">
        <v>17</v>
      </c>
      <c r="B52" t="s">
        <v>64</v>
      </c>
      <c r="C52" s="17">
        <f>SUM('Can_9-16:Can_10-15'!C52)</f>
        <v>2152</v>
      </c>
      <c r="D52" s="17">
        <f>SUM('Can_9-16:Can_10-15'!D52)</f>
        <v>14140</v>
      </c>
      <c r="E52" s="17">
        <f>SUM('Can_9-16:Can_10-15'!E52)</f>
        <v>30768</v>
      </c>
      <c r="F52" s="17">
        <f>SUM('Can_9-16:Can_10-15'!F52)</f>
        <v>1</v>
      </c>
      <c r="G52" s="17">
        <f>SUM('Can_9-16:Can_10-15'!G52)</f>
        <v>12</v>
      </c>
      <c r="H52" s="17">
        <f>SUM('Can_9-16:Can_10-15'!H52)</f>
        <v>2369</v>
      </c>
      <c r="I52" s="19">
        <f t="shared" ref="I52:I57" si="41">SUM(C52:F52)</f>
        <v>47061</v>
      </c>
      <c r="J52" s="20">
        <f>+(C52*C$50)+(D52*D$50)+(E52*E$50)+(G52*G$50)+(H52*H$50)+(F52*F$51)</f>
        <v>77344.5</v>
      </c>
      <c r="K52" s="21">
        <v>8.1000000000000003E-2</v>
      </c>
      <c r="L52" s="20">
        <f t="shared" ref="L52:L57" si="42">+J52*K52</f>
        <v>6264.9045000000006</v>
      </c>
      <c r="M52" s="22">
        <f t="shared" ref="M52:M57" si="43">+J52+L52</f>
        <v>83609.404500000004</v>
      </c>
      <c r="N52" s="19">
        <f t="shared" ref="N52:N58" si="44">+I52+H52+G52</f>
        <v>49442</v>
      </c>
      <c r="P52" s="19">
        <f t="shared" ref="P52:P57" si="45">+I52</f>
        <v>47061</v>
      </c>
      <c r="Q52" s="19">
        <f t="shared" ref="Q52:Q57" si="46">+H52</f>
        <v>2369</v>
      </c>
      <c r="R52" s="22">
        <f t="shared" ref="R52:R57" si="47">+J52</f>
        <v>77344.5</v>
      </c>
      <c r="S52" s="22">
        <f t="shared" ref="S52:S57" si="48">+L52</f>
        <v>6264.9045000000006</v>
      </c>
      <c r="T52" s="22">
        <f t="shared" ref="T52:T57" si="49">+R52+S52</f>
        <v>83609.404500000004</v>
      </c>
    </row>
    <row r="53" spans="1:20" x14ac:dyDescent="0.25">
      <c r="A53" s="16" t="s">
        <v>65</v>
      </c>
      <c r="B53" t="s">
        <v>66</v>
      </c>
      <c r="C53" s="17">
        <f>SUM('Can_9-16:Can_10-15'!C53)</f>
        <v>78</v>
      </c>
      <c r="D53" s="17">
        <f>SUM('Can_9-16:Can_10-15'!D53)</f>
        <v>1019</v>
      </c>
      <c r="E53" s="17">
        <f>SUM('Can_9-16:Can_10-15'!E53)</f>
        <v>2422</v>
      </c>
      <c r="F53" s="17">
        <f>SUM('Can_9-16:Can_10-15'!F53)</f>
        <v>0</v>
      </c>
      <c r="G53" s="17">
        <f>SUM('Can_9-16:Can_10-15'!G53)</f>
        <v>0</v>
      </c>
      <c r="H53" s="17">
        <f>SUM('Can_9-16:Can_10-15'!H53)</f>
        <v>871</v>
      </c>
      <c r="I53" s="19">
        <f t="shared" si="41"/>
        <v>3519</v>
      </c>
      <c r="J53" s="20">
        <f>+(C53*C$50)+(D53*D$50)+(E53*E$50)+(G53*G$50)+(H53*H$50)+(F53*F$51)</f>
        <v>8034.5</v>
      </c>
      <c r="K53" s="21">
        <v>8.1000000000000003E-2</v>
      </c>
      <c r="L53" s="20">
        <f t="shared" si="42"/>
        <v>650.79449999999997</v>
      </c>
      <c r="M53" s="22">
        <f t="shared" si="43"/>
        <v>8685.2945</v>
      </c>
      <c r="N53" s="19">
        <f t="shared" si="44"/>
        <v>4390</v>
      </c>
      <c r="P53" s="19">
        <f t="shared" si="45"/>
        <v>3519</v>
      </c>
      <c r="Q53" s="19">
        <f t="shared" si="46"/>
        <v>871</v>
      </c>
      <c r="R53" s="22">
        <f t="shared" si="47"/>
        <v>8034.5</v>
      </c>
      <c r="S53" s="22">
        <f t="shared" si="48"/>
        <v>650.79449999999997</v>
      </c>
      <c r="T53" s="22">
        <f t="shared" si="49"/>
        <v>8685.2945</v>
      </c>
    </row>
    <row r="54" spans="1:20" x14ac:dyDescent="0.25">
      <c r="A54" s="16" t="s">
        <v>25</v>
      </c>
      <c r="B54" t="s">
        <v>67</v>
      </c>
      <c r="C54" s="17">
        <f>SUM('Can_9-16:Can_10-15'!C54)</f>
        <v>0</v>
      </c>
      <c r="D54" s="17">
        <f>SUM('Can_9-16:Can_10-15'!D54)</f>
        <v>0</v>
      </c>
      <c r="E54" s="17">
        <f>SUM('Can_9-16:Can_10-15'!E54)</f>
        <v>0</v>
      </c>
      <c r="F54" s="17">
        <f>SUM('Can_9-16:Can_10-15'!F54)</f>
        <v>0</v>
      </c>
      <c r="G54" s="17">
        <f>SUM('Can_9-16:Can_10-15'!G54)</f>
        <v>0</v>
      </c>
      <c r="H54" s="17">
        <f>SUM('Can_9-16:Can_10-15'!H54)</f>
        <v>0</v>
      </c>
      <c r="I54" s="19">
        <f t="shared" si="41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42"/>
        <v>0</v>
      </c>
      <c r="M54" s="22">
        <f t="shared" si="43"/>
        <v>0</v>
      </c>
      <c r="N54" s="19">
        <f t="shared" si="44"/>
        <v>0</v>
      </c>
      <c r="P54" s="19">
        <f t="shared" si="45"/>
        <v>0</v>
      </c>
      <c r="Q54" s="19">
        <f t="shared" si="46"/>
        <v>0</v>
      </c>
      <c r="R54" s="22">
        <f t="shared" si="47"/>
        <v>0</v>
      </c>
      <c r="S54" s="22">
        <f t="shared" si="48"/>
        <v>0</v>
      </c>
      <c r="T54" s="22">
        <f t="shared" si="49"/>
        <v>0</v>
      </c>
    </row>
    <row r="55" spans="1:20" x14ac:dyDescent="0.25">
      <c r="A55" s="16" t="s">
        <v>68</v>
      </c>
      <c r="B55" t="s">
        <v>69</v>
      </c>
      <c r="C55" s="17">
        <f>SUM('Can_9-16:Can_10-15'!C55)</f>
        <v>3005</v>
      </c>
      <c r="D55" s="17">
        <f>SUM('Can_9-16:Can_10-15'!D55)</f>
        <v>16728</v>
      </c>
      <c r="E55" s="17">
        <f>SUM('Can_9-16:Can_10-15'!E55)</f>
        <v>15860</v>
      </c>
      <c r="F55" s="17">
        <f>SUM('Can_9-16:Can_10-15'!F55)</f>
        <v>8103</v>
      </c>
      <c r="G55" s="17">
        <f>SUM('Can_9-16:Can_10-15'!G55)</f>
        <v>0</v>
      </c>
      <c r="H55" s="17">
        <f>SUM('Can_9-16:Can_10-15'!H55)</f>
        <v>190</v>
      </c>
      <c r="I55" s="19">
        <f t="shared" si="41"/>
        <v>43696</v>
      </c>
      <c r="J55" s="20">
        <f>+(C55*C$50)+(D55*D$50)+(E55*E$50)+(G55*G$50)+(H55*H$50)+(F55*F$51)</f>
        <v>64950</v>
      </c>
      <c r="K55" s="21">
        <v>8.6999999999999994E-2</v>
      </c>
      <c r="L55" s="20">
        <f t="shared" si="42"/>
        <v>5650.65</v>
      </c>
      <c r="M55" s="22">
        <f t="shared" si="43"/>
        <v>70600.649999999994</v>
      </c>
      <c r="N55" s="19">
        <f t="shared" si="44"/>
        <v>43886</v>
      </c>
      <c r="P55" s="19">
        <f t="shared" si="45"/>
        <v>43696</v>
      </c>
      <c r="Q55" s="19">
        <f t="shared" si="46"/>
        <v>190</v>
      </c>
      <c r="R55" s="22">
        <f t="shared" si="47"/>
        <v>64950</v>
      </c>
      <c r="S55" s="22">
        <f t="shared" si="48"/>
        <v>5650.65</v>
      </c>
      <c r="T55" s="22">
        <f t="shared" si="49"/>
        <v>70600.649999999994</v>
      </c>
    </row>
    <row r="56" spans="1:20" x14ac:dyDescent="0.25">
      <c r="A56" s="16" t="s">
        <v>70</v>
      </c>
      <c r="B56" t="s">
        <v>71</v>
      </c>
      <c r="C56" s="17">
        <f>SUM('Can_9-16:Can_10-15'!C56)</f>
        <v>351</v>
      </c>
      <c r="D56" s="17">
        <f>SUM('Can_9-16:Can_10-15'!D56)</f>
        <v>1343</v>
      </c>
      <c r="E56" s="17">
        <f>SUM('Can_9-16:Can_10-15'!E56)</f>
        <v>3479</v>
      </c>
      <c r="F56" s="17">
        <f>SUM('Can_9-16:Can_10-15'!F56)</f>
        <v>5</v>
      </c>
      <c r="G56" s="17">
        <f>SUM('Can_9-16:Can_10-15'!G56)</f>
        <v>0</v>
      </c>
      <c r="H56" s="17">
        <f>SUM('Can_9-16:Can_10-15'!H56)</f>
        <v>19</v>
      </c>
      <c r="I56" s="19">
        <f t="shared" si="41"/>
        <v>5178</v>
      </c>
      <c r="J56" s="20">
        <f>+(C56*C$50)+(D56*D$50)+(E56*E$50)+(G56*G$50)+(H56*H$50)+(F56*F$51)</f>
        <v>7687.4000000000005</v>
      </c>
      <c r="K56" s="21">
        <v>8.8999999999999996E-2</v>
      </c>
      <c r="L56" s="20">
        <f t="shared" si="42"/>
        <v>684.17859999999996</v>
      </c>
      <c r="M56" s="22">
        <f t="shared" si="43"/>
        <v>8371.5786000000007</v>
      </c>
      <c r="N56" s="19">
        <f t="shared" si="44"/>
        <v>5197</v>
      </c>
      <c r="P56" s="19">
        <f t="shared" si="45"/>
        <v>5178</v>
      </c>
      <c r="Q56" s="19">
        <f t="shared" si="46"/>
        <v>19</v>
      </c>
      <c r="R56" s="22">
        <f t="shared" si="47"/>
        <v>7687.4000000000005</v>
      </c>
      <c r="S56" s="22">
        <f t="shared" si="48"/>
        <v>684.17859999999996</v>
      </c>
      <c r="T56" s="22">
        <f t="shared" si="49"/>
        <v>8371.5786000000007</v>
      </c>
    </row>
    <row r="57" spans="1:20" x14ac:dyDescent="0.25">
      <c r="A57" s="16" t="s">
        <v>70</v>
      </c>
      <c r="B57" t="s">
        <v>72</v>
      </c>
      <c r="C57" s="17">
        <f>SUM('Can_9-16:Can_10-15'!C57)</f>
        <v>0</v>
      </c>
      <c r="D57" s="17">
        <f>SUM('Can_9-16:Can_10-15'!D57)</f>
        <v>12</v>
      </c>
      <c r="E57" s="17">
        <f>SUM('Can_9-16:Can_10-15'!E57)</f>
        <v>0</v>
      </c>
      <c r="F57" s="17">
        <f>SUM('Can_9-16:Can_10-15'!F57)</f>
        <v>117949</v>
      </c>
      <c r="G57" s="17">
        <f>SUM('Can_9-16:Can_10-15'!G57)</f>
        <v>0</v>
      </c>
      <c r="H57" s="17">
        <f>SUM('Can_9-16:Can_10-15'!H57)</f>
        <v>0</v>
      </c>
      <c r="I57" s="19">
        <f t="shared" si="41"/>
        <v>117961</v>
      </c>
      <c r="J57" s="20">
        <f>+(C57*C$50)+(D57*D$50)+(E57*E$50)+(G57*G$50)+(H57*H$50)+(F57*F$50)</f>
        <v>82582.299999999988</v>
      </c>
      <c r="K57" s="21">
        <v>8.8999999999999996E-2</v>
      </c>
      <c r="L57" s="20">
        <f t="shared" si="42"/>
        <v>7349.8246999999983</v>
      </c>
      <c r="M57" s="22">
        <f t="shared" si="43"/>
        <v>89932.124699999986</v>
      </c>
      <c r="N57" s="19">
        <f t="shared" si="44"/>
        <v>117961</v>
      </c>
      <c r="P57" s="19">
        <f t="shared" si="45"/>
        <v>117961</v>
      </c>
      <c r="Q57" s="19">
        <f t="shared" si="46"/>
        <v>0</v>
      </c>
      <c r="R57" s="22">
        <f t="shared" si="47"/>
        <v>82582.299999999988</v>
      </c>
      <c r="S57" s="22">
        <f t="shared" si="48"/>
        <v>7349.8246999999983</v>
      </c>
      <c r="T57" s="22">
        <f t="shared" si="49"/>
        <v>89932.124699999986</v>
      </c>
    </row>
    <row r="58" spans="1:20" x14ac:dyDescent="0.25">
      <c r="A58" s="16"/>
      <c r="B58" s="37" t="s">
        <v>73</v>
      </c>
      <c r="C58" s="26">
        <f>SUM(C52:C57)</f>
        <v>5586</v>
      </c>
      <c r="D58" s="26">
        <f t="shared" ref="D58:G58" si="50">SUM(D52:D57)</f>
        <v>33242</v>
      </c>
      <c r="E58" s="26">
        <f t="shared" si="50"/>
        <v>52529</v>
      </c>
      <c r="F58" s="26">
        <f t="shared" si="50"/>
        <v>126058</v>
      </c>
      <c r="G58" s="26">
        <f t="shared" si="50"/>
        <v>12</v>
      </c>
      <c r="H58" s="26">
        <f>SUM(H52:H57)</f>
        <v>3449</v>
      </c>
      <c r="I58" s="26">
        <f>SUM(I52:I57)</f>
        <v>217415</v>
      </c>
      <c r="J58" s="43">
        <f>SUM(J52:J57)</f>
        <v>240598.69999999998</v>
      </c>
      <c r="K58" s="2"/>
      <c r="L58" s="44">
        <f>SUM(L52:L57)</f>
        <v>20600.352299999999</v>
      </c>
      <c r="M58" s="44">
        <f>SUM(M52:M57)</f>
        <v>261199.05229999998</v>
      </c>
      <c r="N58" s="26">
        <f t="shared" si="44"/>
        <v>220876</v>
      </c>
      <c r="P58" s="26">
        <f t="shared" ref="P58:T58" si="51">SUM(P52:P57)</f>
        <v>217415</v>
      </c>
      <c r="Q58" s="26">
        <f t="shared" si="51"/>
        <v>3449</v>
      </c>
      <c r="R58" s="44">
        <f t="shared" si="51"/>
        <v>240598.69999999998</v>
      </c>
      <c r="S58" s="44">
        <f t="shared" si="51"/>
        <v>20600.352299999999</v>
      </c>
      <c r="T58" s="44">
        <f t="shared" si="51"/>
        <v>261199.05229999998</v>
      </c>
    </row>
    <row r="60" spans="1:20" x14ac:dyDescent="0.25">
      <c r="B60" s="46" t="s">
        <v>74</v>
      </c>
      <c r="C60" s="33">
        <f t="shared" ref="C60:G60" si="52">+C25+C32+C47+C58</f>
        <v>9056</v>
      </c>
      <c r="D60" s="33">
        <f t="shared" si="52"/>
        <v>88548</v>
      </c>
      <c r="E60" s="33">
        <f t="shared" si="52"/>
        <v>670328</v>
      </c>
      <c r="F60" s="33">
        <f t="shared" si="52"/>
        <v>149060</v>
      </c>
      <c r="G60" s="33">
        <f t="shared" si="52"/>
        <v>480</v>
      </c>
      <c r="H60" s="33">
        <f>+H25+H32+H47+H58</f>
        <v>13207</v>
      </c>
      <c r="I60" s="33">
        <f>+I25+I32+I47+I58</f>
        <v>916992</v>
      </c>
      <c r="J60" s="35">
        <f>+J25+J32+J47+J58</f>
        <v>1273494.7</v>
      </c>
      <c r="L60" s="15">
        <f>+L25+L32+L47+L58</f>
        <v>107122.19130000001</v>
      </c>
      <c r="M60" s="15">
        <f>+M25+M32+M47+M58</f>
        <v>1380616.8912999998</v>
      </c>
      <c r="P60" s="33">
        <f t="shared" ref="P60:T60" si="53">+P25+P32+P47+P58</f>
        <v>916992</v>
      </c>
      <c r="Q60" s="33">
        <f t="shared" si="53"/>
        <v>13207</v>
      </c>
      <c r="R60" s="15">
        <f t="shared" si="53"/>
        <v>1273494.7</v>
      </c>
      <c r="S60" s="15">
        <f t="shared" si="53"/>
        <v>107122.19130000001</v>
      </c>
      <c r="T60" s="15">
        <f t="shared" si="53"/>
        <v>1380616.8912999998</v>
      </c>
    </row>
    <row r="61" spans="1:20" x14ac:dyDescent="0.25">
      <c r="H61" t="s">
        <v>10</v>
      </c>
      <c r="I61" s="19">
        <f>+I60+H60+G60</f>
        <v>930679</v>
      </c>
      <c r="K61" s="19"/>
    </row>
    <row r="62" spans="1:20" x14ac:dyDescent="0.25">
      <c r="E62" s="53"/>
      <c r="F62" s="53"/>
      <c r="G62" s="53"/>
      <c r="H62" s="53"/>
      <c r="I62" s="54"/>
      <c r="J62" s="53"/>
    </row>
    <row r="63" spans="1:20" x14ac:dyDescent="0.25">
      <c r="E63" s="53"/>
      <c r="F63" s="53"/>
      <c r="G63" s="53"/>
      <c r="H63" s="55"/>
      <c r="I63" s="56"/>
      <c r="J63" s="53"/>
    </row>
    <row r="64" spans="1:20" x14ac:dyDescent="0.25">
      <c r="E64" s="53"/>
      <c r="F64" s="53"/>
      <c r="G64" s="53"/>
      <c r="H64" s="55"/>
      <c r="I64" s="56"/>
      <c r="J64" s="53"/>
    </row>
    <row r="65" spans="5:10" x14ac:dyDescent="0.25">
      <c r="E65" s="53"/>
      <c r="F65" s="53"/>
      <c r="G65" s="53"/>
      <c r="H65" s="55"/>
      <c r="I65" s="54"/>
      <c r="J65" s="57"/>
    </row>
    <row r="66" spans="5:10" x14ac:dyDescent="0.25">
      <c r="E66" s="53"/>
      <c r="F66" s="53"/>
      <c r="G66" s="53"/>
      <c r="H66" s="53"/>
      <c r="I66" s="53"/>
      <c r="J66" s="53"/>
    </row>
    <row r="67" spans="5:10" x14ac:dyDescent="0.25">
      <c r="E67" s="53"/>
      <c r="F67" s="53"/>
      <c r="G67" s="53"/>
      <c r="H67" s="53"/>
      <c r="I67" s="56"/>
      <c r="J67" s="58"/>
    </row>
    <row r="68" spans="5:10" x14ac:dyDescent="0.25">
      <c r="E68" s="53"/>
      <c r="F68" s="53"/>
      <c r="G68" s="53"/>
      <c r="H68" s="53"/>
      <c r="I68" s="53"/>
      <c r="J68" s="53"/>
    </row>
  </sheetData>
  <mergeCells count="1">
    <mergeCell ref="C5:H5"/>
  </mergeCells>
  <pageMargins left="0.25" right="0.25" top="0.75" bottom="0.75" header="0.3" footer="0.3"/>
  <pageSetup scale="58" fitToHeight="0" orientation="landscape" r:id="rId1"/>
  <headerFooter>
    <oddHeader>&amp;RPrinted: &amp;D &amp;T</oddHeader>
    <oddFooter>&amp;C&amp;Z&amp;F&amp;RTab: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workbookViewId="0">
      <selection activeCell="L28" sqref="L2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4" x14ac:dyDescent="0.25">
      <c r="B1" s="2" t="s">
        <v>0</v>
      </c>
    </row>
    <row r="2" spans="1:14" x14ac:dyDescent="0.25">
      <c r="B2" s="2" t="s">
        <v>1</v>
      </c>
    </row>
    <row r="3" spans="1:14" x14ac:dyDescent="0.25">
      <c r="B3" t="s">
        <v>2</v>
      </c>
    </row>
    <row r="4" spans="1:14" ht="15.75" thickBot="1" x14ac:dyDescent="0.3">
      <c r="B4" s="3" t="str">
        <f>+'[9]PT Rev JE 03'!A3</f>
        <v>Jan 2016</v>
      </c>
    </row>
    <row r="5" spans="1:14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4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</row>
    <row r="7" spans="1:14" x14ac:dyDescent="0.25">
      <c r="B7" s="13" t="s">
        <v>12</v>
      </c>
      <c r="H7" s="14">
        <v>2.9</v>
      </c>
      <c r="I7" s="15">
        <v>1.5</v>
      </c>
    </row>
    <row r="8" spans="1:14" x14ac:dyDescent="0.25">
      <c r="A8" s="16" t="s">
        <v>13</v>
      </c>
      <c r="B8" t="s">
        <v>14</v>
      </c>
      <c r="C8" s="17">
        <v>4</v>
      </c>
      <c r="D8" s="17">
        <v>140</v>
      </c>
      <c r="E8" s="17">
        <v>841</v>
      </c>
      <c r="F8" s="17">
        <v>0</v>
      </c>
      <c r="G8" s="17">
        <v>0</v>
      </c>
      <c r="H8" s="18">
        <v>3</v>
      </c>
      <c r="I8" s="19">
        <f>SUM(C8:E8)</f>
        <v>985</v>
      </c>
      <c r="J8" s="20">
        <f>+(H8*H$7)+(I8*I$7)</f>
        <v>1486.2</v>
      </c>
      <c r="K8" s="21">
        <v>0.08</v>
      </c>
      <c r="L8" s="20">
        <f>+J8*K8</f>
        <v>118.896</v>
      </c>
      <c r="M8" s="22">
        <f>+J8+L8</f>
        <v>1605.096</v>
      </c>
      <c r="N8" s="19">
        <f>+I8+H8+G8</f>
        <v>988</v>
      </c>
    </row>
    <row r="9" spans="1:14" x14ac:dyDescent="0.25">
      <c r="A9" s="16" t="s">
        <v>15</v>
      </c>
      <c r="B9" s="4" t="s">
        <v>16</v>
      </c>
      <c r="C9" s="17">
        <v>9</v>
      </c>
      <c r="D9" s="17">
        <v>423</v>
      </c>
      <c r="E9" s="17">
        <v>2540</v>
      </c>
      <c r="F9" s="17">
        <v>0</v>
      </c>
      <c r="G9" s="17">
        <v>0</v>
      </c>
      <c r="H9" s="18">
        <v>35</v>
      </c>
      <c r="I9" s="19">
        <f>SUM(C9:E9)</f>
        <v>2972</v>
      </c>
      <c r="J9" s="20">
        <f>+(H9*H$7)+(I9*I$7)</f>
        <v>4559.5</v>
      </c>
      <c r="K9" s="21">
        <v>0.08</v>
      </c>
      <c r="L9" s="20">
        <f>+J9*K9</f>
        <v>364.76</v>
      </c>
      <c r="M9" s="22">
        <f>+J9+L9</f>
        <v>4924.26</v>
      </c>
      <c r="N9" s="19">
        <f>+I9+H9+G9</f>
        <v>3007</v>
      </c>
    </row>
    <row r="10" spans="1:14" x14ac:dyDescent="0.25">
      <c r="A10" s="16" t="s">
        <v>17</v>
      </c>
      <c r="B10" s="4" t="s">
        <v>18</v>
      </c>
      <c r="C10" s="17">
        <v>3</v>
      </c>
      <c r="D10" s="17">
        <v>151</v>
      </c>
      <c r="E10" s="17">
        <v>1215</v>
      </c>
      <c r="F10" s="17">
        <v>0</v>
      </c>
      <c r="G10" s="17">
        <v>0</v>
      </c>
      <c r="H10" s="18">
        <v>7</v>
      </c>
      <c r="I10" s="19">
        <f>SUM(C10:E10)</f>
        <v>1369</v>
      </c>
      <c r="J10" s="20">
        <f>+(H10*H$7)+(I10*I$7)</f>
        <v>2073.8000000000002</v>
      </c>
      <c r="K10" s="21">
        <v>8.1000000000000003E-2</v>
      </c>
      <c r="L10" s="20">
        <f>+J10*K10</f>
        <v>167.97780000000003</v>
      </c>
      <c r="M10" s="22">
        <f>+J10+L10</f>
        <v>2241.7778000000003</v>
      </c>
      <c r="N10" s="19">
        <f>+I10+H10+G10</f>
        <v>1376</v>
      </c>
    </row>
    <row r="11" spans="1:14" x14ac:dyDescent="0.25">
      <c r="C11" s="23">
        <v>16</v>
      </c>
      <c r="D11" s="23">
        <v>714</v>
      </c>
      <c r="E11" s="23">
        <v>4596</v>
      </c>
      <c r="F11" s="23">
        <v>0</v>
      </c>
      <c r="G11" s="23">
        <v>0</v>
      </c>
      <c r="H11" s="24">
        <v>45</v>
      </c>
      <c r="I11" s="23">
        <f>SUM(I8:I10)</f>
        <v>5326</v>
      </c>
      <c r="J11" s="25">
        <f t="shared" ref="J11" si="0">SUM(J8:J10)</f>
        <v>8119.5</v>
      </c>
      <c r="K11" s="21"/>
      <c r="L11" s="25">
        <f>SUM(L8:L10)</f>
        <v>651.63380000000006</v>
      </c>
      <c r="M11" s="25">
        <f>SUM(M8:M10)</f>
        <v>8771.1337999999996</v>
      </c>
      <c r="N11" s="26">
        <f>+I11+H11+G11</f>
        <v>5371</v>
      </c>
    </row>
    <row r="12" spans="1:14" x14ac:dyDescent="0.25">
      <c r="H12" s="27"/>
      <c r="K12" s="21"/>
    </row>
    <row r="13" spans="1:14" x14ac:dyDescent="0.25">
      <c r="A13" s="16" t="s">
        <v>19</v>
      </c>
      <c r="B13" s="4" t="s">
        <v>20</v>
      </c>
      <c r="C13" s="17">
        <v>2</v>
      </c>
      <c r="D13" s="17">
        <v>114</v>
      </c>
      <c r="E13" s="17">
        <v>24562</v>
      </c>
      <c r="F13" s="17">
        <v>0</v>
      </c>
      <c r="G13" s="17">
        <v>0</v>
      </c>
      <c r="H13" s="18">
        <v>0</v>
      </c>
      <c r="I13" s="19">
        <f t="shared" ref="I13:I22" si="1">SUM(C13:E13)</f>
        <v>24678</v>
      </c>
      <c r="J13" s="20">
        <f t="shared" ref="J13:J21" si="2">+(H13*H$7)+(I13*I$7)</f>
        <v>37017</v>
      </c>
      <c r="K13" s="21">
        <v>8.5999999999999993E-2</v>
      </c>
      <c r="L13" s="20">
        <f t="shared" ref="L13:L21" si="3">+J13*K13</f>
        <v>3183.4619999999995</v>
      </c>
      <c r="M13" s="22">
        <f t="shared" ref="M13:M21" si="4">+J13+L13</f>
        <v>40200.462</v>
      </c>
      <c r="N13" s="19">
        <f t="shared" ref="N13:N21" si="5">+I13+H13+G13</f>
        <v>24678</v>
      </c>
    </row>
    <row r="14" spans="1:14" x14ac:dyDescent="0.25">
      <c r="A14" s="16" t="s">
        <v>21</v>
      </c>
      <c r="B14" t="s">
        <v>22</v>
      </c>
      <c r="C14" s="17">
        <v>0</v>
      </c>
      <c r="D14" s="17">
        <v>7</v>
      </c>
      <c r="E14" s="17">
        <v>99</v>
      </c>
      <c r="F14" s="17">
        <v>0</v>
      </c>
      <c r="G14" s="17">
        <v>0</v>
      </c>
      <c r="H14" s="18">
        <v>0</v>
      </c>
      <c r="I14" s="19">
        <f t="shared" si="1"/>
        <v>106</v>
      </c>
      <c r="J14" s="20">
        <f t="shared" si="2"/>
        <v>159</v>
      </c>
      <c r="K14" s="21">
        <v>8.5999999999999993E-2</v>
      </c>
      <c r="L14" s="20">
        <f t="shared" si="3"/>
        <v>13.673999999999999</v>
      </c>
      <c r="M14" s="22">
        <f t="shared" si="4"/>
        <v>172.67400000000001</v>
      </c>
      <c r="N14" s="19">
        <f t="shared" si="5"/>
        <v>106</v>
      </c>
    </row>
    <row r="15" spans="1:14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916</v>
      </c>
      <c r="F15" s="17">
        <v>0</v>
      </c>
      <c r="G15" s="17">
        <v>0</v>
      </c>
      <c r="H15" s="18">
        <v>5</v>
      </c>
      <c r="I15" s="19">
        <f t="shared" si="1"/>
        <v>916</v>
      </c>
      <c r="J15" s="20">
        <f>+(H15*H$7)+(I15*I$7)</f>
        <v>1388.5</v>
      </c>
      <c r="K15" s="21">
        <v>0.08</v>
      </c>
      <c r="L15" s="20">
        <f t="shared" si="3"/>
        <v>111.08</v>
      </c>
      <c r="M15" s="22">
        <f t="shared" si="4"/>
        <v>1499.58</v>
      </c>
      <c r="N15" s="19">
        <f t="shared" si="5"/>
        <v>921</v>
      </c>
    </row>
    <row r="16" spans="1:14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1098</v>
      </c>
      <c r="F16" s="17">
        <v>0</v>
      </c>
      <c r="G16" s="17">
        <v>0</v>
      </c>
      <c r="H16" s="18">
        <v>38</v>
      </c>
      <c r="I16" s="19">
        <f t="shared" si="1"/>
        <v>1099</v>
      </c>
      <c r="J16" s="20">
        <f t="shared" si="2"/>
        <v>1758.7</v>
      </c>
      <c r="K16" s="21">
        <v>8.1000000000000003E-2</v>
      </c>
      <c r="L16" s="20">
        <f t="shared" si="3"/>
        <v>142.4547</v>
      </c>
      <c r="M16" s="22">
        <f t="shared" si="4"/>
        <v>1901.1547</v>
      </c>
      <c r="N16" s="19">
        <f t="shared" si="5"/>
        <v>1137</v>
      </c>
    </row>
    <row r="17" spans="1:16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6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6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6" x14ac:dyDescent="0.25">
      <c r="A20" s="16" t="s">
        <v>32</v>
      </c>
      <c r="B20" s="28" t="s">
        <v>33</v>
      </c>
      <c r="C20" s="17">
        <v>0</v>
      </c>
      <c r="D20" s="17">
        <v>37</v>
      </c>
      <c r="E20" s="17">
        <v>2113</v>
      </c>
      <c r="F20" s="17">
        <v>0</v>
      </c>
      <c r="G20" s="17">
        <v>0</v>
      </c>
      <c r="H20" s="18">
        <v>2</v>
      </c>
      <c r="I20" s="19">
        <f t="shared" si="1"/>
        <v>2150</v>
      </c>
      <c r="J20" s="20">
        <f t="shared" si="2"/>
        <v>3230.8</v>
      </c>
      <c r="K20" s="21">
        <v>8.5999999999999993E-2</v>
      </c>
      <c r="L20" s="20">
        <f t="shared" si="3"/>
        <v>277.84879999999998</v>
      </c>
      <c r="M20" s="22">
        <f t="shared" si="4"/>
        <v>3508.6487999999999</v>
      </c>
      <c r="N20" s="19">
        <f t="shared" si="5"/>
        <v>2152</v>
      </c>
    </row>
    <row r="21" spans="1:16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778</v>
      </c>
      <c r="F21" s="17">
        <v>0</v>
      </c>
      <c r="G21" s="17">
        <v>0</v>
      </c>
      <c r="H21" s="18">
        <v>8</v>
      </c>
      <c r="I21" s="19">
        <f t="shared" si="1"/>
        <v>778</v>
      </c>
      <c r="J21" s="20">
        <f t="shared" si="2"/>
        <v>1190.2</v>
      </c>
      <c r="K21" s="21">
        <v>8.2000000000000003E-2</v>
      </c>
      <c r="L21" s="20">
        <f t="shared" si="3"/>
        <v>97.596400000000003</v>
      </c>
      <c r="M21" s="22">
        <f t="shared" si="4"/>
        <v>1287.7963999999999</v>
      </c>
      <c r="N21" s="19">
        <f t="shared" si="5"/>
        <v>786</v>
      </c>
    </row>
    <row r="22" spans="1:16" x14ac:dyDescent="0.25">
      <c r="A22" s="16"/>
      <c r="H22" s="27"/>
      <c r="I22" s="19">
        <f t="shared" si="1"/>
        <v>0</v>
      </c>
      <c r="K22" s="21"/>
    </row>
    <row r="23" spans="1:16" x14ac:dyDescent="0.25">
      <c r="A23" s="16"/>
      <c r="C23" s="29">
        <v>2</v>
      </c>
      <c r="D23" s="29">
        <v>160</v>
      </c>
      <c r="E23" s="29">
        <v>29822</v>
      </c>
      <c r="F23" s="29"/>
      <c r="G23" s="29">
        <v>0</v>
      </c>
      <c r="H23" s="30">
        <v>60</v>
      </c>
      <c r="I23" s="31">
        <f>SUM(I13:I22)</f>
        <v>29984</v>
      </c>
      <c r="J23" s="25">
        <f>SUM(J13:J22)</f>
        <v>45150</v>
      </c>
      <c r="K23" s="25"/>
      <c r="L23" s="25">
        <f>SUM(L13:L22)</f>
        <v>3858.399899999999</v>
      </c>
      <c r="M23" s="25">
        <f>SUM(M13:M22)</f>
        <v>49008.399900000004</v>
      </c>
      <c r="N23" s="26">
        <f>+I23+H23+G23</f>
        <v>30044</v>
      </c>
    </row>
    <row r="24" spans="1:16" ht="9" customHeight="1" x14ac:dyDescent="0.25">
      <c r="A24" s="16"/>
      <c r="H24" s="27"/>
      <c r="K24" s="21"/>
    </row>
    <row r="25" spans="1:16" x14ac:dyDescent="0.25">
      <c r="A25" s="16"/>
      <c r="B25" s="32" t="s">
        <v>36</v>
      </c>
      <c r="C25" s="33">
        <v>18</v>
      </c>
      <c r="D25" s="33">
        <v>874</v>
      </c>
      <c r="E25" s="33">
        <v>34418</v>
      </c>
      <c r="F25" s="33"/>
      <c r="G25" s="33">
        <v>0</v>
      </c>
      <c r="H25" s="34">
        <v>105</v>
      </c>
      <c r="I25" s="33">
        <f>+I23+I11</f>
        <v>35310</v>
      </c>
      <c r="J25" s="35">
        <f>+J11+J23</f>
        <v>53269.5</v>
      </c>
      <c r="K25" s="36"/>
      <c r="L25" s="15">
        <f>+L11+L23</f>
        <v>4510.033699999999</v>
      </c>
      <c r="M25" s="15">
        <f>+M11+M23</f>
        <v>57779.5337</v>
      </c>
      <c r="N25" s="19">
        <f>+N11+N23</f>
        <v>35415</v>
      </c>
      <c r="O25" s="17">
        <f>+GETPIVOTDATA("CanCount",[9]Old_Can_Sort!$A$4,"CompanyDivision","BDI")</f>
        <v>35415</v>
      </c>
      <c r="P25" s="19">
        <f>+O25-N25</f>
        <v>0</v>
      </c>
    </row>
    <row r="26" spans="1:16" x14ac:dyDescent="0.25">
      <c r="A26" s="16"/>
    </row>
    <row r="27" spans="1:16" x14ac:dyDescent="0.25">
      <c r="A27" s="16"/>
      <c r="B27" s="32" t="s">
        <v>37</v>
      </c>
    </row>
    <row r="28" spans="1:16" x14ac:dyDescent="0.25">
      <c r="A28" s="16" t="s">
        <v>13</v>
      </c>
      <c r="B28" t="s">
        <v>38</v>
      </c>
      <c r="C28" s="17">
        <v>1</v>
      </c>
      <c r="D28" s="17">
        <v>273</v>
      </c>
      <c r="E28" s="17">
        <v>3791</v>
      </c>
      <c r="F28" s="17">
        <v>0</v>
      </c>
      <c r="G28" s="17">
        <v>0</v>
      </c>
      <c r="H28" s="18">
        <v>34</v>
      </c>
      <c r="I28" s="19">
        <f t="shared" ref="I28" si="6">SUM(C28:E28)</f>
        <v>4065</v>
      </c>
      <c r="J28" s="20">
        <f t="shared" ref="J28" si="7">+(H28*H$7)+(I28*I$7)</f>
        <v>6196.1</v>
      </c>
      <c r="K28" s="21">
        <v>0.08</v>
      </c>
      <c r="L28" s="20">
        <f t="shared" ref="L28:L31" si="8">+J28*K28</f>
        <v>495.68800000000005</v>
      </c>
      <c r="M28" s="22">
        <f t="shared" ref="M28:M31" si="9">+J28+L28</f>
        <v>6691.7880000000005</v>
      </c>
      <c r="N28" s="19">
        <f t="shared" ref="N28:N32" si="10">+I28+H28+G28</f>
        <v>4099</v>
      </c>
    </row>
    <row r="29" spans="1:16" x14ac:dyDescent="0.25">
      <c r="A29" s="16">
        <v>12</v>
      </c>
      <c r="B29" t="s">
        <v>39</v>
      </c>
      <c r="C29" s="17">
        <v>0</v>
      </c>
      <c r="D29" s="17">
        <v>0</v>
      </c>
      <c r="E29" s="17">
        <v>103</v>
      </c>
      <c r="F29" s="17">
        <v>0</v>
      </c>
      <c r="G29" s="17">
        <v>0</v>
      </c>
      <c r="H29" s="18">
        <v>0</v>
      </c>
      <c r="I29" s="19">
        <f t="shared" ref="I29:I31" si="11">SUM(C29:E29)</f>
        <v>103</v>
      </c>
      <c r="J29" s="20">
        <f>+(H29*H$7)+(I29*I$7)</f>
        <v>154.5</v>
      </c>
      <c r="K29" s="21">
        <v>8.5999999999999993E-2</v>
      </c>
      <c r="L29" s="20">
        <f t="shared" si="8"/>
        <v>13.286999999999999</v>
      </c>
      <c r="M29" s="22">
        <f t="shared" si="9"/>
        <v>167.78700000000001</v>
      </c>
      <c r="N29" s="19">
        <f t="shared" si="10"/>
        <v>103</v>
      </c>
    </row>
    <row r="30" spans="1:16" x14ac:dyDescent="0.25">
      <c r="A30" s="16">
        <v>14</v>
      </c>
      <c r="B30" t="s">
        <v>40</v>
      </c>
      <c r="C30" s="17">
        <v>0</v>
      </c>
      <c r="D30" s="17">
        <v>15</v>
      </c>
      <c r="E30" s="17">
        <v>1183</v>
      </c>
      <c r="F30" s="17">
        <v>0</v>
      </c>
      <c r="G30" s="17">
        <v>0</v>
      </c>
      <c r="H30" s="18">
        <v>0</v>
      </c>
      <c r="I30" s="19">
        <f t="shared" si="11"/>
        <v>1198</v>
      </c>
      <c r="J30" s="20">
        <f>+(H30*H$7)+(I30*I$7)</f>
        <v>1797</v>
      </c>
      <c r="K30" s="21">
        <v>8.5999999999999993E-2</v>
      </c>
      <c r="L30" s="20">
        <f t="shared" si="8"/>
        <v>154.542</v>
      </c>
      <c r="M30" s="22">
        <f t="shared" si="9"/>
        <v>1951.5419999999999</v>
      </c>
      <c r="N30" s="19">
        <f t="shared" si="10"/>
        <v>1198</v>
      </c>
    </row>
    <row r="31" spans="1:16" x14ac:dyDescent="0.25">
      <c r="A31" s="16">
        <v>13</v>
      </c>
      <c r="B31" t="s">
        <v>41</v>
      </c>
      <c r="C31" s="17">
        <v>0</v>
      </c>
      <c r="D31" s="17">
        <v>59</v>
      </c>
      <c r="E31" s="17">
        <v>6952</v>
      </c>
      <c r="F31" s="17">
        <v>0</v>
      </c>
      <c r="G31" s="17">
        <v>0</v>
      </c>
      <c r="H31" s="18">
        <v>0</v>
      </c>
      <c r="I31" s="19">
        <f t="shared" si="11"/>
        <v>7011</v>
      </c>
      <c r="J31" s="20">
        <f>+(H31*H$7)+(I31*I$7)</f>
        <v>10516.5</v>
      </c>
      <c r="K31" s="21">
        <v>8.5999999999999993E-2</v>
      </c>
      <c r="L31" s="20">
        <f t="shared" si="8"/>
        <v>904.41899999999998</v>
      </c>
      <c r="M31" s="22">
        <f t="shared" si="9"/>
        <v>11420.919</v>
      </c>
      <c r="N31" s="19">
        <f t="shared" si="10"/>
        <v>7011</v>
      </c>
    </row>
    <row r="32" spans="1:16" x14ac:dyDescent="0.25">
      <c r="A32" s="16"/>
      <c r="B32" s="37" t="s">
        <v>42</v>
      </c>
      <c r="C32" s="26">
        <v>1</v>
      </c>
      <c r="D32" s="26">
        <v>347</v>
      </c>
      <c r="E32" s="26">
        <v>12029</v>
      </c>
      <c r="F32" s="26"/>
      <c r="G32" s="26">
        <v>0</v>
      </c>
      <c r="H32" s="26">
        <v>34</v>
      </c>
      <c r="I32" s="26">
        <f>SUM(I28:I31)</f>
        <v>12377</v>
      </c>
      <c r="J32" s="38">
        <f>SUM(J28:J31)</f>
        <v>18664.099999999999</v>
      </c>
      <c r="K32" s="2"/>
      <c r="L32" s="39">
        <f>SUM(L28:L31)</f>
        <v>1567.9360000000001</v>
      </c>
      <c r="M32" s="39">
        <f>SUM(M28:M31)</f>
        <v>20232.036</v>
      </c>
      <c r="N32" s="26">
        <f t="shared" si="10"/>
        <v>12411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5</v>
      </c>
      <c r="F38" s="17">
        <v>0</v>
      </c>
      <c r="G38" s="17">
        <v>13</v>
      </c>
      <c r="H38" s="18">
        <v>89</v>
      </c>
      <c r="I38" s="19">
        <f>SUM(C38:F38)</f>
        <v>5</v>
      </c>
      <c r="J38" s="20">
        <f>+(C38*C$36)+(D38*D$37)+(E38*E$36)+(F38*F$36)+(G38*G$36)+(H38*H$36)</f>
        <v>326.05</v>
      </c>
      <c r="K38" s="21">
        <v>7.9000000000000001E-2</v>
      </c>
      <c r="L38" s="20">
        <f t="shared" ref="L38:L46" si="12">+J38*K38</f>
        <v>25.757950000000001</v>
      </c>
      <c r="M38" s="22">
        <f t="shared" ref="M38:M46" si="13">+J38+L38</f>
        <v>351.80795000000001</v>
      </c>
      <c r="N38" s="19">
        <f t="shared" ref="N38:N47" si="14">+I38+H38+G38</f>
        <v>107</v>
      </c>
    </row>
    <row r="39" spans="1:14" x14ac:dyDescent="0.25">
      <c r="A39" s="16" t="s">
        <v>45</v>
      </c>
      <c r="B39" s="42" t="s">
        <v>47</v>
      </c>
      <c r="C39" s="17">
        <v>182</v>
      </c>
      <c r="D39" s="17">
        <v>656</v>
      </c>
      <c r="E39" s="17">
        <v>1260</v>
      </c>
      <c r="F39" s="17">
        <v>0</v>
      </c>
      <c r="G39" s="17">
        <v>15</v>
      </c>
      <c r="H39" s="18">
        <v>488</v>
      </c>
      <c r="I39" s="19">
        <f t="shared" ref="I39:I46" si="15">SUM(C39:F39)</f>
        <v>2098</v>
      </c>
      <c r="J39" s="20">
        <f>+(C39*C$36)+(D39*D$37)+(E39*E$36)+(F39*F$36)+(G39*G$36)+(H39*H$36)</f>
        <v>4173.05</v>
      </c>
      <c r="K39" s="21">
        <v>7.9000000000000001E-2</v>
      </c>
      <c r="L39" s="20">
        <f t="shared" si="12"/>
        <v>329.67095</v>
      </c>
      <c r="M39" s="22">
        <f t="shared" si="13"/>
        <v>4502.7209499999999</v>
      </c>
      <c r="N39" s="19">
        <f t="shared" si="14"/>
        <v>2601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1857</v>
      </c>
      <c r="E40" s="17">
        <v>654</v>
      </c>
      <c r="F40" s="17">
        <v>1352</v>
      </c>
      <c r="G40" s="17">
        <v>5</v>
      </c>
      <c r="H40" s="18">
        <v>13</v>
      </c>
      <c r="I40" s="19">
        <f t="shared" si="15"/>
        <v>3865</v>
      </c>
      <c r="J40" s="20">
        <f>+(C40*C$36)+(D40*D$36)+(E40*E$36)+(F40*F$36)+(G40*G$36)+(H40*H$36)</f>
        <v>4306.8500000000004</v>
      </c>
      <c r="K40" s="21">
        <v>8.2000000000000003E-2</v>
      </c>
      <c r="L40" s="20">
        <f t="shared" si="12"/>
        <v>353.16170000000005</v>
      </c>
      <c r="M40" s="22">
        <f t="shared" si="13"/>
        <v>4660.0117</v>
      </c>
      <c r="N40" s="19">
        <f t="shared" si="14"/>
        <v>3883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27</v>
      </c>
      <c r="E41" s="17">
        <v>2025</v>
      </c>
      <c r="F41" s="17">
        <v>9</v>
      </c>
      <c r="G41" s="17">
        <v>1</v>
      </c>
      <c r="H41" s="18">
        <v>45</v>
      </c>
      <c r="I41" s="19">
        <f t="shared" si="15"/>
        <v>2061</v>
      </c>
      <c r="J41" s="20">
        <f>+(C41*C$36)+(D41*D$36)+(E41*E$36)+(F41*F$36)+(G41*G$36)+(H41*H$36)</f>
        <v>2413.85</v>
      </c>
      <c r="K41" s="21">
        <v>8.1000000000000003E-2</v>
      </c>
      <c r="L41" s="20">
        <f t="shared" si="12"/>
        <v>195.52185</v>
      </c>
      <c r="M41" s="22">
        <f t="shared" si="13"/>
        <v>2609.37185</v>
      </c>
      <c r="N41" s="19">
        <f t="shared" si="14"/>
        <v>2107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507</v>
      </c>
      <c r="E42" s="17">
        <v>587</v>
      </c>
      <c r="F42" s="17">
        <v>531</v>
      </c>
      <c r="G42" s="17">
        <v>3</v>
      </c>
      <c r="H42" s="18">
        <v>3</v>
      </c>
      <c r="I42" s="19">
        <f t="shared" si="15"/>
        <v>1625</v>
      </c>
      <c r="J42" s="20">
        <f>+(C42*C$36)+(D42*D$36)+(E42*E$36)+(G42*G$36)+(H42*H$36)+(F42*F$36)</f>
        <v>1805.35</v>
      </c>
      <c r="K42" s="21">
        <v>7.9000000000000001E-2</v>
      </c>
      <c r="L42" s="20">
        <f t="shared" si="12"/>
        <v>142.62264999999999</v>
      </c>
      <c r="M42" s="22">
        <f t="shared" si="13"/>
        <v>1947.9726499999999</v>
      </c>
      <c r="N42" s="19">
        <f t="shared" si="14"/>
        <v>1631</v>
      </c>
    </row>
    <row r="43" spans="1:14" x14ac:dyDescent="0.25">
      <c r="A43" s="16" t="s">
        <v>54</v>
      </c>
      <c r="B43" t="s">
        <v>55</v>
      </c>
      <c r="C43" s="17">
        <v>88</v>
      </c>
      <c r="D43" s="17">
        <v>341</v>
      </c>
      <c r="E43" s="17">
        <v>604</v>
      </c>
      <c r="F43" s="17">
        <v>0</v>
      </c>
      <c r="G43" s="17">
        <v>0</v>
      </c>
      <c r="H43" s="18">
        <v>23</v>
      </c>
      <c r="I43" s="19">
        <f t="shared" ref="I43" si="16">SUM(C43:F43)</f>
        <v>1033</v>
      </c>
      <c r="J43" s="20">
        <f>+(C43*C$36)+(D43*D$36)+(E43*E$36)+(F43*F$36)+(G43*G$36)+(H43*H$36)</f>
        <v>1209.9000000000001</v>
      </c>
      <c r="K43" s="21">
        <v>7.9000000000000001E-2</v>
      </c>
      <c r="L43" s="20">
        <f t="shared" si="12"/>
        <v>95.582100000000011</v>
      </c>
      <c r="M43" s="22">
        <f t="shared" si="13"/>
        <v>1305.4821000000002</v>
      </c>
      <c r="N43" s="19">
        <f t="shared" si="14"/>
        <v>1056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5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2"/>
        <v>0</v>
      </c>
      <c r="M44" s="22">
        <f t="shared" si="13"/>
        <v>0</v>
      </c>
      <c r="N44" s="19">
        <f t="shared" si="14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5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2"/>
        <v>0.34760000000000002</v>
      </c>
      <c r="M45" s="22">
        <f t="shared" si="13"/>
        <v>4.7476000000000003</v>
      </c>
      <c r="N45" s="19">
        <f t="shared" si="14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3</v>
      </c>
      <c r="I46" s="19">
        <f t="shared" si="15"/>
        <v>4</v>
      </c>
      <c r="J46" s="20">
        <f>+(C46*C$36)+(D46*D$36)+(E46*E$36)+(G46*G$36)+(H46*H$36)+(F46*F$36)</f>
        <v>16.75</v>
      </c>
      <c r="K46" s="21">
        <v>7.9000000000000001E-2</v>
      </c>
      <c r="L46" s="20">
        <f t="shared" si="12"/>
        <v>1.32325</v>
      </c>
      <c r="M46" s="22">
        <f t="shared" si="13"/>
        <v>18.073250000000002</v>
      </c>
      <c r="N46" s="19">
        <f t="shared" si="14"/>
        <v>8</v>
      </c>
    </row>
    <row r="47" spans="1:14" x14ac:dyDescent="0.25">
      <c r="A47" s="16"/>
      <c r="B47" s="37" t="s">
        <v>61</v>
      </c>
      <c r="C47" s="26">
        <v>273</v>
      </c>
      <c r="D47" s="26">
        <v>3392</v>
      </c>
      <c r="E47" s="26">
        <v>5138</v>
      </c>
      <c r="F47" s="26">
        <v>1892</v>
      </c>
      <c r="G47" s="26">
        <v>38</v>
      </c>
      <c r="H47" s="26">
        <v>664</v>
      </c>
      <c r="I47" s="26">
        <f>SUM(I38:I46)</f>
        <v>10695</v>
      </c>
      <c r="J47" s="43">
        <f t="shared" ref="J47" si="17">SUM(J38:J46)</f>
        <v>14256.2</v>
      </c>
      <c r="K47" s="2"/>
      <c r="L47" s="44">
        <f>SUM(L38:L46)</f>
        <v>1143.9880499999999</v>
      </c>
      <c r="M47" s="44">
        <f>SUM(M38:M46)</f>
        <v>15400.188050000001</v>
      </c>
      <c r="N47" s="26">
        <f t="shared" si="14"/>
        <v>11397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180</v>
      </c>
      <c r="D52" s="17">
        <v>1171</v>
      </c>
      <c r="E52" s="17">
        <v>2533</v>
      </c>
      <c r="F52" s="45">
        <v>0</v>
      </c>
      <c r="G52" s="17">
        <v>1</v>
      </c>
      <c r="H52" s="18">
        <v>193</v>
      </c>
      <c r="I52" s="19">
        <f t="shared" ref="I52:I57" si="18">SUM(C52:F52)</f>
        <v>3884</v>
      </c>
      <c r="J52" s="20">
        <f>+(C52*C$50)+(D52*D$50)+(E52*E$50)+(G52*G$50)+(H52*H$50)+(F52*F$51)</f>
        <v>6374.35</v>
      </c>
      <c r="K52" s="21">
        <v>8.1000000000000003E-2</v>
      </c>
      <c r="L52" s="20">
        <f t="shared" ref="L52:L57" si="19">+J52*K52</f>
        <v>516.32235000000003</v>
      </c>
      <c r="M52" s="22">
        <f t="shared" ref="M52:M57" si="20">+J52+L52</f>
        <v>6890.6723500000007</v>
      </c>
      <c r="N52" s="19">
        <f t="shared" ref="N52:N58" si="21">+I52+H52+G52</f>
        <v>4078</v>
      </c>
    </row>
    <row r="53" spans="1:14" x14ac:dyDescent="0.25">
      <c r="A53" s="16" t="s">
        <v>65</v>
      </c>
      <c r="B53" t="s">
        <v>66</v>
      </c>
      <c r="C53" s="17">
        <v>6</v>
      </c>
      <c r="D53" s="17">
        <v>84</v>
      </c>
      <c r="E53" s="17">
        <v>203</v>
      </c>
      <c r="F53" s="17">
        <v>0</v>
      </c>
      <c r="G53" s="17">
        <v>0</v>
      </c>
      <c r="H53" s="18">
        <v>69</v>
      </c>
      <c r="I53" s="19">
        <f t="shared" si="18"/>
        <v>293</v>
      </c>
      <c r="J53" s="20">
        <f>+(C53*C$50)+(D53*D$50)+(E53*E$50)+(G53*G$50)+(H53*H$50)+(F53*F$51)</f>
        <v>657.90000000000009</v>
      </c>
      <c r="K53" s="21">
        <v>8.1000000000000003E-2</v>
      </c>
      <c r="L53" s="20">
        <f t="shared" si="19"/>
        <v>53.28990000000001</v>
      </c>
      <c r="M53" s="22">
        <f t="shared" si="20"/>
        <v>711.18990000000008</v>
      </c>
      <c r="N53" s="19">
        <f t="shared" si="21"/>
        <v>362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8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9"/>
        <v>0</v>
      </c>
      <c r="M54" s="22">
        <f t="shared" si="20"/>
        <v>0</v>
      </c>
      <c r="N54" s="19">
        <f t="shared" si="21"/>
        <v>0</v>
      </c>
    </row>
    <row r="55" spans="1:14" x14ac:dyDescent="0.25">
      <c r="A55" s="16" t="s">
        <v>68</v>
      </c>
      <c r="B55" t="s">
        <v>69</v>
      </c>
      <c r="C55" s="17">
        <v>258</v>
      </c>
      <c r="D55" s="17">
        <v>1382</v>
      </c>
      <c r="E55" s="17">
        <v>1315</v>
      </c>
      <c r="F55" s="45">
        <v>667</v>
      </c>
      <c r="G55" s="17">
        <v>0</v>
      </c>
      <c r="H55" s="18">
        <v>15</v>
      </c>
      <c r="I55" s="19">
        <f t="shared" si="18"/>
        <v>3622</v>
      </c>
      <c r="J55" s="20">
        <f>+(C55*C$50)+(D55*D$50)+(E55*E$50)+(G55*G$50)+(H55*H$50)+(F55*F$51)</f>
        <v>5377.8</v>
      </c>
      <c r="K55" s="21">
        <v>8.6999999999999994E-2</v>
      </c>
      <c r="L55" s="20">
        <f t="shared" si="19"/>
        <v>467.86859999999996</v>
      </c>
      <c r="M55" s="22">
        <f t="shared" si="20"/>
        <v>5845.6686</v>
      </c>
      <c r="N55" s="19">
        <f t="shared" si="21"/>
        <v>3637</v>
      </c>
    </row>
    <row r="56" spans="1:14" x14ac:dyDescent="0.25">
      <c r="A56" s="16" t="s">
        <v>70</v>
      </c>
      <c r="B56" t="s">
        <v>71</v>
      </c>
      <c r="C56" s="17">
        <v>28</v>
      </c>
      <c r="D56" s="17">
        <v>105</v>
      </c>
      <c r="E56" s="17">
        <v>283</v>
      </c>
      <c r="F56" s="17">
        <v>0</v>
      </c>
      <c r="G56" s="17">
        <v>0</v>
      </c>
      <c r="H56" s="18">
        <v>1</v>
      </c>
      <c r="I56" s="19">
        <f t="shared" si="18"/>
        <v>416</v>
      </c>
      <c r="J56" s="20">
        <f>+(C56*C$50)+(D56*D$50)+(E56*E$50)+(G56*G$50)+(H56*H$50)+(F56*F$51)</f>
        <v>616</v>
      </c>
      <c r="K56" s="21">
        <v>8.8999999999999996E-2</v>
      </c>
      <c r="L56" s="20">
        <f t="shared" si="19"/>
        <v>54.823999999999998</v>
      </c>
      <c r="M56" s="22">
        <f t="shared" si="20"/>
        <v>670.82399999999996</v>
      </c>
      <c r="N56" s="19">
        <f t="shared" si="21"/>
        <v>417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9812</v>
      </c>
      <c r="G57" s="17">
        <v>0</v>
      </c>
      <c r="H57" s="18">
        <v>0</v>
      </c>
      <c r="I57" s="19">
        <f t="shared" si="18"/>
        <v>9813</v>
      </c>
      <c r="J57" s="20">
        <f>+(C57*C$50)+(D57*D$50)+(E57*E$50)+(G57*G$50)+(H57*H$50)+(F57*F$50)</f>
        <v>6869.9</v>
      </c>
      <c r="K57" s="21">
        <v>8.8999999999999996E-2</v>
      </c>
      <c r="L57" s="20">
        <f t="shared" si="19"/>
        <v>611.42109999999991</v>
      </c>
      <c r="M57" s="22">
        <f t="shared" si="20"/>
        <v>7481.3210999999992</v>
      </c>
      <c r="N57" s="19">
        <f t="shared" si="21"/>
        <v>9813</v>
      </c>
    </row>
    <row r="58" spans="1:14" x14ac:dyDescent="0.25">
      <c r="A58" s="16"/>
      <c r="B58" s="37" t="s">
        <v>73</v>
      </c>
      <c r="C58" s="26">
        <f>SUM(C52:C57)</f>
        <v>472</v>
      </c>
      <c r="D58" s="26">
        <f t="shared" ref="D58:G58" si="22">SUM(D52:D57)</f>
        <v>2743</v>
      </c>
      <c r="E58" s="26">
        <f t="shared" si="22"/>
        <v>4334</v>
      </c>
      <c r="F58" s="26">
        <f t="shared" si="22"/>
        <v>10479</v>
      </c>
      <c r="G58" s="26">
        <f t="shared" si="22"/>
        <v>1</v>
      </c>
      <c r="H58" s="26">
        <f>SUM(H52:H57)</f>
        <v>278</v>
      </c>
      <c r="I58" s="26">
        <f>SUM(I52:I57)</f>
        <v>18028</v>
      </c>
      <c r="J58" s="43">
        <f>SUM(J52:J57)</f>
        <v>19895.949999999997</v>
      </c>
      <c r="K58" s="2"/>
      <c r="L58" s="44">
        <f>SUM(L52:L57)</f>
        <v>1703.72595</v>
      </c>
      <c r="M58" s="44">
        <f>SUM(M52:M57)</f>
        <v>21599.675950000001</v>
      </c>
      <c r="N58" s="26">
        <f t="shared" si="21"/>
        <v>18307</v>
      </c>
    </row>
    <row r="60" spans="1:14" x14ac:dyDescent="0.25">
      <c r="B60" s="46" t="s">
        <v>74</v>
      </c>
      <c r="C60" s="33">
        <f t="shared" ref="C60:G60" si="23">+C25+C32+C47+C58</f>
        <v>764</v>
      </c>
      <c r="D60" s="33">
        <f t="shared" si="23"/>
        <v>7356</v>
      </c>
      <c r="E60" s="33">
        <f t="shared" si="23"/>
        <v>55919</v>
      </c>
      <c r="F60" s="33">
        <f t="shared" si="23"/>
        <v>12371</v>
      </c>
      <c r="G60" s="33">
        <f t="shared" si="23"/>
        <v>39</v>
      </c>
      <c r="H60" s="33">
        <f>+H25+H32+H47+H58</f>
        <v>1081</v>
      </c>
      <c r="I60" s="33">
        <f>+I25+I32+I47+I58</f>
        <v>76410</v>
      </c>
      <c r="J60" s="35">
        <f>+J25+J32+J47+J58</f>
        <v>106085.75</v>
      </c>
      <c r="L60" s="15">
        <f>+L25+L32+L47+L58</f>
        <v>8925.6836999999996</v>
      </c>
      <c r="M60" s="15">
        <f>+M25+M32+M47+M58</f>
        <v>115011.43369999999</v>
      </c>
    </row>
    <row r="61" spans="1:14" x14ac:dyDescent="0.25">
      <c r="H61" t="s">
        <v>10</v>
      </c>
      <c r="I61" s="19">
        <f>+I60+H60+G60</f>
        <v>77530</v>
      </c>
    </row>
    <row r="62" spans="1:14" x14ac:dyDescent="0.25">
      <c r="H62" t="s">
        <v>75</v>
      </c>
      <c r="I62" s="17">
        <f>+[9]CanData!N1</f>
        <v>80641</v>
      </c>
    </row>
    <row r="63" spans="1:14" x14ac:dyDescent="0.25">
      <c r="H63" s="46" t="s">
        <v>76</v>
      </c>
      <c r="I63" s="19">
        <f>+I62-I61</f>
        <v>3111</v>
      </c>
    </row>
    <row r="64" spans="1:14" x14ac:dyDescent="0.25">
      <c r="E64" t="s">
        <v>77</v>
      </c>
      <c r="H64" s="46" t="s">
        <v>78</v>
      </c>
      <c r="I64" s="19">
        <f>+[9]CanData!P1</f>
        <v>3111</v>
      </c>
    </row>
    <row r="65" spans="8:10" x14ac:dyDescent="0.25">
      <c r="H65" s="46" t="s">
        <v>76</v>
      </c>
      <c r="I65" s="50">
        <f>+I63-I64</f>
        <v>0</v>
      </c>
      <c r="J65" s="2" t="s">
        <v>80</v>
      </c>
    </row>
  </sheetData>
  <mergeCells count="1">
    <mergeCell ref="C5:H5"/>
  </mergeCells>
  <pageMargins left="0.2" right="0.2" top="0.25" bottom="0.25" header="0.3" footer="0.3"/>
  <pageSetup scale="74" orientation="portrait" r:id="rId1"/>
  <headerFooter>
    <oddHeader>&amp;RPrinted: &amp;D &amp;T</oddHeader>
    <oddFooter>&amp;C&amp;Z&amp;F&amp;RTab: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A13" workbookViewId="0">
      <selection activeCell="H17" sqref="H17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</cols>
  <sheetData>
    <row r="1" spans="1:13" x14ac:dyDescent="0.25">
      <c r="B1" s="2" t="s">
        <v>0</v>
      </c>
    </row>
    <row r="2" spans="1:13" x14ac:dyDescent="0.25">
      <c r="B2" s="2" t="s">
        <v>1</v>
      </c>
    </row>
    <row r="3" spans="1:13" x14ac:dyDescent="0.25">
      <c r="B3" t="s">
        <v>2</v>
      </c>
    </row>
    <row r="4" spans="1:13" ht="15.75" thickBot="1" x14ac:dyDescent="0.3">
      <c r="B4" s="3" t="str">
        <f>+'[10]PT Rev JE'!B3</f>
        <v>Nov 2015</v>
      </c>
    </row>
    <row r="5" spans="1:13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3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</row>
    <row r="7" spans="1:13" x14ac:dyDescent="0.25">
      <c r="B7" s="13" t="s">
        <v>12</v>
      </c>
      <c r="H7" s="14">
        <v>2.9</v>
      </c>
      <c r="I7" s="15">
        <v>1.5</v>
      </c>
    </row>
    <row r="8" spans="1:13" x14ac:dyDescent="0.25">
      <c r="A8" s="16" t="s">
        <v>13</v>
      </c>
      <c r="B8" t="s">
        <v>14</v>
      </c>
      <c r="C8" s="17">
        <v>4</v>
      </c>
      <c r="D8" s="17">
        <v>146</v>
      </c>
      <c r="E8" s="17">
        <v>832</v>
      </c>
      <c r="F8" s="17">
        <v>0</v>
      </c>
      <c r="G8" s="17">
        <v>0</v>
      </c>
      <c r="H8" s="18">
        <v>3</v>
      </c>
      <c r="I8" s="19">
        <f>SUM(C8:E8)</f>
        <v>982</v>
      </c>
      <c r="J8" s="20">
        <f>+(H8*H$7)+(I8*I$7)</f>
        <v>1481.7</v>
      </c>
      <c r="K8" s="21">
        <v>0.08</v>
      </c>
      <c r="L8" s="20">
        <f>+J8*K8</f>
        <v>118.536</v>
      </c>
      <c r="M8" s="22">
        <f>+J8+L8</f>
        <v>1600.2360000000001</v>
      </c>
    </row>
    <row r="9" spans="1:13" x14ac:dyDescent="0.25">
      <c r="A9" s="16" t="s">
        <v>15</v>
      </c>
      <c r="B9" s="4" t="s">
        <v>16</v>
      </c>
      <c r="C9" s="17">
        <v>9</v>
      </c>
      <c r="D9" s="17">
        <v>426</v>
      </c>
      <c r="E9" s="17">
        <v>2532</v>
      </c>
      <c r="F9" s="17">
        <v>0</v>
      </c>
      <c r="G9" s="17">
        <v>0</v>
      </c>
      <c r="H9" s="18">
        <v>37</v>
      </c>
      <c r="I9" s="19">
        <f>SUM(C9:E9)</f>
        <v>2967</v>
      </c>
      <c r="J9" s="20">
        <f>+(H9*H$7)+(I9*I$7)</f>
        <v>4557.8</v>
      </c>
      <c r="K9" s="21">
        <v>0.08</v>
      </c>
      <c r="L9" s="20">
        <f>+J9*K9</f>
        <v>364.62400000000002</v>
      </c>
      <c r="M9" s="22">
        <f>+J9+L9</f>
        <v>4922.424</v>
      </c>
    </row>
    <row r="10" spans="1:13" x14ac:dyDescent="0.25">
      <c r="A10" s="16" t="s">
        <v>17</v>
      </c>
      <c r="B10" s="4" t="s">
        <v>18</v>
      </c>
      <c r="C10" s="17">
        <v>3</v>
      </c>
      <c r="D10" s="17">
        <v>154</v>
      </c>
      <c r="E10" s="17">
        <v>1217</v>
      </c>
      <c r="F10" s="17">
        <v>0</v>
      </c>
      <c r="G10" s="17">
        <v>0</v>
      </c>
      <c r="H10" s="18">
        <v>7</v>
      </c>
      <c r="I10" s="19">
        <f>SUM(C10:E10)</f>
        <v>1374</v>
      </c>
      <c r="J10" s="20">
        <f>+(H10*H$7)+(I10*I$7)</f>
        <v>2081.3000000000002</v>
      </c>
      <c r="K10" s="21">
        <v>8.1000000000000003E-2</v>
      </c>
      <c r="L10" s="20">
        <f>+J10*K10</f>
        <v>168.58530000000002</v>
      </c>
      <c r="M10" s="22">
        <f>+J10+L10</f>
        <v>2249.8853000000004</v>
      </c>
    </row>
    <row r="11" spans="1:13" x14ac:dyDescent="0.25">
      <c r="C11" s="23">
        <v>16</v>
      </c>
      <c r="D11" s="23">
        <v>726</v>
      </c>
      <c r="E11" s="23">
        <v>4581</v>
      </c>
      <c r="F11" s="23">
        <v>0</v>
      </c>
      <c r="G11" s="23">
        <v>0</v>
      </c>
      <c r="H11" s="24">
        <v>47</v>
      </c>
      <c r="I11" s="23">
        <f t="shared" ref="I11:J11" si="0">SUM(I8:I10)</f>
        <v>5323</v>
      </c>
      <c r="J11" s="25">
        <f t="shared" si="0"/>
        <v>8120.8</v>
      </c>
      <c r="K11" s="21"/>
      <c r="L11" s="25">
        <f>SUM(L8:L10)</f>
        <v>651.74530000000004</v>
      </c>
      <c r="M11" s="25">
        <f>SUM(M8:M10)</f>
        <v>8772.5452999999998</v>
      </c>
    </row>
    <row r="12" spans="1:13" x14ac:dyDescent="0.25">
      <c r="H12" s="27"/>
      <c r="K12" s="21"/>
    </row>
    <row r="13" spans="1:13" x14ac:dyDescent="0.25">
      <c r="A13" s="16" t="s">
        <v>19</v>
      </c>
      <c r="B13" s="4" t="s">
        <v>20</v>
      </c>
      <c r="C13" s="17">
        <v>2</v>
      </c>
      <c r="D13" s="17">
        <v>111</v>
      </c>
      <c r="E13" s="17">
        <v>24449</v>
      </c>
      <c r="F13" s="17">
        <v>0</v>
      </c>
      <c r="G13" s="17">
        <v>0</v>
      </c>
      <c r="H13" s="18">
        <v>0</v>
      </c>
      <c r="I13" s="19">
        <f t="shared" ref="I13:I22" si="1">SUM(C13:E13)</f>
        <v>24562</v>
      </c>
      <c r="J13" s="20">
        <f t="shared" ref="J13:J21" si="2">+(H13*H$7)+(I13*I$7)</f>
        <v>36843</v>
      </c>
      <c r="K13" s="21">
        <v>8.5999999999999993E-2</v>
      </c>
      <c r="L13" s="20">
        <f t="shared" ref="L13:L21" si="3">+J13*K13</f>
        <v>3168.4979999999996</v>
      </c>
      <c r="M13" s="22">
        <f t="shared" ref="M13:M21" si="4">+J13+L13</f>
        <v>40011.498</v>
      </c>
    </row>
    <row r="14" spans="1:13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99</v>
      </c>
      <c r="F14" s="17">
        <v>0</v>
      </c>
      <c r="G14" s="17">
        <v>0</v>
      </c>
      <c r="H14" s="18">
        <v>0</v>
      </c>
      <c r="I14" s="19">
        <f t="shared" si="1"/>
        <v>107</v>
      </c>
      <c r="J14" s="20">
        <f t="shared" si="2"/>
        <v>160.5</v>
      </c>
      <c r="K14" s="21">
        <v>8.5999999999999993E-2</v>
      </c>
      <c r="L14" s="20">
        <f t="shared" si="3"/>
        <v>13.802999999999999</v>
      </c>
      <c r="M14" s="22">
        <f t="shared" si="4"/>
        <v>174.303</v>
      </c>
    </row>
    <row r="15" spans="1:13" x14ac:dyDescent="0.25">
      <c r="A15" s="16" t="s">
        <v>23</v>
      </c>
      <c r="B15" t="s">
        <v>83</v>
      </c>
      <c r="C15" s="17">
        <v>0</v>
      </c>
      <c r="D15" s="17">
        <v>0</v>
      </c>
      <c r="E15" s="17">
        <v>919</v>
      </c>
      <c r="F15" s="17">
        <v>0</v>
      </c>
      <c r="G15" s="17">
        <v>0</v>
      </c>
      <c r="H15" s="18">
        <v>6</v>
      </c>
      <c r="I15" s="19">
        <f t="shared" si="1"/>
        <v>919</v>
      </c>
      <c r="J15" s="20">
        <f>+(H15*H$7)+(I15*I$7)</f>
        <v>1395.9</v>
      </c>
      <c r="K15" s="21">
        <v>0.08</v>
      </c>
      <c r="L15" s="20">
        <f t="shared" si="3"/>
        <v>111.67200000000001</v>
      </c>
      <c r="M15" s="22">
        <f t="shared" si="4"/>
        <v>1507.5720000000001</v>
      </c>
    </row>
    <row r="16" spans="1:13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1104</v>
      </c>
      <c r="F16" s="17">
        <v>0</v>
      </c>
      <c r="G16" s="17">
        <v>0</v>
      </c>
      <c r="H16" s="18">
        <v>38</v>
      </c>
      <c r="I16" s="19">
        <f t="shared" si="1"/>
        <v>1105</v>
      </c>
      <c r="J16" s="20">
        <f t="shared" si="2"/>
        <v>1767.7</v>
      </c>
      <c r="K16" s="21">
        <v>8.1000000000000003E-2</v>
      </c>
      <c r="L16" s="20">
        <f t="shared" si="3"/>
        <v>143.18370000000002</v>
      </c>
      <c r="M16" s="22">
        <f t="shared" si="4"/>
        <v>1910.8837000000001</v>
      </c>
    </row>
    <row r="17" spans="1:13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</row>
    <row r="18" spans="1:13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</row>
    <row r="19" spans="1:13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</row>
    <row r="20" spans="1:13" x14ac:dyDescent="0.25">
      <c r="A20" s="16" t="s">
        <v>32</v>
      </c>
      <c r="B20" s="28" t="s">
        <v>33</v>
      </c>
      <c r="C20" s="17">
        <v>0</v>
      </c>
      <c r="D20" s="17">
        <v>36</v>
      </c>
      <c r="E20" s="17">
        <v>2113</v>
      </c>
      <c r="F20" s="17">
        <v>0</v>
      </c>
      <c r="G20" s="17">
        <v>0</v>
      </c>
      <c r="H20" s="18">
        <v>2</v>
      </c>
      <c r="I20" s="19">
        <f t="shared" si="1"/>
        <v>2149</v>
      </c>
      <c r="J20" s="20">
        <f t="shared" si="2"/>
        <v>3229.3</v>
      </c>
      <c r="K20" s="21">
        <v>8.5999999999999993E-2</v>
      </c>
      <c r="L20" s="20">
        <f t="shared" si="3"/>
        <v>277.71980000000002</v>
      </c>
      <c r="M20" s="22">
        <f t="shared" si="4"/>
        <v>3507.0198</v>
      </c>
    </row>
    <row r="21" spans="1:13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779</v>
      </c>
      <c r="F21" s="17">
        <v>0</v>
      </c>
      <c r="G21" s="17">
        <v>0</v>
      </c>
      <c r="H21" s="18">
        <v>8</v>
      </c>
      <c r="I21" s="19">
        <f t="shared" si="1"/>
        <v>779</v>
      </c>
      <c r="J21" s="20">
        <f t="shared" si="2"/>
        <v>1191.7</v>
      </c>
      <c r="K21" s="21">
        <v>8.2000000000000003E-2</v>
      </c>
      <c r="L21" s="20">
        <f t="shared" si="3"/>
        <v>97.719400000000007</v>
      </c>
      <c r="M21" s="22">
        <f t="shared" si="4"/>
        <v>1289.4194</v>
      </c>
    </row>
    <row r="22" spans="1:13" x14ac:dyDescent="0.25">
      <c r="A22" s="16"/>
      <c r="H22" s="27"/>
      <c r="I22" s="19">
        <f t="shared" si="1"/>
        <v>0</v>
      </c>
      <c r="K22" s="21"/>
    </row>
    <row r="23" spans="1:13" x14ac:dyDescent="0.25">
      <c r="A23" s="16"/>
      <c r="C23" s="29">
        <v>2</v>
      </c>
      <c r="D23" s="29">
        <v>157</v>
      </c>
      <c r="E23" s="29">
        <v>29719</v>
      </c>
      <c r="F23" s="29"/>
      <c r="G23" s="29">
        <v>0</v>
      </c>
      <c r="H23" s="30">
        <v>61</v>
      </c>
      <c r="I23" s="31">
        <f>SUM(I13:I22)</f>
        <v>29878</v>
      </c>
      <c r="J23" s="25">
        <f>SUM(J13:J22)</f>
        <v>44993.9</v>
      </c>
      <c r="K23" s="25"/>
      <c r="L23" s="25">
        <f>SUM(L13:L22)</f>
        <v>3844.879899999999</v>
      </c>
      <c r="M23" s="25">
        <f>SUM(M13:M22)</f>
        <v>48838.779900000001</v>
      </c>
    </row>
    <row r="24" spans="1:13" ht="9" customHeight="1" x14ac:dyDescent="0.25">
      <c r="A24" s="16"/>
      <c r="H24" s="27"/>
      <c r="K24" s="21"/>
    </row>
    <row r="25" spans="1:13" x14ac:dyDescent="0.25">
      <c r="A25" s="16"/>
      <c r="B25" s="32" t="s">
        <v>36</v>
      </c>
      <c r="C25" s="33">
        <v>18</v>
      </c>
      <c r="D25" s="33">
        <v>883</v>
      </c>
      <c r="E25" s="33">
        <v>34300</v>
      </c>
      <c r="F25" s="33"/>
      <c r="G25" s="33">
        <v>0</v>
      </c>
      <c r="H25" s="34">
        <v>108</v>
      </c>
      <c r="I25" s="33">
        <f>+I23+I11</f>
        <v>35201</v>
      </c>
      <c r="J25" s="35">
        <f>+J11+J23</f>
        <v>53114.700000000004</v>
      </c>
      <c r="K25" s="36"/>
      <c r="L25" s="15">
        <f>+L11+L23</f>
        <v>4496.6251999999986</v>
      </c>
      <c r="M25" s="15">
        <f>+M11+M23</f>
        <v>57611.325199999999</v>
      </c>
    </row>
    <row r="26" spans="1:13" x14ac:dyDescent="0.25">
      <c r="A26" s="16"/>
    </row>
    <row r="27" spans="1:13" x14ac:dyDescent="0.25">
      <c r="A27" s="16"/>
      <c r="B27" s="32" t="s">
        <v>37</v>
      </c>
    </row>
    <row r="28" spans="1:13" x14ac:dyDescent="0.25">
      <c r="A28" s="16" t="s">
        <v>13</v>
      </c>
      <c r="B28" t="s">
        <v>38</v>
      </c>
      <c r="C28" s="17">
        <v>1</v>
      </c>
      <c r="D28" s="17">
        <v>279</v>
      </c>
      <c r="E28" s="17">
        <v>3787</v>
      </c>
      <c r="F28" s="17">
        <v>0</v>
      </c>
      <c r="G28" s="17">
        <v>0</v>
      </c>
      <c r="H28" s="18">
        <v>34</v>
      </c>
      <c r="I28" s="19">
        <f t="shared" ref="I28" si="5">SUM(C28:E28)</f>
        <v>4067</v>
      </c>
      <c r="J28" s="20">
        <f t="shared" ref="J28" si="6">+(H28*H$7)+(I28*I$7)</f>
        <v>6199.1</v>
      </c>
      <c r="K28" s="21">
        <v>0.08</v>
      </c>
      <c r="L28" s="20">
        <f t="shared" ref="L28:L31" si="7">+J28*K28</f>
        <v>495.92800000000005</v>
      </c>
      <c r="M28" s="22">
        <f t="shared" ref="M28:M31" si="8">+J28+L28</f>
        <v>6695.0280000000002</v>
      </c>
    </row>
    <row r="29" spans="1:13" x14ac:dyDescent="0.25">
      <c r="A29" s="16">
        <v>12</v>
      </c>
      <c r="B29" t="s">
        <v>39</v>
      </c>
      <c r="C29" s="17">
        <v>0</v>
      </c>
      <c r="D29" s="17">
        <v>0</v>
      </c>
      <c r="E29" s="17">
        <v>97</v>
      </c>
      <c r="F29" s="17">
        <v>0</v>
      </c>
      <c r="G29" s="17">
        <v>0</v>
      </c>
      <c r="H29" s="18">
        <v>0</v>
      </c>
      <c r="I29" s="19">
        <f t="shared" ref="I29:I31" si="9">SUM(C29:E29)</f>
        <v>97</v>
      </c>
      <c r="J29" s="20">
        <f>+(H29*H$7)+(I29*I$7)</f>
        <v>145.5</v>
      </c>
      <c r="K29" s="21">
        <v>8.5999999999999993E-2</v>
      </c>
      <c r="L29" s="20">
        <f t="shared" si="7"/>
        <v>12.512999999999998</v>
      </c>
      <c r="M29" s="22">
        <f t="shared" si="8"/>
        <v>158.01300000000001</v>
      </c>
    </row>
    <row r="30" spans="1:13" x14ac:dyDescent="0.25">
      <c r="A30" s="16">
        <v>14</v>
      </c>
      <c r="B30" t="s">
        <v>40</v>
      </c>
      <c r="C30" s="17">
        <v>0</v>
      </c>
      <c r="D30" s="17">
        <v>15</v>
      </c>
      <c r="E30" s="17">
        <v>1178</v>
      </c>
      <c r="F30" s="17">
        <v>0</v>
      </c>
      <c r="G30" s="17">
        <v>0</v>
      </c>
      <c r="H30" s="18">
        <v>0</v>
      </c>
      <c r="I30" s="19">
        <f t="shared" si="9"/>
        <v>1193</v>
      </c>
      <c r="J30" s="20">
        <f>+(H30*H$7)+(I30*I$7)</f>
        <v>1789.5</v>
      </c>
      <c r="K30" s="21">
        <v>8.5999999999999993E-2</v>
      </c>
      <c r="L30" s="20">
        <f t="shared" si="7"/>
        <v>153.89699999999999</v>
      </c>
      <c r="M30" s="22">
        <f t="shared" si="8"/>
        <v>1943.3969999999999</v>
      </c>
    </row>
    <row r="31" spans="1:13" x14ac:dyDescent="0.25">
      <c r="A31" s="16">
        <v>13</v>
      </c>
      <c r="B31" t="s">
        <v>41</v>
      </c>
      <c r="C31" s="17">
        <v>0</v>
      </c>
      <c r="D31" s="17">
        <v>59</v>
      </c>
      <c r="E31" s="17">
        <v>6903</v>
      </c>
      <c r="F31" s="17">
        <v>0</v>
      </c>
      <c r="G31" s="17">
        <v>0</v>
      </c>
      <c r="H31" s="18">
        <v>0</v>
      </c>
      <c r="I31" s="19">
        <f t="shared" si="9"/>
        <v>6962</v>
      </c>
      <c r="J31" s="20">
        <f>+(H31*H$7)+(I31*I$7)</f>
        <v>10443</v>
      </c>
      <c r="K31" s="21">
        <v>8.5999999999999993E-2</v>
      </c>
      <c r="L31" s="20">
        <f t="shared" si="7"/>
        <v>898.09799999999996</v>
      </c>
      <c r="M31" s="22">
        <f t="shared" si="8"/>
        <v>11341.098</v>
      </c>
    </row>
    <row r="32" spans="1:13" x14ac:dyDescent="0.25">
      <c r="A32" s="16"/>
      <c r="B32" s="37" t="s">
        <v>42</v>
      </c>
      <c r="C32" s="26">
        <v>1</v>
      </c>
      <c r="D32" s="26">
        <v>353</v>
      </c>
      <c r="E32" s="26">
        <v>11965</v>
      </c>
      <c r="F32" s="26"/>
      <c r="G32" s="26">
        <v>0</v>
      </c>
      <c r="H32" s="26">
        <v>34</v>
      </c>
      <c r="I32" s="26">
        <f>SUM(I28:I31)</f>
        <v>12319</v>
      </c>
      <c r="J32" s="38">
        <f>SUM(J28:J31)</f>
        <v>18577.099999999999</v>
      </c>
      <c r="K32" s="2"/>
      <c r="L32" s="39">
        <f>SUM(L28:L31)</f>
        <v>1560.4359999999999</v>
      </c>
      <c r="M32" s="39">
        <f>SUM(M28:M31)</f>
        <v>20137.536</v>
      </c>
    </row>
    <row r="33" spans="1:13" x14ac:dyDescent="0.25">
      <c r="A33" s="16"/>
    </row>
    <row r="34" spans="1:13" ht="15.75" thickBot="1" x14ac:dyDescent="0.3">
      <c r="A34" s="16"/>
    </row>
    <row r="35" spans="1:13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3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3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3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4</v>
      </c>
      <c r="F38" s="17">
        <v>0</v>
      </c>
      <c r="G38" s="17">
        <v>13</v>
      </c>
      <c r="H38" s="18">
        <v>89</v>
      </c>
      <c r="I38" s="19">
        <f>SUM(C38:F38)</f>
        <v>4</v>
      </c>
      <c r="J38" s="20">
        <f>+(C38*C$36)+(D38*D$37)+(E38*E$36)+(F38*F$36)+(G38*G$36)+(H38*H$36)</f>
        <v>324.95</v>
      </c>
      <c r="K38" s="21">
        <v>7.9000000000000001E-2</v>
      </c>
      <c r="L38" s="20">
        <f t="shared" ref="L38:L46" si="10">+J38*K38</f>
        <v>25.671050000000001</v>
      </c>
      <c r="M38" s="22">
        <f t="shared" ref="M38:M46" si="11">+J38+L38</f>
        <v>350.62104999999997</v>
      </c>
    </row>
    <row r="39" spans="1:13" x14ac:dyDescent="0.25">
      <c r="A39" s="16" t="s">
        <v>45</v>
      </c>
      <c r="B39" s="42" t="s">
        <v>47</v>
      </c>
      <c r="C39" s="17">
        <v>186</v>
      </c>
      <c r="D39" s="17">
        <v>664</v>
      </c>
      <c r="E39" s="17">
        <v>1262</v>
      </c>
      <c r="F39" s="17">
        <v>0</v>
      </c>
      <c r="G39" s="17">
        <v>16</v>
      </c>
      <c r="H39" s="18">
        <v>498</v>
      </c>
      <c r="I39" s="19">
        <f t="shared" ref="I39:I46" si="12">SUM(C39:F39)</f>
        <v>2112</v>
      </c>
      <c r="J39" s="20">
        <f>+(C39*C$36)+(D39*D$37)+(E39*E$36)+(F39*F$36)+(G39*G$36)+(H39*H$36)</f>
        <v>4226.4000000000005</v>
      </c>
      <c r="K39" s="21">
        <v>7.9000000000000001E-2</v>
      </c>
      <c r="L39" s="20">
        <f t="shared" si="10"/>
        <v>333.88560000000007</v>
      </c>
      <c r="M39" s="22">
        <f t="shared" si="11"/>
        <v>4560.2856000000011</v>
      </c>
    </row>
    <row r="40" spans="1:13" x14ac:dyDescent="0.25">
      <c r="A40" s="16" t="s">
        <v>48</v>
      </c>
      <c r="B40" t="s">
        <v>49</v>
      </c>
      <c r="C40" s="17">
        <v>2</v>
      </c>
      <c r="D40" s="17">
        <v>1871</v>
      </c>
      <c r="E40" s="17">
        <v>650</v>
      </c>
      <c r="F40" s="17">
        <v>1343</v>
      </c>
      <c r="G40" s="17">
        <v>5</v>
      </c>
      <c r="H40" s="18">
        <v>13</v>
      </c>
      <c r="I40" s="19">
        <f t="shared" si="12"/>
        <v>3866</v>
      </c>
      <c r="J40" s="20">
        <f>+(C40*C$36)+(D40*D$36)+(E40*E$36)+(F40*F$36)+(G40*G$36)+(H40*H$36)</f>
        <v>4307.9500000000007</v>
      </c>
      <c r="K40" s="21">
        <v>8.2000000000000003E-2</v>
      </c>
      <c r="L40" s="20">
        <f t="shared" si="10"/>
        <v>353.25190000000009</v>
      </c>
      <c r="M40" s="22">
        <f t="shared" si="11"/>
        <v>4661.2019000000009</v>
      </c>
    </row>
    <row r="41" spans="1:13" x14ac:dyDescent="0.25">
      <c r="A41" s="16" t="s">
        <v>50</v>
      </c>
      <c r="B41" t="s">
        <v>51</v>
      </c>
      <c r="C41" s="17">
        <v>0</v>
      </c>
      <c r="D41" s="17">
        <v>26</v>
      </c>
      <c r="E41" s="17">
        <v>2019</v>
      </c>
      <c r="F41" s="17">
        <v>9</v>
      </c>
      <c r="G41" s="17">
        <v>1</v>
      </c>
      <c r="H41" s="18">
        <v>47</v>
      </c>
      <c r="I41" s="19">
        <f t="shared" si="12"/>
        <v>2054</v>
      </c>
      <c r="J41" s="20">
        <f>+(C41*C$36)+(D41*D$36)+(E41*E$36)+(F41*F$36)+(G41*G$36)+(H41*H$36)</f>
        <v>2412.5500000000002</v>
      </c>
      <c r="K41" s="21">
        <v>8.1000000000000003E-2</v>
      </c>
      <c r="L41" s="20">
        <f t="shared" si="10"/>
        <v>195.41655000000003</v>
      </c>
      <c r="M41" s="22">
        <f t="shared" si="11"/>
        <v>2607.9665500000001</v>
      </c>
    </row>
    <row r="42" spans="1:13" x14ac:dyDescent="0.25">
      <c r="A42" s="16" t="s">
        <v>52</v>
      </c>
      <c r="B42" t="s">
        <v>53</v>
      </c>
      <c r="C42" s="17">
        <v>0</v>
      </c>
      <c r="D42" s="17">
        <v>515</v>
      </c>
      <c r="E42" s="17">
        <v>580</v>
      </c>
      <c r="F42" s="17">
        <v>520</v>
      </c>
      <c r="G42" s="17">
        <v>3</v>
      </c>
      <c r="H42" s="18">
        <v>3</v>
      </c>
      <c r="I42" s="19">
        <f t="shared" si="12"/>
        <v>1615</v>
      </c>
      <c r="J42" s="20">
        <f>+(C42*C$36)+(D42*D$36)+(E42*E$36)+(G42*G$36)+(H42*H$36)+(F42*F$36)</f>
        <v>1794.35</v>
      </c>
      <c r="K42" s="21">
        <v>7.9000000000000001E-2</v>
      </c>
      <c r="L42" s="20">
        <f t="shared" si="10"/>
        <v>141.75364999999999</v>
      </c>
      <c r="M42" s="22">
        <f t="shared" si="11"/>
        <v>1936.10365</v>
      </c>
    </row>
    <row r="43" spans="1:13" x14ac:dyDescent="0.25">
      <c r="A43" s="16" t="s">
        <v>54</v>
      </c>
      <c r="B43" t="s">
        <v>55</v>
      </c>
      <c r="C43" s="17">
        <v>89</v>
      </c>
      <c r="D43" s="17">
        <v>348</v>
      </c>
      <c r="E43" s="17">
        <v>597</v>
      </c>
      <c r="F43" s="17">
        <v>0</v>
      </c>
      <c r="G43" s="17">
        <v>0</v>
      </c>
      <c r="H43" s="18">
        <v>24</v>
      </c>
      <c r="I43" s="19">
        <f t="shared" ref="I43" si="13">SUM(C43:F43)</f>
        <v>1034</v>
      </c>
      <c r="J43" s="20">
        <f>+(C43*C$36)+(D43*D$36)+(E43*E$36)+(F43*F$36)+(G43*G$36)+(H43*H$36)</f>
        <v>1214.2</v>
      </c>
      <c r="K43" s="21">
        <v>7.9000000000000001E-2</v>
      </c>
      <c r="L43" s="20">
        <f t="shared" si="10"/>
        <v>95.921800000000005</v>
      </c>
      <c r="M43" s="22">
        <f t="shared" si="11"/>
        <v>1310.1218000000001</v>
      </c>
    </row>
    <row r="44" spans="1:13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2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0"/>
        <v>0</v>
      </c>
      <c r="M44" s="22">
        <f t="shared" si="11"/>
        <v>0</v>
      </c>
    </row>
    <row r="45" spans="1:13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2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0"/>
        <v>0.34760000000000002</v>
      </c>
      <c r="M45" s="22">
        <f t="shared" si="11"/>
        <v>4.7476000000000003</v>
      </c>
    </row>
    <row r="46" spans="1:13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3</v>
      </c>
      <c r="I46" s="19">
        <f t="shared" si="12"/>
        <v>4</v>
      </c>
      <c r="J46" s="20">
        <f>+(C46*C$36)+(D46*D$36)+(E46*E$36)+(G46*G$36)+(H46*H$36)+(F46*F$36)</f>
        <v>16.75</v>
      </c>
      <c r="K46" s="21">
        <v>7.9000000000000001E-2</v>
      </c>
      <c r="L46" s="20">
        <f t="shared" si="10"/>
        <v>1.32325</v>
      </c>
      <c r="M46" s="22">
        <f t="shared" si="11"/>
        <v>18.073250000000002</v>
      </c>
    </row>
    <row r="47" spans="1:13" x14ac:dyDescent="0.25">
      <c r="A47" s="16"/>
      <c r="B47" s="37" t="s">
        <v>61</v>
      </c>
      <c r="C47" s="26">
        <v>278</v>
      </c>
      <c r="D47" s="26">
        <v>3428</v>
      </c>
      <c r="E47" s="26">
        <v>5115</v>
      </c>
      <c r="F47" s="26">
        <v>1872</v>
      </c>
      <c r="G47" s="26">
        <v>39</v>
      </c>
      <c r="H47" s="26">
        <v>677</v>
      </c>
      <c r="I47" s="26">
        <f t="shared" ref="I47:J47" si="14">SUM(I38:I46)</f>
        <v>10693</v>
      </c>
      <c r="J47" s="43">
        <f t="shared" si="14"/>
        <v>14301.550000000003</v>
      </c>
      <c r="K47" s="2"/>
      <c r="L47" s="44">
        <f>SUM(L38:L46)</f>
        <v>1147.5714000000003</v>
      </c>
      <c r="M47" s="44">
        <f>SUM(M38:M46)</f>
        <v>15449.121400000004</v>
      </c>
    </row>
    <row r="48" spans="1:13" ht="9.6" customHeight="1" thickBot="1" x14ac:dyDescent="0.3">
      <c r="A48" s="16"/>
    </row>
    <row r="49" spans="1:13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3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3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3" x14ac:dyDescent="0.25">
      <c r="A52" s="16" t="s">
        <v>17</v>
      </c>
      <c r="B52" t="s">
        <v>64</v>
      </c>
      <c r="C52" s="17">
        <v>183</v>
      </c>
      <c r="D52" s="17">
        <v>1175</v>
      </c>
      <c r="E52" s="17">
        <v>2548</v>
      </c>
      <c r="F52" s="45">
        <v>0</v>
      </c>
      <c r="G52" s="17">
        <v>1</v>
      </c>
      <c r="H52" s="18">
        <v>201</v>
      </c>
      <c r="I52" s="19">
        <f t="shared" ref="I52:I57" si="15">SUM(C52:F52)</f>
        <v>3906</v>
      </c>
      <c r="J52" s="20">
        <f>+(C52*C$50)+(D52*D$50)+(E52*E$50)+(G52*G$50)+(H52*H$50)+(F52*F$51)</f>
        <v>6431.75</v>
      </c>
      <c r="K52" s="21">
        <v>8.1000000000000003E-2</v>
      </c>
      <c r="L52" s="20">
        <f t="shared" ref="L52:L57" si="16">+J52*K52</f>
        <v>520.97175000000004</v>
      </c>
      <c r="M52" s="22">
        <f t="shared" ref="M52:M57" si="17">+J52+L52</f>
        <v>6952.7217499999997</v>
      </c>
    </row>
    <row r="53" spans="1:13" x14ac:dyDescent="0.25">
      <c r="A53" s="16" t="s">
        <v>65</v>
      </c>
      <c r="B53" t="s">
        <v>66</v>
      </c>
      <c r="C53" s="17">
        <v>6</v>
      </c>
      <c r="D53" s="17">
        <v>89</v>
      </c>
      <c r="E53" s="17">
        <v>202</v>
      </c>
      <c r="F53" s="17">
        <v>0</v>
      </c>
      <c r="G53" s="17">
        <v>0</v>
      </c>
      <c r="H53" s="18">
        <v>75</v>
      </c>
      <c r="I53" s="19">
        <f t="shared" si="15"/>
        <v>297</v>
      </c>
      <c r="J53" s="20">
        <f>+(C53*C$50)+(D53*D$50)+(E53*E$50)+(G53*G$50)+(H53*H$50)+(F53*F$51)</f>
        <v>683.1</v>
      </c>
      <c r="K53" s="21">
        <v>8.1000000000000003E-2</v>
      </c>
      <c r="L53" s="20">
        <f t="shared" si="16"/>
        <v>55.331100000000006</v>
      </c>
      <c r="M53" s="22">
        <f t="shared" si="17"/>
        <v>738.43110000000001</v>
      </c>
    </row>
    <row r="54" spans="1:13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5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6"/>
        <v>0</v>
      </c>
      <c r="M54" s="22">
        <f t="shared" si="17"/>
        <v>0</v>
      </c>
    </row>
    <row r="55" spans="1:13" x14ac:dyDescent="0.25">
      <c r="A55" s="16" t="s">
        <v>68</v>
      </c>
      <c r="B55" t="s">
        <v>69</v>
      </c>
      <c r="C55" s="17">
        <v>251</v>
      </c>
      <c r="D55" s="17">
        <v>1373</v>
      </c>
      <c r="E55" s="17">
        <v>1309</v>
      </c>
      <c r="F55" s="45">
        <v>658</v>
      </c>
      <c r="G55" s="17">
        <v>0</v>
      </c>
      <c r="H55" s="18">
        <v>16</v>
      </c>
      <c r="I55" s="19">
        <f t="shared" si="15"/>
        <v>3591</v>
      </c>
      <c r="J55" s="20">
        <f>+(C55*C$50)+(D55*D$50)+(E55*E$50)+(G55*G$50)+(H55*H$50)+(F55*F$51)</f>
        <v>5337.3</v>
      </c>
      <c r="K55" s="21">
        <v>8.6999999999999994E-2</v>
      </c>
      <c r="L55" s="20">
        <f t="shared" si="16"/>
        <v>464.3451</v>
      </c>
      <c r="M55" s="22">
        <f t="shared" si="17"/>
        <v>5801.6450999999997</v>
      </c>
    </row>
    <row r="56" spans="1:13" x14ac:dyDescent="0.25">
      <c r="A56" s="16" t="s">
        <v>70</v>
      </c>
      <c r="B56" t="s">
        <v>71</v>
      </c>
      <c r="C56" s="17">
        <v>29</v>
      </c>
      <c r="D56" s="17">
        <v>107</v>
      </c>
      <c r="E56" s="17">
        <v>280</v>
      </c>
      <c r="F56" s="17">
        <v>0</v>
      </c>
      <c r="G56" s="17">
        <v>0</v>
      </c>
      <c r="H56" s="18">
        <v>1</v>
      </c>
      <c r="I56" s="19">
        <f t="shared" si="15"/>
        <v>416</v>
      </c>
      <c r="J56" s="20">
        <f>+(C56*C$50)+(D56*D$50)+(E56*E$50)+(G56*G$50)+(H56*H$50)+(F56*F$51)</f>
        <v>615.6</v>
      </c>
      <c r="K56" s="21">
        <v>8.8999999999999996E-2</v>
      </c>
      <c r="L56" s="20">
        <f t="shared" si="16"/>
        <v>54.788400000000003</v>
      </c>
      <c r="M56" s="22">
        <f t="shared" si="17"/>
        <v>670.38840000000005</v>
      </c>
    </row>
    <row r="57" spans="1:13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9802</v>
      </c>
      <c r="G57" s="17">
        <v>0</v>
      </c>
      <c r="H57" s="18">
        <v>0</v>
      </c>
      <c r="I57" s="19">
        <f t="shared" si="15"/>
        <v>9803</v>
      </c>
      <c r="J57" s="20">
        <f>+(C57*C$50)+(D57*D$50)+(E57*E$50)+(G57*G$50)+(H57*H$50)+(F57*F$50)</f>
        <v>6862.9</v>
      </c>
      <c r="K57" s="21">
        <v>8.8999999999999996E-2</v>
      </c>
      <c r="L57" s="20">
        <f t="shared" si="16"/>
        <v>610.79809999999998</v>
      </c>
      <c r="M57" s="22">
        <f t="shared" si="17"/>
        <v>7473.6980999999996</v>
      </c>
    </row>
    <row r="58" spans="1:13" x14ac:dyDescent="0.25">
      <c r="A58" s="16"/>
      <c r="B58" s="37" t="s">
        <v>73</v>
      </c>
      <c r="C58" s="26">
        <f>SUM(C52:C57)</f>
        <v>469</v>
      </c>
      <c r="D58" s="26">
        <f t="shared" ref="D58:I58" si="18">SUM(D52:D57)</f>
        <v>2745</v>
      </c>
      <c r="E58" s="26">
        <f t="shared" si="18"/>
        <v>4339</v>
      </c>
      <c r="F58" s="26">
        <f t="shared" si="18"/>
        <v>10460</v>
      </c>
      <c r="G58" s="26">
        <f t="shared" si="18"/>
        <v>1</v>
      </c>
      <c r="H58" s="26">
        <f t="shared" si="18"/>
        <v>293</v>
      </c>
      <c r="I58" s="26">
        <f t="shared" si="18"/>
        <v>18013</v>
      </c>
      <c r="J58" s="43">
        <f>SUM(J52:J57)</f>
        <v>19930.650000000001</v>
      </c>
      <c r="K58" s="2"/>
      <c r="L58" s="44">
        <f>SUM(L52:L57)</f>
        <v>1706.2344499999999</v>
      </c>
      <c r="M58" s="44">
        <f>SUM(M52:M57)</f>
        <v>21636.884449999998</v>
      </c>
    </row>
    <row r="60" spans="1:13" x14ac:dyDescent="0.25">
      <c r="B60" s="46" t="s">
        <v>74</v>
      </c>
      <c r="C60" s="33">
        <f t="shared" ref="C60:H60" si="19">+C25+C32+C47+C58</f>
        <v>766</v>
      </c>
      <c r="D60" s="33">
        <f t="shared" si="19"/>
        <v>7409</v>
      </c>
      <c r="E60" s="33">
        <f t="shared" si="19"/>
        <v>55719</v>
      </c>
      <c r="F60" s="33">
        <f t="shared" si="19"/>
        <v>12332</v>
      </c>
      <c r="G60" s="33">
        <f t="shared" si="19"/>
        <v>40</v>
      </c>
      <c r="H60" s="33">
        <f t="shared" si="19"/>
        <v>1112</v>
      </c>
      <c r="I60" s="33">
        <f>+I25+I32+I47+I58</f>
        <v>76226</v>
      </c>
      <c r="J60" s="35">
        <f>+J25+J32+J47+J58</f>
        <v>105924</v>
      </c>
      <c r="L60" s="15">
        <f>+L25+L32+L47+L58</f>
        <v>8910.8670499999989</v>
      </c>
      <c r="M60" s="15">
        <f>+M25+M32+M47+M58</f>
        <v>114834.86705</v>
      </c>
    </row>
    <row r="61" spans="1:13" x14ac:dyDescent="0.25">
      <c r="H61" t="s">
        <v>10</v>
      </c>
      <c r="I61" s="19">
        <f>+I60+H60+G60</f>
        <v>77378</v>
      </c>
    </row>
    <row r="62" spans="1:13" x14ac:dyDescent="0.25">
      <c r="H62" t="s">
        <v>75</v>
      </c>
      <c r="I62" s="17">
        <f>+[10]CanData!N1</f>
        <v>80478</v>
      </c>
    </row>
    <row r="63" spans="1:13" x14ac:dyDescent="0.25">
      <c r="H63" s="46" t="s">
        <v>76</v>
      </c>
      <c r="I63" s="19">
        <f>+I62-I61</f>
        <v>3100</v>
      </c>
    </row>
    <row r="64" spans="1:13" x14ac:dyDescent="0.25">
      <c r="E64" t="s">
        <v>84</v>
      </c>
      <c r="H64" s="46" t="s">
        <v>78</v>
      </c>
      <c r="I64" s="19">
        <f>+[10]CanData!P1</f>
        <v>3100</v>
      </c>
    </row>
    <row r="65" spans="8:9" x14ac:dyDescent="0.25">
      <c r="H65" s="46" t="s">
        <v>76</v>
      </c>
      <c r="I65" s="17">
        <f>+I63-I64</f>
        <v>0</v>
      </c>
    </row>
  </sheetData>
  <mergeCells count="1">
    <mergeCell ref="C5:H5"/>
  </mergeCells>
  <pageMargins left="0.2" right="0.2" top="0.25" bottom="0.25" header="0.3" footer="0.3"/>
  <pageSetup scale="75" orientation="portrait" r:id="rId1"/>
  <headerFooter>
    <oddHeader>&amp;RPrinted: &amp;D &amp;T</oddHeader>
    <oddFooter>&amp;C&amp;Z&amp;F&amp;RTab: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opLeftCell="A31" workbookViewId="0">
      <selection activeCell="H42" sqref="H42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4" x14ac:dyDescent="0.25">
      <c r="B1" s="2" t="s">
        <v>0</v>
      </c>
    </row>
    <row r="2" spans="1:14" x14ac:dyDescent="0.25">
      <c r="B2" s="2" t="s">
        <v>1</v>
      </c>
    </row>
    <row r="3" spans="1:14" x14ac:dyDescent="0.25">
      <c r="B3" t="s">
        <v>2</v>
      </c>
    </row>
    <row r="4" spans="1:14" ht="15.75" thickBot="1" x14ac:dyDescent="0.3">
      <c r="B4" s="3" t="str">
        <f>+'[11]PT Rev JE'!B3</f>
        <v>Dec15</v>
      </c>
    </row>
    <row r="5" spans="1:14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4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</row>
    <row r="7" spans="1:14" x14ac:dyDescent="0.25">
      <c r="B7" s="13" t="s">
        <v>12</v>
      </c>
      <c r="H7" s="14">
        <v>2.9</v>
      </c>
      <c r="I7" s="15">
        <v>1.5</v>
      </c>
    </row>
    <row r="8" spans="1:14" x14ac:dyDescent="0.25">
      <c r="A8" s="16" t="s">
        <v>13</v>
      </c>
      <c r="B8" t="s">
        <v>14</v>
      </c>
      <c r="C8" s="17">
        <v>4</v>
      </c>
      <c r="D8" s="17">
        <v>142</v>
      </c>
      <c r="E8" s="17">
        <v>847</v>
      </c>
      <c r="F8" s="17">
        <v>0</v>
      </c>
      <c r="G8" s="17">
        <v>0</v>
      </c>
      <c r="H8" s="18">
        <v>3</v>
      </c>
      <c r="I8" s="19">
        <f>SUM(C8:E8)</f>
        <v>993</v>
      </c>
      <c r="J8" s="20">
        <f>+(H8*H$7)+(I8*I$7)</f>
        <v>1498.2</v>
      </c>
      <c r="K8" s="21">
        <v>0.08</v>
      </c>
      <c r="L8" s="20">
        <f>+J8*K8</f>
        <v>119.85600000000001</v>
      </c>
      <c r="M8" s="22">
        <f>+J8+L8</f>
        <v>1618.056</v>
      </c>
      <c r="N8" s="19">
        <f>+I8+H8+G8</f>
        <v>996</v>
      </c>
    </row>
    <row r="9" spans="1:14" x14ac:dyDescent="0.25">
      <c r="A9" s="16" t="s">
        <v>15</v>
      </c>
      <c r="B9" s="4" t="s">
        <v>16</v>
      </c>
      <c r="C9" s="17">
        <v>9</v>
      </c>
      <c r="D9" s="17">
        <v>423</v>
      </c>
      <c r="E9" s="17">
        <v>2533</v>
      </c>
      <c r="F9" s="17">
        <v>0</v>
      </c>
      <c r="G9" s="17">
        <v>0</v>
      </c>
      <c r="H9" s="18">
        <v>35</v>
      </c>
      <c r="I9" s="19">
        <f>SUM(C9:E9)</f>
        <v>2965</v>
      </c>
      <c r="J9" s="20">
        <f>+(H9*H$7)+(I9*I$7)</f>
        <v>4549</v>
      </c>
      <c r="K9" s="21">
        <v>0.08</v>
      </c>
      <c r="L9" s="20">
        <f>+J9*K9</f>
        <v>363.92</v>
      </c>
      <c r="M9" s="22">
        <f>+J9+L9</f>
        <v>4912.92</v>
      </c>
      <c r="N9" s="19">
        <f>+I9+H9+G9</f>
        <v>3000</v>
      </c>
    </row>
    <row r="10" spans="1:14" x14ac:dyDescent="0.25">
      <c r="A10" s="16" t="s">
        <v>17</v>
      </c>
      <c r="B10" s="4" t="s">
        <v>18</v>
      </c>
      <c r="C10" s="17">
        <v>3</v>
      </c>
      <c r="D10" s="17">
        <v>153</v>
      </c>
      <c r="E10" s="17">
        <v>1225</v>
      </c>
      <c r="F10" s="17">
        <v>0</v>
      </c>
      <c r="G10" s="17">
        <v>0</v>
      </c>
      <c r="H10" s="18">
        <v>7</v>
      </c>
      <c r="I10" s="19">
        <f>SUM(C10:E10)</f>
        <v>1381</v>
      </c>
      <c r="J10" s="20">
        <f>+(H10*H$7)+(I10*I$7)</f>
        <v>2091.8000000000002</v>
      </c>
      <c r="K10" s="21">
        <v>8.1000000000000003E-2</v>
      </c>
      <c r="L10" s="20">
        <f>+J10*K10</f>
        <v>169.43580000000003</v>
      </c>
      <c r="M10" s="22">
        <f>+J10+L10</f>
        <v>2261.2358000000004</v>
      </c>
      <c r="N10" s="19">
        <f>+I10+H10+G10</f>
        <v>1388</v>
      </c>
    </row>
    <row r="11" spans="1:14" x14ac:dyDescent="0.25">
      <c r="C11" s="23">
        <v>16</v>
      </c>
      <c r="D11" s="23">
        <v>718</v>
      </c>
      <c r="E11" s="23">
        <v>4605</v>
      </c>
      <c r="F11" s="23">
        <v>0</v>
      </c>
      <c r="G11" s="23">
        <v>0</v>
      </c>
      <c r="H11" s="24">
        <v>45</v>
      </c>
      <c r="I11" s="23">
        <f t="shared" ref="I11:J11" si="0">SUM(I8:I10)</f>
        <v>5339</v>
      </c>
      <c r="J11" s="25">
        <f t="shared" si="0"/>
        <v>8139</v>
      </c>
      <c r="K11" s="21"/>
      <c r="L11" s="25">
        <f>SUM(L8:L10)</f>
        <v>653.21180000000004</v>
      </c>
      <c r="M11" s="25">
        <f>SUM(M8:M10)</f>
        <v>8792.2118000000009</v>
      </c>
      <c r="N11" s="26">
        <f>+I11+H11+G11</f>
        <v>5384</v>
      </c>
    </row>
    <row r="12" spans="1:14" x14ac:dyDescent="0.25">
      <c r="H12" s="27"/>
      <c r="K12" s="21"/>
    </row>
    <row r="13" spans="1:14" x14ac:dyDescent="0.25">
      <c r="A13" s="16" t="s">
        <v>19</v>
      </c>
      <c r="B13" s="4" t="s">
        <v>20</v>
      </c>
      <c r="C13" s="17">
        <v>2</v>
      </c>
      <c r="D13" s="17">
        <v>114</v>
      </c>
      <c r="E13" s="17">
        <v>24510</v>
      </c>
      <c r="F13" s="17">
        <v>0</v>
      </c>
      <c r="G13" s="17">
        <v>0</v>
      </c>
      <c r="H13" s="18">
        <v>0</v>
      </c>
      <c r="I13" s="19">
        <f t="shared" ref="I13:I22" si="1">SUM(C13:E13)</f>
        <v>24626</v>
      </c>
      <c r="J13" s="20">
        <f t="shared" ref="J13:J21" si="2">+(H13*H$7)+(I13*I$7)</f>
        <v>36939</v>
      </c>
      <c r="K13" s="21">
        <v>8.5999999999999993E-2</v>
      </c>
      <c r="L13" s="20">
        <f t="shared" ref="L13:L21" si="3">+J13*K13</f>
        <v>3176.7539999999999</v>
      </c>
      <c r="M13" s="22">
        <f t="shared" ref="M13:M21" si="4">+J13+L13</f>
        <v>40115.754000000001</v>
      </c>
      <c r="N13" s="19">
        <f t="shared" ref="N13:N21" si="5">+I13+H13+G13</f>
        <v>24626</v>
      </c>
    </row>
    <row r="14" spans="1:14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99</v>
      </c>
      <c r="F14" s="17">
        <v>0</v>
      </c>
      <c r="G14" s="17">
        <v>0</v>
      </c>
      <c r="H14" s="18">
        <v>0</v>
      </c>
      <c r="I14" s="19">
        <f t="shared" si="1"/>
        <v>107</v>
      </c>
      <c r="J14" s="20">
        <f t="shared" si="2"/>
        <v>160.5</v>
      </c>
      <c r="K14" s="21">
        <v>8.5999999999999993E-2</v>
      </c>
      <c r="L14" s="20">
        <f t="shared" si="3"/>
        <v>13.802999999999999</v>
      </c>
      <c r="M14" s="22">
        <f t="shared" si="4"/>
        <v>174.303</v>
      </c>
      <c r="N14" s="19">
        <f t="shared" si="5"/>
        <v>107</v>
      </c>
    </row>
    <row r="15" spans="1:14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926</v>
      </c>
      <c r="F15" s="17">
        <v>0</v>
      </c>
      <c r="G15" s="17">
        <v>0</v>
      </c>
      <c r="H15" s="18">
        <v>5</v>
      </c>
      <c r="I15" s="19">
        <f t="shared" si="1"/>
        <v>926</v>
      </c>
      <c r="J15" s="20">
        <f>+(H15*H$7)+(I15*I$7)</f>
        <v>1403.5</v>
      </c>
      <c r="K15" s="21">
        <v>0.08</v>
      </c>
      <c r="L15" s="20">
        <f t="shared" si="3"/>
        <v>112.28</v>
      </c>
      <c r="M15" s="22">
        <f t="shared" si="4"/>
        <v>1515.78</v>
      </c>
      <c r="N15" s="19">
        <f t="shared" si="5"/>
        <v>931</v>
      </c>
    </row>
    <row r="16" spans="1:14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1103</v>
      </c>
      <c r="F16" s="17">
        <v>0</v>
      </c>
      <c r="G16" s="17">
        <v>0</v>
      </c>
      <c r="H16" s="18">
        <v>38</v>
      </c>
      <c r="I16" s="19">
        <f t="shared" si="1"/>
        <v>1104</v>
      </c>
      <c r="J16" s="20">
        <f t="shared" si="2"/>
        <v>1766.2</v>
      </c>
      <c r="K16" s="21">
        <v>8.1000000000000003E-2</v>
      </c>
      <c r="L16" s="20">
        <f t="shared" si="3"/>
        <v>143.06220000000002</v>
      </c>
      <c r="M16" s="22">
        <f t="shared" si="4"/>
        <v>1909.2622000000001</v>
      </c>
      <c r="N16" s="19">
        <f t="shared" si="5"/>
        <v>1142</v>
      </c>
    </row>
    <row r="17" spans="1:16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6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6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6" x14ac:dyDescent="0.25">
      <c r="A20" s="16" t="s">
        <v>32</v>
      </c>
      <c r="B20" s="28" t="s">
        <v>33</v>
      </c>
      <c r="C20" s="17">
        <v>0</v>
      </c>
      <c r="D20" s="17">
        <v>36</v>
      </c>
      <c r="E20" s="17">
        <v>2112</v>
      </c>
      <c r="F20" s="17">
        <v>0</v>
      </c>
      <c r="G20" s="17">
        <v>0</v>
      </c>
      <c r="H20" s="18">
        <v>2</v>
      </c>
      <c r="I20" s="19">
        <f t="shared" si="1"/>
        <v>2148</v>
      </c>
      <c r="J20" s="20">
        <f t="shared" si="2"/>
        <v>3227.8</v>
      </c>
      <c r="K20" s="21">
        <v>8.5999999999999993E-2</v>
      </c>
      <c r="L20" s="20">
        <f t="shared" si="3"/>
        <v>277.5908</v>
      </c>
      <c r="M20" s="22">
        <f t="shared" si="4"/>
        <v>3505.3908000000001</v>
      </c>
      <c r="N20" s="19">
        <f t="shared" si="5"/>
        <v>2150</v>
      </c>
    </row>
    <row r="21" spans="1:16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778</v>
      </c>
      <c r="F21" s="17">
        <v>0</v>
      </c>
      <c r="G21" s="17">
        <v>0</v>
      </c>
      <c r="H21" s="18">
        <v>8</v>
      </c>
      <c r="I21" s="19">
        <f t="shared" si="1"/>
        <v>778</v>
      </c>
      <c r="J21" s="20">
        <f t="shared" si="2"/>
        <v>1190.2</v>
      </c>
      <c r="K21" s="21">
        <v>8.2000000000000003E-2</v>
      </c>
      <c r="L21" s="20">
        <f t="shared" si="3"/>
        <v>97.596400000000003</v>
      </c>
      <c r="M21" s="22">
        <f t="shared" si="4"/>
        <v>1287.7963999999999</v>
      </c>
      <c r="N21" s="19">
        <f t="shared" si="5"/>
        <v>786</v>
      </c>
    </row>
    <row r="22" spans="1:16" x14ac:dyDescent="0.25">
      <c r="A22" s="16"/>
      <c r="H22" s="27"/>
      <c r="I22" s="19">
        <f t="shared" si="1"/>
        <v>0</v>
      </c>
      <c r="K22" s="21"/>
    </row>
    <row r="23" spans="1:16" x14ac:dyDescent="0.25">
      <c r="A23" s="16"/>
      <c r="C23" s="29">
        <v>2</v>
      </c>
      <c r="D23" s="29">
        <v>160</v>
      </c>
      <c r="E23" s="29">
        <v>29784</v>
      </c>
      <c r="F23" s="29"/>
      <c r="G23" s="29">
        <v>0</v>
      </c>
      <c r="H23" s="30">
        <v>60</v>
      </c>
      <c r="I23" s="31">
        <f>SUM(I13:I22)</f>
        <v>29946</v>
      </c>
      <c r="J23" s="25">
        <f>SUM(J13:J22)</f>
        <v>45093</v>
      </c>
      <c r="K23" s="25"/>
      <c r="L23" s="25">
        <f>SUM(L13:L22)</f>
        <v>3853.3703999999993</v>
      </c>
      <c r="M23" s="25">
        <f>SUM(M13:M22)</f>
        <v>48946.3704</v>
      </c>
      <c r="N23" s="26">
        <f>+I23+H23+G23</f>
        <v>30006</v>
      </c>
    </row>
    <row r="24" spans="1:16" ht="9" customHeight="1" x14ac:dyDescent="0.25">
      <c r="A24" s="16"/>
      <c r="H24" s="27"/>
      <c r="K24" s="21"/>
    </row>
    <row r="25" spans="1:16" x14ac:dyDescent="0.25">
      <c r="A25" s="16"/>
      <c r="B25" s="32" t="s">
        <v>36</v>
      </c>
      <c r="C25" s="33">
        <v>18</v>
      </c>
      <c r="D25" s="33">
        <v>878</v>
      </c>
      <c r="E25" s="33">
        <v>34389</v>
      </c>
      <c r="F25" s="33"/>
      <c r="G25" s="33">
        <v>0</v>
      </c>
      <c r="H25" s="34">
        <v>105</v>
      </c>
      <c r="I25" s="33">
        <f>+I23+I11</f>
        <v>35285</v>
      </c>
      <c r="J25" s="35">
        <f>+J11+J23</f>
        <v>53232</v>
      </c>
      <c r="K25" s="36"/>
      <c r="L25" s="15">
        <f>+L11+L23</f>
        <v>4506.5821999999989</v>
      </c>
      <c r="M25" s="15">
        <f>+M11+M23</f>
        <v>57738.582200000004</v>
      </c>
      <c r="N25" s="19">
        <f>+N11+N23</f>
        <v>35390</v>
      </c>
      <c r="O25" s="17">
        <f>+GETPIVOTDATA("CanCount",[11]Old_Can_Sort!$A$4,"CompanyDivision","BDI")</f>
        <v>35390</v>
      </c>
      <c r="P25" s="19">
        <f>+O25-N25</f>
        <v>0</v>
      </c>
    </row>
    <row r="26" spans="1:16" x14ac:dyDescent="0.25">
      <c r="A26" s="16"/>
    </row>
    <row r="27" spans="1:16" x14ac:dyDescent="0.25">
      <c r="A27" s="16"/>
      <c r="B27" s="32" t="s">
        <v>37</v>
      </c>
    </row>
    <row r="28" spans="1:16" x14ac:dyDescent="0.25">
      <c r="A28" s="16" t="s">
        <v>13</v>
      </c>
      <c r="B28" t="s">
        <v>38</v>
      </c>
      <c r="C28" s="17">
        <v>1</v>
      </c>
      <c r="D28" s="17">
        <v>276</v>
      </c>
      <c r="E28" s="17">
        <v>3812</v>
      </c>
      <c r="F28" s="17">
        <v>0</v>
      </c>
      <c r="G28" s="17">
        <v>0</v>
      </c>
      <c r="H28" s="18">
        <v>34</v>
      </c>
      <c r="I28" s="19">
        <f t="shared" ref="I28" si="6">SUM(C28:E28)</f>
        <v>4089</v>
      </c>
      <c r="J28" s="20">
        <f t="shared" ref="J28" si="7">+(H28*H$7)+(I28*I$7)</f>
        <v>6232.1</v>
      </c>
      <c r="K28" s="21">
        <v>0.08</v>
      </c>
      <c r="L28" s="20">
        <f t="shared" ref="L28:L31" si="8">+J28*K28</f>
        <v>498.56800000000004</v>
      </c>
      <c r="M28" s="22">
        <f t="shared" ref="M28:M31" si="9">+J28+L28</f>
        <v>6730.6680000000006</v>
      </c>
      <c r="N28" s="19">
        <f t="shared" ref="N28:N32" si="10">+I28+H28+G28</f>
        <v>4123</v>
      </c>
    </row>
    <row r="29" spans="1:16" x14ac:dyDescent="0.25">
      <c r="A29" s="16">
        <v>12</v>
      </c>
      <c r="B29" t="s">
        <v>39</v>
      </c>
      <c r="C29" s="17">
        <v>0</v>
      </c>
      <c r="D29" s="17">
        <v>0</v>
      </c>
      <c r="E29" s="17">
        <v>95</v>
      </c>
      <c r="F29" s="17">
        <v>0</v>
      </c>
      <c r="G29" s="17">
        <v>0</v>
      </c>
      <c r="H29" s="18">
        <v>0</v>
      </c>
      <c r="I29" s="19">
        <f t="shared" ref="I29:I31" si="11">SUM(C29:E29)</f>
        <v>95</v>
      </c>
      <c r="J29" s="20">
        <f>+(H29*H$7)+(I29*I$7)</f>
        <v>142.5</v>
      </c>
      <c r="K29" s="21">
        <v>8.5999999999999993E-2</v>
      </c>
      <c r="L29" s="20">
        <f t="shared" si="8"/>
        <v>12.254999999999999</v>
      </c>
      <c r="M29" s="22">
        <f t="shared" si="9"/>
        <v>154.755</v>
      </c>
      <c r="N29" s="19">
        <f t="shared" si="10"/>
        <v>95</v>
      </c>
    </row>
    <row r="30" spans="1:16" x14ac:dyDescent="0.25">
      <c r="A30" s="16">
        <v>14</v>
      </c>
      <c r="B30" t="s">
        <v>40</v>
      </c>
      <c r="C30" s="17">
        <v>0</v>
      </c>
      <c r="D30" s="17">
        <v>15</v>
      </c>
      <c r="E30" s="17">
        <v>1177</v>
      </c>
      <c r="F30" s="17">
        <v>0</v>
      </c>
      <c r="G30" s="17">
        <v>0</v>
      </c>
      <c r="H30" s="18">
        <v>0</v>
      </c>
      <c r="I30" s="19">
        <f t="shared" si="11"/>
        <v>1192</v>
      </c>
      <c r="J30" s="20">
        <f>+(H30*H$7)+(I30*I$7)</f>
        <v>1788</v>
      </c>
      <c r="K30" s="21">
        <v>8.5999999999999993E-2</v>
      </c>
      <c r="L30" s="20">
        <f t="shared" si="8"/>
        <v>153.768</v>
      </c>
      <c r="M30" s="22">
        <f t="shared" si="9"/>
        <v>1941.768</v>
      </c>
      <c r="N30" s="19">
        <f t="shared" si="10"/>
        <v>1192</v>
      </c>
    </row>
    <row r="31" spans="1:16" x14ac:dyDescent="0.25">
      <c r="A31" s="16">
        <v>13</v>
      </c>
      <c r="B31" t="s">
        <v>41</v>
      </c>
      <c r="C31" s="17">
        <v>0</v>
      </c>
      <c r="D31" s="17">
        <v>59</v>
      </c>
      <c r="E31" s="17">
        <v>6936</v>
      </c>
      <c r="F31" s="17">
        <v>0</v>
      </c>
      <c r="G31" s="17">
        <v>0</v>
      </c>
      <c r="H31" s="18">
        <v>0</v>
      </c>
      <c r="I31" s="19">
        <f t="shared" si="11"/>
        <v>6995</v>
      </c>
      <c r="J31" s="20">
        <f>+(H31*H$7)+(I31*I$7)</f>
        <v>10492.5</v>
      </c>
      <c r="K31" s="21">
        <v>8.5999999999999993E-2</v>
      </c>
      <c r="L31" s="20">
        <f t="shared" si="8"/>
        <v>902.3549999999999</v>
      </c>
      <c r="M31" s="22">
        <f t="shared" si="9"/>
        <v>11394.855</v>
      </c>
      <c r="N31" s="19">
        <f t="shared" si="10"/>
        <v>6995</v>
      </c>
    </row>
    <row r="32" spans="1:16" x14ac:dyDescent="0.25">
      <c r="A32" s="16"/>
      <c r="B32" s="37" t="s">
        <v>42</v>
      </c>
      <c r="C32" s="26">
        <v>1</v>
      </c>
      <c r="D32" s="26">
        <v>350</v>
      </c>
      <c r="E32" s="26">
        <v>12020</v>
      </c>
      <c r="F32" s="26"/>
      <c r="G32" s="26">
        <v>0</v>
      </c>
      <c r="H32" s="26">
        <v>34</v>
      </c>
      <c r="I32" s="26">
        <f>SUM(I28:I31)</f>
        <v>12371</v>
      </c>
      <c r="J32" s="38">
        <f>SUM(J28:J31)</f>
        <v>18655.099999999999</v>
      </c>
      <c r="K32" s="2"/>
      <c r="L32" s="39">
        <f>SUM(L28:L31)</f>
        <v>1566.9459999999999</v>
      </c>
      <c r="M32" s="39">
        <f>SUM(M28:M31)</f>
        <v>20222.046000000002</v>
      </c>
      <c r="N32" s="26">
        <f t="shared" si="10"/>
        <v>12405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5</v>
      </c>
      <c r="F38" s="17">
        <v>0</v>
      </c>
      <c r="G38" s="17">
        <v>13</v>
      </c>
      <c r="H38" s="18">
        <v>89</v>
      </c>
      <c r="I38" s="19">
        <f>SUM(C38:F38)</f>
        <v>5</v>
      </c>
      <c r="J38" s="20">
        <f>+(C38*C$36)+(D38*D$37)+(E38*E$36)+(F38*F$36)+(G38*G$36)+(H38*H$36)</f>
        <v>326.05</v>
      </c>
      <c r="K38" s="21">
        <v>7.9000000000000001E-2</v>
      </c>
      <c r="L38" s="20">
        <f t="shared" ref="L38:L46" si="12">+J38*K38</f>
        <v>25.757950000000001</v>
      </c>
      <c r="M38" s="22">
        <f t="shared" ref="M38:M46" si="13">+J38+L38</f>
        <v>351.80795000000001</v>
      </c>
      <c r="N38" s="19">
        <f t="shared" ref="N38:N47" si="14">+I38+H38+G38</f>
        <v>107</v>
      </c>
    </row>
    <row r="39" spans="1:14" x14ac:dyDescent="0.25">
      <c r="A39" s="16" t="s">
        <v>45</v>
      </c>
      <c r="B39" s="42" t="s">
        <v>47</v>
      </c>
      <c r="C39" s="17">
        <v>183</v>
      </c>
      <c r="D39" s="17">
        <v>658</v>
      </c>
      <c r="E39" s="17">
        <v>1269</v>
      </c>
      <c r="F39" s="17">
        <v>0</v>
      </c>
      <c r="G39" s="17">
        <v>16</v>
      </c>
      <c r="H39" s="18">
        <v>493</v>
      </c>
      <c r="I39" s="19">
        <f t="shared" ref="I39:I46" si="15">SUM(C39:F39)</f>
        <v>2110</v>
      </c>
      <c r="J39" s="20">
        <f>+(C39*C$36)+(D39*D$37)+(E39*E$36)+(F39*F$36)+(G39*G$36)+(H39*H$36)</f>
        <v>4205.8</v>
      </c>
      <c r="K39" s="21">
        <v>7.9000000000000001E-2</v>
      </c>
      <c r="L39" s="20">
        <f t="shared" si="12"/>
        <v>332.25820000000004</v>
      </c>
      <c r="M39" s="22">
        <f t="shared" si="13"/>
        <v>4538.0582000000004</v>
      </c>
      <c r="N39" s="19">
        <f t="shared" si="14"/>
        <v>2619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1863</v>
      </c>
      <c r="E40" s="17">
        <v>651</v>
      </c>
      <c r="F40" s="17">
        <v>1347</v>
      </c>
      <c r="G40" s="17">
        <v>5</v>
      </c>
      <c r="H40" s="18">
        <v>13</v>
      </c>
      <c r="I40" s="19">
        <f t="shared" si="15"/>
        <v>3863</v>
      </c>
      <c r="J40" s="20">
        <f>+(C40*C$36)+(D40*D$36)+(E40*E$36)+(F40*F$36)+(G40*G$36)+(H40*H$36)</f>
        <v>4304.6500000000005</v>
      </c>
      <c r="K40" s="21">
        <v>8.2000000000000003E-2</v>
      </c>
      <c r="L40" s="20">
        <f t="shared" si="12"/>
        <v>352.98130000000003</v>
      </c>
      <c r="M40" s="22">
        <f t="shared" si="13"/>
        <v>4657.6313000000009</v>
      </c>
      <c r="N40" s="19">
        <f t="shared" si="14"/>
        <v>3881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27</v>
      </c>
      <c r="E41" s="17">
        <v>2020</v>
      </c>
      <c r="F41" s="17">
        <v>9</v>
      </c>
      <c r="G41" s="17">
        <v>1</v>
      </c>
      <c r="H41" s="18">
        <v>46</v>
      </c>
      <c r="I41" s="19">
        <f t="shared" si="15"/>
        <v>2056</v>
      </c>
      <c r="J41" s="20">
        <f>+(C41*C$36)+(D41*D$36)+(E41*E$36)+(F41*F$36)+(G41*G$36)+(H41*H$36)</f>
        <v>2411.5499999999997</v>
      </c>
      <c r="K41" s="21">
        <v>8.1000000000000003E-2</v>
      </c>
      <c r="L41" s="20">
        <f t="shared" si="12"/>
        <v>195.33554999999998</v>
      </c>
      <c r="M41" s="22">
        <f t="shared" si="13"/>
        <v>2606.8855499999995</v>
      </c>
      <c r="N41" s="19">
        <f t="shared" si="14"/>
        <v>2103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512</v>
      </c>
      <c r="E42" s="17">
        <v>584</v>
      </c>
      <c r="F42" s="17">
        <v>527</v>
      </c>
      <c r="G42" s="17">
        <v>3</v>
      </c>
      <c r="H42" s="18">
        <v>3</v>
      </c>
      <c r="I42" s="19">
        <f t="shared" si="15"/>
        <v>1623</v>
      </c>
      <c r="J42" s="20">
        <f>+(C42*C$36)+(D42*D$36)+(E42*E$36)+(G42*G$36)+(H42*H$36)+(F42*F$36)</f>
        <v>1803.15</v>
      </c>
      <c r="K42" s="21">
        <v>7.9000000000000001E-2</v>
      </c>
      <c r="L42" s="20">
        <f t="shared" si="12"/>
        <v>142.44885000000002</v>
      </c>
      <c r="M42" s="22">
        <f t="shared" si="13"/>
        <v>1945.5988500000001</v>
      </c>
      <c r="N42" s="19">
        <f t="shared" si="14"/>
        <v>1629</v>
      </c>
    </row>
    <row r="43" spans="1:14" x14ac:dyDescent="0.25">
      <c r="A43" s="16" t="s">
        <v>54</v>
      </c>
      <c r="B43" t="s">
        <v>55</v>
      </c>
      <c r="C43" s="17">
        <v>89</v>
      </c>
      <c r="D43" s="17">
        <v>344</v>
      </c>
      <c r="E43" s="17">
        <v>600</v>
      </c>
      <c r="F43" s="17">
        <v>0</v>
      </c>
      <c r="G43" s="17">
        <v>0</v>
      </c>
      <c r="H43" s="18">
        <v>24</v>
      </c>
      <c r="I43" s="19">
        <f t="shared" ref="I43" si="16">SUM(C43:F43)</f>
        <v>1033</v>
      </c>
      <c r="J43" s="20">
        <f>+(C43*C$36)+(D43*D$36)+(E43*E$36)+(F43*F$36)+(G43*G$36)+(H43*H$36)</f>
        <v>1213.1000000000001</v>
      </c>
      <c r="K43" s="21">
        <v>7.9000000000000001E-2</v>
      </c>
      <c r="L43" s="20">
        <f t="shared" si="12"/>
        <v>95.834900000000005</v>
      </c>
      <c r="M43" s="22">
        <f t="shared" si="13"/>
        <v>1308.9349000000002</v>
      </c>
      <c r="N43" s="19">
        <f t="shared" si="14"/>
        <v>1057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5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2"/>
        <v>0</v>
      </c>
      <c r="M44" s="22">
        <f t="shared" si="13"/>
        <v>0</v>
      </c>
      <c r="N44" s="19">
        <f t="shared" si="14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5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2"/>
        <v>0.34760000000000002</v>
      </c>
      <c r="M45" s="22">
        <f t="shared" si="13"/>
        <v>4.7476000000000003</v>
      </c>
      <c r="N45" s="19">
        <f t="shared" si="14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2</v>
      </c>
      <c r="E46" s="17">
        <v>0</v>
      </c>
      <c r="F46" s="17">
        <v>0</v>
      </c>
      <c r="G46" s="17">
        <v>1</v>
      </c>
      <c r="H46" s="18">
        <v>3</v>
      </c>
      <c r="I46" s="19">
        <f t="shared" si="15"/>
        <v>2</v>
      </c>
      <c r="J46" s="20">
        <f>+(C46*C$36)+(D46*D$36)+(E46*E$36)+(G46*G$36)+(H46*H$36)+(F46*F$36)</f>
        <v>14.55</v>
      </c>
      <c r="K46" s="21">
        <v>7.9000000000000001E-2</v>
      </c>
      <c r="L46" s="20">
        <f t="shared" si="12"/>
        <v>1.1494500000000001</v>
      </c>
      <c r="M46" s="22">
        <f t="shared" si="13"/>
        <v>15.699450000000001</v>
      </c>
      <c r="N46" s="19">
        <f t="shared" si="14"/>
        <v>6</v>
      </c>
    </row>
    <row r="47" spans="1:14" x14ac:dyDescent="0.25">
      <c r="A47" s="16"/>
      <c r="B47" s="37" t="s">
        <v>61</v>
      </c>
      <c r="C47" s="26">
        <v>275</v>
      </c>
      <c r="D47" s="26">
        <v>3407</v>
      </c>
      <c r="E47" s="26">
        <v>5131</v>
      </c>
      <c r="F47" s="26">
        <v>1883</v>
      </c>
      <c r="G47" s="26">
        <v>39</v>
      </c>
      <c r="H47" s="26">
        <v>671</v>
      </c>
      <c r="I47" s="26">
        <f t="shared" ref="I47:J47" si="17">SUM(I38:I46)</f>
        <v>10696</v>
      </c>
      <c r="J47" s="43">
        <f t="shared" si="17"/>
        <v>14283.249999999998</v>
      </c>
      <c r="K47" s="2"/>
      <c r="L47" s="44">
        <f>SUM(L38:L46)</f>
        <v>1146.1138000000001</v>
      </c>
      <c r="M47" s="44">
        <f>SUM(M38:M46)</f>
        <v>15429.363800000003</v>
      </c>
      <c r="N47" s="26">
        <f t="shared" si="14"/>
        <v>11406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178</v>
      </c>
      <c r="D52" s="17">
        <v>1173</v>
      </c>
      <c r="E52" s="17">
        <v>2535</v>
      </c>
      <c r="F52" s="45">
        <v>0</v>
      </c>
      <c r="G52" s="17">
        <v>1</v>
      </c>
      <c r="H52" s="18">
        <v>197</v>
      </c>
      <c r="I52" s="19">
        <f t="shared" ref="I52:I57" si="18">SUM(C52:F52)</f>
        <v>3886</v>
      </c>
      <c r="J52" s="20">
        <f>+(C52*C$50)+(D52*D$50)+(E52*E$50)+(G52*G$50)+(H52*H$50)+(F52*F$51)</f>
        <v>6390.9500000000007</v>
      </c>
      <c r="K52" s="21">
        <v>8.1000000000000003E-2</v>
      </c>
      <c r="L52" s="20">
        <f t="shared" ref="L52:L57" si="19">+J52*K52</f>
        <v>517.66695000000004</v>
      </c>
      <c r="M52" s="22">
        <f t="shared" ref="M52:M57" si="20">+J52+L52</f>
        <v>6908.6169500000005</v>
      </c>
      <c r="N52" s="19">
        <f t="shared" ref="N52:N58" si="21">+I52+H52+G52</f>
        <v>4084</v>
      </c>
    </row>
    <row r="53" spans="1:14" x14ac:dyDescent="0.25">
      <c r="A53" s="16" t="s">
        <v>65</v>
      </c>
      <c r="B53" t="s">
        <v>66</v>
      </c>
      <c r="C53" s="17">
        <v>6</v>
      </c>
      <c r="D53" s="17">
        <v>85</v>
      </c>
      <c r="E53" s="17">
        <v>204</v>
      </c>
      <c r="F53" s="17">
        <v>0</v>
      </c>
      <c r="G53" s="17">
        <v>0</v>
      </c>
      <c r="H53" s="18">
        <v>71</v>
      </c>
      <c r="I53" s="19">
        <f t="shared" si="18"/>
        <v>295</v>
      </c>
      <c r="J53" s="20">
        <f>+(C53*C$50)+(D53*D$50)+(E53*E$50)+(G53*G$50)+(H53*H$50)+(F53*F$51)</f>
        <v>667.30000000000007</v>
      </c>
      <c r="K53" s="21">
        <v>8.1000000000000003E-2</v>
      </c>
      <c r="L53" s="20">
        <f t="shared" si="19"/>
        <v>54.051300000000005</v>
      </c>
      <c r="M53" s="22">
        <f t="shared" si="20"/>
        <v>721.35130000000004</v>
      </c>
      <c r="N53" s="19">
        <f t="shared" si="21"/>
        <v>366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8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9"/>
        <v>0</v>
      </c>
      <c r="M54" s="22">
        <f t="shared" si="20"/>
        <v>0</v>
      </c>
      <c r="N54" s="19">
        <f t="shared" si="21"/>
        <v>0</v>
      </c>
    </row>
    <row r="55" spans="1:14" x14ac:dyDescent="0.25">
      <c r="A55" s="16" t="s">
        <v>68</v>
      </c>
      <c r="B55" t="s">
        <v>69</v>
      </c>
      <c r="C55" s="17">
        <v>254</v>
      </c>
      <c r="D55" s="17">
        <v>1367</v>
      </c>
      <c r="E55" s="17">
        <v>1316</v>
      </c>
      <c r="F55" s="45">
        <v>659</v>
      </c>
      <c r="G55" s="17">
        <v>0</v>
      </c>
      <c r="H55" s="18">
        <v>16</v>
      </c>
      <c r="I55" s="19">
        <f t="shared" si="18"/>
        <v>3596</v>
      </c>
      <c r="J55" s="20">
        <f>+(C55*C$50)+(D55*D$50)+(E55*E$50)+(G55*G$50)+(H55*H$50)+(F55*F$51)</f>
        <v>5343.5999999999995</v>
      </c>
      <c r="K55" s="21">
        <v>8.6999999999999994E-2</v>
      </c>
      <c r="L55" s="20">
        <f t="shared" si="19"/>
        <v>464.89319999999992</v>
      </c>
      <c r="M55" s="22">
        <f t="shared" si="20"/>
        <v>5808.493199999999</v>
      </c>
      <c r="N55" s="19">
        <f t="shared" si="21"/>
        <v>3612</v>
      </c>
    </row>
    <row r="56" spans="1:14" x14ac:dyDescent="0.25">
      <c r="A56" s="16" t="s">
        <v>70</v>
      </c>
      <c r="B56" t="s">
        <v>71</v>
      </c>
      <c r="C56" s="17">
        <v>28</v>
      </c>
      <c r="D56" s="17">
        <v>108</v>
      </c>
      <c r="E56" s="17">
        <v>277</v>
      </c>
      <c r="F56" s="17">
        <v>0</v>
      </c>
      <c r="G56" s="17">
        <v>0</v>
      </c>
      <c r="H56" s="18">
        <v>1</v>
      </c>
      <c r="I56" s="19">
        <f t="shared" si="18"/>
        <v>413</v>
      </c>
      <c r="J56" s="20">
        <f>+(C56*C$50)+(D56*D$50)+(E56*E$50)+(G56*G$50)+(H56*H$50)+(F56*F$51)</f>
        <v>611.5</v>
      </c>
      <c r="K56" s="21">
        <v>8.8999999999999996E-2</v>
      </c>
      <c r="L56" s="20">
        <f t="shared" si="19"/>
        <v>54.423499999999997</v>
      </c>
      <c r="M56" s="22">
        <f t="shared" si="20"/>
        <v>665.92349999999999</v>
      </c>
      <c r="N56" s="19">
        <f t="shared" si="21"/>
        <v>414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9801</v>
      </c>
      <c r="G57" s="17">
        <v>0</v>
      </c>
      <c r="H57" s="18">
        <v>0</v>
      </c>
      <c r="I57" s="19">
        <f t="shared" si="18"/>
        <v>9802</v>
      </c>
      <c r="J57" s="20">
        <f>+(C57*C$50)+(D57*D$50)+(E57*E$50)+(G57*G$50)+(H57*H$50)+(F57*F$50)</f>
        <v>6862.2</v>
      </c>
      <c r="K57" s="21">
        <v>8.8999999999999996E-2</v>
      </c>
      <c r="L57" s="20">
        <f t="shared" si="19"/>
        <v>610.73579999999993</v>
      </c>
      <c r="M57" s="22">
        <f t="shared" si="20"/>
        <v>7472.9357999999993</v>
      </c>
      <c r="N57" s="19">
        <f t="shared" si="21"/>
        <v>9802</v>
      </c>
    </row>
    <row r="58" spans="1:14" x14ac:dyDescent="0.25">
      <c r="A58" s="16"/>
      <c r="B58" s="37" t="s">
        <v>73</v>
      </c>
      <c r="C58" s="26">
        <f>SUM(C52:C57)</f>
        <v>466</v>
      </c>
      <c r="D58" s="26">
        <f t="shared" ref="D58:I58" si="22">SUM(D52:D57)</f>
        <v>2734</v>
      </c>
      <c r="E58" s="26">
        <f t="shared" si="22"/>
        <v>4332</v>
      </c>
      <c r="F58" s="26">
        <f t="shared" si="22"/>
        <v>10460</v>
      </c>
      <c r="G58" s="26">
        <f t="shared" si="22"/>
        <v>1</v>
      </c>
      <c r="H58" s="26">
        <f t="shared" si="22"/>
        <v>285</v>
      </c>
      <c r="I58" s="26">
        <f t="shared" si="22"/>
        <v>17992</v>
      </c>
      <c r="J58" s="43">
        <f>SUM(J52:J57)</f>
        <v>19875.55</v>
      </c>
      <c r="K58" s="2"/>
      <c r="L58" s="44">
        <f>SUM(L52:L57)</f>
        <v>1701.7707499999999</v>
      </c>
      <c r="M58" s="44">
        <f>SUM(M52:M57)</f>
        <v>21577.320749999999</v>
      </c>
      <c r="N58" s="26">
        <f t="shared" si="21"/>
        <v>18278</v>
      </c>
    </row>
    <row r="60" spans="1:14" x14ac:dyDescent="0.25">
      <c r="B60" s="46" t="s">
        <v>74</v>
      </c>
      <c r="C60" s="33">
        <f t="shared" ref="C60:H60" si="23">+C25+C32+C47+C58</f>
        <v>760</v>
      </c>
      <c r="D60" s="33">
        <f t="shared" si="23"/>
        <v>7369</v>
      </c>
      <c r="E60" s="33">
        <f t="shared" si="23"/>
        <v>55872</v>
      </c>
      <c r="F60" s="33">
        <f t="shared" si="23"/>
        <v>12343</v>
      </c>
      <c r="G60" s="33">
        <f t="shared" si="23"/>
        <v>40</v>
      </c>
      <c r="H60" s="33">
        <f t="shared" si="23"/>
        <v>1095</v>
      </c>
      <c r="I60" s="33">
        <f>+I25+I32+I47+I58</f>
        <v>76344</v>
      </c>
      <c r="J60" s="35">
        <f>+J25+J32+J47+J58</f>
        <v>106045.90000000001</v>
      </c>
      <c r="L60" s="15">
        <f>+L25+L32+L47+L58</f>
        <v>8921.4127499999995</v>
      </c>
      <c r="M60" s="15">
        <f>+M25+M32+M47+M58</f>
        <v>114967.31275000001</v>
      </c>
    </row>
    <row r="61" spans="1:14" x14ac:dyDescent="0.25">
      <c r="H61" t="s">
        <v>10</v>
      </c>
      <c r="I61" s="19">
        <f>+I60+H60+G60</f>
        <v>77479</v>
      </c>
    </row>
    <row r="62" spans="1:14" x14ac:dyDescent="0.25">
      <c r="H62" t="s">
        <v>75</v>
      </c>
      <c r="I62" s="17">
        <f>+[11]CanData!N1</f>
        <v>80589</v>
      </c>
    </row>
    <row r="63" spans="1:14" x14ac:dyDescent="0.25">
      <c r="H63" s="46" t="s">
        <v>76</v>
      </c>
      <c r="I63" s="19">
        <f>+I62-I61</f>
        <v>3110</v>
      </c>
    </row>
    <row r="64" spans="1:14" x14ac:dyDescent="0.25">
      <c r="E64" t="s">
        <v>84</v>
      </c>
      <c r="H64" s="46" t="s">
        <v>78</v>
      </c>
      <c r="I64" s="19">
        <f>+[11]CanData!P1</f>
        <v>3110</v>
      </c>
    </row>
    <row r="65" spans="8:10" x14ac:dyDescent="0.25">
      <c r="H65" s="46" t="s">
        <v>76</v>
      </c>
      <c r="I65" s="50">
        <f>+I63-I64</f>
        <v>0</v>
      </c>
      <c r="J65" s="2" t="s">
        <v>80</v>
      </c>
    </row>
  </sheetData>
  <mergeCells count="1">
    <mergeCell ref="C5:H5"/>
  </mergeCells>
  <pageMargins left="0.2" right="0.2" top="0.25" bottom="0.25" header="0.3" footer="0.3"/>
  <pageSetup scale="75" orientation="portrait" r:id="rId1"/>
  <headerFooter>
    <oddHeader>&amp;RPrinted: &amp;D &amp;T</oddHeader>
    <oddFooter>&amp;C&amp;Z&amp;F&amp;RTab: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>
      <selection activeCell="C8" sqref="C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</cols>
  <sheetData>
    <row r="1" spans="1:13" x14ac:dyDescent="0.25">
      <c r="B1" s="2" t="s">
        <v>0</v>
      </c>
    </row>
    <row r="2" spans="1:13" x14ac:dyDescent="0.25">
      <c r="B2" s="2" t="s">
        <v>1</v>
      </c>
    </row>
    <row r="3" spans="1:13" x14ac:dyDescent="0.25">
      <c r="B3" t="s">
        <v>2</v>
      </c>
    </row>
    <row r="4" spans="1:13" ht="15.75" thickBot="1" x14ac:dyDescent="0.3">
      <c r="B4" s="3" t="str">
        <f>+'[12]PT Rev JE'!B3</f>
        <v>Oct 2015</v>
      </c>
    </row>
    <row r="5" spans="1:13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3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</row>
    <row r="7" spans="1:13" x14ac:dyDescent="0.25">
      <c r="B7" s="13" t="s">
        <v>12</v>
      </c>
      <c r="H7" s="14">
        <v>2.9</v>
      </c>
      <c r="I7" s="15">
        <v>1.5</v>
      </c>
    </row>
    <row r="8" spans="1:13" x14ac:dyDescent="0.25">
      <c r="A8" s="16" t="s">
        <v>13</v>
      </c>
      <c r="B8" t="s">
        <v>14</v>
      </c>
      <c r="C8" s="17">
        <v>4</v>
      </c>
      <c r="D8" s="17">
        <v>143</v>
      </c>
      <c r="E8" s="17">
        <v>841</v>
      </c>
      <c r="F8" s="17">
        <v>0</v>
      </c>
      <c r="G8" s="17">
        <v>0</v>
      </c>
      <c r="H8" s="18">
        <v>3</v>
      </c>
      <c r="I8" s="19">
        <f>SUM(C8:E8)</f>
        <v>988</v>
      </c>
      <c r="J8" s="20">
        <f>+(H8*H$7)+(I8*I$7)</f>
        <v>1490.7</v>
      </c>
      <c r="K8" s="21">
        <v>0.08</v>
      </c>
      <c r="L8" s="20">
        <f>+J8*K8</f>
        <v>119.256</v>
      </c>
      <c r="M8" s="22">
        <f>+J8+L8</f>
        <v>1609.9560000000001</v>
      </c>
    </row>
    <row r="9" spans="1:13" x14ac:dyDescent="0.25">
      <c r="A9" s="16" t="s">
        <v>15</v>
      </c>
      <c r="B9" s="4" t="s">
        <v>16</v>
      </c>
      <c r="C9" s="17">
        <v>9</v>
      </c>
      <c r="D9" s="17">
        <v>430</v>
      </c>
      <c r="E9" s="17">
        <v>2558</v>
      </c>
      <c r="F9" s="17">
        <v>0</v>
      </c>
      <c r="G9" s="17">
        <v>0</v>
      </c>
      <c r="H9" s="18">
        <v>37</v>
      </c>
      <c r="I9" s="19">
        <f>SUM(C9:E9)</f>
        <v>2997</v>
      </c>
      <c r="J9" s="20">
        <f>+(H9*H$7)+(I9*I$7)</f>
        <v>4602.8</v>
      </c>
      <c r="K9" s="21">
        <v>0.08</v>
      </c>
      <c r="L9" s="20">
        <f>+J9*K9</f>
        <v>368.22400000000005</v>
      </c>
      <c r="M9" s="22">
        <f>+J9+L9</f>
        <v>4971.0240000000003</v>
      </c>
    </row>
    <row r="10" spans="1:13" x14ac:dyDescent="0.25">
      <c r="A10" s="16" t="s">
        <v>17</v>
      </c>
      <c r="B10" s="4" t="s">
        <v>18</v>
      </c>
      <c r="C10" s="17">
        <v>3</v>
      </c>
      <c r="D10" s="17">
        <v>156</v>
      </c>
      <c r="E10" s="17">
        <v>1228</v>
      </c>
      <c r="F10" s="17">
        <v>0</v>
      </c>
      <c r="G10" s="17">
        <v>0</v>
      </c>
      <c r="H10" s="18">
        <v>6</v>
      </c>
      <c r="I10" s="19">
        <f>SUM(C10:E10)</f>
        <v>1387</v>
      </c>
      <c r="J10" s="20">
        <f>+(H10*H$7)+(I10*I$7)</f>
        <v>2097.9</v>
      </c>
      <c r="K10" s="21">
        <v>8.1000000000000003E-2</v>
      </c>
      <c r="L10" s="20">
        <f>+J10*K10</f>
        <v>169.9299</v>
      </c>
      <c r="M10" s="22">
        <f>+J10+L10</f>
        <v>2267.8299000000002</v>
      </c>
    </row>
    <row r="11" spans="1:13" x14ac:dyDescent="0.25">
      <c r="C11" s="23">
        <v>16</v>
      </c>
      <c r="D11" s="23">
        <v>729</v>
      </c>
      <c r="E11" s="23">
        <v>4627</v>
      </c>
      <c r="F11" s="23">
        <v>0</v>
      </c>
      <c r="G11" s="23">
        <v>0</v>
      </c>
      <c r="H11" s="24">
        <v>46</v>
      </c>
      <c r="I11" s="23">
        <f t="shared" ref="I11:J11" si="0">SUM(I8:I10)</f>
        <v>5372</v>
      </c>
      <c r="J11" s="25">
        <f t="shared" si="0"/>
        <v>8191.4</v>
      </c>
      <c r="K11" s="21"/>
      <c r="L11" s="25">
        <f>SUM(L8:L10)</f>
        <v>657.40989999999999</v>
      </c>
      <c r="M11" s="25">
        <f>SUM(M8:M10)</f>
        <v>8848.8099000000002</v>
      </c>
    </row>
    <row r="12" spans="1:13" x14ac:dyDescent="0.25">
      <c r="H12" s="27"/>
      <c r="K12" s="21"/>
    </row>
    <row r="13" spans="1:13" x14ac:dyDescent="0.25">
      <c r="A13" s="16" t="s">
        <v>19</v>
      </c>
      <c r="B13" s="4" t="s">
        <v>20</v>
      </c>
      <c r="C13" s="17">
        <v>2</v>
      </c>
      <c r="D13" s="17">
        <v>113</v>
      </c>
      <c r="E13" s="17">
        <v>24518</v>
      </c>
      <c r="F13" s="17">
        <v>0</v>
      </c>
      <c r="G13" s="17">
        <v>0</v>
      </c>
      <c r="H13" s="18">
        <v>0</v>
      </c>
      <c r="I13" s="19">
        <f t="shared" ref="I13:I22" si="1">SUM(C13:E13)</f>
        <v>24633</v>
      </c>
      <c r="J13" s="20">
        <f t="shared" ref="J13:J21" si="2">+(H13*H$7)+(I13*I$7)</f>
        <v>36949.5</v>
      </c>
      <c r="K13" s="21">
        <v>8.5999999999999993E-2</v>
      </c>
      <c r="L13" s="20">
        <f t="shared" ref="L13:L21" si="3">+J13*K13</f>
        <v>3177.6569999999997</v>
      </c>
      <c r="M13" s="22">
        <f t="shared" ref="M13:M21" si="4">+J13+L13</f>
        <v>40127.156999999999</v>
      </c>
    </row>
    <row r="14" spans="1:13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98</v>
      </c>
      <c r="F14" s="17">
        <v>0</v>
      </c>
      <c r="G14" s="17">
        <v>0</v>
      </c>
      <c r="H14" s="18">
        <v>0</v>
      </c>
      <c r="I14" s="19">
        <f t="shared" si="1"/>
        <v>106</v>
      </c>
      <c r="J14" s="20">
        <f t="shared" si="2"/>
        <v>159</v>
      </c>
      <c r="K14" s="21">
        <v>8.5999999999999993E-2</v>
      </c>
      <c r="L14" s="20">
        <f t="shared" si="3"/>
        <v>13.673999999999999</v>
      </c>
      <c r="M14" s="22">
        <f t="shared" si="4"/>
        <v>172.67400000000001</v>
      </c>
    </row>
    <row r="15" spans="1:13" x14ac:dyDescent="0.25">
      <c r="A15" s="16" t="s">
        <v>23</v>
      </c>
      <c r="B15" t="s">
        <v>83</v>
      </c>
      <c r="C15" s="17">
        <v>0</v>
      </c>
      <c r="D15" s="17">
        <v>0</v>
      </c>
      <c r="E15" s="17">
        <v>925</v>
      </c>
      <c r="F15" s="17">
        <v>0</v>
      </c>
      <c r="G15" s="17">
        <v>0</v>
      </c>
      <c r="H15" s="18">
        <v>6</v>
      </c>
      <c r="I15" s="19">
        <f t="shared" si="1"/>
        <v>925</v>
      </c>
      <c r="J15" s="20">
        <f>+(H15*H$7)+(I15*I$7)</f>
        <v>1404.9</v>
      </c>
      <c r="K15" s="21">
        <v>0.08</v>
      </c>
      <c r="L15" s="20">
        <f t="shared" si="3"/>
        <v>112.39200000000001</v>
      </c>
      <c r="M15" s="22">
        <f t="shared" si="4"/>
        <v>1517.2920000000001</v>
      </c>
    </row>
    <row r="16" spans="1:13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1113</v>
      </c>
      <c r="F16" s="17">
        <v>0</v>
      </c>
      <c r="G16" s="17">
        <v>0</v>
      </c>
      <c r="H16" s="18">
        <v>38</v>
      </c>
      <c r="I16" s="19">
        <f t="shared" si="1"/>
        <v>1114</v>
      </c>
      <c r="J16" s="20">
        <f t="shared" si="2"/>
        <v>1781.2</v>
      </c>
      <c r="K16" s="21">
        <v>8.1000000000000003E-2</v>
      </c>
      <c r="L16" s="20">
        <f t="shared" si="3"/>
        <v>144.27720000000002</v>
      </c>
      <c r="M16" s="22">
        <f t="shared" si="4"/>
        <v>1925.4772</v>
      </c>
    </row>
    <row r="17" spans="1:13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</row>
    <row r="18" spans="1:13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</row>
    <row r="19" spans="1:13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</row>
    <row r="20" spans="1:13" x14ac:dyDescent="0.25">
      <c r="A20" s="16" t="s">
        <v>32</v>
      </c>
      <c r="B20" s="28" t="s">
        <v>33</v>
      </c>
      <c r="C20" s="17">
        <v>0</v>
      </c>
      <c r="D20" s="17">
        <v>36</v>
      </c>
      <c r="E20" s="17">
        <v>2112</v>
      </c>
      <c r="F20" s="17">
        <v>0</v>
      </c>
      <c r="G20" s="17">
        <v>0</v>
      </c>
      <c r="H20" s="18">
        <v>2</v>
      </c>
      <c r="I20" s="19">
        <f t="shared" si="1"/>
        <v>2148</v>
      </c>
      <c r="J20" s="20">
        <f t="shared" si="2"/>
        <v>3227.8</v>
      </c>
      <c r="K20" s="21">
        <v>8.5999999999999993E-2</v>
      </c>
      <c r="L20" s="20">
        <f t="shared" si="3"/>
        <v>277.5908</v>
      </c>
      <c r="M20" s="22">
        <f t="shared" si="4"/>
        <v>3505.3908000000001</v>
      </c>
    </row>
    <row r="21" spans="1:13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784</v>
      </c>
      <c r="F21" s="17">
        <v>0</v>
      </c>
      <c r="G21" s="17">
        <v>0</v>
      </c>
      <c r="H21" s="18">
        <v>8</v>
      </c>
      <c r="I21" s="19">
        <f t="shared" si="1"/>
        <v>784</v>
      </c>
      <c r="J21" s="20">
        <f t="shared" si="2"/>
        <v>1199.2</v>
      </c>
      <c r="K21" s="21">
        <v>8.2000000000000003E-2</v>
      </c>
      <c r="L21" s="20">
        <f t="shared" si="3"/>
        <v>98.334400000000002</v>
      </c>
      <c r="M21" s="22">
        <f t="shared" si="4"/>
        <v>1297.5344</v>
      </c>
    </row>
    <row r="22" spans="1:13" x14ac:dyDescent="0.25">
      <c r="A22" s="16"/>
      <c r="H22" s="27"/>
      <c r="I22" s="19">
        <f t="shared" si="1"/>
        <v>0</v>
      </c>
      <c r="K22" s="21"/>
    </row>
    <row r="23" spans="1:13" x14ac:dyDescent="0.25">
      <c r="A23" s="16"/>
      <c r="C23" s="29">
        <v>2</v>
      </c>
      <c r="D23" s="29">
        <v>159</v>
      </c>
      <c r="E23" s="29">
        <v>29806</v>
      </c>
      <c r="F23" s="29"/>
      <c r="G23" s="29">
        <v>0</v>
      </c>
      <c r="H23" s="30">
        <v>61</v>
      </c>
      <c r="I23" s="31">
        <f>SUM(I13:I22)</f>
        <v>29967</v>
      </c>
      <c r="J23" s="25">
        <f>SUM(J13:J22)</f>
        <v>45127.4</v>
      </c>
      <c r="K23" s="25"/>
      <c r="L23" s="25">
        <f>SUM(L13:L22)</f>
        <v>3856.2093999999993</v>
      </c>
      <c r="M23" s="25">
        <f>SUM(M13:M22)</f>
        <v>48983.609400000001</v>
      </c>
    </row>
    <row r="24" spans="1:13" ht="9" customHeight="1" x14ac:dyDescent="0.25">
      <c r="A24" s="16"/>
      <c r="H24" s="27"/>
      <c r="K24" s="21"/>
    </row>
    <row r="25" spans="1:13" x14ac:dyDescent="0.25">
      <c r="A25" s="16"/>
      <c r="B25" s="32" t="s">
        <v>36</v>
      </c>
      <c r="C25" s="33">
        <v>18</v>
      </c>
      <c r="D25" s="33">
        <v>888</v>
      </c>
      <c r="E25" s="33">
        <v>34433</v>
      </c>
      <c r="F25" s="33"/>
      <c r="G25" s="33">
        <v>0</v>
      </c>
      <c r="H25" s="34">
        <v>107</v>
      </c>
      <c r="I25" s="33">
        <f>+I23+I11</f>
        <v>35339</v>
      </c>
      <c r="J25" s="35">
        <f>+J11+J23</f>
        <v>53318.8</v>
      </c>
      <c r="K25" s="36"/>
      <c r="L25" s="15">
        <f>+L11+L23</f>
        <v>4513.6192999999994</v>
      </c>
      <c r="M25" s="15">
        <f>+M11+M23</f>
        <v>57832.419300000001</v>
      </c>
    </row>
    <row r="26" spans="1:13" x14ac:dyDescent="0.25">
      <c r="A26" s="16"/>
    </row>
    <row r="27" spans="1:13" x14ac:dyDescent="0.25">
      <c r="A27" s="16"/>
      <c r="B27" s="32" t="s">
        <v>37</v>
      </c>
    </row>
    <row r="28" spans="1:13" x14ac:dyDescent="0.25">
      <c r="A28" s="16" t="s">
        <v>13</v>
      </c>
      <c r="B28" t="s">
        <v>38</v>
      </c>
      <c r="C28" s="17">
        <v>1</v>
      </c>
      <c r="D28" s="17">
        <v>277</v>
      </c>
      <c r="E28" s="17">
        <v>3785</v>
      </c>
      <c r="F28" s="17">
        <v>0</v>
      </c>
      <c r="G28" s="17">
        <v>0</v>
      </c>
      <c r="H28" s="18">
        <v>33</v>
      </c>
      <c r="I28" s="19">
        <f t="shared" ref="I28" si="5">SUM(C28:E28)</f>
        <v>4063</v>
      </c>
      <c r="J28" s="20">
        <f t="shared" ref="J28" si="6">+(H28*H$7)+(I28*I$7)</f>
        <v>6190.2</v>
      </c>
      <c r="K28" s="21">
        <v>0.08</v>
      </c>
      <c r="L28" s="20">
        <f t="shared" ref="L28:L31" si="7">+J28*K28</f>
        <v>495.21600000000001</v>
      </c>
      <c r="M28" s="22">
        <f t="shared" ref="M28:M31" si="8">+J28+L28</f>
        <v>6685.4160000000002</v>
      </c>
    </row>
    <row r="29" spans="1:13" x14ac:dyDescent="0.25">
      <c r="A29" s="16">
        <v>12</v>
      </c>
      <c r="B29" t="s">
        <v>39</v>
      </c>
      <c r="C29" s="17">
        <v>0</v>
      </c>
      <c r="D29" s="17">
        <v>0</v>
      </c>
      <c r="E29" s="17">
        <v>96</v>
      </c>
      <c r="F29" s="17">
        <v>0</v>
      </c>
      <c r="G29" s="17">
        <v>0</v>
      </c>
      <c r="H29" s="18">
        <v>0</v>
      </c>
      <c r="I29" s="19">
        <f t="shared" ref="I29:I31" si="9">SUM(C29:E29)</f>
        <v>96</v>
      </c>
      <c r="J29" s="20">
        <f>+(H29*H$7)+(I29*I$7)</f>
        <v>144</v>
      </c>
      <c r="K29" s="21">
        <v>8.5999999999999993E-2</v>
      </c>
      <c r="L29" s="20">
        <f t="shared" si="7"/>
        <v>12.383999999999999</v>
      </c>
      <c r="M29" s="22">
        <f t="shared" si="8"/>
        <v>156.38399999999999</v>
      </c>
    </row>
    <row r="30" spans="1:13" x14ac:dyDescent="0.25">
      <c r="A30" s="16">
        <v>14</v>
      </c>
      <c r="B30" t="s">
        <v>40</v>
      </c>
      <c r="C30" s="17">
        <v>0</v>
      </c>
      <c r="D30" s="17">
        <v>15</v>
      </c>
      <c r="E30" s="17">
        <v>1180</v>
      </c>
      <c r="F30" s="17">
        <v>0</v>
      </c>
      <c r="G30" s="17">
        <v>0</v>
      </c>
      <c r="H30" s="18">
        <v>0</v>
      </c>
      <c r="I30" s="19">
        <f t="shared" si="9"/>
        <v>1195</v>
      </c>
      <c r="J30" s="20">
        <f>+(H30*H$7)+(I30*I$7)</f>
        <v>1792.5</v>
      </c>
      <c r="K30" s="21">
        <v>8.5999999999999993E-2</v>
      </c>
      <c r="L30" s="20">
        <f t="shared" si="7"/>
        <v>154.155</v>
      </c>
      <c r="M30" s="22">
        <f t="shared" si="8"/>
        <v>1946.655</v>
      </c>
    </row>
    <row r="31" spans="1:13" x14ac:dyDescent="0.25">
      <c r="A31" s="16">
        <v>13</v>
      </c>
      <c r="B31" t="s">
        <v>41</v>
      </c>
      <c r="C31" s="17">
        <v>0</v>
      </c>
      <c r="D31" s="17">
        <v>60</v>
      </c>
      <c r="E31" s="17">
        <v>6900</v>
      </c>
      <c r="F31" s="17">
        <v>0</v>
      </c>
      <c r="G31" s="17">
        <v>0</v>
      </c>
      <c r="H31" s="18">
        <v>0</v>
      </c>
      <c r="I31" s="19">
        <f t="shared" si="9"/>
        <v>6960</v>
      </c>
      <c r="J31" s="20">
        <f>+(H31*H$7)+(I31*I$7)</f>
        <v>10440</v>
      </c>
      <c r="K31" s="21">
        <v>8.5999999999999993E-2</v>
      </c>
      <c r="L31" s="20">
        <f t="shared" si="7"/>
        <v>897.83999999999992</v>
      </c>
      <c r="M31" s="22">
        <f t="shared" si="8"/>
        <v>11337.84</v>
      </c>
    </row>
    <row r="32" spans="1:13" x14ac:dyDescent="0.25">
      <c r="A32" s="16"/>
      <c r="B32" s="37" t="s">
        <v>42</v>
      </c>
      <c r="C32" s="26">
        <v>1</v>
      </c>
      <c r="D32" s="26">
        <v>352</v>
      </c>
      <c r="E32" s="26">
        <v>11961</v>
      </c>
      <c r="F32" s="26"/>
      <c r="G32" s="26">
        <v>0</v>
      </c>
      <c r="H32" s="26">
        <v>33</v>
      </c>
      <c r="I32" s="26">
        <f>SUM(I28:I31)</f>
        <v>12314</v>
      </c>
      <c r="J32" s="38">
        <f>SUM(J28:J31)</f>
        <v>18566.7</v>
      </c>
      <c r="K32" s="2"/>
      <c r="L32" s="39">
        <f>SUM(L28:L31)</f>
        <v>1559.5949999999998</v>
      </c>
      <c r="M32" s="39">
        <f>SUM(M28:M31)</f>
        <v>20126.294999999998</v>
      </c>
    </row>
    <row r="33" spans="1:13" x14ac:dyDescent="0.25">
      <c r="A33" s="16"/>
    </row>
    <row r="34" spans="1:13" ht="15.75" thickBot="1" x14ac:dyDescent="0.3">
      <c r="A34" s="16"/>
    </row>
    <row r="35" spans="1:13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3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3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3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3</v>
      </c>
      <c r="F38" s="17">
        <v>0</v>
      </c>
      <c r="G38" s="17">
        <v>15</v>
      </c>
      <c r="H38" s="18">
        <v>92</v>
      </c>
      <c r="I38" s="19">
        <f>SUM(C38:F38)</f>
        <v>3</v>
      </c>
      <c r="J38" s="20">
        <f>+(C38*C$36)+(D38*D$37)+(E38*E$36)+(F38*F$36)+(G38*G$36)+(H38*H$36)</f>
        <v>338.95000000000005</v>
      </c>
      <c r="K38" s="21">
        <v>7.9000000000000001E-2</v>
      </c>
      <c r="L38" s="20">
        <f t="shared" ref="L38:L46" si="10">+J38*K38</f>
        <v>26.777050000000003</v>
      </c>
      <c r="M38" s="22">
        <f t="shared" ref="M38:M46" si="11">+J38+L38</f>
        <v>365.72705000000008</v>
      </c>
    </row>
    <row r="39" spans="1:13" x14ac:dyDescent="0.25">
      <c r="A39" s="16" t="s">
        <v>45</v>
      </c>
      <c r="B39" s="42" t="s">
        <v>47</v>
      </c>
      <c r="C39" s="17">
        <v>186</v>
      </c>
      <c r="D39" s="17">
        <v>660</v>
      </c>
      <c r="E39" s="17">
        <v>1241</v>
      </c>
      <c r="F39" s="17">
        <v>0</v>
      </c>
      <c r="G39" s="17">
        <v>16</v>
      </c>
      <c r="H39" s="18">
        <v>501</v>
      </c>
      <c r="I39" s="19">
        <f t="shared" ref="I39:I46" si="12">SUM(C39:F39)</f>
        <v>2087</v>
      </c>
      <c r="J39" s="20">
        <f>+(C39*C$36)+(D39*D$37)+(E39*E$36)+(F39*F$36)+(G39*G$36)+(H39*H$36)</f>
        <v>4206.8999999999996</v>
      </c>
      <c r="K39" s="21">
        <v>7.9000000000000001E-2</v>
      </c>
      <c r="L39" s="20">
        <f t="shared" si="10"/>
        <v>332.3451</v>
      </c>
      <c r="M39" s="22">
        <f t="shared" si="11"/>
        <v>4539.2451000000001</v>
      </c>
    </row>
    <row r="40" spans="1:13" x14ac:dyDescent="0.25">
      <c r="A40" s="16" t="s">
        <v>48</v>
      </c>
      <c r="B40" t="s">
        <v>49</v>
      </c>
      <c r="C40" s="17">
        <v>2</v>
      </c>
      <c r="D40" s="17">
        <v>1875</v>
      </c>
      <c r="E40" s="17">
        <v>646</v>
      </c>
      <c r="F40" s="17">
        <v>1339</v>
      </c>
      <c r="G40" s="17">
        <v>5</v>
      </c>
      <c r="H40" s="18">
        <v>13</v>
      </c>
      <c r="I40" s="19">
        <f t="shared" si="12"/>
        <v>3862</v>
      </c>
      <c r="J40" s="20">
        <f>+(C40*C$36)+(D40*D$36)+(E40*E$36)+(F40*F$36)+(G40*G$36)+(H40*H$36)</f>
        <v>4303.55</v>
      </c>
      <c r="K40" s="21">
        <v>8.2000000000000003E-2</v>
      </c>
      <c r="L40" s="20">
        <f t="shared" si="10"/>
        <v>352.89110000000005</v>
      </c>
      <c r="M40" s="22">
        <f t="shared" si="11"/>
        <v>4656.4411</v>
      </c>
    </row>
    <row r="41" spans="1:13" x14ac:dyDescent="0.25">
      <c r="A41" s="16" t="s">
        <v>50</v>
      </c>
      <c r="B41" t="s">
        <v>51</v>
      </c>
      <c r="C41" s="17">
        <v>0</v>
      </c>
      <c r="D41" s="17">
        <v>28</v>
      </c>
      <c r="E41" s="17">
        <v>2018</v>
      </c>
      <c r="F41" s="17">
        <v>11</v>
      </c>
      <c r="G41" s="17">
        <v>1</v>
      </c>
      <c r="H41" s="18">
        <v>47</v>
      </c>
      <c r="I41" s="19">
        <f t="shared" si="12"/>
        <v>2057</v>
      </c>
      <c r="J41" s="20">
        <f>+(C41*C$36)+(D41*D$36)+(E41*E$36)+(F41*F$36)+(G41*G$36)+(H41*H$36)</f>
        <v>2415.8500000000004</v>
      </c>
      <c r="K41" s="21">
        <v>8.1000000000000003E-2</v>
      </c>
      <c r="L41" s="20">
        <f t="shared" si="10"/>
        <v>195.68385000000004</v>
      </c>
      <c r="M41" s="22">
        <f t="shared" si="11"/>
        <v>2611.5338500000003</v>
      </c>
    </row>
    <row r="42" spans="1:13" x14ac:dyDescent="0.25">
      <c r="A42" s="16" t="s">
        <v>52</v>
      </c>
      <c r="B42" t="s">
        <v>53</v>
      </c>
      <c r="C42" s="17">
        <v>0</v>
      </c>
      <c r="D42" s="17">
        <v>513</v>
      </c>
      <c r="E42" s="17">
        <v>582</v>
      </c>
      <c r="F42" s="17">
        <v>514</v>
      </c>
      <c r="G42" s="17">
        <v>3</v>
      </c>
      <c r="H42" s="18">
        <v>3</v>
      </c>
      <c r="I42" s="19">
        <f t="shared" si="12"/>
        <v>1609</v>
      </c>
      <c r="J42" s="20">
        <f>+(C42*C$36)+(D42*D$36)+(E42*E$36)+(G42*G$36)+(H42*H$36)+(F42*F$36)</f>
        <v>1787.75</v>
      </c>
      <c r="K42" s="21">
        <v>7.9000000000000001E-2</v>
      </c>
      <c r="L42" s="20">
        <f t="shared" si="10"/>
        <v>141.23224999999999</v>
      </c>
      <c r="M42" s="22">
        <f t="shared" si="11"/>
        <v>1928.98225</v>
      </c>
    </row>
    <row r="43" spans="1:13" x14ac:dyDescent="0.25">
      <c r="A43" s="16" t="s">
        <v>54</v>
      </c>
      <c r="B43" t="s">
        <v>55</v>
      </c>
      <c r="C43" s="17">
        <v>87</v>
      </c>
      <c r="D43" s="17">
        <v>347</v>
      </c>
      <c r="E43" s="17">
        <v>603</v>
      </c>
      <c r="F43" s="17">
        <v>0</v>
      </c>
      <c r="G43" s="17">
        <v>0</v>
      </c>
      <c r="H43" s="18">
        <v>24</v>
      </c>
      <c r="I43" s="19">
        <f t="shared" ref="I43" si="13">SUM(C43:F43)</f>
        <v>1037</v>
      </c>
      <c r="J43" s="20">
        <f>+(C43*C$36)+(D43*D$36)+(E43*E$36)+(F43*F$36)+(G43*G$36)+(H43*H$36)</f>
        <v>1217.5</v>
      </c>
      <c r="K43" s="21">
        <v>7.9000000000000001E-2</v>
      </c>
      <c r="L43" s="20">
        <f t="shared" si="10"/>
        <v>96.182500000000005</v>
      </c>
      <c r="M43" s="22">
        <f t="shared" si="11"/>
        <v>1313.6824999999999</v>
      </c>
    </row>
    <row r="44" spans="1:13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2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0"/>
        <v>0</v>
      </c>
      <c r="M44" s="22">
        <f t="shared" si="11"/>
        <v>0</v>
      </c>
    </row>
    <row r="45" spans="1:13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2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0"/>
        <v>0.34760000000000002</v>
      </c>
      <c r="M45" s="22">
        <f t="shared" si="11"/>
        <v>4.7476000000000003</v>
      </c>
    </row>
    <row r="46" spans="1:13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3</v>
      </c>
      <c r="I46" s="19">
        <f t="shared" si="12"/>
        <v>4</v>
      </c>
      <c r="J46" s="20">
        <f>+(C46*C$36)+(D46*D$36)+(E46*E$36)+(G46*G$36)+(H46*H$36)+(F46*F$36)</f>
        <v>16.75</v>
      </c>
      <c r="K46" s="21">
        <v>7.9000000000000001E-2</v>
      </c>
      <c r="L46" s="20">
        <f t="shared" si="10"/>
        <v>1.32325</v>
      </c>
      <c r="M46" s="22">
        <f t="shared" si="11"/>
        <v>18.073250000000002</v>
      </c>
    </row>
    <row r="47" spans="1:13" x14ac:dyDescent="0.25">
      <c r="A47" s="16"/>
      <c r="B47" s="37" t="s">
        <v>61</v>
      </c>
      <c r="C47" s="26">
        <v>276</v>
      </c>
      <c r="D47" s="26">
        <v>3427</v>
      </c>
      <c r="E47" s="26">
        <v>5096</v>
      </c>
      <c r="F47" s="26">
        <v>1864</v>
      </c>
      <c r="G47" s="26">
        <v>41</v>
      </c>
      <c r="H47" s="26">
        <v>683</v>
      </c>
      <c r="I47" s="26">
        <f t="shared" ref="I47:J47" si="14">SUM(I38:I46)</f>
        <v>10663</v>
      </c>
      <c r="J47" s="43">
        <f t="shared" si="14"/>
        <v>14291.65</v>
      </c>
      <c r="K47" s="2"/>
      <c r="L47" s="44">
        <f>SUM(L38:L46)</f>
        <v>1146.7827000000002</v>
      </c>
      <c r="M47" s="44">
        <f>SUM(M38:M46)</f>
        <v>15438.432700000001</v>
      </c>
    </row>
    <row r="48" spans="1:13" ht="9.6" customHeight="1" thickBot="1" x14ac:dyDescent="0.3">
      <c r="A48" s="16"/>
    </row>
    <row r="49" spans="1:13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3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3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3" x14ac:dyDescent="0.25">
      <c r="A52" s="16" t="s">
        <v>17</v>
      </c>
      <c r="B52" t="s">
        <v>64</v>
      </c>
      <c r="C52" s="17">
        <v>187</v>
      </c>
      <c r="D52" s="17">
        <v>1178</v>
      </c>
      <c r="E52" s="17">
        <v>2549</v>
      </c>
      <c r="F52" s="45">
        <v>0</v>
      </c>
      <c r="G52" s="17">
        <v>1</v>
      </c>
      <c r="H52" s="18">
        <v>198</v>
      </c>
      <c r="I52" s="19">
        <f t="shared" ref="I52:I57" si="15">SUM(C52:F52)</f>
        <v>3914</v>
      </c>
      <c r="J52" s="20">
        <f>+(C52*C$50)+(D52*D$50)+(E52*E$50)+(G52*G$50)+(H52*H$50)+(F52*F$51)</f>
        <v>6432.55</v>
      </c>
      <c r="K52" s="21">
        <v>8.1000000000000003E-2</v>
      </c>
      <c r="L52" s="20">
        <f t="shared" ref="L52:L57" si="16">+J52*K52</f>
        <v>521.03655000000003</v>
      </c>
      <c r="M52" s="22">
        <f t="shared" ref="M52:M57" si="17">+J52+L52</f>
        <v>6953.58655</v>
      </c>
    </row>
    <row r="53" spans="1:13" x14ac:dyDescent="0.25">
      <c r="A53" s="16" t="s">
        <v>65</v>
      </c>
      <c r="B53" t="s">
        <v>66</v>
      </c>
      <c r="C53" s="17">
        <v>6</v>
      </c>
      <c r="D53" s="17">
        <v>86</v>
      </c>
      <c r="E53" s="17">
        <v>203</v>
      </c>
      <c r="F53" s="17">
        <v>0</v>
      </c>
      <c r="G53" s="17">
        <v>0</v>
      </c>
      <c r="H53" s="18">
        <v>76</v>
      </c>
      <c r="I53" s="19">
        <f t="shared" si="15"/>
        <v>295</v>
      </c>
      <c r="J53" s="20">
        <f>+(C53*C$50)+(D53*D$50)+(E53*E$50)+(G53*G$50)+(H53*H$50)+(F53*F$51)</f>
        <v>683.30000000000007</v>
      </c>
      <c r="K53" s="21">
        <v>8.1000000000000003E-2</v>
      </c>
      <c r="L53" s="20">
        <f t="shared" si="16"/>
        <v>55.347300000000004</v>
      </c>
      <c r="M53" s="22">
        <f t="shared" si="17"/>
        <v>738.64730000000009</v>
      </c>
    </row>
    <row r="54" spans="1:13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5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6"/>
        <v>0</v>
      </c>
      <c r="M54" s="22">
        <f t="shared" si="17"/>
        <v>0</v>
      </c>
    </row>
    <row r="55" spans="1:13" x14ac:dyDescent="0.25">
      <c r="A55" s="16" t="s">
        <v>68</v>
      </c>
      <c r="B55" t="s">
        <v>69</v>
      </c>
      <c r="C55" s="17">
        <v>258</v>
      </c>
      <c r="D55" s="17">
        <v>1382</v>
      </c>
      <c r="E55" s="17">
        <v>1323</v>
      </c>
      <c r="F55" s="45">
        <v>654</v>
      </c>
      <c r="G55" s="17">
        <v>0</v>
      </c>
      <c r="H55" s="18">
        <v>16</v>
      </c>
      <c r="I55" s="19">
        <f t="shared" si="15"/>
        <v>3617</v>
      </c>
      <c r="J55" s="20">
        <f>+(C55*C$50)+(D55*D$50)+(E55*E$50)+(G55*G$50)+(H55*H$50)+(F55*F$51)</f>
        <v>5373.5</v>
      </c>
      <c r="K55" s="21">
        <v>8.6999999999999994E-2</v>
      </c>
      <c r="L55" s="20">
        <f t="shared" si="16"/>
        <v>467.49449999999996</v>
      </c>
      <c r="M55" s="22">
        <f t="shared" si="17"/>
        <v>5840.9944999999998</v>
      </c>
    </row>
    <row r="56" spans="1:13" x14ac:dyDescent="0.25">
      <c r="A56" s="16" t="s">
        <v>70</v>
      </c>
      <c r="B56" t="s">
        <v>71</v>
      </c>
      <c r="C56" s="17">
        <v>29</v>
      </c>
      <c r="D56" s="17">
        <v>107</v>
      </c>
      <c r="E56" s="17">
        <v>282</v>
      </c>
      <c r="F56" s="17">
        <v>0</v>
      </c>
      <c r="G56" s="17">
        <v>0</v>
      </c>
      <c r="H56" s="18">
        <v>1</v>
      </c>
      <c r="I56" s="19">
        <f t="shared" si="15"/>
        <v>418</v>
      </c>
      <c r="J56" s="20">
        <f>+(C56*C$50)+(D56*D$50)+(E56*E$50)+(G56*G$50)+(H56*H$50)+(F56*F$51)</f>
        <v>618.6</v>
      </c>
      <c r="K56" s="21">
        <v>8.8999999999999996E-2</v>
      </c>
      <c r="L56" s="20">
        <f t="shared" si="16"/>
        <v>55.055399999999999</v>
      </c>
      <c r="M56" s="22">
        <f t="shared" si="17"/>
        <v>673.65539999999999</v>
      </c>
    </row>
    <row r="57" spans="1:13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9815</v>
      </c>
      <c r="G57" s="17">
        <v>0</v>
      </c>
      <c r="H57" s="18">
        <v>0</v>
      </c>
      <c r="I57" s="19">
        <f t="shared" si="15"/>
        <v>9816</v>
      </c>
      <c r="J57" s="20">
        <f>+(C57*C$50)+(D57*D$50)+(E57*E$50)+(G57*G$50)+(H57*H$50)+(F57*F$50)</f>
        <v>6872</v>
      </c>
      <c r="K57" s="21">
        <v>8.8999999999999996E-2</v>
      </c>
      <c r="L57" s="20">
        <f t="shared" si="16"/>
        <v>611.60799999999995</v>
      </c>
      <c r="M57" s="22">
        <f t="shared" si="17"/>
        <v>7483.6080000000002</v>
      </c>
    </row>
    <row r="58" spans="1:13" x14ac:dyDescent="0.25">
      <c r="A58" s="16"/>
      <c r="B58" s="37" t="s">
        <v>73</v>
      </c>
      <c r="C58" s="26">
        <f>SUM(C52:C57)</f>
        <v>480</v>
      </c>
      <c r="D58" s="26">
        <f t="shared" ref="D58:I58" si="18">SUM(D52:D57)</f>
        <v>2754</v>
      </c>
      <c r="E58" s="26">
        <f t="shared" si="18"/>
        <v>4357</v>
      </c>
      <c r="F58" s="26">
        <f t="shared" si="18"/>
        <v>10469</v>
      </c>
      <c r="G58" s="26">
        <f t="shared" si="18"/>
        <v>1</v>
      </c>
      <c r="H58" s="26">
        <f t="shared" si="18"/>
        <v>291</v>
      </c>
      <c r="I58" s="26">
        <f t="shared" si="18"/>
        <v>18060</v>
      </c>
      <c r="J58" s="43">
        <f>SUM(J52:J57)</f>
        <v>19979.95</v>
      </c>
      <c r="K58" s="2"/>
      <c r="L58" s="44">
        <f>SUM(L52:L57)</f>
        <v>1710.5417499999999</v>
      </c>
      <c r="M58" s="44">
        <f>SUM(M52:M57)</f>
        <v>21690.491750000001</v>
      </c>
    </row>
    <row r="60" spans="1:13" x14ac:dyDescent="0.25">
      <c r="B60" s="46" t="s">
        <v>74</v>
      </c>
      <c r="C60" s="33">
        <f t="shared" ref="C60:H60" si="19">+C25+C32+C47+C58</f>
        <v>775</v>
      </c>
      <c r="D60" s="33">
        <f t="shared" si="19"/>
        <v>7421</v>
      </c>
      <c r="E60" s="33">
        <f t="shared" si="19"/>
        <v>55847</v>
      </c>
      <c r="F60" s="33">
        <f t="shared" si="19"/>
        <v>12333</v>
      </c>
      <c r="G60" s="33">
        <f t="shared" si="19"/>
        <v>42</v>
      </c>
      <c r="H60" s="33">
        <f t="shared" si="19"/>
        <v>1114</v>
      </c>
      <c r="I60" s="33">
        <f>+I25+I32+I47+I58</f>
        <v>76376</v>
      </c>
      <c r="J60" s="35">
        <f>+J25+J32+J47+J58</f>
        <v>106157.09999999999</v>
      </c>
      <c r="L60" s="15">
        <f>+L25+L32+L47+L58</f>
        <v>8930.5387499999997</v>
      </c>
      <c r="M60" s="15">
        <f>+M25+M32+M47+M58</f>
        <v>115087.63875</v>
      </c>
    </row>
    <row r="61" spans="1:13" x14ac:dyDescent="0.25">
      <c r="H61" t="s">
        <v>10</v>
      </c>
      <c r="I61" s="19">
        <f>+I60+H60+G60</f>
        <v>77532</v>
      </c>
    </row>
    <row r="62" spans="1:13" x14ac:dyDescent="0.25">
      <c r="H62" t="s">
        <v>75</v>
      </c>
      <c r="I62" s="17">
        <f>+[12]CanData!N1</f>
        <v>80689</v>
      </c>
    </row>
    <row r="63" spans="1:13" x14ac:dyDescent="0.25">
      <c r="H63" s="46" t="s">
        <v>76</v>
      </c>
      <c r="I63" s="19">
        <f>+I62-I61</f>
        <v>3157</v>
      </c>
    </row>
    <row r="64" spans="1:13" x14ac:dyDescent="0.25">
      <c r="E64" t="s">
        <v>84</v>
      </c>
      <c r="H64" s="46" t="s">
        <v>78</v>
      </c>
      <c r="I64" s="19">
        <f>+[12]CanData!P1</f>
        <v>3157</v>
      </c>
    </row>
    <row r="65" spans="8:9" x14ac:dyDescent="0.25">
      <c r="H65" s="46" t="s">
        <v>76</v>
      </c>
      <c r="I65" s="17">
        <f>+I63-I64</f>
        <v>0</v>
      </c>
    </row>
  </sheetData>
  <mergeCells count="1">
    <mergeCell ref="C5:H5"/>
  </mergeCells>
  <pageMargins left="0.2" right="0.2" top="0.25" bottom="0.25" header="0.3" footer="0.3"/>
  <pageSetup scale="74" orientation="portrait" r:id="rId1"/>
  <headerFooter>
    <oddHeader>&amp;RPrinted: &amp;D &amp;T</oddHeader>
    <oddFooter>&amp;C&amp;Z&amp;F&amp;RTab: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selection activeCell="C8" sqref="C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9.57031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7" x14ac:dyDescent="0.25">
      <c r="B1" s="2" t="s">
        <v>0</v>
      </c>
    </row>
    <row r="2" spans="1:17" x14ac:dyDescent="0.25">
      <c r="B2" s="2" t="s">
        <v>1</v>
      </c>
    </row>
    <row r="3" spans="1:17" x14ac:dyDescent="0.25">
      <c r="B3" t="s">
        <v>2</v>
      </c>
    </row>
    <row r="4" spans="1:17" ht="15.75" thickBot="1" x14ac:dyDescent="0.3">
      <c r="B4" s="51" t="s">
        <v>82</v>
      </c>
    </row>
    <row r="5" spans="1:17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7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7" x14ac:dyDescent="0.25">
      <c r="B7" s="13" t="s">
        <v>12</v>
      </c>
      <c r="H7" s="14">
        <v>2.9</v>
      </c>
      <c r="I7" s="15">
        <v>1.5</v>
      </c>
    </row>
    <row r="8" spans="1:17" x14ac:dyDescent="0.25">
      <c r="A8" s="16" t="s">
        <v>13</v>
      </c>
      <c r="B8" t="s">
        <v>14</v>
      </c>
      <c r="C8" s="17">
        <v>3</v>
      </c>
      <c r="D8" s="17">
        <v>135</v>
      </c>
      <c r="E8" s="17">
        <v>847</v>
      </c>
      <c r="F8" s="17">
        <v>0</v>
      </c>
      <c r="G8" s="17">
        <v>0</v>
      </c>
      <c r="H8" s="18">
        <v>4</v>
      </c>
      <c r="I8" s="19">
        <f>SUM(C8:E8)</f>
        <v>985</v>
      </c>
      <c r="J8" s="20">
        <f>+(H8*H$7)+(I8*I$7)</f>
        <v>1489.1</v>
      </c>
      <c r="K8" s="21">
        <v>0.08</v>
      </c>
      <c r="L8" s="20">
        <f>+J8*K8</f>
        <v>119.128</v>
      </c>
      <c r="M8" s="22">
        <f>+J8+L8</f>
        <v>1608.2279999999998</v>
      </c>
      <c r="N8" s="19">
        <f>+I8+H8+G8</f>
        <v>989</v>
      </c>
    </row>
    <row r="9" spans="1:17" x14ac:dyDescent="0.25">
      <c r="A9" s="16" t="s">
        <v>15</v>
      </c>
      <c r="B9" s="4" t="s">
        <v>16</v>
      </c>
      <c r="C9" s="17">
        <v>9</v>
      </c>
      <c r="D9" s="17">
        <v>422</v>
      </c>
      <c r="E9" s="17">
        <v>2678</v>
      </c>
      <c r="F9" s="17">
        <v>0</v>
      </c>
      <c r="G9" s="17">
        <v>0</v>
      </c>
      <c r="H9" s="18">
        <v>37</v>
      </c>
      <c r="I9" s="19">
        <f>SUM(C9:E9)</f>
        <v>3109</v>
      </c>
      <c r="J9" s="20">
        <f>+(H9*H$7)+(I9*I$7)</f>
        <v>4770.8</v>
      </c>
      <c r="K9" s="21">
        <v>0.08</v>
      </c>
      <c r="L9" s="20">
        <f>+J9*K9</f>
        <v>381.66400000000004</v>
      </c>
      <c r="M9" s="22">
        <f>+J9+L9</f>
        <v>5152.4639999999999</v>
      </c>
      <c r="N9" s="19">
        <f>+I9+H9+G9</f>
        <v>3146</v>
      </c>
    </row>
    <row r="10" spans="1:17" x14ac:dyDescent="0.25">
      <c r="A10" s="16" t="s">
        <v>17</v>
      </c>
      <c r="B10" s="4" t="s">
        <v>18</v>
      </c>
      <c r="C10" s="17">
        <v>3</v>
      </c>
      <c r="D10" s="17">
        <v>151</v>
      </c>
      <c r="E10" s="17">
        <v>1262</v>
      </c>
      <c r="F10" s="17">
        <v>0</v>
      </c>
      <c r="G10" s="17">
        <v>0</v>
      </c>
      <c r="H10" s="18">
        <v>7</v>
      </c>
      <c r="I10" s="19">
        <f>SUM(C10:E10)</f>
        <v>1416</v>
      </c>
      <c r="J10" s="20">
        <f>+(H10*H$7)+(I10*I$7)</f>
        <v>2144.3000000000002</v>
      </c>
      <c r="K10" s="21">
        <v>8.1000000000000003E-2</v>
      </c>
      <c r="L10" s="20">
        <f>+J10*K10</f>
        <v>173.68830000000003</v>
      </c>
      <c r="M10" s="22">
        <f>+J10+L10</f>
        <v>2317.9883</v>
      </c>
      <c r="N10" s="19">
        <f>+I10+H10+G10</f>
        <v>1423</v>
      </c>
    </row>
    <row r="11" spans="1:17" x14ac:dyDescent="0.25">
      <c r="C11" s="23">
        <v>15</v>
      </c>
      <c r="D11" s="23">
        <v>708</v>
      </c>
      <c r="E11" s="23">
        <v>4787</v>
      </c>
      <c r="F11" s="23">
        <v>0</v>
      </c>
      <c r="G11" s="23">
        <v>0</v>
      </c>
      <c r="H11" s="24">
        <v>48</v>
      </c>
      <c r="I11" s="23">
        <f>SUM(I8:I10)</f>
        <v>5510</v>
      </c>
      <c r="J11" s="25">
        <f t="shared" ref="J11" si="0">SUM(J8:J10)</f>
        <v>8404.2000000000007</v>
      </c>
      <c r="K11" s="21"/>
      <c r="L11" s="25">
        <f>SUM(L8:L10)</f>
        <v>674.48030000000006</v>
      </c>
      <c r="M11" s="25">
        <f>SUM(M8:M10)</f>
        <v>9078.6803</v>
      </c>
      <c r="N11" s="26">
        <f>+I11+H11+G11</f>
        <v>5558</v>
      </c>
    </row>
    <row r="12" spans="1:17" x14ac:dyDescent="0.25">
      <c r="H12" s="27"/>
      <c r="K12" s="21"/>
    </row>
    <row r="13" spans="1:17" x14ac:dyDescent="0.25">
      <c r="A13" s="16" t="s">
        <v>19</v>
      </c>
      <c r="B13" s="4" t="s">
        <v>20</v>
      </c>
      <c r="C13" s="17">
        <v>12</v>
      </c>
      <c r="D13" s="17">
        <v>126</v>
      </c>
      <c r="E13" s="17">
        <v>24462</v>
      </c>
      <c r="F13" s="17">
        <v>0</v>
      </c>
      <c r="G13" s="17">
        <v>0</v>
      </c>
      <c r="H13" s="18">
        <v>0</v>
      </c>
      <c r="I13" s="19">
        <f t="shared" ref="I13:I22" si="1">SUM(C13:E13)</f>
        <v>24600</v>
      </c>
      <c r="J13" s="20">
        <f t="shared" ref="J13:J21" si="2">+(H13*H$7)+(I13*I$7)</f>
        <v>36900</v>
      </c>
      <c r="K13" s="21">
        <v>8.5999999999999993E-2</v>
      </c>
      <c r="L13" s="20">
        <f t="shared" ref="L13:L21" si="3">+J13*K13</f>
        <v>3173.3999999999996</v>
      </c>
      <c r="M13" s="22">
        <f t="shared" ref="M13:M21" si="4">+J13+L13</f>
        <v>40073.4</v>
      </c>
      <c r="N13" s="19">
        <f t="shared" ref="N13:N21" si="5">+I13+H13+G13</f>
        <v>24600</v>
      </c>
      <c r="P13" s="17">
        <f>549+183</f>
        <v>732</v>
      </c>
      <c r="Q13" s="19">
        <f>+P13+N13</f>
        <v>25332</v>
      </c>
    </row>
    <row r="14" spans="1:17" x14ac:dyDescent="0.25">
      <c r="A14" s="16" t="s">
        <v>21</v>
      </c>
      <c r="B14" t="s">
        <v>22</v>
      </c>
      <c r="C14" s="17">
        <v>0</v>
      </c>
      <c r="D14" s="17">
        <v>7</v>
      </c>
      <c r="E14" s="17">
        <v>88</v>
      </c>
      <c r="F14" s="17">
        <v>0</v>
      </c>
      <c r="G14" s="17">
        <v>0</v>
      </c>
      <c r="H14" s="18">
        <v>0</v>
      </c>
      <c r="I14" s="19">
        <f t="shared" si="1"/>
        <v>95</v>
      </c>
      <c r="J14" s="20">
        <f t="shared" si="2"/>
        <v>142.5</v>
      </c>
      <c r="K14" s="21">
        <v>8.5999999999999993E-2</v>
      </c>
      <c r="L14" s="20">
        <f t="shared" si="3"/>
        <v>12.254999999999999</v>
      </c>
      <c r="M14" s="22">
        <f t="shared" si="4"/>
        <v>154.755</v>
      </c>
      <c r="N14" s="19">
        <f t="shared" si="5"/>
        <v>95</v>
      </c>
    </row>
    <row r="15" spans="1:17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888</v>
      </c>
      <c r="F15" s="17">
        <v>0</v>
      </c>
      <c r="G15" s="17">
        <v>0</v>
      </c>
      <c r="H15" s="18">
        <v>10</v>
      </c>
      <c r="I15" s="19">
        <f t="shared" si="1"/>
        <v>888</v>
      </c>
      <c r="J15" s="20">
        <f>+(H15*H$7)+(I15*I$7)</f>
        <v>1361</v>
      </c>
      <c r="K15" s="21">
        <v>0.08</v>
      </c>
      <c r="L15" s="20">
        <f t="shared" si="3"/>
        <v>108.88</v>
      </c>
      <c r="M15" s="22">
        <f t="shared" si="4"/>
        <v>1469.88</v>
      </c>
      <c r="N15" s="19">
        <f t="shared" si="5"/>
        <v>898</v>
      </c>
    </row>
    <row r="16" spans="1:17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1134</v>
      </c>
      <c r="F16" s="17">
        <v>0</v>
      </c>
      <c r="G16" s="17">
        <v>0</v>
      </c>
      <c r="H16" s="18">
        <v>38</v>
      </c>
      <c r="I16" s="19">
        <f t="shared" si="1"/>
        <v>1135</v>
      </c>
      <c r="J16" s="20">
        <f t="shared" si="2"/>
        <v>1812.7</v>
      </c>
      <c r="K16" s="21">
        <v>8.1000000000000003E-2</v>
      </c>
      <c r="L16" s="20">
        <f t="shared" si="3"/>
        <v>146.8287</v>
      </c>
      <c r="M16" s="22">
        <f t="shared" si="4"/>
        <v>1959.5287000000001</v>
      </c>
      <c r="N16" s="19">
        <f t="shared" si="5"/>
        <v>1173</v>
      </c>
    </row>
    <row r="17" spans="1:17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7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7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7" x14ac:dyDescent="0.25">
      <c r="A20" s="16" t="s">
        <v>32</v>
      </c>
      <c r="B20" s="28" t="s">
        <v>33</v>
      </c>
      <c r="C20" s="17">
        <v>0</v>
      </c>
      <c r="D20" s="17">
        <v>35</v>
      </c>
      <c r="E20" s="17">
        <v>2143</v>
      </c>
      <c r="F20" s="17">
        <v>0</v>
      </c>
      <c r="G20" s="17">
        <v>0</v>
      </c>
      <c r="H20" s="18">
        <v>2</v>
      </c>
      <c r="I20" s="19">
        <f t="shared" si="1"/>
        <v>2178</v>
      </c>
      <c r="J20" s="20">
        <f t="shared" si="2"/>
        <v>3272.8</v>
      </c>
      <c r="K20" s="21">
        <v>8.5999999999999993E-2</v>
      </c>
      <c r="L20" s="20">
        <f t="shared" si="3"/>
        <v>281.46080000000001</v>
      </c>
      <c r="M20" s="22">
        <f t="shared" si="4"/>
        <v>3554.2608</v>
      </c>
      <c r="N20" s="19">
        <f t="shared" si="5"/>
        <v>2180</v>
      </c>
    </row>
    <row r="21" spans="1:17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785</v>
      </c>
      <c r="F21" s="17">
        <v>0</v>
      </c>
      <c r="G21" s="17">
        <v>0</v>
      </c>
      <c r="H21" s="18">
        <v>9</v>
      </c>
      <c r="I21" s="19">
        <f t="shared" si="1"/>
        <v>785</v>
      </c>
      <c r="J21" s="20">
        <f t="shared" si="2"/>
        <v>1203.5999999999999</v>
      </c>
      <c r="K21" s="21">
        <v>8.2000000000000003E-2</v>
      </c>
      <c r="L21" s="20">
        <f t="shared" si="3"/>
        <v>98.6952</v>
      </c>
      <c r="M21" s="22">
        <f t="shared" si="4"/>
        <v>1302.2952</v>
      </c>
      <c r="N21" s="19">
        <f t="shared" si="5"/>
        <v>794</v>
      </c>
    </row>
    <row r="22" spans="1:17" x14ac:dyDescent="0.25">
      <c r="A22" s="16"/>
      <c r="H22" s="27"/>
      <c r="I22" s="19">
        <f t="shared" si="1"/>
        <v>0</v>
      </c>
      <c r="K22" s="21"/>
    </row>
    <row r="23" spans="1:17" x14ac:dyDescent="0.25">
      <c r="A23" s="16"/>
      <c r="C23" s="29">
        <v>12</v>
      </c>
      <c r="D23" s="29">
        <v>170</v>
      </c>
      <c r="E23" s="29">
        <v>29756</v>
      </c>
      <c r="F23" s="29" t="s">
        <v>81</v>
      </c>
      <c r="G23" s="29">
        <v>0</v>
      </c>
      <c r="H23" s="30">
        <v>66</v>
      </c>
      <c r="I23" s="31">
        <f>SUM(I13:I22)</f>
        <v>29938</v>
      </c>
      <c r="J23" s="25">
        <f>SUM(J13:J22)</f>
        <v>45098.400000000001</v>
      </c>
      <c r="K23" s="25"/>
      <c r="L23" s="25">
        <f>SUM(L13:L22)</f>
        <v>3853.8036999999995</v>
      </c>
      <c r="M23" s="25">
        <f>SUM(M13:M22)</f>
        <v>48952.203700000005</v>
      </c>
      <c r="N23" s="26">
        <f>+I23+H23+G23</f>
        <v>30004</v>
      </c>
    </row>
    <row r="24" spans="1:17" ht="9" customHeight="1" x14ac:dyDescent="0.25">
      <c r="A24" s="16"/>
      <c r="H24" s="27"/>
      <c r="K24" s="21"/>
    </row>
    <row r="25" spans="1:17" x14ac:dyDescent="0.25">
      <c r="A25" s="16"/>
      <c r="B25" s="32" t="s">
        <v>36</v>
      </c>
      <c r="C25" s="33">
        <v>27</v>
      </c>
      <c r="D25" s="33">
        <v>878</v>
      </c>
      <c r="E25" s="33">
        <v>34543</v>
      </c>
      <c r="F25" s="33"/>
      <c r="G25" s="33">
        <v>0</v>
      </c>
      <c r="H25" s="34">
        <v>114</v>
      </c>
      <c r="I25" s="33">
        <f>+I23+I11</f>
        <v>35448</v>
      </c>
      <c r="J25" s="35">
        <f>+J11+J23</f>
        <v>53502.600000000006</v>
      </c>
      <c r="K25" s="36"/>
      <c r="L25" s="15">
        <f>+L11+L23</f>
        <v>4528.2839999999997</v>
      </c>
      <c r="M25" s="15">
        <f>+M11+M23</f>
        <v>58030.884000000005</v>
      </c>
      <c r="N25" s="19">
        <f>+N11+N23</f>
        <v>35562</v>
      </c>
      <c r="O25" s="17">
        <f>+GETPIVOTDATA("CanCount",[1]Old_Can_Sort!$A$4,"CompanyDivision","BDI")</f>
        <v>36294</v>
      </c>
      <c r="P25" s="19">
        <f>+O25-N25</f>
        <v>732</v>
      </c>
      <c r="Q25" s="19">
        <f>+P25+N25</f>
        <v>36294</v>
      </c>
    </row>
    <row r="26" spans="1:17" x14ac:dyDescent="0.25">
      <c r="A26" s="16"/>
    </row>
    <row r="27" spans="1:17" x14ac:dyDescent="0.25">
      <c r="A27" s="16"/>
      <c r="B27" s="32" t="s">
        <v>37</v>
      </c>
    </row>
    <row r="28" spans="1:17" x14ac:dyDescent="0.25">
      <c r="A28" s="16" t="s">
        <v>13</v>
      </c>
      <c r="B28" t="s">
        <v>38</v>
      </c>
      <c r="C28" s="17">
        <v>1</v>
      </c>
      <c r="D28" s="17">
        <v>270</v>
      </c>
      <c r="E28" s="17">
        <v>3978</v>
      </c>
      <c r="F28" s="17">
        <v>0</v>
      </c>
      <c r="G28" s="17">
        <v>0</v>
      </c>
      <c r="H28" s="18">
        <v>34</v>
      </c>
      <c r="I28" s="19">
        <f>SUM(C28:E28)</f>
        <v>4249</v>
      </c>
      <c r="J28" s="20">
        <f t="shared" ref="J28" si="6">+(H28*H$7)+(I28*I$7)</f>
        <v>6472.1</v>
      </c>
      <c r="K28" s="21">
        <v>0.08</v>
      </c>
      <c r="L28" s="20">
        <f t="shared" ref="L28:L31" si="7">+J28*K28</f>
        <v>517.76800000000003</v>
      </c>
      <c r="M28" s="22">
        <f t="shared" ref="M28:M31" si="8">+J28+L28</f>
        <v>6989.8680000000004</v>
      </c>
      <c r="N28" s="19">
        <f t="shared" ref="N28:N32" si="9">+I28+H28+G28</f>
        <v>4283</v>
      </c>
    </row>
    <row r="29" spans="1:17" x14ac:dyDescent="0.25">
      <c r="A29" s="16">
        <v>12</v>
      </c>
      <c r="B29" t="s">
        <v>39</v>
      </c>
      <c r="C29" s="17">
        <v>0</v>
      </c>
      <c r="D29" s="17">
        <v>1</v>
      </c>
      <c r="E29" s="17">
        <v>137</v>
      </c>
      <c r="F29" s="17">
        <v>0</v>
      </c>
      <c r="G29" s="17">
        <v>0</v>
      </c>
      <c r="H29" s="18">
        <v>0</v>
      </c>
      <c r="I29" s="19">
        <f>SUM(C29:E29)</f>
        <v>138</v>
      </c>
      <c r="J29" s="20">
        <f>+(H29*H$7)+(I29*I$7)</f>
        <v>207</v>
      </c>
      <c r="K29" s="21">
        <v>8.5999999999999993E-2</v>
      </c>
      <c r="L29" s="20">
        <f t="shared" si="7"/>
        <v>17.802</v>
      </c>
      <c r="M29" s="22">
        <f t="shared" si="8"/>
        <v>224.80199999999999</v>
      </c>
      <c r="N29" s="19">
        <f t="shared" si="9"/>
        <v>138</v>
      </c>
    </row>
    <row r="30" spans="1:17" x14ac:dyDescent="0.25">
      <c r="A30" s="16">
        <v>14</v>
      </c>
      <c r="B30" t="s">
        <v>40</v>
      </c>
      <c r="C30" s="17">
        <v>0</v>
      </c>
      <c r="D30" s="17">
        <v>12</v>
      </c>
      <c r="E30" s="17">
        <v>1200</v>
      </c>
      <c r="F30" s="17">
        <v>0</v>
      </c>
      <c r="G30" s="17">
        <v>0</v>
      </c>
      <c r="H30" s="18">
        <v>0</v>
      </c>
      <c r="I30" s="19">
        <f>SUM(C30:E30)</f>
        <v>1212</v>
      </c>
      <c r="J30" s="20">
        <f>+(H30*H$7)+(I30*I$7)</f>
        <v>1818</v>
      </c>
      <c r="K30" s="21">
        <v>8.5999999999999993E-2</v>
      </c>
      <c r="L30" s="20">
        <f t="shared" si="7"/>
        <v>156.34799999999998</v>
      </c>
      <c r="M30" s="22">
        <f t="shared" si="8"/>
        <v>1974.348</v>
      </c>
      <c r="N30" s="19">
        <f t="shared" si="9"/>
        <v>1212</v>
      </c>
    </row>
    <row r="31" spans="1:17" x14ac:dyDescent="0.25">
      <c r="A31" s="16">
        <v>13</v>
      </c>
      <c r="B31" t="s">
        <v>41</v>
      </c>
      <c r="C31" s="17">
        <v>0</v>
      </c>
      <c r="D31" s="17">
        <v>57</v>
      </c>
      <c r="E31" s="17">
        <v>7154</v>
      </c>
      <c r="F31" s="17">
        <v>0</v>
      </c>
      <c r="G31" s="17">
        <v>0</v>
      </c>
      <c r="H31" s="18">
        <v>0</v>
      </c>
      <c r="I31" s="19">
        <f>SUM(C31:E31)</f>
        <v>7211</v>
      </c>
      <c r="J31" s="20">
        <f>+(H31*H$7)+(I31*I$7)</f>
        <v>10816.5</v>
      </c>
      <c r="K31" s="21">
        <v>8.5999999999999993E-2</v>
      </c>
      <c r="L31" s="20">
        <f t="shared" si="7"/>
        <v>930.21899999999994</v>
      </c>
      <c r="M31" s="22">
        <f t="shared" si="8"/>
        <v>11746.718999999999</v>
      </c>
      <c r="N31" s="19">
        <f t="shared" si="9"/>
        <v>7211</v>
      </c>
    </row>
    <row r="32" spans="1:17" x14ac:dyDescent="0.25">
      <c r="A32" s="16"/>
      <c r="B32" s="37" t="s">
        <v>42</v>
      </c>
      <c r="C32" s="26">
        <v>1</v>
      </c>
      <c r="D32" s="26">
        <v>340</v>
      </c>
      <c r="E32" s="26">
        <v>12469</v>
      </c>
      <c r="F32" s="26"/>
      <c r="G32" s="26">
        <v>0</v>
      </c>
      <c r="H32" s="26">
        <v>34</v>
      </c>
      <c r="I32" s="26">
        <f>SUM(I28:I31)</f>
        <v>12810</v>
      </c>
      <c r="J32" s="38">
        <f>SUM(J28:J31)</f>
        <v>19313.599999999999</v>
      </c>
      <c r="K32" s="2"/>
      <c r="L32" s="39">
        <f>SUM(L28:L31)</f>
        <v>1622.1369999999999</v>
      </c>
      <c r="M32" s="39">
        <f>SUM(M28:M31)</f>
        <v>20935.737000000001</v>
      </c>
      <c r="N32" s="26">
        <f t="shared" si="9"/>
        <v>12844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6</v>
      </c>
      <c r="F38" s="17">
        <v>0</v>
      </c>
      <c r="G38" s="17">
        <v>13</v>
      </c>
      <c r="H38" s="18">
        <v>102</v>
      </c>
      <c r="I38" s="19">
        <f t="shared" ref="I38:I46" si="10">SUM(C38:F38)</f>
        <v>6</v>
      </c>
      <c r="J38" s="20">
        <f>+(C38*C$36)+(D38*D$37)+(E38*E$36)+(F38*F$36)+(G38*G$36)+(H38*H$36)</f>
        <v>368.75000000000006</v>
      </c>
      <c r="K38" s="21">
        <v>7.9000000000000001E-2</v>
      </c>
      <c r="L38" s="20">
        <f t="shared" ref="L38:L46" si="11">+J38*K38</f>
        <v>29.131250000000005</v>
      </c>
      <c r="M38" s="22">
        <f t="shared" ref="M38:M46" si="12">+J38+L38</f>
        <v>397.88125000000008</v>
      </c>
      <c r="N38" s="19">
        <f t="shared" ref="N38:N47" si="13">+I38+H38+G38</f>
        <v>121</v>
      </c>
    </row>
    <row r="39" spans="1:14" x14ac:dyDescent="0.25">
      <c r="A39" s="16" t="s">
        <v>45</v>
      </c>
      <c r="B39" s="42" t="s">
        <v>47</v>
      </c>
      <c r="C39" s="17">
        <v>173</v>
      </c>
      <c r="D39" s="17">
        <v>637</v>
      </c>
      <c r="E39" s="17">
        <v>1331</v>
      </c>
      <c r="F39" s="17">
        <v>0</v>
      </c>
      <c r="G39" s="17">
        <v>15</v>
      </c>
      <c r="H39" s="18">
        <v>483</v>
      </c>
      <c r="I39" s="19">
        <f t="shared" si="10"/>
        <v>2141</v>
      </c>
      <c r="J39" s="20">
        <f>+(C39*C$36)+(D39*D$37)+(E39*E$36)+(F39*F$36)+(G39*G$36)+(H39*H$36)</f>
        <v>4196.75</v>
      </c>
      <c r="K39" s="21">
        <v>7.9000000000000001E-2</v>
      </c>
      <c r="L39" s="20">
        <f t="shared" si="11"/>
        <v>331.54325</v>
      </c>
      <c r="M39" s="22">
        <f t="shared" si="12"/>
        <v>4528.2932499999997</v>
      </c>
      <c r="N39" s="19">
        <f t="shared" si="13"/>
        <v>2639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1841</v>
      </c>
      <c r="E40" s="17">
        <v>709</v>
      </c>
      <c r="F40" s="17">
        <v>1408</v>
      </c>
      <c r="G40" s="17">
        <v>4</v>
      </c>
      <c r="H40" s="18">
        <v>10</v>
      </c>
      <c r="I40" s="19">
        <f t="shared" si="10"/>
        <v>3960</v>
      </c>
      <c r="J40" s="20">
        <f>+(C40*C$36)+(D40*D$36)+(E40*E$36)+(F40*F$36)+(G40*G$36)+(H40*H$36)</f>
        <v>4399</v>
      </c>
      <c r="K40" s="21">
        <v>8.2000000000000003E-2</v>
      </c>
      <c r="L40" s="20">
        <f t="shared" si="11"/>
        <v>360.71800000000002</v>
      </c>
      <c r="M40" s="22">
        <f t="shared" si="12"/>
        <v>4759.7179999999998</v>
      </c>
      <c r="N40" s="19">
        <f t="shared" si="13"/>
        <v>3974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26</v>
      </c>
      <c r="E41" s="17">
        <v>2041</v>
      </c>
      <c r="F41" s="17">
        <v>14</v>
      </c>
      <c r="G41" s="17">
        <v>1</v>
      </c>
      <c r="H41" s="18">
        <v>44</v>
      </c>
      <c r="I41" s="19">
        <f t="shared" si="10"/>
        <v>2081</v>
      </c>
      <c r="J41" s="20">
        <f>+(C41*C$36)+(D41*D$36)+(E41*E$36)+(F41*F$36)+(G41*G$36)+(H41*H$36)</f>
        <v>2432.6500000000005</v>
      </c>
      <c r="K41" s="21">
        <v>8.1000000000000003E-2</v>
      </c>
      <c r="L41" s="20">
        <f t="shared" si="11"/>
        <v>197.04465000000005</v>
      </c>
      <c r="M41" s="22">
        <f t="shared" si="12"/>
        <v>2629.6946500000004</v>
      </c>
      <c r="N41" s="19">
        <f t="shared" si="13"/>
        <v>2126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486</v>
      </c>
      <c r="E42" s="17">
        <v>606</v>
      </c>
      <c r="F42" s="17">
        <v>567</v>
      </c>
      <c r="G42" s="17">
        <v>3</v>
      </c>
      <c r="H42" s="18">
        <v>3</v>
      </c>
      <c r="I42" s="19">
        <f t="shared" si="10"/>
        <v>1659</v>
      </c>
      <c r="J42" s="20">
        <f>+(C42*C$36)+(D42*D$36)+(E42*E$36)+(G42*G$36)+(H42*H$36)+(F42*F$36)</f>
        <v>1842.75</v>
      </c>
      <c r="K42" s="21">
        <v>7.9000000000000001E-2</v>
      </c>
      <c r="L42" s="20">
        <f t="shared" si="11"/>
        <v>145.57724999999999</v>
      </c>
      <c r="M42" s="22">
        <f t="shared" si="12"/>
        <v>1988.32725</v>
      </c>
      <c r="N42" s="19">
        <f t="shared" si="13"/>
        <v>1665</v>
      </c>
    </row>
    <row r="43" spans="1:14" x14ac:dyDescent="0.25">
      <c r="A43" s="16" t="s">
        <v>54</v>
      </c>
      <c r="B43" t="s">
        <v>55</v>
      </c>
      <c r="C43" s="17">
        <v>82</v>
      </c>
      <c r="D43" s="17">
        <v>340</v>
      </c>
      <c r="E43" s="17">
        <v>617</v>
      </c>
      <c r="F43" s="17">
        <v>0</v>
      </c>
      <c r="G43" s="17">
        <v>0</v>
      </c>
      <c r="H43" s="18">
        <v>22</v>
      </c>
      <c r="I43" s="19">
        <f t="shared" si="10"/>
        <v>1039</v>
      </c>
      <c r="J43" s="20">
        <f>+(C43*C$36)+(D43*D$36)+(E43*E$36)+(F43*F$36)+(G43*G$36)+(H43*H$36)</f>
        <v>1213.3000000000002</v>
      </c>
      <c r="K43" s="21">
        <v>7.9000000000000001E-2</v>
      </c>
      <c r="L43" s="20">
        <f t="shared" si="11"/>
        <v>95.850700000000018</v>
      </c>
      <c r="M43" s="22">
        <f t="shared" si="12"/>
        <v>1309.1507000000001</v>
      </c>
      <c r="N43" s="19">
        <f t="shared" si="13"/>
        <v>1061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1</v>
      </c>
      <c r="I44" s="19">
        <f t="shared" si="10"/>
        <v>0</v>
      </c>
      <c r="J44" s="20">
        <f>+(C44*C$36)+(D44*D$36)+(E44*E$36)+(G44*G$36)+(H44*H$36)+(F44*F$36)</f>
        <v>3.2</v>
      </c>
      <c r="K44" s="21">
        <v>7.9000000000000001E-2</v>
      </c>
      <c r="L44" s="20">
        <f t="shared" si="11"/>
        <v>0.25280000000000002</v>
      </c>
      <c r="M44" s="22">
        <f t="shared" si="12"/>
        <v>3.4528000000000003</v>
      </c>
      <c r="N44" s="19">
        <f t="shared" si="13"/>
        <v>1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0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1"/>
        <v>0.34760000000000002</v>
      </c>
      <c r="M45" s="22">
        <f t="shared" si="12"/>
        <v>4.7476000000000003</v>
      </c>
      <c r="N45" s="19">
        <f t="shared" si="13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1</v>
      </c>
      <c r="E46" s="17">
        <v>1</v>
      </c>
      <c r="F46" s="17">
        <v>0</v>
      </c>
      <c r="G46" s="17">
        <v>1</v>
      </c>
      <c r="H46" s="18">
        <v>2</v>
      </c>
      <c r="I46" s="19">
        <f t="shared" si="10"/>
        <v>2</v>
      </c>
      <c r="J46" s="20">
        <f>+(C46*C$36)+(D46*D$36)+(E46*E$36)+(G46*G$36)+(H46*H$36)+(F46*F$36)</f>
        <v>11.350000000000001</v>
      </c>
      <c r="K46" s="21">
        <v>7.9000000000000001E-2</v>
      </c>
      <c r="L46" s="20">
        <f t="shared" si="11"/>
        <v>0.89665000000000017</v>
      </c>
      <c r="M46" s="22">
        <f t="shared" si="12"/>
        <v>12.246650000000002</v>
      </c>
      <c r="N46" s="19">
        <f t="shared" si="13"/>
        <v>5</v>
      </c>
    </row>
    <row r="47" spans="1:14" x14ac:dyDescent="0.25">
      <c r="A47" s="16"/>
      <c r="B47" s="37" t="s">
        <v>61</v>
      </c>
      <c r="C47" s="26">
        <v>258</v>
      </c>
      <c r="D47" s="26">
        <v>3332</v>
      </c>
      <c r="E47" s="26">
        <v>5313</v>
      </c>
      <c r="F47" s="26">
        <v>1989</v>
      </c>
      <c r="G47" s="26">
        <v>37</v>
      </c>
      <c r="H47" s="26">
        <v>667</v>
      </c>
      <c r="I47" s="26">
        <f>SUM(I38:I46)</f>
        <v>10892</v>
      </c>
      <c r="J47" s="43">
        <f t="shared" ref="J47" si="14">SUM(J38:J46)</f>
        <v>14472.150000000001</v>
      </c>
      <c r="K47" s="2"/>
      <c r="L47" s="44">
        <f>SUM(L38:L46)</f>
        <v>1161.3621499999999</v>
      </c>
      <c r="M47" s="44">
        <f>SUM(M38:M46)</f>
        <v>15633.512149999999</v>
      </c>
      <c r="N47" s="26">
        <f t="shared" si="13"/>
        <v>11596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178</v>
      </c>
      <c r="D52" s="17">
        <v>1175</v>
      </c>
      <c r="E52" s="17">
        <v>2616</v>
      </c>
      <c r="F52" s="45">
        <v>0</v>
      </c>
      <c r="G52" s="17">
        <v>1</v>
      </c>
      <c r="H52" s="18">
        <v>207</v>
      </c>
      <c r="I52" s="19">
        <f t="shared" ref="I52:I57" si="15">SUM(C52:F52)</f>
        <v>3969</v>
      </c>
      <c r="J52" s="20">
        <f>+(C52*C$50)+(D52*D$50)+(E52*E$50)+(G52*G$50)+(H52*H$50)+(F52*F$51)</f>
        <v>6547.4500000000007</v>
      </c>
      <c r="K52" s="21">
        <v>8.1000000000000003E-2</v>
      </c>
      <c r="L52" s="20">
        <f t="shared" ref="L52:L57" si="16">+J52*K52</f>
        <v>530.34345000000008</v>
      </c>
      <c r="M52" s="22">
        <f t="shared" ref="M52:M57" si="17">+J52+L52</f>
        <v>7077.793450000001</v>
      </c>
      <c r="N52" s="19">
        <f t="shared" ref="N52:N58" si="18">+I52+H52+G52</f>
        <v>4177</v>
      </c>
    </row>
    <row r="53" spans="1:14" x14ac:dyDescent="0.25">
      <c r="A53" s="16" t="s">
        <v>65</v>
      </c>
      <c r="B53" t="s">
        <v>66</v>
      </c>
      <c r="C53" s="17">
        <v>8</v>
      </c>
      <c r="D53" s="17">
        <v>85</v>
      </c>
      <c r="E53" s="17">
        <v>198</v>
      </c>
      <c r="F53" s="17">
        <v>0</v>
      </c>
      <c r="G53" s="17">
        <v>0</v>
      </c>
      <c r="H53" s="18">
        <v>76</v>
      </c>
      <c r="I53" s="19">
        <f t="shared" si="15"/>
        <v>291</v>
      </c>
      <c r="J53" s="20">
        <f>+(C53*C$50)+(D53*D$50)+(E53*E$50)+(G53*G$50)+(H53*H$50)+(F53*F$51)</f>
        <v>676.5</v>
      </c>
      <c r="K53" s="21">
        <v>8.1000000000000003E-2</v>
      </c>
      <c r="L53" s="20">
        <f t="shared" si="16"/>
        <v>54.796500000000002</v>
      </c>
      <c r="M53" s="22">
        <f t="shared" si="17"/>
        <v>731.29650000000004</v>
      </c>
      <c r="N53" s="19">
        <f t="shared" si="18"/>
        <v>367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5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6"/>
        <v>0</v>
      </c>
      <c r="M54" s="22">
        <f t="shared" si="17"/>
        <v>0</v>
      </c>
      <c r="N54" s="19">
        <f t="shared" si="18"/>
        <v>0</v>
      </c>
    </row>
    <row r="55" spans="1:14" x14ac:dyDescent="0.25">
      <c r="A55" s="16" t="s">
        <v>68</v>
      </c>
      <c r="B55" t="s">
        <v>69</v>
      </c>
      <c r="C55" s="17">
        <v>254</v>
      </c>
      <c r="D55" s="17">
        <v>1435</v>
      </c>
      <c r="E55" s="17">
        <v>1367</v>
      </c>
      <c r="F55" s="45">
        <v>726</v>
      </c>
      <c r="G55" s="17">
        <v>0</v>
      </c>
      <c r="H55" s="18">
        <v>17</v>
      </c>
      <c r="I55" s="19">
        <f t="shared" si="15"/>
        <v>3782</v>
      </c>
      <c r="J55" s="20">
        <f>+(C55*C$50)+(D55*D$50)+(E55*E$50)+(G55*G$50)+(H55*H$50)+(F55*F$51)</f>
        <v>5625.7999999999993</v>
      </c>
      <c r="K55" s="21">
        <v>8.6999999999999994E-2</v>
      </c>
      <c r="L55" s="20">
        <f t="shared" si="16"/>
        <v>489.44459999999992</v>
      </c>
      <c r="M55" s="22">
        <f t="shared" si="17"/>
        <v>6115.2445999999991</v>
      </c>
      <c r="N55" s="19">
        <f t="shared" si="18"/>
        <v>3799</v>
      </c>
    </row>
    <row r="56" spans="1:14" x14ac:dyDescent="0.25">
      <c r="A56" s="16" t="s">
        <v>70</v>
      </c>
      <c r="B56" t="s">
        <v>71</v>
      </c>
      <c r="C56" s="17">
        <v>29</v>
      </c>
      <c r="D56" s="17">
        <v>132</v>
      </c>
      <c r="E56" s="17">
        <v>315</v>
      </c>
      <c r="F56" s="17">
        <v>1</v>
      </c>
      <c r="G56" s="17">
        <v>0</v>
      </c>
      <c r="H56" s="18">
        <v>2</v>
      </c>
      <c r="I56" s="19">
        <f t="shared" si="15"/>
        <v>477</v>
      </c>
      <c r="J56" s="20">
        <f>+(C56*C$50)+(D56*D$50)+(E56*E$50)+(G56*G$50)+(H56*H$50)+(F56*F$51)</f>
        <v>710.3</v>
      </c>
      <c r="K56" s="21">
        <v>8.8999999999999996E-2</v>
      </c>
      <c r="L56" s="20">
        <f t="shared" si="16"/>
        <v>63.216699999999996</v>
      </c>
      <c r="M56" s="22">
        <f t="shared" si="17"/>
        <v>773.5166999999999</v>
      </c>
      <c r="N56" s="19">
        <f t="shared" si="18"/>
        <v>479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9885</v>
      </c>
      <c r="G57" s="17">
        <v>0</v>
      </c>
      <c r="H57" s="18">
        <v>0</v>
      </c>
      <c r="I57" s="19">
        <f t="shared" si="15"/>
        <v>9886</v>
      </c>
      <c r="J57" s="20">
        <f>+(C57*C$50)+(D57*D$50)+(E57*E$50)+(G57*G$50)+(H57*H$50)+(F57*F$50)</f>
        <v>6921</v>
      </c>
      <c r="K57" s="21">
        <v>8.8999999999999996E-2</v>
      </c>
      <c r="L57" s="20">
        <f t="shared" si="16"/>
        <v>615.96899999999994</v>
      </c>
      <c r="M57" s="22">
        <f t="shared" si="17"/>
        <v>7536.9690000000001</v>
      </c>
      <c r="N57" s="19">
        <f t="shared" si="18"/>
        <v>9886</v>
      </c>
    </row>
    <row r="58" spans="1:14" x14ac:dyDescent="0.25">
      <c r="A58" s="16"/>
      <c r="B58" s="37" t="s">
        <v>73</v>
      </c>
      <c r="C58" s="26">
        <f>SUM(C52:C57)</f>
        <v>469</v>
      </c>
      <c r="D58" s="26">
        <f t="shared" ref="D58:G58" si="19">SUM(D52:D57)</f>
        <v>2828</v>
      </c>
      <c r="E58" s="26">
        <f t="shared" si="19"/>
        <v>4496</v>
      </c>
      <c r="F58" s="26">
        <f t="shared" si="19"/>
        <v>10612</v>
      </c>
      <c r="G58" s="26">
        <f t="shared" si="19"/>
        <v>1</v>
      </c>
      <c r="H58" s="26">
        <f>SUM(H52:H57)</f>
        <v>302</v>
      </c>
      <c r="I58" s="26">
        <f>SUM(I52:I57)</f>
        <v>18405</v>
      </c>
      <c r="J58" s="43">
        <f>SUM(J52:J57)</f>
        <v>20481.05</v>
      </c>
      <c r="K58" s="2"/>
      <c r="L58" s="44">
        <f>SUM(L52:L57)</f>
        <v>1753.77025</v>
      </c>
      <c r="M58" s="44">
        <f>SUM(M52:M57)</f>
        <v>22234.820250000001</v>
      </c>
      <c r="N58" s="26">
        <f t="shared" si="18"/>
        <v>18708</v>
      </c>
    </row>
    <row r="60" spans="1:14" x14ac:dyDescent="0.25">
      <c r="B60" s="46" t="s">
        <v>74</v>
      </c>
      <c r="C60" s="33">
        <f t="shared" ref="C60:G60" si="20">+C25+C32+C47+C58</f>
        <v>755</v>
      </c>
      <c r="D60" s="33">
        <f t="shared" si="20"/>
        <v>7378</v>
      </c>
      <c r="E60" s="33">
        <f t="shared" si="20"/>
        <v>56821</v>
      </c>
      <c r="F60" s="33">
        <f t="shared" si="20"/>
        <v>12601</v>
      </c>
      <c r="G60" s="47">
        <f t="shared" si="20"/>
        <v>38</v>
      </c>
      <c r="H60" s="47">
        <f>+H25+H32+H47+H58</f>
        <v>1117</v>
      </c>
      <c r="I60" s="47">
        <f>+I25+I32+I47+I58</f>
        <v>77555</v>
      </c>
      <c r="J60" s="35">
        <f>+J25+J32+J47+J58</f>
        <v>107769.40000000001</v>
      </c>
      <c r="L60" s="15">
        <f>+L25+L32+L47+L58</f>
        <v>9065.5533999999989</v>
      </c>
      <c r="M60" s="15">
        <f>+M25+M32+M47+M58</f>
        <v>116834.95340000001</v>
      </c>
    </row>
    <row r="61" spans="1:14" x14ac:dyDescent="0.25">
      <c r="H61" s="48" t="s">
        <v>10</v>
      </c>
      <c r="I61" s="49">
        <f>+I60+H60+G60</f>
        <v>78710</v>
      </c>
    </row>
    <row r="62" spans="1:14" x14ac:dyDescent="0.25">
      <c r="H62" t="s">
        <v>75</v>
      </c>
      <c r="I62" s="17">
        <f>+[1]CanData!N1</f>
        <v>82736</v>
      </c>
      <c r="K62" s="19"/>
    </row>
    <row r="63" spans="1:14" x14ac:dyDescent="0.25">
      <c r="H63" s="46" t="s">
        <v>76</v>
      </c>
      <c r="I63" s="19">
        <f>+I62-I61</f>
        <v>4026</v>
      </c>
    </row>
    <row r="64" spans="1:14" x14ac:dyDescent="0.25">
      <c r="E64" t="s">
        <v>77</v>
      </c>
      <c r="H64" s="46" t="s">
        <v>78</v>
      </c>
      <c r="I64" s="19">
        <f>+[1]CanData!P1</f>
        <v>3294</v>
      </c>
    </row>
    <row r="65" spans="8:10" x14ac:dyDescent="0.25">
      <c r="H65" s="46" t="s">
        <v>76</v>
      </c>
      <c r="I65" s="50">
        <f>+I63-I64</f>
        <v>732</v>
      </c>
      <c r="J65" s="28"/>
    </row>
    <row r="66" spans="8:10" x14ac:dyDescent="0.25">
      <c r="I66">
        <v>732</v>
      </c>
      <c r="J66" t="s">
        <v>79</v>
      </c>
    </row>
    <row r="67" spans="8:10" x14ac:dyDescent="0.25">
      <c r="I67" s="19">
        <f>+I65-I66</f>
        <v>0</v>
      </c>
      <c r="J67" s="2" t="s">
        <v>80</v>
      </c>
    </row>
  </sheetData>
  <mergeCells count="1">
    <mergeCell ref="C5:H5"/>
  </mergeCells>
  <pageMargins left="0.2" right="0.2" top="0.25" bottom="0.25" header="0.3" footer="0.3"/>
  <pageSetup scale="69" orientation="portrait" r:id="rId1"/>
  <headerFooter>
    <oddHeader>&amp;RPrinted: &amp;D &amp;T</oddHeader>
    <oddFooter>&amp;C&amp;Z&amp;F&amp;RTab: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4" zoomScaleNormal="100" workbookViewId="0">
      <selection activeCell="D8" sqref="D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7" x14ac:dyDescent="0.25">
      <c r="B1" s="2" t="s">
        <v>0</v>
      </c>
    </row>
    <row r="2" spans="1:17" x14ac:dyDescent="0.25">
      <c r="B2" s="2" t="s">
        <v>1</v>
      </c>
    </row>
    <row r="3" spans="1:17" x14ac:dyDescent="0.25">
      <c r="B3" t="s">
        <v>2</v>
      </c>
    </row>
    <row r="4" spans="1:17" ht="15.75" thickBot="1" x14ac:dyDescent="0.3">
      <c r="B4" s="3" t="str">
        <f>+'[2]PT Rev JE 03'!A3</f>
        <v>August 2016</v>
      </c>
    </row>
    <row r="5" spans="1:17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7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7" x14ac:dyDescent="0.25">
      <c r="B7" s="13" t="s">
        <v>12</v>
      </c>
      <c r="H7" s="14">
        <v>2.9</v>
      </c>
      <c r="I7" s="15">
        <v>1.5</v>
      </c>
    </row>
    <row r="8" spans="1:17" x14ac:dyDescent="0.25">
      <c r="A8" s="16" t="s">
        <v>13</v>
      </c>
      <c r="B8" t="s">
        <v>14</v>
      </c>
      <c r="C8" s="17">
        <v>3</v>
      </c>
      <c r="D8" s="17">
        <v>133</v>
      </c>
      <c r="E8" s="17">
        <v>828</v>
      </c>
      <c r="F8" s="17">
        <v>0</v>
      </c>
      <c r="G8" s="17">
        <v>0</v>
      </c>
      <c r="H8" s="18">
        <v>2</v>
      </c>
      <c r="I8" s="19">
        <f>SUM(C8:E8)</f>
        <v>964</v>
      </c>
      <c r="J8" s="20">
        <f>+(H8*H$7)+(I8*I$7)</f>
        <v>1451.8</v>
      </c>
      <c r="K8" s="21">
        <v>0.08</v>
      </c>
      <c r="L8" s="20">
        <f>+J8*K8</f>
        <v>116.14400000000001</v>
      </c>
      <c r="M8" s="22">
        <f>+J8+L8</f>
        <v>1567.944</v>
      </c>
      <c r="N8" s="19">
        <f>+I8+H8+G8</f>
        <v>966</v>
      </c>
    </row>
    <row r="9" spans="1:17" x14ac:dyDescent="0.25">
      <c r="A9" s="16" t="s">
        <v>15</v>
      </c>
      <c r="B9" s="4" t="s">
        <v>16</v>
      </c>
      <c r="C9" s="17">
        <v>9</v>
      </c>
      <c r="D9" s="17">
        <v>419</v>
      </c>
      <c r="E9" s="17">
        <v>2625</v>
      </c>
      <c r="F9" s="17">
        <v>0</v>
      </c>
      <c r="G9" s="17">
        <v>0</v>
      </c>
      <c r="H9" s="18">
        <v>41</v>
      </c>
      <c r="I9" s="19">
        <f>SUM(C9:E9)</f>
        <v>3053</v>
      </c>
      <c r="J9" s="20">
        <f>+(H9*H$7)+(I9*I$7)</f>
        <v>4698.3999999999996</v>
      </c>
      <c r="K9" s="21">
        <v>0.08</v>
      </c>
      <c r="L9" s="20">
        <f>+J9*K9</f>
        <v>375.87199999999996</v>
      </c>
      <c r="M9" s="22">
        <f>+J9+L9</f>
        <v>5074.2719999999999</v>
      </c>
      <c r="N9" s="19">
        <f>+I9+H9+G9</f>
        <v>3094</v>
      </c>
    </row>
    <row r="10" spans="1:17" x14ac:dyDescent="0.25">
      <c r="A10" s="16" t="s">
        <v>17</v>
      </c>
      <c r="B10" s="4" t="s">
        <v>18</v>
      </c>
      <c r="C10" s="17">
        <v>3</v>
      </c>
      <c r="D10" s="17">
        <v>150</v>
      </c>
      <c r="E10" s="17">
        <v>1215</v>
      </c>
      <c r="F10" s="17">
        <v>0</v>
      </c>
      <c r="G10" s="17">
        <v>0</v>
      </c>
      <c r="H10" s="18">
        <v>7</v>
      </c>
      <c r="I10" s="19">
        <f>SUM(C10:E10)</f>
        <v>1368</v>
      </c>
      <c r="J10" s="20">
        <f>+(H10*H$7)+(I10*I$7)</f>
        <v>2072.3000000000002</v>
      </c>
      <c r="K10" s="21">
        <v>8.1000000000000003E-2</v>
      </c>
      <c r="L10" s="20">
        <f>+J10*K10</f>
        <v>167.85630000000003</v>
      </c>
      <c r="M10" s="22">
        <f>+J10+L10</f>
        <v>2240.1563000000001</v>
      </c>
      <c r="N10" s="19">
        <f>+I10+H10+G10</f>
        <v>1375</v>
      </c>
    </row>
    <row r="11" spans="1:17" x14ac:dyDescent="0.25">
      <c r="C11" s="23">
        <v>15</v>
      </c>
      <c r="D11" s="23">
        <v>702</v>
      </c>
      <c r="E11" s="23">
        <v>4668</v>
      </c>
      <c r="F11" s="23">
        <v>0</v>
      </c>
      <c r="G11" s="23">
        <v>0</v>
      </c>
      <c r="H11" s="24">
        <v>50</v>
      </c>
      <c r="I11" s="23">
        <f>SUM(I8:I10)</f>
        <v>5385</v>
      </c>
      <c r="J11" s="25">
        <f t="shared" ref="J11" si="0">SUM(J8:J10)</f>
        <v>8222.5</v>
      </c>
      <c r="K11" s="21"/>
      <c r="L11" s="25">
        <f>SUM(L8:L10)</f>
        <v>659.8723</v>
      </c>
      <c r="M11" s="25">
        <f>SUM(M8:M10)</f>
        <v>8882.3723000000009</v>
      </c>
      <c r="N11" s="26">
        <f>+I11+H11+G11</f>
        <v>5435</v>
      </c>
    </row>
    <row r="12" spans="1:17" x14ac:dyDescent="0.25">
      <c r="H12" s="27"/>
      <c r="K12" s="21"/>
    </row>
    <row r="13" spans="1:17" x14ac:dyDescent="0.25">
      <c r="A13" s="16" t="s">
        <v>19</v>
      </c>
      <c r="B13" s="4" t="s">
        <v>20</v>
      </c>
      <c r="C13" s="17">
        <v>12</v>
      </c>
      <c r="D13" s="17">
        <v>122</v>
      </c>
      <c r="E13" s="17">
        <v>23439</v>
      </c>
      <c r="F13" s="17">
        <v>0</v>
      </c>
      <c r="G13" s="17">
        <v>0</v>
      </c>
      <c r="H13" s="18">
        <v>0</v>
      </c>
      <c r="I13" s="19">
        <f t="shared" ref="I13:I22" si="1">SUM(C13:E13)</f>
        <v>23573</v>
      </c>
      <c r="J13" s="20">
        <f t="shared" ref="J13:J21" si="2">+(H13*H$7)+(I13*I$7)</f>
        <v>35359.5</v>
      </c>
      <c r="K13" s="21">
        <v>8.5999999999999993E-2</v>
      </c>
      <c r="L13" s="20">
        <f t="shared" ref="L13:L21" si="3">+J13*K13</f>
        <v>3040.9169999999999</v>
      </c>
      <c r="M13" s="22">
        <f t="shared" ref="M13:M21" si="4">+J13+L13</f>
        <v>38400.417000000001</v>
      </c>
      <c r="N13" s="19">
        <f t="shared" ref="N13:N21" si="5">+I13+H13+G13</f>
        <v>23573</v>
      </c>
      <c r="P13" s="17">
        <f>549+183</f>
        <v>732</v>
      </c>
      <c r="Q13" s="19">
        <f>+P13+N13</f>
        <v>24305</v>
      </c>
    </row>
    <row r="14" spans="1:17" x14ac:dyDescent="0.25">
      <c r="A14" s="16" t="s">
        <v>21</v>
      </c>
      <c r="B14" t="s">
        <v>22</v>
      </c>
      <c r="C14" s="17">
        <v>0</v>
      </c>
      <c r="D14" s="17">
        <v>7</v>
      </c>
      <c r="E14" s="17">
        <v>88</v>
      </c>
      <c r="F14" s="17">
        <v>0</v>
      </c>
      <c r="G14" s="17">
        <v>0</v>
      </c>
      <c r="H14" s="18">
        <v>0</v>
      </c>
      <c r="I14" s="19">
        <f t="shared" si="1"/>
        <v>95</v>
      </c>
      <c r="J14" s="20">
        <f t="shared" si="2"/>
        <v>142.5</v>
      </c>
      <c r="K14" s="21">
        <v>8.5999999999999993E-2</v>
      </c>
      <c r="L14" s="20">
        <f t="shared" si="3"/>
        <v>12.254999999999999</v>
      </c>
      <c r="M14" s="22">
        <f t="shared" si="4"/>
        <v>154.755</v>
      </c>
      <c r="N14" s="19">
        <f t="shared" si="5"/>
        <v>95</v>
      </c>
    </row>
    <row r="15" spans="1:17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868</v>
      </c>
      <c r="F15" s="17">
        <v>0</v>
      </c>
      <c r="G15" s="17">
        <v>0</v>
      </c>
      <c r="H15" s="18">
        <v>10</v>
      </c>
      <c r="I15" s="19">
        <f t="shared" si="1"/>
        <v>868</v>
      </c>
      <c r="J15" s="20">
        <f>+(H15*H$7)+(I15*I$7)</f>
        <v>1331</v>
      </c>
      <c r="K15" s="21">
        <v>0.08</v>
      </c>
      <c r="L15" s="20">
        <f t="shared" si="3"/>
        <v>106.48</v>
      </c>
      <c r="M15" s="22">
        <f t="shared" si="4"/>
        <v>1437.48</v>
      </c>
      <c r="N15" s="19">
        <f t="shared" si="5"/>
        <v>878</v>
      </c>
    </row>
    <row r="16" spans="1:17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1116</v>
      </c>
      <c r="F16" s="17">
        <v>0</v>
      </c>
      <c r="G16" s="17">
        <v>0</v>
      </c>
      <c r="H16" s="18">
        <v>38</v>
      </c>
      <c r="I16" s="19">
        <f t="shared" si="1"/>
        <v>1117</v>
      </c>
      <c r="J16" s="20">
        <f t="shared" si="2"/>
        <v>1785.7</v>
      </c>
      <c r="K16" s="21">
        <v>8.1000000000000003E-2</v>
      </c>
      <c r="L16" s="20">
        <f t="shared" si="3"/>
        <v>144.64170000000001</v>
      </c>
      <c r="M16" s="22">
        <f t="shared" si="4"/>
        <v>1930.3416999999999</v>
      </c>
      <c r="N16" s="19">
        <f t="shared" si="5"/>
        <v>1155</v>
      </c>
    </row>
    <row r="17" spans="1:17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7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7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7" x14ac:dyDescent="0.25">
      <c r="A20" s="16" t="s">
        <v>32</v>
      </c>
      <c r="B20" s="28" t="s">
        <v>33</v>
      </c>
      <c r="C20" s="17">
        <v>0</v>
      </c>
      <c r="D20" s="17">
        <v>33</v>
      </c>
      <c r="E20" s="17">
        <v>2130</v>
      </c>
      <c r="F20" s="17">
        <v>0</v>
      </c>
      <c r="G20" s="17">
        <v>0</v>
      </c>
      <c r="H20" s="18">
        <v>2</v>
      </c>
      <c r="I20" s="19">
        <f t="shared" si="1"/>
        <v>2163</v>
      </c>
      <c r="J20" s="20">
        <f t="shared" si="2"/>
        <v>3250.3</v>
      </c>
      <c r="K20" s="21">
        <v>8.5999999999999993E-2</v>
      </c>
      <c r="L20" s="20">
        <f t="shared" si="3"/>
        <v>279.5258</v>
      </c>
      <c r="M20" s="22">
        <f t="shared" si="4"/>
        <v>3529.8258000000001</v>
      </c>
      <c r="N20" s="19">
        <f t="shared" si="5"/>
        <v>2165</v>
      </c>
    </row>
    <row r="21" spans="1:17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783</v>
      </c>
      <c r="F21" s="17">
        <v>0</v>
      </c>
      <c r="G21" s="17">
        <v>0</v>
      </c>
      <c r="H21" s="18">
        <v>9</v>
      </c>
      <c r="I21" s="19">
        <f t="shared" si="1"/>
        <v>783</v>
      </c>
      <c r="J21" s="20">
        <f t="shared" si="2"/>
        <v>1200.5999999999999</v>
      </c>
      <c r="K21" s="21">
        <v>8.2000000000000003E-2</v>
      </c>
      <c r="L21" s="20">
        <f t="shared" si="3"/>
        <v>98.44919999999999</v>
      </c>
      <c r="M21" s="22">
        <f t="shared" si="4"/>
        <v>1299.0491999999999</v>
      </c>
      <c r="N21" s="19">
        <f t="shared" si="5"/>
        <v>792</v>
      </c>
    </row>
    <row r="22" spans="1:17" x14ac:dyDescent="0.25">
      <c r="A22" s="16"/>
      <c r="H22" s="27"/>
      <c r="I22" s="19">
        <f t="shared" si="1"/>
        <v>0</v>
      </c>
      <c r="K22" s="21"/>
    </row>
    <row r="23" spans="1:17" x14ac:dyDescent="0.25">
      <c r="A23" s="16"/>
      <c r="C23" s="29">
        <v>12</v>
      </c>
      <c r="D23" s="29">
        <v>164</v>
      </c>
      <c r="E23" s="29">
        <v>28680</v>
      </c>
      <c r="F23" s="29"/>
      <c r="G23" s="29">
        <v>0</v>
      </c>
      <c r="H23" s="30">
        <v>66</v>
      </c>
      <c r="I23" s="31">
        <f>SUM(I13:I22)</f>
        <v>28856</v>
      </c>
      <c r="J23" s="25">
        <f>SUM(J13:J22)</f>
        <v>43475.4</v>
      </c>
      <c r="K23" s="25"/>
      <c r="L23" s="25">
        <f>SUM(L13:L22)</f>
        <v>3714.5526999999997</v>
      </c>
      <c r="M23" s="25">
        <f>SUM(M13:M22)</f>
        <v>47189.952700000002</v>
      </c>
      <c r="N23" s="26">
        <f>+I23+H23+G23</f>
        <v>28922</v>
      </c>
    </row>
    <row r="24" spans="1:17" ht="9" customHeight="1" x14ac:dyDescent="0.25">
      <c r="A24" s="16"/>
      <c r="H24" s="27"/>
      <c r="K24" s="21"/>
    </row>
    <row r="25" spans="1:17" x14ac:dyDescent="0.25">
      <c r="A25" s="16"/>
      <c r="B25" s="32" t="s">
        <v>36</v>
      </c>
      <c r="C25" s="33">
        <v>27</v>
      </c>
      <c r="D25" s="33">
        <v>866</v>
      </c>
      <c r="E25" s="33">
        <v>33348</v>
      </c>
      <c r="F25" s="33"/>
      <c r="G25" s="33">
        <v>0</v>
      </c>
      <c r="H25" s="34">
        <v>116</v>
      </c>
      <c r="I25" s="33">
        <f>+I23+I11</f>
        <v>34241</v>
      </c>
      <c r="J25" s="35">
        <f>+J11+J23</f>
        <v>51697.9</v>
      </c>
      <c r="K25" s="36"/>
      <c r="L25" s="15">
        <f>+L11+L23</f>
        <v>4374.4249999999993</v>
      </c>
      <c r="M25" s="15">
        <f>+M11+M23</f>
        <v>56072.325000000004</v>
      </c>
      <c r="N25" s="19">
        <f>+N11+N23</f>
        <v>34357</v>
      </c>
      <c r="O25" s="17">
        <f>+GETPIVOTDATA("CanCount",[2]Old_Can_Sort!$A$4,"CompanyDivision","BDI")</f>
        <v>35089</v>
      </c>
      <c r="P25" s="19">
        <f>+O25-N25</f>
        <v>732</v>
      </c>
      <c r="Q25" s="19">
        <f>+P25+N25</f>
        <v>35089</v>
      </c>
    </row>
    <row r="26" spans="1:17" x14ac:dyDescent="0.25">
      <c r="A26" s="16"/>
    </row>
    <row r="27" spans="1:17" x14ac:dyDescent="0.25">
      <c r="A27" s="16"/>
      <c r="B27" s="32" t="s">
        <v>37</v>
      </c>
    </row>
    <row r="28" spans="1:17" x14ac:dyDescent="0.25">
      <c r="A28" s="16" t="s">
        <v>13</v>
      </c>
      <c r="B28" t="s">
        <v>38</v>
      </c>
      <c r="C28" s="17">
        <v>1</v>
      </c>
      <c r="D28" s="17">
        <v>270</v>
      </c>
      <c r="E28" s="17">
        <v>3873</v>
      </c>
      <c r="F28" s="17">
        <v>0</v>
      </c>
      <c r="G28" s="17">
        <v>0</v>
      </c>
      <c r="H28" s="18">
        <v>34</v>
      </c>
      <c r="I28" s="19">
        <f>SUM(C28:E28)</f>
        <v>4144</v>
      </c>
      <c r="J28" s="20">
        <f t="shared" ref="J28" si="6">+(H28*H$7)+(I28*I$7)</f>
        <v>6314.6</v>
      </c>
      <c r="K28" s="21">
        <v>0.08</v>
      </c>
      <c r="L28" s="20">
        <f t="shared" ref="L28:L31" si="7">+J28*K28</f>
        <v>505.16800000000006</v>
      </c>
      <c r="M28" s="22">
        <f t="shared" ref="M28:M31" si="8">+J28+L28</f>
        <v>6819.768</v>
      </c>
      <c r="N28" s="19">
        <f t="shared" ref="N28:N32" si="9">+I28+H28+G28</f>
        <v>4178</v>
      </c>
    </row>
    <row r="29" spans="1:17" x14ac:dyDescent="0.25">
      <c r="A29" s="16">
        <v>12</v>
      </c>
      <c r="B29" t="s">
        <v>39</v>
      </c>
      <c r="C29" s="17">
        <v>0</v>
      </c>
      <c r="D29" s="17">
        <v>2</v>
      </c>
      <c r="E29" s="17">
        <v>125</v>
      </c>
      <c r="F29" s="17">
        <v>0</v>
      </c>
      <c r="G29" s="17">
        <v>0</v>
      </c>
      <c r="H29" s="18">
        <v>0</v>
      </c>
      <c r="I29" s="19">
        <f>SUM(C29:E29)</f>
        <v>127</v>
      </c>
      <c r="J29" s="20">
        <f>+(H29*H$7)+(I29*I$7)</f>
        <v>190.5</v>
      </c>
      <c r="K29" s="21">
        <v>8.5999999999999993E-2</v>
      </c>
      <c r="L29" s="20">
        <f t="shared" si="7"/>
        <v>16.382999999999999</v>
      </c>
      <c r="M29" s="22">
        <f t="shared" si="8"/>
        <v>206.88300000000001</v>
      </c>
      <c r="N29" s="19">
        <f t="shared" si="9"/>
        <v>127</v>
      </c>
    </row>
    <row r="30" spans="1:17" x14ac:dyDescent="0.25">
      <c r="A30" s="16">
        <v>14</v>
      </c>
      <c r="B30" t="s">
        <v>40</v>
      </c>
      <c r="C30" s="17">
        <v>0</v>
      </c>
      <c r="D30" s="17">
        <v>12</v>
      </c>
      <c r="E30" s="17">
        <v>1150</v>
      </c>
      <c r="F30" s="17">
        <v>0</v>
      </c>
      <c r="G30" s="17">
        <v>0</v>
      </c>
      <c r="H30" s="18">
        <v>0</v>
      </c>
      <c r="I30" s="19">
        <f>SUM(C30:E30)</f>
        <v>1162</v>
      </c>
      <c r="J30" s="20">
        <f>+(H30*H$7)+(I30*I$7)</f>
        <v>1743</v>
      </c>
      <c r="K30" s="21">
        <v>8.5999999999999993E-2</v>
      </c>
      <c r="L30" s="20">
        <f t="shared" si="7"/>
        <v>149.898</v>
      </c>
      <c r="M30" s="22">
        <f t="shared" si="8"/>
        <v>1892.8979999999999</v>
      </c>
      <c r="N30" s="19">
        <f t="shared" si="9"/>
        <v>1162</v>
      </c>
    </row>
    <row r="31" spans="1:17" x14ac:dyDescent="0.25">
      <c r="A31" s="16">
        <v>13</v>
      </c>
      <c r="B31" t="s">
        <v>41</v>
      </c>
      <c r="C31" s="17">
        <v>0</v>
      </c>
      <c r="D31" s="17">
        <v>57</v>
      </c>
      <c r="E31" s="17">
        <v>7032</v>
      </c>
      <c r="F31" s="17">
        <v>0</v>
      </c>
      <c r="G31" s="17">
        <v>0</v>
      </c>
      <c r="H31" s="18">
        <v>0</v>
      </c>
      <c r="I31" s="19">
        <f>SUM(C31:E31)</f>
        <v>7089</v>
      </c>
      <c r="J31" s="20">
        <f>+(H31*H$7)+(I31*I$7)</f>
        <v>10633.5</v>
      </c>
      <c r="K31" s="21">
        <v>8.5999999999999993E-2</v>
      </c>
      <c r="L31" s="20">
        <f t="shared" si="7"/>
        <v>914.48099999999988</v>
      </c>
      <c r="M31" s="22">
        <f t="shared" si="8"/>
        <v>11547.981</v>
      </c>
      <c r="N31" s="19">
        <f t="shared" si="9"/>
        <v>7089</v>
      </c>
    </row>
    <row r="32" spans="1:17" x14ac:dyDescent="0.25">
      <c r="A32" s="16"/>
      <c r="B32" s="37" t="s">
        <v>42</v>
      </c>
      <c r="C32" s="26">
        <v>1</v>
      </c>
      <c r="D32" s="26">
        <v>341</v>
      </c>
      <c r="E32" s="26">
        <v>12180</v>
      </c>
      <c r="F32" s="26"/>
      <c r="G32" s="26">
        <v>0</v>
      </c>
      <c r="H32" s="26">
        <v>34</v>
      </c>
      <c r="I32" s="26">
        <f>SUM(I28:I31)</f>
        <v>12522</v>
      </c>
      <c r="J32" s="38">
        <f>SUM(J28:J31)</f>
        <v>18881.599999999999</v>
      </c>
      <c r="K32" s="2"/>
      <c r="L32" s="39">
        <f>SUM(L28:L31)</f>
        <v>1585.9299999999998</v>
      </c>
      <c r="M32" s="39">
        <f>SUM(M28:M31)</f>
        <v>20467.53</v>
      </c>
      <c r="N32" s="26">
        <f t="shared" si="9"/>
        <v>12556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6</v>
      </c>
      <c r="F38" s="17">
        <v>0</v>
      </c>
      <c r="G38" s="17">
        <v>15</v>
      </c>
      <c r="H38" s="18">
        <v>93</v>
      </c>
      <c r="I38" s="19">
        <f t="shared" ref="I38:I46" si="10">SUM(C38:F38)</f>
        <v>6</v>
      </c>
      <c r="J38" s="20">
        <f>+(C38*C$36)+(D38*D$37)+(E38*E$36)+(F38*F$36)+(G38*G$36)+(H38*H$36)</f>
        <v>345.45000000000005</v>
      </c>
      <c r="K38" s="21">
        <v>7.9000000000000001E-2</v>
      </c>
      <c r="L38" s="20">
        <f t="shared" ref="L38:L46" si="11">+J38*K38</f>
        <v>27.290550000000003</v>
      </c>
      <c r="M38" s="22">
        <f t="shared" ref="M38:M46" si="12">+J38+L38</f>
        <v>372.74055000000004</v>
      </c>
      <c r="N38" s="19">
        <f t="shared" ref="N38:N47" si="13">+I38+H38+G38</f>
        <v>114</v>
      </c>
    </row>
    <row r="39" spans="1:14" x14ac:dyDescent="0.25">
      <c r="A39" s="16" t="s">
        <v>45</v>
      </c>
      <c r="B39" s="42" t="s">
        <v>47</v>
      </c>
      <c r="C39" s="17">
        <v>173</v>
      </c>
      <c r="D39" s="17">
        <v>630</v>
      </c>
      <c r="E39" s="17">
        <v>1273</v>
      </c>
      <c r="F39" s="17">
        <v>0</v>
      </c>
      <c r="G39" s="17">
        <v>15</v>
      </c>
      <c r="H39" s="18">
        <v>478</v>
      </c>
      <c r="I39" s="19">
        <f t="shared" si="10"/>
        <v>2076</v>
      </c>
      <c r="J39" s="20">
        <f>+(C39*C$36)+(D39*D$37)+(E39*E$36)+(F39*F$36)+(G39*G$36)+(H39*H$36)</f>
        <v>4106.4500000000007</v>
      </c>
      <c r="K39" s="21">
        <v>7.9000000000000001E-2</v>
      </c>
      <c r="L39" s="20">
        <f t="shared" si="11"/>
        <v>324.40955000000008</v>
      </c>
      <c r="M39" s="22">
        <f t="shared" si="12"/>
        <v>4430.859550000001</v>
      </c>
      <c r="N39" s="19">
        <f t="shared" si="13"/>
        <v>2569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1834</v>
      </c>
      <c r="E40" s="17">
        <v>691</v>
      </c>
      <c r="F40" s="17">
        <v>1388</v>
      </c>
      <c r="G40" s="17">
        <v>4</v>
      </c>
      <c r="H40" s="18">
        <v>12</v>
      </c>
      <c r="I40" s="19">
        <f t="shared" si="10"/>
        <v>3915</v>
      </c>
      <c r="J40" s="20">
        <f>+(C40*C$36)+(D40*D$36)+(E40*E$36)+(F40*F$36)+(G40*G$36)+(H40*H$36)</f>
        <v>4355.8999999999996</v>
      </c>
      <c r="K40" s="21">
        <v>8.2000000000000003E-2</v>
      </c>
      <c r="L40" s="20">
        <f t="shared" si="11"/>
        <v>357.18379999999996</v>
      </c>
      <c r="M40" s="22">
        <f t="shared" si="12"/>
        <v>4713.0837999999994</v>
      </c>
      <c r="N40" s="19">
        <f t="shared" si="13"/>
        <v>3931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26</v>
      </c>
      <c r="E41" s="17">
        <v>2005</v>
      </c>
      <c r="F41" s="17">
        <v>12</v>
      </c>
      <c r="G41" s="17">
        <v>1</v>
      </c>
      <c r="H41" s="18">
        <v>43</v>
      </c>
      <c r="I41" s="19">
        <f t="shared" si="10"/>
        <v>2043</v>
      </c>
      <c r="J41" s="20">
        <f>+(C41*C$36)+(D41*D$36)+(E41*E$36)+(F41*F$36)+(G41*G$36)+(H41*H$36)</f>
        <v>2387.6499999999996</v>
      </c>
      <c r="K41" s="21">
        <v>8.1000000000000003E-2</v>
      </c>
      <c r="L41" s="20">
        <f t="shared" si="11"/>
        <v>193.39964999999998</v>
      </c>
      <c r="M41" s="22">
        <f t="shared" si="12"/>
        <v>2581.0496499999995</v>
      </c>
      <c r="N41" s="19">
        <f t="shared" si="13"/>
        <v>2087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485</v>
      </c>
      <c r="E42" s="17">
        <v>599</v>
      </c>
      <c r="F42" s="17">
        <v>546</v>
      </c>
      <c r="G42" s="17">
        <v>3</v>
      </c>
      <c r="H42" s="18">
        <v>3</v>
      </c>
      <c r="I42" s="19">
        <f t="shared" si="10"/>
        <v>1630</v>
      </c>
      <c r="J42" s="20">
        <f>+(C42*C$36)+(D42*D$36)+(E42*E$36)+(G42*G$36)+(H42*H$36)+(F42*F$36)</f>
        <v>1810.85</v>
      </c>
      <c r="K42" s="21">
        <v>7.9000000000000001E-2</v>
      </c>
      <c r="L42" s="20">
        <f t="shared" si="11"/>
        <v>143.05715000000001</v>
      </c>
      <c r="M42" s="22">
        <f t="shared" si="12"/>
        <v>1953.90715</v>
      </c>
      <c r="N42" s="19">
        <f t="shared" si="13"/>
        <v>1636</v>
      </c>
    </row>
    <row r="43" spans="1:14" x14ac:dyDescent="0.25">
      <c r="A43" s="16" t="s">
        <v>54</v>
      </c>
      <c r="B43" t="s">
        <v>55</v>
      </c>
      <c r="C43" s="17">
        <v>82</v>
      </c>
      <c r="D43" s="17">
        <v>339</v>
      </c>
      <c r="E43" s="17">
        <v>610</v>
      </c>
      <c r="F43" s="17">
        <v>0</v>
      </c>
      <c r="G43" s="17">
        <v>0</v>
      </c>
      <c r="H43" s="18">
        <v>22</v>
      </c>
      <c r="I43" s="19">
        <f t="shared" si="10"/>
        <v>1031</v>
      </c>
      <c r="J43" s="20">
        <f>+(C43*C$36)+(D43*D$36)+(E43*E$36)+(F43*F$36)+(G43*G$36)+(H43*H$36)</f>
        <v>1204.5</v>
      </c>
      <c r="K43" s="21">
        <v>7.9000000000000001E-2</v>
      </c>
      <c r="L43" s="20">
        <f t="shared" si="11"/>
        <v>95.155500000000004</v>
      </c>
      <c r="M43" s="22">
        <f t="shared" si="12"/>
        <v>1299.6555000000001</v>
      </c>
      <c r="N43" s="19">
        <f t="shared" si="13"/>
        <v>1053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1</v>
      </c>
      <c r="I44" s="19">
        <f t="shared" si="10"/>
        <v>0</v>
      </c>
      <c r="J44" s="20">
        <f>+(C44*C$36)+(D44*D$36)+(E44*E$36)+(G44*G$36)+(H44*H$36)+(F44*F$36)</f>
        <v>3.2</v>
      </c>
      <c r="K44" s="21">
        <v>7.9000000000000001E-2</v>
      </c>
      <c r="L44" s="20">
        <f t="shared" si="11"/>
        <v>0.25280000000000002</v>
      </c>
      <c r="M44" s="22">
        <f t="shared" si="12"/>
        <v>3.4528000000000003</v>
      </c>
      <c r="N44" s="19">
        <f t="shared" si="13"/>
        <v>1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1</v>
      </c>
      <c r="F45" s="17">
        <v>0</v>
      </c>
      <c r="G45" s="17">
        <v>0</v>
      </c>
      <c r="H45" s="18">
        <v>0</v>
      </c>
      <c r="I45" s="19">
        <f t="shared" si="10"/>
        <v>3</v>
      </c>
      <c r="J45" s="20">
        <f>+(C45*C$36)+(D45*D$36)+(E45*E$36)+(G45*G$36)+(H45*H$36)+(F45*F$36)</f>
        <v>3.3000000000000003</v>
      </c>
      <c r="K45" s="21">
        <v>7.9000000000000001E-2</v>
      </c>
      <c r="L45" s="20">
        <f t="shared" si="11"/>
        <v>0.26070000000000004</v>
      </c>
      <c r="M45" s="22">
        <f t="shared" si="12"/>
        <v>3.5607000000000002</v>
      </c>
      <c r="N45" s="19">
        <f t="shared" si="13"/>
        <v>3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2</v>
      </c>
      <c r="E46" s="17">
        <v>1</v>
      </c>
      <c r="F46" s="17">
        <v>0</v>
      </c>
      <c r="G46" s="17">
        <v>1</v>
      </c>
      <c r="H46" s="18">
        <v>2</v>
      </c>
      <c r="I46" s="19">
        <f t="shared" si="10"/>
        <v>3</v>
      </c>
      <c r="J46" s="20">
        <f>+(C46*C$36)+(D46*D$36)+(E46*E$36)+(G46*G$36)+(H46*H$36)+(F46*F$36)</f>
        <v>12.450000000000001</v>
      </c>
      <c r="K46" s="21">
        <v>7.9000000000000001E-2</v>
      </c>
      <c r="L46" s="20">
        <f t="shared" si="11"/>
        <v>0.98355000000000015</v>
      </c>
      <c r="M46" s="22">
        <f t="shared" si="12"/>
        <v>13.43355</v>
      </c>
      <c r="N46" s="19">
        <f t="shared" si="13"/>
        <v>6</v>
      </c>
    </row>
    <row r="47" spans="1:14" x14ac:dyDescent="0.25">
      <c r="A47" s="16"/>
      <c r="B47" s="37" t="s">
        <v>61</v>
      </c>
      <c r="C47" s="26">
        <v>258</v>
      </c>
      <c r="D47" s="26">
        <v>3317</v>
      </c>
      <c r="E47" s="26">
        <v>5186</v>
      </c>
      <c r="F47" s="26">
        <v>1946</v>
      </c>
      <c r="G47" s="26">
        <v>39</v>
      </c>
      <c r="H47" s="26">
        <v>654</v>
      </c>
      <c r="I47" s="26">
        <f>SUM(I38:I46)</f>
        <v>10707</v>
      </c>
      <c r="J47" s="43">
        <f t="shared" ref="J47" si="14">SUM(J38:J46)</f>
        <v>14229.75</v>
      </c>
      <c r="K47" s="2"/>
      <c r="L47" s="44">
        <f>SUM(L38:L46)</f>
        <v>1141.99325</v>
      </c>
      <c r="M47" s="44">
        <f>SUM(M38:M46)</f>
        <v>15371.74325</v>
      </c>
      <c r="N47" s="26">
        <f t="shared" si="13"/>
        <v>11400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172</v>
      </c>
      <c r="D52" s="17">
        <v>1168</v>
      </c>
      <c r="E52" s="17">
        <v>2559</v>
      </c>
      <c r="F52" s="45">
        <v>0</v>
      </c>
      <c r="G52" s="17">
        <v>1</v>
      </c>
      <c r="H52" s="18">
        <v>195</v>
      </c>
      <c r="I52" s="19">
        <f t="shared" ref="I52:I57" si="15">SUM(C52:F52)</f>
        <v>3899</v>
      </c>
      <c r="J52" s="20">
        <f>+(C52*C$50)+(D52*D$50)+(E52*E$50)+(G52*G$50)+(H52*H$50)+(F52*F$51)</f>
        <v>6406.45</v>
      </c>
      <c r="K52" s="21">
        <v>8.1000000000000003E-2</v>
      </c>
      <c r="L52" s="20">
        <f t="shared" ref="L52:L57" si="16">+J52*K52</f>
        <v>518.92245000000003</v>
      </c>
      <c r="M52" s="22">
        <f t="shared" ref="M52:M57" si="17">+J52+L52</f>
        <v>6925.3724499999998</v>
      </c>
      <c r="N52" s="19">
        <f t="shared" ref="N52:N58" si="18">+I52+H52+G52</f>
        <v>4095</v>
      </c>
    </row>
    <row r="53" spans="1:14" x14ac:dyDescent="0.25">
      <c r="A53" s="16" t="s">
        <v>65</v>
      </c>
      <c r="B53" t="s">
        <v>66</v>
      </c>
      <c r="C53" s="17">
        <v>7</v>
      </c>
      <c r="D53" s="17">
        <v>80</v>
      </c>
      <c r="E53" s="17">
        <v>195</v>
      </c>
      <c r="F53" s="17">
        <v>0</v>
      </c>
      <c r="G53" s="17">
        <v>0</v>
      </c>
      <c r="H53" s="18">
        <v>73</v>
      </c>
      <c r="I53" s="19">
        <f t="shared" si="15"/>
        <v>282</v>
      </c>
      <c r="J53" s="20">
        <f>+(C53*C$50)+(D53*D$50)+(E53*E$50)+(G53*G$50)+(H53*H$50)+(F53*F$51)</f>
        <v>653.79999999999995</v>
      </c>
      <c r="K53" s="21">
        <v>8.1000000000000003E-2</v>
      </c>
      <c r="L53" s="20">
        <f t="shared" si="16"/>
        <v>52.957799999999999</v>
      </c>
      <c r="M53" s="22">
        <f t="shared" si="17"/>
        <v>706.75779999999997</v>
      </c>
      <c r="N53" s="19">
        <f t="shared" si="18"/>
        <v>355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5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6"/>
        <v>0</v>
      </c>
      <c r="M54" s="22">
        <f t="shared" si="17"/>
        <v>0</v>
      </c>
      <c r="N54" s="19">
        <f t="shared" si="18"/>
        <v>0</v>
      </c>
    </row>
    <row r="55" spans="1:14" x14ac:dyDescent="0.25">
      <c r="A55" s="16" t="s">
        <v>68</v>
      </c>
      <c r="B55" t="s">
        <v>69</v>
      </c>
      <c r="C55" s="17">
        <v>240</v>
      </c>
      <c r="D55" s="17">
        <v>1374</v>
      </c>
      <c r="E55" s="17">
        <v>1312</v>
      </c>
      <c r="F55" s="45">
        <v>671</v>
      </c>
      <c r="G55" s="17">
        <v>0</v>
      </c>
      <c r="H55" s="18">
        <v>16</v>
      </c>
      <c r="I55" s="19">
        <f t="shared" si="15"/>
        <v>3597</v>
      </c>
      <c r="J55" s="20">
        <f>+(C55*C$50)+(D55*D$50)+(E55*E$50)+(G55*G$50)+(H55*H$50)+(F55*F$51)</f>
        <v>5350.7</v>
      </c>
      <c r="K55" s="21">
        <v>8.6999999999999994E-2</v>
      </c>
      <c r="L55" s="20">
        <f t="shared" si="16"/>
        <v>465.51089999999994</v>
      </c>
      <c r="M55" s="22">
        <f t="shared" si="17"/>
        <v>5816.2109</v>
      </c>
      <c r="N55" s="19">
        <f t="shared" si="18"/>
        <v>3613</v>
      </c>
    </row>
    <row r="56" spans="1:14" x14ac:dyDescent="0.25">
      <c r="A56" s="16" t="s">
        <v>70</v>
      </c>
      <c r="B56" t="s">
        <v>71</v>
      </c>
      <c r="C56" s="17">
        <v>30</v>
      </c>
      <c r="D56" s="17">
        <v>115</v>
      </c>
      <c r="E56" s="17">
        <v>299</v>
      </c>
      <c r="F56" s="17">
        <v>1</v>
      </c>
      <c r="G56" s="17">
        <v>0</v>
      </c>
      <c r="H56" s="18">
        <v>2</v>
      </c>
      <c r="I56" s="19">
        <f t="shared" si="15"/>
        <v>445</v>
      </c>
      <c r="J56" s="20">
        <f>+(C56*C$50)+(D56*D$50)+(E56*E$50)+(G56*G$50)+(H56*H$50)+(F56*F$51)</f>
        <v>661.9</v>
      </c>
      <c r="K56" s="21">
        <v>8.8999999999999996E-2</v>
      </c>
      <c r="L56" s="20">
        <f t="shared" si="16"/>
        <v>58.909099999999995</v>
      </c>
      <c r="M56" s="22">
        <f t="shared" si="17"/>
        <v>720.80909999999994</v>
      </c>
      <c r="N56" s="19">
        <f t="shared" si="18"/>
        <v>447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9823</v>
      </c>
      <c r="G57" s="17">
        <v>0</v>
      </c>
      <c r="H57" s="18">
        <v>0</v>
      </c>
      <c r="I57" s="19">
        <f t="shared" si="15"/>
        <v>9824</v>
      </c>
      <c r="J57" s="20">
        <f>+(C57*C$50)+(D57*D$50)+(E57*E$50)+(G57*G$50)+(H57*H$50)+(F57*F$50)</f>
        <v>6877.5999999999995</v>
      </c>
      <c r="K57" s="21">
        <v>8.8999999999999996E-2</v>
      </c>
      <c r="L57" s="20">
        <f t="shared" si="16"/>
        <v>612.10639999999989</v>
      </c>
      <c r="M57" s="22">
        <f t="shared" si="17"/>
        <v>7489.7063999999991</v>
      </c>
      <c r="N57" s="19">
        <f t="shared" si="18"/>
        <v>9824</v>
      </c>
    </row>
    <row r="58" spans="1:14" x14ac:dyDescent="0.25">
      <c r="A58" s="16"/>
      <c r="B58" s="37" t="s">
        <v>73</v>
      </c>
      <c r="C58" s="26">
        <f>SUM(C52:C57)</f>
        <v>449</v>
      </c>
      <c r="D58" s="26">
        <f t="shared" ref="D58:G58" si="19">SUM(D52:D57)</f>
        <v>2738</v>
      </c>
      <c r="E58" s="26">
        <f t="shared" si="19"/>
        <v>4365</v>
      </c>
      <c r="F58" s="26">
        <f t="shared" si="19"/>
        <v>10495</v>
      </c>
      <c r="G58" s="26">
        <f t="shared" si="19"/>
        <v>1</v>
      </c>
      <c r="H58" s="26">
        <f>SUM(H52:H57)</f>
        <v>286</v>
      </c>
      <c r="I58" s="26">
        <f>SUM(I52:I57)</f>
        <v>18047</v>
      </c>
      <c r="J58" s="43">
        <f>SUM(J52:J57)</f>
        <v>19950.45</v>
      </c>
      <c r="K58" s="2"/>
      <c r="L58" s="44">
        <f>SUM(L52:L57)</f>
        <v>1708.4066499999999</v>
      </c>
      <c r="M58" s="44">
        <f>SUM(M52:M57)</f>
        <v>21658.856650000002</v>
      </c>
      <c r="N58" s="26">
        <f t="shared" si="18"/>
        <v>18334</v>
      </c>
    </row>
    <row r="60" spans="1:14" x14ac:dyDescent="0.25">
      <c r="B60" s="46" t="s">
        <v>74</v>
      </c>
      <c r="C60" s="33">
        <f t="shared" ref="C60:G60" si="20">+C25+C32+C47+C58</f>
        <v>735</v>
      </c>
      <c r="D60" s="33">
        <f t="shared" si="20"/>
        <v>7262</v>
      </c>
      <c r="E60" s="33">
        <f t="shared" si="20"/>
        <v>55079</v>
      </c>
      <c r="F60" s="33">
        <f t="shared" si="20"/>
        <v>12441</v>
      </c>
      <c r="G60" s="33">
        <f t="shared" si="20"/>
        <v>40</v>
      </c>
      <c r="H60" s="33">
        <f>+H25+H32+H47+H58</f>
        <v>1090</v>
      </c>
      <c r="I60" s="33">
        <f>+I25+I32+I47+I58</f>
        <v>75517</v>
      </c>
      <c r="J60" s="35">
        <f>+J25+J32+J47+J58</f>
        <v>104759.7</v>
      </c>
      <c r="L60" s="15">
        <f>+L25+L32+L47+L58</f>
        <v>8810.7548999999999</v>
      </c>
      <c r="M60" s="15">
        <f>+M25+M32+M47+M58</f>
        <v>113570.45490000001</v>
      </c>
    </row>
    <row r="61" spans="1:14" x14ac:dyDescent="0.25">
      <c r="H61" t="s">
        <v>10</v>
      </c>
      <c r="I61" s="19">
        <f>+I60+H60+G60</f>
        <v>76647</v>
      </c>
      <c r="J61">
        <f>+I66</f>
        <v>732</v>
      </c>
      <c r="K61" s="19">
        <f>+I61+J61</f>
        <v>77379</v>
      </c>
    </row>
    <row r="62" spans="1:14" x14ac:dyDescent="0.25">
      <c r="H62" t="s">
        <v>75</v>
      </c>
      <c r="I62" s="17">
        <v>80590</v>
      </c>
    </row>
    <row r="63" spans="1:14" x14ac:dyDescent="0.25">
      <c r="H63" s="46" t="s">
        <v>76</v>
      </c>
      <c r="I63" s="19">
        <f>+I62-I61</f>
        <v>3943</v>
      </c>
    </row>
    <row r="64" spans="1:14" x14ac:dyDescent="0.25">
      <c r="E64" t="s">
        <v>77</v>
      </c>
      <c r="H64" s="46" t="s">
        <v>78</v>
      </c>
      <c r="I64" s="19">
        <f>+[2]CanData!P1</f>
        <v>3211</v>
      </c>
    </row>
    <row r="65" spans="8:10" x14ac:dyDescent="0.25">
      <c r="H65" s="46" t="s">
        <v>76</v>
      </c>
      <c r="I65" s="50">
        <f>+I63-I64</f>
        <v>732</v>
      </c>
      <c r="J65" s="28"/>
    </row>
    <row r="66" spans="8:10" x14ac:dyDescent="0.25">
      <c r="I66">
        <v>732</v>
      </c>
      <c r="J66" t="s">
        <v>79</v>
      </c>
    </row>
    <row r="67" spans="8:10" x14ac:dyDescent="0.25">
      <c r="I67" s="19">
        <f>+I65-I66</f>
        <v>0</v>
      </c>
      <c r="J67" s="2" t="s">
        <v>80</v>
      </c>
    </row>
  </sheetData>
  <mergeCells count="1">
    <mergeCell ref="C5:H5"/>
  </mergeCells>
  <pageMargins left="0.2" right="0.2" top="0.25" bottom="0.25" header="0.3" footer="0.3"/>
  <pageSetup scale="74" orientation="portrait" r:id="rId1"/>
  <headerFooter>
    <oddHeader>&amp;RPrinted: &amp;D &amp;T</oddHeader>
    <oddFooter>&amp;C&amp;Z&amp;F&amp;RTab: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selection activeCell="D8" sqref="D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7" x14ac:dyDescent="0.25">
      <c r="B1" s="2" t="s">
        <v>0</v>
      </c>
    </row>
    <row r="2" spans="1:17" x14ac:dyDescent="0.25">
      <c r="B2" s="2" t="s">
        <v>1</v>
      </c>
    </row>
    <row r="3" spans="1:17" x14ac:dyDescent="0.25">
      <c r="B3" t="s">
        <v>2</v>
      </c>
    </row>
    <row r="4" spans="1:17" ht="15.75" thickBot="1" x14ac:dyDescent="0.3">
      <c r="B4" s="3" t="str">
        <f>+'[3]PT Rev JE 03'!A3</f>
        <v>July 2016</v>
      </c>
    </row>
    <row r="5" spans="1:17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7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7" x14ac:dyDescent="0.25">
      <c r="B7" s="13" t="s">
        <v>12</v>
      </c>
      <c r="H7" s="14">
        <v>2.9</v>
      </c>
      <c r="I7" s="15">
        <v>1.5</v>
      </c>
    </row>
    <row r="8" spans="1:17" x14ac:dyDescent="0.25">
      <c r="A8" s="16" t="s">
        <v>13</v>
      </c>
      <c r="B8" t="s">
        <v>14</v>
      </c>
      <c r="C8" s="17">
        <v>3</v>
      </c>
      <c r="D8" s="17">
        <v>134</v>
      </c>
      <c r="E8" s="17">
        <v>836</v>
      </c>
      <c r="F8" s="17">
        <v>0</v>
      </c>
      <c r="G8" s="17">
        <v>0</v>
      </c>
      <c r="H8" s="18">
        <v>2</v>
      </c>
      <c r="I8" s="19">
        <f>SUM(C8:E8)</f>
        <v>973</v>
      </c>
      <c r="J8" s="20">
        <f>+(H8*H$7)+(I8*I$7)</f>
        <v>1465.3</v>
      </c>
      <c r="K8" s="21">
        <v>0.08</v>
      </c>
      <c r="L8" s="20">
        <f>+J8*K8</f>
        <v>117.224</v>
      </c>
      <c r="M8" s="22">
        <f>+J8+L8</f>
        <v>1582.5239999999999</v>
      </c>
      <c r="N8" s="19">
        <f>+I8+H8+G8</f>
        <v>975</v>
      </c>
    </row>
    <row r="9" spans="1:17" x14ac:dyDescent="0.25">
      <c r="A9" s="16" t="s">
        <v>15</v>
      </c>
      <c r="B9" s="4" t="s">
        <v>16</v>
      </c>
      <c r="C9" s="17">
        <v>9</v>
      </c>
      <c r="D9" s="17">
        <v>422</v>
      </c>
      <c r="E9" s="17">
        <v>2631</v>
      </c>
      <c r="F9" s="17">
        <v>0</v>
      </c>
      <c r="G9" s="17">
        <v>0</v>
      </c>
      <c r="H9" s="18">
        <v>39</v>
      </c>
      <c r="I9" s="19">
        <f>SUM(C9:E9)</f>
        <v>3062</v>
      </c>
      <c r="J9" s="20">
        <f>+(H9*H$7)+(I9*I$7)</f>
        <v>4706.1000000000004</v>
      </c>
      <c r="K9" s="21">
        <v>0.08</v>
      </c>
      <c r="L9" s="20">
        <f>+J9*K9</f>
        <v>376.48800000000006</v>
      </c>
      <c r="M9" s="22">
        <f>+J9+L9</f>
        <v>5082.5880000000006</v>
      </c>
      <c r="N9" s="19">
        <f>+I9+H9+G9</f>
        <v>3101</v>
      </c>
    </row>
    <row r="10" spans="1:17" x14ac:dyDescent="0.25">
      <c r="A10" s="16" t="s">
        <v>17</v>
      </c>
      <c r="B10" s="4" t="s">
        <v>18</v>
      </c>
      <c r="C10" s="17">
        <v>3</v>
      </c>
      <c r="D10" s="17">
        <v>147</v>
      </c>
      <c r="E10" s="17">
        <v>1225</v>
      </c>
      <c r="F10" s="17">
        <v>0</v>
      </c>
      <c r="G10" s="17">
        <v>0</v>
      </c>
      <c r="H10" s="18">
        <v>7</v>
      </c>
      <c r="I10" s="19">
        <f>SUM(C10:E10)</f>
        <v>1375</v>
      </c>
      <c r="J10" s="20">
        <f>+(H10*H$7)+(I10*I$7)</f>
        <v>2082.8000000000002</v>
      </c>
      <c r="K10" s="21">
        <v>8.1000000000000003E-2</v>
      </c>
      <c r="L10" s="20">
        <f>+J10*K10</f>
        <v>168.70680000000002</v>
      </c>
      <c r="M10" s="22">
        <f>+J10+L10</f>
        <v>2251.5068000000001</v>
      </c>
      <c r="N10" s="19">
        <f>+I10+H10+G10</f>
        <v>1382</v>
      </c>
    </row>
    <row r="11" spans="1:17" x14ac:dyDescent="0.25">
      <c r="C11" s="23">
        <v>15</v>
      </c>
      <c r="D11" s="23">
        <v>703</v>
      </c>
      <c r="E11" s="23">
        <v>4692</v>
      </c>
      <c r="F11" s="23">
        <v>0</v>
      </c>
      <c r="G11" s="23">
        <v>0</v>
      </c>
      <c r="H11" s="24">
        <v>48</v>
      </c>
      <c r="I11" s="23">
        <f>SUM(I8:I10)</f>
        <v>5410</v>
      </c>
      <c r="J11" s="25">
        <f t="shared" ref="J11" si="0">SUM(J8:J10)</f>
        <v>8254.2000000000007</v>
      </c>
      <c r="K11" s="21"/>
      <c r="L11" s="25">
        <f>SUM(L8:L10)</f>
        <v>662.41880000000003</v>
      </c>
      <c r="M11" s="25">
        <f>SUM(M8:M10)</f>
        <v>8916.6188000000002</v>
      </c>
      <c r="N11" s="26">
        <f>+I11+H11+G11</f>
        <v>5458</v>
      </c>
    </row>
    <row r="12" spans="1:17" x14ac:dyDescent="0.25">
      <c r="H12" s="27"/>
      <c r="K12" s="21"/>
    </row>
    <row r="13" spans="1:17" x14ac:dyDescent="0.25">
      <c r="A13" s="16" t="s">
        <v>19</v>
      </c>
      <c r="B13" s="4" t="s">
        <v>20</v>
      </c>
      <c r="C13" s="17">
        <v>12</v>
      </c>
      <c r="D13" s="17">
        <v>120</v>
      </c>
      <c r="E13" s="17">
        <v>23606</v>
      </c>
      <c r="F13" s="17">
        <v>0</v>
      </c>
      <c r="G13" s="17">
        <v>0</v>
      </c>
      <c r="H13" s="18">
        <v>0</v>
      </c>
      <c r="I13" s="19">
        <f t="shared" ref="I13:I22" si="1">SUM(C13:E13)</f>
        <v>23738</v>
      </c>
      <c r="J13" s="20">
        <f t="shared" ref="J13:J21" si="2">+(H13*H$7)+(I13*I$7)</f>
        <v>35607</v>
      </c>
      <c r="K13" s="21">
        <v>8.5999999999999993E-2</v>
      </c>
      <c r="L13" s="20">
        <f t="shared" ref="L13:L21" si="3">+J13*K13</f>
        <v>3062.2019999999998</v>
      </c>
      <c r="M13" s="22">
        <f t="shared" ref="M13:M21" si="4">+J13+L13</f>
        <v>38669.201999999997</v>
      </c>
      <c r="N13" s="19">
        <f t="shared" ref="N13:N21" si="5">+I13+H13+G13</f>
        <v>23738</v>
      </c>
      <c r="P13" s="17">
        <f>549+183</f>
        <v>732</v>
      </c>
      <c r="Q13" s="19">
        <f>+P13+N13</f>
        <v>24470</v>
      </c>
    </row>
    <row r="14" spans="1:17" x14ac:dyDescent="0.25">
      <c r="A14" s="16" t="s">
        <v>21</v>
      </c>
      <c r="B14" t="s">
        <v>22</v>
      </c>
      <c r="C14" s="17">
        <v>0</v>
      </c>
      <c r="D14" s="17">
        <v>7</v>
      </c>
      <c r="E14" s="17">
        <v>90</v>
      </c>
      <c r="F14" s="17">
        <v>0</v>
      </c>
      <c r="G14" s="17">
        <v>0</v>
      </c>
      <c r="H14" s="18">
        <v>0</v>
      </c>
      <c r="I14" s="19">
        <f t="shared" si="1"/>
        <v>97</v>
      </c>
      <c r="J14" s="20">
        <f t="shared" si="2"/>
        <v>145.5</v>
      </c>
      <c r="K14" s="21">
        <v>8.5999999999999993E-2</v>
      </c>
      <c r="L14" s="20">
        <f t="shared" si="3"/>
        <v>12.512999999999998</v>
      </c>
      <c r="M14" s="22">
        <f t="shared" si="4"/>
        <v>158.01300000000001</v>
      </c>
      <c r="N14" s="19">
        <f t="shared" si="5"/>
        <v>97</v>
      </c>
    </row>
    <row r="15" spans="1:17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865</v>
      </c>
      <c r="F15" s="17">
        <v>0</v>
      </c>
      <c r="G15" s="17">
        <v>0</v>
      </c>
      <c r="H15" s="18">
        <v>10</v>
      </c>
      <c r="I15" s="19">
        <f t="shared" si="1"/>
        <v>865</v>
      </c>
      <c r="J15" s="20">
        <f>+(H15*H$7)+(I15*I$7)</f>
        <v>1326.5</v>
      </c>
      <c r="K15" s="21">
        <v>0.08</v>
      </c>
      <c r="L15" s="20">
        <f t="shared" si="3"/>
        <v>106.12</v>
      </c>
      <c r="M15" s="22">
        <f t="shared" si="4"/>
        <v>1432.62</v>
      </c>
      <c r="N15" s="19">
        <f t="shared" si="5"/>
        <v>875</v>
      </c>
    </row>
    <row r="16" spans="1:17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1129</v>
      </c>
      <c r="F16" s="17">
        <v>0</v>
      </c>
      <c r="G16" s="17">
        <v>0</v>
      </c>
      <c r="H16" s="18">
        <v>38</v>
      </c>
      <c r="I16" s="19">
        <f t="shared" si="1"/>
        <v>1130</v>
      </c>
      <c r="J16" s="20">
        <f t="shared" si="2"/>
        <v>1805.2</v>
      </c>
      <c r="K16" s="21">
        <v>8.1000000000000003E-2</v>
      </c>
      <c r="L16" s="20">
        <f t="shared" si="3"/>
        <v>146.22120000000001</v>
      </c>
      <c r="M16" s="22">
        <f t="shared" si="4"/>
        <v>1951.4212</v>
      </c>
      <c r="N16" s="19">
        <f t="shared" si="5"/>
        <v>1168</v>
      </c>
    </row>
    <row r="17" spans="1:17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7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7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7" x14ac:dyDescent="0.25">
      <c r="A20" s="16" t="s">
        <v>32</v>
      </c>
      <c r="B20" s="28" t="s">
        <v>33</v>
      </c>
      <c r="C20" s="17">
        <v>0</v>
      </c>
      <c r="D20" s="17">
        <v>33</v>
      </c>
      <c r="E20" s="17">
        <v>2128</v>
      </c>
      <c r="F20" s="17">
        <v>0</v>
      </c>
      <c r="G20" s="17">
        <v>0</v>
      </c>
      <c r="H20" s="18">
        <v>2</v>
      </c>
      <c r="I20" s="19">
        <f t="shared" si="1"/>
        <v>2161</v>
      </c>
      <c r="J20" s="20">
        <f t="shared" si="2"/>
        <v>3247.3</v>
      </c>
      <c r="K20" s="21">
        <v>8.5999999999999993E-2</v>
      </c>
      <c r="L20" s="20">
        <f t="shared" si="3"/>
        <v>279.26779999999997</v>
      </c>
      <c r="M20" s="22">
        <f t="shared" si="4"/>
        <v>3526.5678000000003</v>
      </c>
      <c r="N20" s="19">
        <f t="shared" si="5"/>
        <v>2163</v>
      </c>
    </row>
    <row r="21" spans="1:17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785</v>
      </c>
      <c r="F21" s="17">
        <v>0</v>
      </c>
      <c r="G21" s="17">
        <v>0</v>
      </c>
      <c r="H21" s="18">
        <v>8</v>
      </c>
      <c r="I21" s="19">
        <f t="shared" si="1"/>
        <v>785</v>
      </c>
      <c r="J21" s="20">
        <f t="shared" si="2"/>
        <v>1200.7</v>
      </c>
      <c r="K21" s="21">
        <v>8.2000000000000003E-2</v>
      </c>
      <c r="L21" s="20">
        <f t="shared" si="3"/>
        <v>98.457400000000007</v>
      </c>
      <c r="M21" s="22">
        <f t="shared" si="4"/>
        <v>1299.1574000000001</v>
      </c>
      <c r="N21" s="19">
        <f t="shared" si="5"/>
        <v>793</v>
      </c>
    </row>
    <row r="22" spans="1:17" x14ac:dyDescent="0.25">
      <c r="A22" s="16"/>
      <c r="H22" s="27"/>
      <c r="I22" s="19">
        <f t="shared" si="1"/>
        <v>0</v>
      </c>
      <c r="K22" s="21"/>
    </row>
    <row r="23" spans="1:17" x14ac:dyDescent="0.25">
      <c r="A23" s="16"/>
      <c r="C23" s="29">
        <v>12</v>
      </c>
      <c r="D23" s="29">
        <v>162</v>
      </c>
      <c r="E23" s="29">
        <v>28859</v>
      </c>
      <c r="F23" s="29"/>
      <c r="G23" s="29">
        <v>0</v>
      </c>
      <c r="H23" s="30">
        <v>65</v>
      </c>
      <c r="I23" s="31">
        <f>SUM(I13:I22)</f>
        <v>29033</v>
      </c>
      <c r="J23" s="25">
        <f>SUM(J13:J22)</f>
        <v>43738</v>
      </c>
      <c r="K23" s="25"/>
      <c r="L23" s="25">
        <f>SUM(L13:L22)</f>
        <v>3737.0653999999995</v>
      </c>
      <c r="M23" s="25">
        <f>SUM(M13:M22)</f>
        <v>47475.065399999992</v>
      </c>
      <c r="N23" s="26">
        <f>+I23+H23+G23</f>
        <v>29098</v>
      </c>
    </row>
    <row r="24" spans="1:17" ht="9" customHeight="1" x14ac:dyDescent="0.25">
      <c r="A24" s="16"/>
      <c r="H24" s="27"/>
      <c r="K24" s="21"/>
    </row>
    <row r="25" spans="1:17" x14ac:dyDescent="0.25">
      <c r="A25" s="16"/>
      <c r="B25" s="32" t="s">
        <v>36</v>
      </c>
      <c r="C25" s="33">
        <v>27</v>
      </c>
      <c r="D25" s="33">
        <v>865</v>
      </c>
      <c r="E25" s="33">
        <v>33551</v>
      </c>
      <c r="F25" s="33"/>
      <c r="G25" s="33">
        <v>0</v>
      </c>
      <c r="H25" s="34">
        <v>113</v>
      </c>
      <c r="I25" s="33">
        <f>+I23+I11</f>
        <v>34443</v>
      </c>
      <c r="J25" s="35">
        <f>+J11+J23</f>
        <v>51992.2</v>
      </c>
      <c r="K25" s="36"/>
      <c r="L25" s="15">
        <f>+L11+L23</f>
        <v>4399.4841999999999</v>
      </c>
      <c r="M25" s="15">
        <f>+M11+M23</f>
        <v>56391.684199999989</v>
      </c>
      <c r="N25" s="19">
        <f>+N11+N23</f>
        <v>34556</v>
      </c>
      <c r="O25" s="17">
        <f>+GETPIVOTDATA("CanCount",[3]Old_Can_Sort!$A$4,"CompanyDivision","BDI")</f>
        <v>35288</v>
      </c>
      <c r="P25" s="19">
        <f>+O25-N25</f>
        <v>732</v>
      </c>
      <c r="Q25" s="19">
        <f>+P25+N25</f>
        <v>35288</v>
      </c>
    </row>
    <row r="26" spans="1:17" x14ac:dyDescent="0.25">
      <c r="A26" s="16"/>
    </row>
    <row r="27" spans="1:17" x14ac:dyDescent="0.25">
      <c r="A27" s="16"/>
      <c r="B27" s="32" t="s">
        <v>37</v>
      </c>
    </row>
    <row r="28" spans="1:17" x14ac:dyDescent="0.25">
      <c r="A28" s="16" t="s">
        <v>13</v>
      </c>
      <c r="B28" t="s">
        <v>38</v>
      </c>
      <c r="C28" s="17">
        <v>1</v>
      </c>
      <c r="D28" s="17">
        <v>269</v>
      </c>
      <c r="E28" s="17">
        <v>3870</v>
      </c>
      <c r="F28" s="17">
        <v>0</v>
      </c>
      <c r="G28" s="17">
        <v>0</v>
      </c>
      <c r="H28" s="18">
        <v>34</v>
      </c>
      <c r="I28" s="19">
        <f>SUM(C28:E28)</f>
        <v>4140</v>
      </c>
      <c r="J28" s="20">
        <f t="shared" ref="J28" si="6">+(H28*H$7)+(I28*I$7)</f>
        <v>6308.6</v>
      </c>
      <c r="K28" s="21">
        <v>0.08</v>
      </c>
      <c r="L28" s="20">
        <f t="shared" ref="L28:L31" si="7">+J28*K28</f>
        <v>504.68800000000005</v>
      </c>
      <c r="M28" s="22">
        <f t="shared" ref="M28:M31" si="8">+J28+L28</f>
        <v>6813.2880000000005</v>
      </c>
      <c r="N28" s="19">
        <f t="shared" ref="N28:N32" si="9">+I28+H28+G28</f>
        <v>4174</v>
      </c>
    </row>
    <row r="29" spans="1:17" x14ac:dyDescent="0.25">
      <c r="A29" s="16">
        <v>12</v>
      </c>
      <c r="B29" t="s">
        <v>39</v>
      </c>
      <c r="C29" s="17">
        <v>0</v>
      </c>
      <c r="D29" s="17">
        <v>2</v>
      </c>
      <c r="E29" s="17">
        <v>121</v>
      </c>
      <c r="F29" s="17">
        <v>0</v>
      </c>
      <c r="G29" s="17">
        <v>0</v>
      </c>
      <c r="H29" s="18">
        <v>0</v>
      </c>
      <c r="I29" s="19">
        <f>SUM(C29:E29)</f>
        <v>123</v>
      </c>
      <c r="J29" s="20">
        <f>+(H29*H$7)+(I29*I$7)</f>
        <v>184.5</v>
      </c>
      <c r="K29" s="21">
        <v>8.5999999999999993E-2</v>
      </c>
      <c r="L29" s="20">
        <f t="shared" si="7"/>
        <v>15.866999999999999</v>
      </c>
      <c r="M29" s="22">
        <f t="shared" si="8"/>
        <v>200.36699999999999</v>
      </c>
      <c r="N29" s="19">
        <f t="shared" si="9"/>
        <v>123</v>
      </c>
    </row>
    <row r="30" spans="1:17" x14ac:dyDescent="0.25">
      <c r="A30" s="16">
        <v>14</v>
      </c>
      <c r="B30" t="s">
        <v>40</v>
      </c>
      <c r="C30" s="17">
        <v>0</v>
      </c>
      <c r="D30" s="17">
        <v>14</v>
      </c>
      <c r="E30" s="17">
        <v>1156</v>
      </c>
      <c r="F30" s="17">
        <v>0</v>
      </c>
      <c r="G30" s="17">
        <v>0</v>
      </c>
      <c r="H30" s="18">
        <v>0</v>
      </c>
      <c r="I30" s="19">
        <f>SUM(C30:E30)</f>
        <v>1170</v>
      </c>
      <c r="J30" s="20">
        <f>+(H30*H$7)+(I30*I$7)</f>
        <v>1755</v>
      </c>
      <c r="K30" s="21">
        <v>8.5999999999999993E-2</v>
      </c>
      <c r="L30" s="20">
        <f t="shared" si="7"/>
        <v>150.92999999999998</v>
      </c>
      <c r="M30" s="22">
        <f t="shared" si="8"/>
        <v>1905.93</v>
      </c>
      <c r="N30" s="19">
        <f t="shared" si="9"/>
        <v>1170</v>
      </c>
    </row>
    <row r="31" spans="1:17" x14ac:dyDescent="0.25">
      <c r="A31" s="16">
        <v>13</v>
      </c>
      <c r="B31" t="s">
        <v>41</v>
      </c>
      <c r="C31" s="17">
        <v>0</v>
      </c>
      <c r="D31" s="17">
        <v>58</v>
      </c>
      <c r="E31" s="17">
        <v>7019</v>
      </c>
      <c r="F31" s="17">
        <v>0</v>
      </c>
      <c r="G31" s="17">
        <v>0</v>
      </c>
      <c r="H31" s="18">
        <v>0</v>
      </c>
      <c r="I31" s="19">
        <f>SUM(C31:E31)</f>
        <v>7077</v>
      </c>
      <c r="J31" s="20">
        <f>+(H31*H$7)+(I31*I$7)</f>
        <v>10615.5</v>
      </c>
      <c r="K31" s="21">
        <v>8.5999999999999993E-2</v>
      </c>
      <c r="L31" s="20">
        <f t="shared" si="7"/>
        <v>912.93299999999988</v>
      </c>
      <c r="M31" s="22">
        <f t="shared" si="8"/>
        <v>11528.432999999999</v>
      </c>
      <c r="N31" s="19">
        <f t="shared" si="9"/>
        <v>7077</v>
      </c>
    </row>
    <row r="32" spans="1:17" x14ac:dyDescent="0.25">
      <c r="A32" s="16"/>
      <c r="B32" s="37" t="s">
        <v>42</v>
      </c>
      <c r="C32" s="26">
        <v>1</v>
      </c>
      <c r="D32" s="26">
        <v>343</v>
      </c>
      <c r="E32" s="26">
        <v>12166</v>
      </c>
      <c r="F32" s="26"/>
      <c r="G32" s="26">
        <v>0</v>
      </c>
      <c r="H32" s="26">
        <v>34</v>
      </c>
      <c r="I32" s="26">
        <f>SUM(I28:I31)</f>
        <v>12510</v>
      </c>
      <c r="J32" s="38">
        <f>SUM(J28:J31)</f>
        <v>18863.599999999999</v>
      </c>
      <c r="K32" s="2"/>
      <c r="L32" s="39">
        <f>SUM(L28:L31)</f>
        <v>1584.4179999999999</v>
      </c>
      <c r="M32" s="39">
        <f>SUM(M28:M31)</f>
        <v>20448.018</v>
      </c>
      <c r="N32" s="26">
        <f t="shared" si="9"/>
        <v>12544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1</v>
      </c>
      <c r="D38" s="17">
        <v>0</v>
      </c>
      <c r="E38" s="17">
        <v>6</v>
      </c>
      <c r="F38" s="17">
        <v>0</v>
      </c>
      <c r="G38" s="17">
        <v>16</v>
      </c>
      <c r="H38" s="18">
        <v>96</v>
      </c>
      <c r="I38" s="19">
        <f t="shared" ref="I38:I46" si="10">SUM(C38:F38)</f>
        <v>7</v>
      </c>
      <c r="J38" s="20">
        <f>+(C38*C$36)+(D38*D$37)+(E38*E$36)+(F38*F$36)+(G38*G$36)+(H38*H$36)</f>
        <v>358.90000000000003</v>
      </c>
      <c r="K38" s="21">
        <v>7.9000000000000001E-2</v>
      </c>
      <c r="L38" s="20">
        <f t="shared" ref="L38:L46" si="11">+J38*K38</f>
        <v>28.353100000000001</v>
      </c>
      <c r="M38" s="22">
        <f t="shared" ref="M38:M46" si="12">+J38+L38</f>
        <v>387.25310000000002</v>
      </c>
      <c r="N38" s="19">
        <f t="shared" ref="N38:N47" si="13">+I38+H38+G38</f>
        <v>119</v>
      </c>
    </row>
    <row r="39" spans="1:14" x14ac:dyDescent="0.25">
      <c r="A39" s="16" t="s">
        <v>45</v>
      </c>
      <c r="B39" s="42" t="s">
        <v>47</v>
      </c>
      <c r="C39" s="17">
        <v>173</v>
      </c>
      <c r="D39" s="17">
        <v>644</v>
      </c>
      <c r="E39" s="17">
        <v>1276</v>
      </c>
      <c r="F39" s="17">
        <v>0</v>
      </c>
      <c r="G39" s="17">
        <v>14</v>
      </c>
      <c r="H39" s="18">
        <v>480</v>
      </c>
      <c r="I39" s="19">
        <f t="shared" si="10"/>
        <v>2093</v>
      </c>
      <c r="J39" s="20">
        <f>+(C39*C$36)+(D39*D$37)+(E39*E$36)+(F39*F$36)+(G39*G$36)+(H39*H$36)</f>
        <v>4134.3999999999996</v>
      </c>
      <c r="K39" s="21">
        <v>7.9000000000000001E-2</v>
      </c>
      <c r="L39" s="20">
        <f t="shared" si="11"/>
        <v>326.61759999999998</v>
      </c>
      <c r="M39" s="22">
        <f t="shared" si="12"/>
        <v>4461.0175999999992</v>
      </c>
      <c r="N39" s="19">
        <f t="shared" si="13"/>
        <v>2587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1843</v>
      </c>
      <c r="E40" s="17">
        <v>687</v>
      </c>
      <c r="F40" s="17">
        <v>1380</v>
      </c>
      <c r="G40" s="17">
        <v>4</v>
      </c>
      <c r="H40" s="18">
        <v>12</v>
      </c>
      <c r="I40" s="19">
        <f t="shared" si="10"/>
        <v>3912</v>
      </c>
      <c r="J40" s="20">
        <f>+(C40*C$36)+(D40*D$36)+(E40*E$36)+(F40*F$36)+(G40*G$36)+(H40*H$36)</f>
        <v>4352.6000000000004</v>
      </c>
      <c r="K40" s="21">
        <v>8.2000000000000003E-2</v>
      </c>
      <c r="L40" s="20">
        <f t="shared" si="11"/>
        <v>356.91320000000002</v>
      </c>
      <c r="M40" s="22">
        <f t="shared" si="12"/>
        <v>4709.5132000000003</v>
      </c>
      <c r="N40" s="19">
        <f t="shared" si="13"/>
        <v>3928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26</v>
      </c>
      <c r="E41" s="17">
        <v>1995</v>
      </c>
      <c r="F41" s="17">
        <v>11</v>
      </c>
      <c r="G41" s="17">
        <v>1</v>
      </c>
      <c r="H41" s="18">
        <v>46</v>
      </c>
      <c r="I41" s="19">
        <f t="shared" si="10"/>
        <v>2032</v>
      </c>
      <c r="J41" s="20">
        <f>+(C41*C$36)+(D41*D$36)+(E41*E$36)+(F41*F$36)+(G41*G$36)+(H41*H$36)</f>
        <v>2385.1499999999996</v>
      </c>
      <c r="K41" s="21">
        <v>8.1000000000000003E-2</v>
      </c>
      <c r="L41" s="20">
        <f t="shared" si="11"/>
        <v>193.19714999999997</v>
      </c>
      <c r="M41" s="22">
        <f t="shared" si="12"/>
        <v>2578.3471499999996</v>
      </c>
      <c r="N41" s="19">
        <f t="shared" si="13"/>
        <v>2079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493</v>
      </c>
      <c r="E42" s="17">
        <v>597</v>
      </c>
      <c r="F42" s="17">
        <v>545</v>
      </c>
      <c r="G42" s="17">
        <v>3</v>
      </c>
      <c r="H42" s="18">
        <v>3</v>
      </c>
      <c r="I42" s="19">
        <f t="shared" si="10"/>
        <v>1635</v>
      </c>
      <c r="J42" s="20">
        <f>+(C42*C$36)+(D42*D$36)+(E42*E$36)+(G42*G$36)+(H42*H$36)+(F42*F$36)</f>
        <v>1816.35</v>
      </c>
      <c r="K42" s="21">
        <v>7.9000000000000001E-2</v>
      </c>
      <c r="L42" s="20">
        <f t="shared" si="11"/>
        <v>143.49164999999999</v>
      </c>
      <c r="M42" s="22">
        <f t="shared" si="12"/>
        <v>1959.8416499999998</v>
      </c>
      <c r="N42" s="19">
        <f t="shared" si="13"/>
        <v>1641</v>
      </c>
    </row>
    <row r="43" spans="1:14" x14ac:dyDescent="0.25">
      <c r="A43" s="16" t="s">
        <v>54</v>
      </c>
      <c r="B43" t="s">
        <v>55</v>
      </c>
      <c r="C43" s="17">
        <v>82</v>
      </c>
      <c r="D43" s="17">
        <v>342</v>
      </c>
      <c r="E43" s="17">
        <v>611</v>
      </c>
      <c r="F43" s="17">
        <v>0</v>
      </c>
      <c r="G43" s="17">
        <v>0</v>
      </c>
      <c r="H43" s="18">
        <v>23</v>
      </c>
      <c r="I43" s="19">
        <f t="shared" si="10"/>
        <v>1035</v>
      </c>
      <c r="J43" s="20">
        <f>+(C43*C$36)+(D43*D$36)+(E43*E$36)+(F43*F$36)+(G43*G$36)+(H43*H$36)</f>
        <v>1212.0999999999999</v>
      </c>
      <c r="K43" s="21">
        <v>7.9000000000000001E-2</v>
      </c>
      <c r="L43" s="20">
        <f t="shared" si="11"/>
        <v>95.755899999999997</v>
      </c>
      <c r="M43" s="22">
        <f t="shared" si="12"/>
        <v>1307.8559</v>
      </c>
      <c r="N43" s="19">
        <f t="shared" si="13"/>
        <v>1058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0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1"/>
        <v>0</v>
      </c>
      <c r="M44" s="22">
        <f t="shared" si="12"/>
        <v>0</v>
      </c>
      <c r="N44" s="19">
        <f t="shared" si="13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1</v>
      </c>
      <c r="F45" s="17">
        <v>0</v>
      </c>
      <c r="G45" s="17">
        <v>0</v>
      </c>
      <c r="H45" s="18">
        <v>0</v>
      </c>
      <c r="I45" s="19">
        <f t="shared" si="10"/>
        <v>3</v>
      </c>
      <c r="J45" s="20">
        <f>+(C45*C$36)+(D45*D$36)+(E45*E$36)+(G45*G$36)+(H45*H$36)+(F45*F$36)</f>
        <v>3.3000000000000003</v>
      </c>
      <c r="K45" s="21">
        <v>7.9000000000000001E-2</v>
      </c>
      <c r="L45" s="20">
        <f t="shared" si="11"/>
        <v>0.26070000000000004</v>
      </c>
      <c r="M45" s="22">
        <f t="shared" si="12"/>
        <v>3.5607000000000002</v>
      </c>
      <c r="N45" s="19">
        <f t="shared" si="13"/>
        <v>3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2</v>
      </c>
      <c r="I46" s="19">
        <f t="shared" si="10"/>
        <v>4</v>
      </c>
      <c r="J46" s="20">
        <f>+(C46*C$36)+(D46*D$36)+(E46*E$36)+(G46*G$36)+(H46*H$36)+(F46*F$36)</f>
        <v>13.55</v>
      </c>
      <c r="K46" s="21">
        <v>7.9000000000000001E-2</v>
      </c>
      <c r="L46" s="20">
        <f t="shared" si="11"/>
        <v>1.0704500000000001</v>
      </c>
      <c r="M46" s="22">
        <f t="shared" si="12"/>
        <v>14.620450000000002</v>
      </c>
      <c r="N46" s="19">
        <f t="shared" si="13"/>
        <v>7</v>
      </c>
    </row>
    <row r="47" spans="1:14" x14ac:dyDescent="0.25">
      <c r="A47" s="16"/>
      <c r="B47" s="37" t="s">
        <v>61</v>
      </c>
      <c r="C47" s="26">
        <v>259</v>
      </c>
      <c r="D47" s="26">
        <v>3352</v>
      </c>
      <c r="E47" s="26">
        <v>5174</v>
      </c>
      <c r="F47" s="26">
        <v>1936</v>
      </c>
      <c r="G47" s="26">
        <v>39</v>
      </c>
      <c r="H47" s="26">
        <v>662</v>
      </c>
      <c r="I47" s="26">
        <f>SUM(I38:I46)</f>
        <v>10721</v>
      </c>
      <c r="J47" s="43">
        <f t="shared" ref="J47" si="14">SUM(J38:J46)</f>
        <v>14276.349999999999</v>
      </c>
      <c r="K47" s="2"/>
      <c r="L47" s="44">
        <f>SUM(L38:L46)</f>
        <v>1145.6597499999998</v>
      </c>
      <c r="M47" s="44">
        <f>SUM(M38:M46)</f>
        <v>15422.009749999999</v>
      </c>
      <c r="N47" s="26">
        <f t="shared" si="13"/>
        <v>11422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173</v>
      </c>
      <c r="D52" s="17">
        <v>1176</v>
      </c>
      <c r="E52" s="17">
        <v>2557</v>
      </c>
      <c r="F52" s="45">
        <v>1</v>
      </c>
      <c r="G52" s="17">
        <v>1</v>
      </c>
      <c r="H52" s="18">
        <v>195</v>
      </c>
      <c r="I52" s="19">
        <f t="shared" ref="I52:I57" si="15">SUM(C52:F52)</f>
        <v>3907</v>
      </c>
      <c r="J52" s="20">
        <f>+(C52*C$50)+(D52*D$50)+(E52*E$50)+(G52*G$50)+(H52*H$50)+(F52*F$51)</f>
        <v>6418.05</v>
      </c>
      <c r="K52" s="21">
        <v>8.1000000000000003E-2</v>
      </c>
      <c r="L52" s="20">
        <f t="shared" ref="L52:L57" si="16">+J52*K52</f>
        <v>519.86205000000007</v>
      </c>
      <c r="M52" s="22">
        <f t="shared" ref="M52:M57" si="17">+J52+L52</f>
        <v>6937.9120499999999</v>
      </c>
      <c r="N52" s="19">
        <f t="shared" ref="N52:N58" si="18">+I52+H52+G52</f>
        <v>4103</v>
      </c>
    </row>
    <row r="53" spans="1:14" x14ac:dyDescent="0.25">
      <c r="A53" s="16" t="s">
        <v>65</v>
      </c>
      <c r="B53" t="s">
        <v>66</v>
      </c>
      <c r="C53" s="17">
        <v>7</v>
      </c>
      <c r="D53" s="17">
        <v>86</v>
      </c>
      <c r="E53" s="17">
        <v>198</v>
      </c>
      <c r="F53" s="17">
        <v>0</v>
      </c>
      <c r="G53" s="17">
        <v>0</v>
      </c>
      <c r="H53" s="18">
        <v>74</v>
      </c>
      <c r="I53" s="19">
        <f t="shared" si="15"/>
        <v>291</v>
      </c>
      <c r="J53" s="20">
        <f>+(C53*C$50)+(D53*D$50)+(E53*E$50)+(G53*G$50)+(H53*H$50)+(F53*F$51)</f>
        <v>670.5</v>
      </c>
      <c r="K53" s="21">
        <v>8.1000000000000003E-2</v>
      </c>
      <c r="L53" s="20">
        <f t="shared" si="16"/>
        <v>54.310500000000005</v>
      </c>
      <c r="M53" s="22">
        <f t="shared" si="17"/>
        <v>724.81050000000005</v>
      </c>
      <c r="N53" s="19">
        <f t="shared" si="18"/>
        <v>365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5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6"/>
        <v>0</v>
      </c>
      <c r="M54" s="22">
        <f t="shared" si="17"/>
        <v>0</v>
      </c>
      <c r="N54" s="19">
        <f t="shared" si="18"/>
        <v>0</v>
      </c>
    </row>
    <row r="55" spans="1:14" x14ac:dyDescent="0.25">
      <c r="A55" s="16" t="s">
        <v>68</v>
      </c>
      <c r="B55" t="s">
        <v>69</v>
      </c>
      <c r="C55" s="17">
        <v>244</v>
      </c>
      <c r="D55" s="17">
        <v>1384</v>
      </c>
      <c r="E55" s="17">
        <v>1304</v>
      </c>
      <c r="F55" s="45">
        <v>679</v>
      </c>
      <c r="G55" s="17">
        <v>0</v>
      </c>
      <c r="H55" s="18">
        <v>16</v>
      </c>
      <c r="I55" s="19">
        <f t="shared" si="15"/>
        <v>3611</v>
      </c>
      <c r="J55" s="20">
        <f>+(C55*C$50)+(D55*D$50)+(E55*E$50)+(G55*G$50)+(H55*H$50)+(F55*F$51)</f>
        <v>5370.0999999999995</v>
      </c>
      <c r="K55" s="21">
        <v>8.6999999999999994E-2</v>
      </c>
      <c r="L55" s="20">
        <f t="shared" si="16"/>
        <v>467.19869999999992</v>
      </c>
      <c r="M55" s="22">
        <f t="shared" si="17"/>
        <v>5837.2986999999994</v>
      </c>
      <c r="N55" s="19">
        <f t="shared" si="18"/>
        <v>3627</v>
      </c>
    </row>
    <row r="56" spans="1:14" x14ac:dyDescent="0.25">
      <c r="A56" s="16" t="s">
        <v>70</v>
      </c>
      <c r="B56" t="s">
        <v>71</v>
      </c>
      <c r="C56" s="17">
        <v>31</v>
      </c>
      <c r="D56" s="17">
        <v>113</v>
      </c>
      <c r="E56" s="17">
        <v>289</v>
      </c>
      <c r="F56" s="17">
        <v>1</v>
      </c>
      <c r="G56" s="17">
        <v>0</v>
      </c>
      <c r="H56" s="18">
        <v>2</v>
      </c>
      <c r="I56" s="19">
        <f t="shared" si="15"/>
        <v>434</v>
      </c>
      <c r="J56" s="20">
        <f>+(C56*C$50)+(D56*D$50)+(E56*E$50)+(G56*G$50)+(H56*H$50)+(F56*F$51)</f>
        <v>645</v>
      </c>
      <c r="K56" s="21">
        <v>8.8999999999999996E-2</v>
      </c>
      <c r="L56" s="20">
        <f t="shared" si="16"/>
        <v>57.404999999999994</v>
      </c>
      <c r="M56" s="22">
        <f t="shared" si="17"/>
        <v>702.40499999999997</v>
      </c>
      <c r="N56" s="19">
        <f t="shared" si="18"/>
        <v>436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9829</v>
      </c>
      <c r="G57" s="17">
        <v>0</v>
      </c>
      <c r="H57" s="18">
        <v>0</v>
      </c>
      <c r="I57" s="19">
        <f t="shared" si="15"/>
        <v>9830</v>
      </c>
      <c r="J57" s="20">
        <f>+(C57*C$50)+(D57*D$50)+(E57*E$50)+(G57*G$50)+(H57*H$50)+(F57*F$50)</f>
        <v>6881.7999999999993</v>
      </c>
      <c r="K57" s="21">
        <v>8.8999999999999996E-2</v>
      </c>
      <c r="L57" s="20">
        <f t="shared" si="16"/>
        <v>612.48019999999985</v>
      </c>
      <c r="M57" s="22">
        <f t="shared" si="17"/>
        <v>7494.2801999999992</v>
      </c>
      <c r="N57" s="19">
        <f t="shared" si="18"/>
        <v>9830</v>
      </c>
    </row>
    <row r="58" spans="1:14" x14ac:dyDescent="0.25">
      <c r="A58" s="16"/>
      <c r="B58" s="37" t="s">
        <v>73</v>
      </c>
      <c r="C58" s="26">
        <f>SUM(C52:C57)</f>
        <v>455</v>
      </c>
      <c r="D58" s="26">
        <f t="shared" ref="D58:G58" si="19">SUM(D52:D57)</f>
        <v>2760</v>
      </c>
      <c r="E58" s="26">
        <f t="shared" si="19"/>
        <v>4348</v>
      </c>
      <c r="F58" s="26">
        <f t="shared" si="19"/>
        <v>10510</v>
      </c>
      <c r="G58" s="26">
        <f t="shared" si="19"/>
        <v>1</v>
      </c>
      <c r="H58" s="26">
        <f>SUM(H52:H57)</f>
        <v>287</v>
      </c>
      <c r="I58" s="26">
        <f>SUM(I52:I57)</f>
        <v>18073</v>
      </c>
      <c r="J58" s="43">
        <f>SUM(J52:J57)</f>
        <v>19985.449999999997</v>
      </c>
      <c r="K58" s="2"/>
      <c r="L58" s="44">
        <f>SUM(L52:L57)</f>
        <v>1711.2564499999999</v>
      </c>
      <c r="M58" s="44">
        <f>SUM(M52:M57)</f>
        <v>21696.706449999998</v>
      </c>
      <c r="N58" s="26">
        <f t="shared" si="18"/>
        <v>18361</v>
      </c>
    </row>
    <row r="60" spans="1:14" x14ac:dyDescent="0.25">
      <c r="B60" s="46" t="s">
        <v>74</v>
      </c>
      <c r="C60" s="33">
        <f t="shared" ref="C60:G60" si="20">+C25+C32+C47+C58</f>
        <v>742</v>
      </c>
      <c r="D60" s="33">
        <f t="shared" si="20"/>
        <v>7320</v>
      </c>
      <c r="E60" s="33">
        <f t="shared" si="20"/>
        <v>55239</v>
      </c>
      <c r="F60" s="33">
        <f t="shared" si="20"/>
        <v>12446</v>
      </c>
      <c r="G60" s="33">
        <f t="shared" si="20"/>
        <v>40</v>
      </c>
      <c r="H60" s="33">
        <f>+H25+H32+H47+H58</f>
        <v>1096</v>
      </c>
      <c r="I60" s="33">
        <f>+I25+I32+I47+I58</f>
        <v>75747</v>
      </c>
      <c r="J60" s="35">
        <f>+J25+J32+J47+J58</f>
        <v>105117.59999999999</v>
      </c>
      <c r="L60" s="15">
        <f>+L25+L32+L47+L58</f>
        <v>8840.8184000000001</v>
      </c>
      <c r="M60" s="15">
        <f>+M25+M32+M47+M58</f>
        <v>113958.41839999998</v>
      </c>
    </row>
    <row r="61" spans="1:14" x14ac:dyDescent="0.25">
      <c r="H61" t="s">
        <v>10</v>
      </c>
      <c r="I61" s="19">
        <f>+I60+H60+G60</f>
        <v>76883</v>
      </c>
      <c r="J61">
        <f>+I66</f>
        <v>732</v>
      </c>
      <c r="K61" s="19">
        <f>+I61+J61</f>
        <v>77615</v>
      </c>
    </row>
    <row r="62" spans="1:14" x14ac:dyDescent="0.25">
      <c r="H62" t="s">
        <v>75</v>
      </c>
      <c r="I62" s="17">
        <f>+[3]CanData!N1</f>
        <v>80872</v>
      </c>
    </row>
    <row r="63" spans="1:14" x14ac:dyDescent="0.25">
      <c r="H63" s="46" t="s">
        <v>76</v>
      </c>
      <c r="I63" s="19">
        <f>+I62-I61</f>
        <v>3989</v>
      </c>
    </row>
    <row r="64" spans="1:14" x14ac:dyDescent="0.25">
      <c r="E64" t="s">
        <v>77</v>
      </c>
      <c r="H64" s="46" t="s">
        <v>78</v>
      </c>
      <c r="I64" s="19">
        <f>+[3]CanData!P1</f>
        <v>3257</v>
      </c>
    </row>
    <row r="65" spans="8:10" x14ac:dyDescent="0.25">
      <c r="H65" s="46" t="s">
        <v>76</v>
      </c>
      <c r="I65" s="50">
        <f>+I63-I64</f>
        <v>732</v>
      </c>
      <c r="J65" s="28"/>
    </row>
    <row r="66" spans="8:10" x14ac:dyDescent="0.25">
      <c r="I66">
        <v>732</v>
      </c>
      <c r="J66" t="s">
        <v>79</v>
      </c>
    </row>
    <row r="67" spans="8:10" x14ac:dyDescent="0.25">
      <c r="I67" s="19">
        <f>+I65-I66</f>
        <v>0</v>
      </c>
      <c r="J67" s="2" t="s">
        <v>80</v>
      </c>
    </row>
  </sheetData>
  <mergeCells count="1">
    <mergeCell ref="C5:H5"/>
  </mergeCells>
  <pageMargins left="0.2" right="0.2" top="0.25" bottom="0.25" header="0.3" footer="0.3"/>
  <pageSetup scale="74" orientation="portrait" r:id="rId1"/>
  <headerFooter>
    <oddHeader>&amp;RPrinted: &amp;D &amp;T</oddHeader>
    <oddFooter>&amp;C&amp;Z&amp;F&amp;RTab: 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4" zoomScaleNormal="100" workbookViewId="0">
      <selection activeCell="D8" sqref="D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7" x14ac:dyDescent="0.25">
      <c r="B1" s="2" t="s">
        <v>0</v>
      </c>
    </row>
    <row r="2" spans="1:17" x14ac:dyDescent="0.25">
      <c r="B2" s="2" t="s">
        <v>1</v>
      </c>
    </row>
    <row r="3" spans="1:17" x14ac:dyDescent="0.25">
      <c r="B3" t="s">
        <v>2</v>
      </c>
    </row>
    <row r="4" spans="1:17" ht="15.75" thickBot="1" x14ac:dyDescent="0.3">
      <c r="B4" s="3" t="str">
        <f>+'[4]PT Rev JE 03'!A3</f>
        <v>June 2016</v>
      </c>
    </row>
    <row r="5" spans="1:17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7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7" x14ac:dyDescent="0.25">
      <c r="B7" s="13" t="s">
        <v>12</v>
      </c>
      <c r="H7" s="14">
        <v>2.9</v>
      </c>
      <c r="I7" s="15">
        <v>1.5</v>
      </c>
    </row>
    <row r="8" spans="1:17" x14ac:dyDescent="0.25">
      <c r="A8" s="16" t="s">
        <v>13</v>
      </c>
      <c r="B8" t="s">
        <v>14</v>
      </c>
      <c r="C8" s="17">
        <v>3</v>
      </c>
      <c r="D8" s="17">
        <v>135</v>
      </c>
      <c r="E8" s="17">
        <v>860</v>
      </c>
      <c r="F8" s="17">
        <v>0</v>
      </c>
      <c r="G8" s="17">
        <v>0</v>
      </c>
      <c r="H8" s="18">
        <v>2</v>
      </c>
      <c r="I8" s="19">
        <f>SUM(C8:E8)</f>
        <v>998</v>
      </c>
      <c r="J8" s="20">
        <f>+(H8*H$7)+(I8*I$7)</f>
        <v>1502.8</v>
      </c>
      <c r="K8" s="21">
        <v>0.08</v>
      </c>
      <c r="L8" s="20">
        <f>+J8*K8</f>
        <v>120.224</v>
      </c>
      <c r="M8" s="22">
        <f>+J8+L8</f>
        <v>1623.0239999999999</v>
      </c>
      <c r="N8" s="19">
        <f>+I8+H8+G8</f>
        <v>1000</v>
      </c>
    </row>
    <row r="9" spans="1:17" x14ac:dyDescent="0.25">
      <c r="A9" s="16" t="s">
        <v>15</v>
      </c>
      <c r="B9" s="4" t="s">
        <v>16</v>
      </c>
      <c r="C9" s="17">
        <v>9</v>
      </c>
      <c r="D9" s="17">
        <v>427</v>
      </c>
      <c r="E9" s="17">
        <v>2665</v>
      </c>
      <c r="F9" s="17">
        <v>0</v>
      </c>
      <c r="G9" s="17">
        <v>0</v>
      </c>
      <c r="H9" s="18">
        <v>39</v>
      </c>
      <c r="I9" s="19">
        <f>SUM(C9:E9)</f>
        <v>3101</v>
      </c>
      <c r="J9" s="20">
        <f>+(H9*H$7)+(I9*I$7)</f>
        <v>4764.6000000000004</v>
      </c>
      <c r="K9" s="21">
        <v>0.08</v>
      </c>
      <c r="L9" s="20">
        <f>+J9*K9</f>
        <v>381.16800000000006</v>
      </c>
      <c r="M9" s="22">
        <f>+J9+L9</f>
        <v>5145.768</v>
      </c>
      <c r="N9" s="19">
        <f>+I9+H9+G9</f>
        <v>3140</v>
      </c>
    </row>
    <row r="10" spans="1:17" x14ac:dyDescent="0.25">
      <c r="A10" s="16" t="s">
        <v>17</v>
      </c>
      <c r="B10" s="4" t="s">
        <v>18</v>
      </c>
      <c r="C10" s="17">
        <v>3</v>
      </c>
      <c r="D10" s="17">
        <v>149</v>
      </c>
      <c r="E10" s="17">
        <v>1249</v>
      </c>
      <c r="F10" s="17">
        <v>0</v>
      </c>
      <c r="G10" s="17">
        <v>0</v>
      </c>
      <c r="H10" s="18">
        <v>7</v>
      </c>
      <c r="I10" s="19">
        <f>SUM(C10:E10)</f>
        <v>1401</v>
      </c>
      <c r="J10" s="20">
        <f>+(H10*H$7)+(I10*I$7)</f>
        <v>2121.8000000000002</v>
      </c>
      <c r="K10" s="21">
        <v>8.1000000000000003E-2</v>
      </c>
      <c r="L10" s="20">
        <f>+J10*K10</f>
        <v>171.86580000000001</v>
      </c>
      <c r="M10" s="22">
        <f>+J10+L10</f>
        <v>2293.6658000000002</v>
      </c>
      <c r="N10" s="19">
        <f>+I10+H10+G10</f>
        <v>1408</v>
      </c>
    </row>
    <row r="11" spans="1:17" x14ac:dyDescent="0.25">
      <c r="C11" s="23">
        <v>15</v>
      </c>
      <c r="D11" s="23">
        <v>711</v>
      </c>
      <c r="E11" s="23">
        <v>4774</v>
      </c>
      <c r="F11" s="23">
        <v>0</v>
      </c>
      <c r="G11" s="23">
        <v>0</v>
      </c>
      <c r="H11" s="24">
        <v>48</v>
      </c>
      <c r="I11" s="23">
        <f>SUM(I8:I10)</f>
        <v>5500</v>
      </c>
      <c r="J11" s="25">
        <f t="shared" ref="J11" si="0">SUM(J8:J10)</f>
        <v>8389.2000000000007</v>
      </c>
      <c r="K11" s="21"/>
      <c r="L11" s="25">
        <f>SUM(L8:L10)</f>
        <v>673.25780000000009</v>
      </c>
      <c r="M11" s="25">
        <f>SUM(M8:M10)</f>
        <v>9062.4578000000001</v>
      </c>
      <c r="N11" s="26">
        <f>+I11+H11+G11</f>
        <v>5548</v>
      </c>
    </row>
    <row r="12" spans="1:17" x14ac:dyDescent="0.25">
      <c r="H12" s="27"/>
      <c r="K12" s="21"/>
    </row>
    <row r="13" spans="1:17" x14ac:dyDescent="0.25">
      <c r="A13" s="16" t="s">
        <v>19</v>
      </c>
      <c r="B13" s="4" t="s">
        <v>20</v>
      </c>
      <c r="C13" s="17">
        <v>12</v>
      </c>
      <c r="D13" s="17">
        <v>125</v>
      </c>
      <c r="E13" s="17">
        <v>24237</v>
      </c>
      <c r="F13" s="17">
        <v>0</v>
      </c>
      <c r="G13" s="17">
        <v>0</v>
      </c>
      <c r="H13" s="18">
        <v>0</v>
      </c>
      <c r="I13" s="19">
        <f t="shared" ref="I13:I22" si="1">SUM(C13:E13)</f>
        <v>24374</v>
      </c>
      <c r="J13" s="20">
        <f t="shared" ref="J13:J21" si="2">+(H13*H$7)+(I13*I$7)</f>
        <v>36561</v>
      </c>
      <c r="K13" s="21">
        <v>8.5999999999999993E-2</v>
      </c>
      <c r="L13" s="20">
        <f t="shared" ref="L13:L21" si="3">+J13*K13</f>
        <v>3144.2459999999996</v>
      </c>
      <c r="M13" s="22">
        <f t="shared" ref="M13:M21" si="4">+J13+L13</f>
        <v>39705.245999999999</v>
      </c>
      <c r="N13" s="19">
        <f t="shared" ref="N13:N21" si="5">+I13+H13+G13</f>
        <v>24374</v>
      </c>
      <c r="P13" s="17">
        <f>549+183</f>
        <v>732</v>
      </c>
      <c r="Q13" s="19">
        <f>+P13+N13</f>
        <v>25106</v>
      </c>
    </row>
    <row r="14" spans="1:17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92</v>
      </c>
      <c r="F14" s="17">
        <v>0</v>
      </c>
      <c r="G14" s="17">
        <v>0</v>
      </c>
      <c r="H14" s="18">
        <v>0</v>
      </c>
      <c r="I14" s="19">
        <f t="shared" si="1"/>
        <v>100</v>
      </c>
      <c r="J14" s="20">
        <f t="shared" si="2"/>
        <v>150</v>
      </c>
      <c r="K14" s="21">
        <v>8.5999999999999993E-2</v>
      </c>
      <c r="L14" s="20">
        <f t="shared" si="3"/>
        <v>12.899999999999999</v>
      </c>
      <c r="M14" s="22">
        <f t="shared" si="4"/>
        <v>162.9</v>
      </c>
      <c r="N14" s="19">
        <f t="shared" si="5"/>
        <v>100</v>
      </c>
    </row>
    <row r="15" spans="1:17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881</v>
      </c>
      <c r="F15" s="17">
        <v>0</v>
      </c>
      <c r="G15" s="17">
        <v>0</v>
      </c>
      <c r="H15" s="18">
        <v>10</v>
      </c>
      <c r="I15" s="19">
        <f t="shared" si="1"/>
        <v>881</v>
      </c>
      <c r="J15" s="20">
        <f>+(H15*H$7)+(I15*I$7)</f>
        <v>1350.5</v>
      </c>
      <c r="K15" s="21">
        <v>0.08</v>
      </c>
      <c r="L15" s="20">
        <f t="shared" si="3"/>
        <v>108.04</v>
      </c>
      <c r="M15" s="22">
        <f t="shared" si="4"/>
        <v>1458.54</v>
      </c>
      <c r="N15" s="19">
        <f t="shared" si="5"/>
        <v>891</v>
      </c>
    </row>
    <row r="16" spans="1:17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1147</v>
      </c>
      <c r="F16" s="17">
        <v>0</v>
      </c>
      <c r="G16" s="17">
        <v>0</v>
      </c>
      <c r="H16" s="18">
        <v>38</v>
      </c>
      <c r="I16" s="19">
        <f t="shared" si="1"/>
        <v>1148</v>
      </c>
      <c r="J16" s="20">
        <f t="shared" si="2"/>
        <v>1832.2</v>
      </c>
      <c r="K16" s="21">
        <v>8.1000000000000003E-2</v>
      </c>
      <c r="L16" s="20">
        <f t="shared" si="3"/>
        <v>148.40820000000002</v>
      </c>
      <c r="M16" s="22">
        <f t="shared" si="4"/>
        <v>1980.6082000000001</v>
      </c>
      <c r="N16" s="19">
        <f t="shared" si="5"/>
        <v>1186</v>
      </c>
    </row>
    <row r="17" spans="1:17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7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7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7" x14ac:dyDescent="0.25">
      <c r="A20" s="16" t="s">
        <v>32</v>
      </c>
      <c r="B20" s="28" t="s">
        <v>33</v>
      </c>
      <c r="C20" s="17">
        <v>0</v>
      </c>
      <c r="D20" s="17">
        <v>33</v>
      </c>
      <c r="E20" s="17">
        <v>2135</v>
      </c>
      <c r="F20" s="17">
        <v>0</v>
      </c>
      <c r="G20" s="17">
        <v>0</v>
      </c>
      <c r="H20" s="18">
        <v>2</v>
      </c>
      <c r="I20" s="19">
        <f t="shared" si="1"/>
        <v>2168</v>
      </c>
      <c r="J20" s="20">
        <f t="shared" si="2"/>
        <v>3257.8</v>
      </c>
      <c r="K20" s="21">
        <v>8.5999999999999993E-2</v>
      </c>
      <c r="L20" s="20">
        <f t="shared" si="3"/>
        <v>280.17079999999999</v>
      </c>
      <c r="M20" s="22">
        <f t="shared" si="4"/>
        <v>3537.9708000000001</v>
      </c>
      <c r="N20" s="19">
        <f t="shared" si="5"/>
        <v>2170</v>
      </c>
    </row>
    <row r="21" spans="1:17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787</v>
      </c>
      <c r="F21" s="17">
        <v>0</v>
      </c>
      <c r="G21" s="17">
        <v>0</v>
      </c>
      <c r="H21" s="18">
        <v>8</v>
      </c>
      <c r="I21" s="19">
        <f t="shared" si="1"/>
        <v>787</v>
      </c>
      <c r="J21" s="20">
        <f t="shared" si="2"/>
        <v>1203.7</v>
      </c>
      <c r="K21" s="21">
        <v>8.2000000000000003E-2</v>
      </c>
      <c r="L21" s="20">
        <f t="shared" si="3"/>
        <v>98.703400000000002</v>
      </c>
      <c r="M21" s="22">
        <f t="shared" si="4"/>
        <v>1302.4034000000001</v>
      </c>
      <c r="N21" s="19">
        <f t="shared" si="5"/>
        <v>795</v>
      </c>
    </row>
    <row r="22" spans="1:17" x14ac:dyDescent="0.25">
      <c r="A22" s="16"/>
      <c r="H22" s="27"/>
      <c r="I22" s="19">
        <f t="shared" si="1"/>
        <v>0</v>
      </c>
      <c r="K22" s="21"/>
    </row>
    <row r="23" spans="1:17" x14ac:dyDescent="0.25">
      <c r="A23" s="16"/>
      <c r="C23" s="29">
        <v>12</v>
      </c>
      <c r="D23" s="29">
        <v>168</v>
      </c>
      <c r="E23" s="29">
        <v>29535</v>
      </c>
      <c r="F23" s="29"/>
      <c r="G23" s="29">
        <v>0</v>
      </c>
      <c r="H23" s="30">
        <v>65</v>
      </c>
      <c r="I23" s="31">
        <f>SUM(I13:I22)</f>
        <v>29715</v>
      </c>
      <c r="J23" s="25">
        <f>SUM(J13:J22)</f>
        <v>44761</v>
      </c>
      <c r="K23" s="25"/>
      <c r="L23" s="25">
        <f>SUM(L13:L22)</f>
        <v>3824.7523999999989</v>
      </c>
      <c r="M23" s="25">
        <f>SUM(M13:M22)</f>
        <v>48585.752400000012</v>
      </c>
      <c r="N23" s="26">
        <f>+I23+H23+G23</f>
        <v>29780</v>
      </c>
    </row>
    <row r="24" spans="1:17" ht="9" customHeight="1" x14ac:dyDescent="0.25">
      <c r="A24" s="16"/>
      <c r="H24" s="27"/>
      <c r="K24" s="21"/>
    </row>
    <row r="25" spans="1:17" x14ac:dyDescent="0.25">
      <c r="A25" s="16"/>
      <c r="B25" s="32" t="s">
        <v>36</v>
      </c>
      <c r="C25" s="33">
        <v>27</v>
      </c>
      <c r="D25" s="33">
        <v>879</v>
      </c>
      <c r="E25" s="33">
        <v>34309</v>
      </c>
      <c r="F25" s="33"/>
      <c r="G25" s="33">
        <v>0</v>
      </c>
      <c r="H25" s="34">
        <v>113</v>
      </c>
      <c r="I25" s="33">
        <f>+I23+I11</f>
        <v>35215</v>
      </c>
      <c r="J25" s="35">
        <f>+J11+J23</f>
        <v>53150.2</v>
      </c>
      <c r="K25" s="36"/>
      <c r="L25" s="15">
        <f>+L11+L23</f>
        <v>4498.0101999999988</v>
      </c>
      <c r="M25" s="15">
        <f>+M11+M23</f>
        <v>57648.210200000016</v>
      </c>
      <c r="N25" s="19">
        <f>+N11+N23</f>
        <v>35328</v>
      </c>
      <c r="O25" s="17"/>
      <c r="P25" s="19"/>
      <c r="Q25" s="19"/>
    </row>
    <row r="26" spans="1:17" x14ac:dyDescent="0.25">
      <c r="A26" s="16"/>
    </row>
    <row r="27" spans="1:17" x14ac:dyDescent="0.25">
      <c r="A27" s="16"/>
      <c r="B27" s="32" t="s">
        <v>37</v>
      </c>
    </row>
    <row r="28" spans="1:17" x14ac:dyDescent="0.25">
      <c r="A28" s="16" t="s">
        <v>13</v>
      </c>
      <c r="B28" t="s">
        <v>38</v>
      </c>
      <c r="C28" s="17">
        <v>1</v>
      </c>
      <c r="D28" s="17">
        <v>271</v>
      </c>
      <c r="E28" s="17">
        <v>3919</v>
      </c>
      <c r="F28" s="17">
        <v>0</v>
      </c>
      <c r="G28" s="17">
        <v>0</v>
      </c>
      <c r="H28" s="18">
        <v>35</v>
      </c>
      <c r="I28" s="19">
        <f>SUM(C28:E28)</f>
        <v>4191</v>
      </c>
      <c r="J28" s="20">
        <f t="shared" ref="J28" si="6">+(H28*H$7)+(I28*I$7)</f>
        <v>6388</v>
      </c>
      <c r="K28" s="21">
        <v>0.08</v>
      </c>
      <c r="L28" s="20">
        <f t="shared" ref="L28:L31" si="7">+J28*K28</f>
        <v>511.04</v>
      </c>
      <c r="M28" s="22">
        <f t="shared" ref="M28:M31" si="8">+J28+L28</f>
        <v>6899.04</v>
      </c>
      <c r="N28" s="19">
        <f t="shared" ref="N28:N32" si="9">+I28+H28+G28</f>
        <v>4226</v>
      </c>
    </row>
    <row r="29" spans="1:17" x14ac:dyDescent="0.25">
      <c r="A29" s="16">
        <v>12</v>
      </c>
      <c r="B29" t="s">
        <v>39</v>
      </c>
      <c r="C29" s="17">
        <v>0</v>
      </c>
      <c r="D29" s="17">
        <v>2</v>
      </c>
      <c r="E29" s="17">
        <v>122</v>
      </c>
      <c r="F29" s="17">
        <v>0</v>
      </c>
      <c r="G29" s="17">
        <v>0</v>
      </c>
      <c r="H29" s="18">
        <v>0</v>
      </c>
      <c r="I29" s="19">
        <f>SUM(C29:E29)</f>
        <v>124</v>
      </c>
      <c r="J29" s="20">
        <f>+(H29*H$7)+(I29*I$7)</f>
        <v>186</v>
      </c>
      <c r="K29" s="21">
        <v>8.5999999999999993E-2</v>
      </c>
      <c r="L29" s="20">
        <f t="shared" si="7"/>
        <v>15.995999999999999</v>
      </c>
      <c r="M29" s="22">
        <f t="shared" si="8"/>
        <v>201.99600000000001</v>
      </c>
      <c r="N29" s="19">
        <f t="shared" si="9"/>
        <v>124</v>
      </c>
    </row>
    <row r="30" spans="1:17" x14ac:dyDescent="0.25">
      <c r="A30" s="16">
        <v>14</v>
      </c>
      <c r="B30" t="s">
        <v>40</v>
      </c>
      <c r="C30" s="17">
        <v>0</v>
      </c>
      <c r="D30" s="17">
        <v>14</v>
      </c>
      <c r="E30" s="17">
        <v>1207</v>
      </c>
      <c r="F30" s="17">
        <v>0</v>
      </c>
      <c r="G30" s="17">
        <v>0</v>
      </c>
      <c r="H30" s="18">
        <v>0</v>
      </c>
      <c r="I30" s="19">
        <f>SUM(C30:E30)</f>
        <v>1221</v>
      </c>
      <c r="J30" s="20">
        <f>+(H30*H$7)+(I30*I$7)</f>
        <v>1831.5</v>
      </c>
      <c r="K30" s="21">
        <v>8.5999999999999993E-2</v>
      </c>
      <c r="L30" s="20">
        <f t="shared" si="7"/>
        <v>157.50899999999999</v>
      </c>
      <c r="M30" s="22">
        <f t="shared" si="8"/>
        <v>1989.009</v>
      </c>
      <c r="N30" s="19">
        <f t="shared" si="9"/>
        <v>1221</v>
      </c>
    </row>
    <row r="31" spans="1:17" x14ac:dyDescent="0.25">
      <c r="A31" s="16">
        <v>13</v>
      </c>
      <c r="B31" t="s">
        <v>41</v>
      </c>
      <c r="C31" s="17">
        <v>0</v>
      </c>
      <c r="D31" s="17">
        <v>58</v>
      </c>
      <c r="E31" s="17">
        <v>7078</v>
      </c>
      <c r="F31" s="17">
        <v>0</v>
      </c>
      <c r="G31" s="17">
        <v>0</v>
      </c>
      <c r="H31" s="18">
        <v>0</v>
      </c>
      <c r="I31" s="19">
        <f>SUM(C31:E31)</f>
        <v>7136</v>
      </c>
      <c r="J31" s="20">
        <f>+(H31*H$7)+(I31*I$7)</f>
        <v>10704</v>
      </c>
      <c r="K31" s="21">
        <v>8.5999999999999993E-2</v>
      </c>
      <c r="L31" s="20">
        <f t="shared" si="7"/>
        <v>920.54399999999998</v>
      </c>
      <c r="M31" s="22">
        <f t="shared" si="8"/>
        <v>11624.544</v>
      </c>
      <c r="N31" s="19">
        <f t="shared" si="9"/>
        <v>7136</v>
      </c>
    </row>
    <row r="32" spans="1:17" x14ac:dyDescent="0.25">
      <c r="A32" s="16"/>
      <c r="B32" s="37" t="s">
        <v>42</v>
      </c>
      <c r="C32" s="26">
        <v>1</v>
      </c>
      <c r="D32" s="26">
        <v>345</v>
      </c>
      <c r="E32" s="26">
        <v>12326</v>
      </c>
      <c r="F32" s="26"/>
      <c r="G32" s="26">
        <v>0</v>
      </c>
      <c r="H32" s="26">
        <v>35</v>
      </c>
      <c r="I32" s="26">
        <f>SUM(I28:I31)</f>
        <v>12672</v>
      </c>
      <c r="J32" s="38">
        <f>SUM(J28:J31)</f>
        <v>19109.5</v>
      </c>
      <c r="K32" s="2"/>
      <c r="L32" s="39">
        <f>SUM(L28:L31)</f>
        <v>1605.0889999999999</v>
      </c>
      <c r="M32" s="39">
        <f>SUM(M28:M31)</f>
        <v>20714.589</v>
      </c>
      <c r="N32" s="26">
        <f t="shared" si="9"/>
        <v>12707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1</v>
      </c>
      <c r="D38" s="17">
        <v>0</v>
      </c>
      <c r="E38" s="17">
        <v>6</v>
      </c>
      <c r="F38" s="17">
        <v>0</v>
      </c>
      <c r="G38" s="17">
        <v>16</v>
      </c>
      <c r="H38" s="18">
        <v>100</v>
      </c>
      <c r="I38" s="19">
        <f t="shared" ref="I38:I46" si="10">SUM(C38:F38)</f>
        <v>7</v>
      </c>
      <c r="J38" s="20">
        <f>+(C38*C$36)+(D38*D$37)+(E38*E$36)+(F38*F$36)+(G38*G$36)+(H38*H$36)</f>
        <v>371.7</v>
      </c>
      <c r="K38" s="21">
        <v>7.9000000000000001E-2</v>
      </c>
      <c r="L38" s="20">
        <f t="shared" ref="L38:L46" si="11">+J38*K38</f>
        <v>29.3643</v>
      </c>
      <c r="M38" s="22">
        <f t="shared" ref="M38:M46" si="12">+J38+L38</f>
        <v>401.0643</v>
      </c>
      <c r="N38" s="19">
        <f t="shared" ref="N38:N47" si="13">+I38+H38+G38</f>
        <v>123</v>
      </c>
    </row>
    <row r="39" spans="1:14" x14ac:dyDescent="0.25">
      <c r="A39" s="16" t="s">
        <v>45</v>
      </c>
      <c r="B39" s="42" t="s">
        <v>47</v>
      </c>
      <c r="C39" s="17">
        <v>174</v>
      </c>
      <c r="D39" s="17">
        <v>660</v>
      </c>
      <c r="E39" s="17">
        <v>1314</v>
      </c>
      <c r="F39" s="17">
        <v>0</v>
      </c>
      <c r="G39" s="17">
        <v>14</v>
      </c>
      <c r="H39" s="18">
        <v>489</v>
      </c>
      <c r="I39" s="19">
        <f t="shared" si="10"/>
        <v>2148</v>
      </c>
      <c r="J39" s="20">
        <f>+(C39*C$36)+(D39*D$37)+(E39*E$36)+(F39*F$36)+(G39*G$36)+(H39*H$36)</f>
        <v>4230.1000000000004</v>
      </c>
      <c r="K39" s="21">
        <v>7.9000000000000001E-2</v>
      </c>
      <c r="L39" s="20">
        <f t="shared" si="11"/>
        <v>334.17790000000002</v>
      </c>
      <c r="M39" s="22">
        <f t="shared" si="12"/>
        <v>4564.2779</v>
      </c>
      <c r="N39" s="19">
        <f t="shared" si="13"/>
        <v>2651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1851</v>
      </c>
      <c r="E40" s="17">
        <v>686</v>
      </c>
      <c r="F40" s="17">
        <v>1386</v>
      </c>
      <c r="G40" s="17">
        <v>4</v>
      </c>
      <c r="H40" s="18">
        <v>12</v>
      </c>
      <c r="I40" s="19">
        <f t="shared" si="10"/>
        <v>3925</v>
      </c>
      <c r="J40" s="20">
        <f>+(C40*C$36)+(D40*D$36)+(E40*E$36)+(F40*F$36)+(G40*G$36)+(H40*H$36)</f>
        <v>4366.8999999999996</v>
      </c>
      <c r="K40" s="21">
        <v>8.2000000000000003E-2</v>
      </c>
      <c r="L40" s="20">
        <f t="shared" si="11"/>
        <v>358.08580000000001</v>
      </c>
      <c r="M40" s="22">
        <f t="shared" si="12"/>
        <v>4724.9857999999995</v>
      </c>
      <c r="N40" s="19">
        <f t="shared" si="13"/>
        <v>3941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26</v>
      </c>
      <c r="E41" s="17">
        <v>2029</v>
      </c>
      <c r="F41" s="17">
        <v>11</v>
      </c>
      <c r="G41" s="17">
        <v>1</v>
      </c>
      <c r="H41" s="18">
        <v>46</v>
      </c>
      <c r="I41" s="19">
        <f t="shared" si="10"/>
        <v>2066</v>
      </c>
      <c r="J41" s="20">
        <f>+(C41*C$36)+(D41*D$36)+(E41*E$36)+(F41*F$36)+(G41*G$36)+(H41*H$36)</f>
        <v>2422.5499999999997</v>
      </c>
      <c r="K41" s="21">
        <v>8.1000000000000003E-2</v>
      </c>
      <c r="L41" s="20">
        <f t="shared" si="11"/>
        <v>196.22654999999997</v>
      </c>
      <c r="M41" s="22">
        <f t="shared" si="12"/>
        <v>2618.7765499999996</v>
      </c>
      <c r="N41" s="19">
        <f t="shared" si="13"/>
        <v>2113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500</v>
      </c>
      <c r="E42" s="17">
        <v>601</v>
      </c>
      <c r="F42" s="17">
        <v>550</v>
      </c>
      <c r="G42" s="17">
        <v>3</v>
      </c>
      <c r="H42" s="18">
        <v>3</v>
      </c>
      <c r="I42" s="19">
        <f t="shared" si="10"/>
        <v>1651</v>
      </c>
      <c r="J42" s="20">
        <f>+(C42*C$36)+(D42*D$36)+(E42*E$36)+(G42*G$36)+(H42*H$36)+(F42*F$36)</f>
        <v>1833.9499999999998</v>
      </c>
      <c r="K42" s="21">
        <v>7.9000000000000001E-2</v>
      </c>
      <c r="L42" s="20">
        <f t="shared" si="11"/>
        <v>144.88204999999999</v>
      </c>
      <c r="M42" s="22">
        <f t="shared" si="12"/>
        <v>1978.8320499999998</v>
      </c>
      <c r="N42" s="19">
        <f t="shared" si="13"/>
        <v>1657</v>
      </c>
    </row>
    <row r="43" spans="1:14" x14ac:dyDescent="0.25">
      <c r="A43" s="16" t="s">
        <v>54</v>
      </c>
      <c r="B43" t="s">
        <v>55</v>
      </c>
      <c r="C43" s="17">
        <v>83</v>
      </c>
      <c r="D43" s="17">
        <v>346</v>
      </c>
      <c r="E43" s="17">
        <v>612</v>
      </c>
      <c r="F43" s="17">
        <v>0</v>
      </c>
      <c r="G43" s="17">
        <v>0</v>
      </c>
      <c r="H43" s="18">
        <v>23</v>
      </c>
      <c r="I43" s="19">
        <f t="shared" si="10"/>
        <v>1041</v>
      </c>
      <c r="J43" s="20">
        <f>+(C43*C$36)+(D43*D$36)+(E43*E$36)+(F43*F$36)+(G43*G$36)+(H43*H$36)</f>
        <v>1218.7</v>
      </c>
      <c r="K43" s="21">
        <v>7.9000000000000001E-2</v>
      </c>
      <c r="L43" s="20">
        <f t="shared" si="11"/>
        <v>96.277300000000011</v>
      </c>
      <c r="M43" s="22">
        <f t="shared" si="12"/>
        <v>1314.9773</v>
      </c>
      <c r="N43" s="19">
        <f t="shared" si="13"/>
        <v>1064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0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1"/>
        <v>0</v>
      </c>
      <c r="M44" s="22">
        <f t="shared" si="12"/>
        <v>0</v>
      </c>
      <c r="N44" s="19">
        <f t="shared" si="13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0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1"/>
        <v>0.34760000000000002</v>
      </c>
      <c r="M45" s="22">
        <f t="shared" si="12"/>
        <v>4.7476000000000003</v>
      </c>
      <c r="N45" s="19">
        <f t="shared" si="13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2</v>
      </c>
      <c r="I46" s="19">
        <f t="shared" si="10"/>
        <v>4</v>
      </c>
      <c r="J46" s="20">
        <f>+(C46*C$36)+(D46*D$36)+(E46*E$36)+(G46*G$36)+(H46*H$36)+(F46*F$36)</f>
        <v>13.55</v>
      </c>
      <c r="K46" s="21">
        <v>7.9000000000000001E-2</v>
      </c>
      <c r="L46" s="20">
        <f t="shared" si="11"/>
        <v>1.0704500000000001</v>
      </c>
      <c r="M46" s="22">
        <f t="shared" si="12"/>
        <v>14.620450000000002</v>
      </c>
      <c r="N46" s="19">
        <f t="shared" si="13"/>
        <v>7</v>
      </c>
    </row>
    <row r="47" spans="1:14" x14ac:dyDescent="0.25">
      <c r="A47" s="16"/>
      <c r="B47" s="37" t="s">
        <v>61</v>
      </c>
      <c r="C47" s="26">
        <v>261</v>
      </c>
      <c r="D47" s="26">
        <v>3387</v>
      </c>
      <c r="E47" s="26">
        <v>5251</v>
      </c>
      <c r="F47" s="26">
        <v>1947</v>
      </c>
      <c r="G47" s="26">
        <v>39</v>
      </c>
      <c r="H47" s="26">
        <v>675</v>
      </c>
      <c r="I47" s="26">
        <f>SUM(I38:I46)</f>
        <v>10846</v>
      </c>
      <c r="J47" s="43">
        <f t="shared" ref="J47" si="14">SUM(J38:J46)</f>
        <v>14461.85</v>
      </c>
      <c r="K47" s="2"/>
      <c r="L47" s="44">
        <f>SUM(L38:L46)</f>
        <v>1160.4319499999999</v>
      </c>
      <c r="M47" s="44">
        <f>SUM(M38:M46)</f>
        <v>15622.281950000001</v>
      </c>
      <c r="N47" s="26">
        <f t="shared" si="13"/>
        <v>11560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177</v>
      </c>
      <c r="D52" s="17">
        <v>1193</v>
      </c>
      <c r="E52" s="17">
        <v>2610</v>
      </c>
      <c r="F52" s="45">
        <v>0</v>
      </c>
      <c r="G52" s="17">
        <v>1</v>
      </c>
      <c r="H52" s="18">
        <v>196</v>
      </c>
      <c r="I52" s="19">
        <f t="shared" ref="I52:I57" si="15">SUM(C52:F52)</f>
        <v>3980</v>
      </c>
      <c r="J52" s="20">
        <f>+(C52*C$50)+(D52*D$50)+(E52*E$50)+(G52*G$50)+(H52*H$50)+(F52*F$51)</f>
        <v>6529.15</v>
      </c>
      <c r="K52" s="21">
        <v>8.1000000000000003E-2</v>
      </c>
      <c r="L52" s="20">
        <f t="shared" ref="L52:L57" si="16">+J52*K52</f>
        <v>528.86114999999995</v>
      </c>
      <c r="M52" s="22">
        <f t="shared" ref="M52:M57" si="17">+J52+L52</f>
        <v>7058.0111499999994</v>
      </c>
      <c r="N52" s="19">
        <f t="shared" ref="N52:N58" si="18">+I52+H52+G52</f>
        <v>4177</v>
      </c>
    </row>
    <row r="53" spans="1:14" x14ac:dyDescent="0.25">
      <c r="A53" s="16" t="s">
        <v>65</v>
      </c>
      <c r="B53" t="s">
        <v>66</v>
      </c>
      <c r="C53" s="17">
        <v>7</v>
      </c>
      <c r="D53" s="17">
        <v>87</v>
      </c>
      <c r="E53" s="17">
        <v>206</v>
      </c>
      <c r="F53" s="17">
        <v>0</v>
      </c>
      <c r="G53" s="17">
        <v>0</v>
      </c>
      <c r="H53" s="18">
        <v>76</v>
      </c>
      <c r="I53" s="19">
        <f t="shared" si="15"/>
        <v>300</v>
      </c>
      <c r="J53" s="20">
        <f>+(C53*C$50)+(D53*D$50)+(E53*E$50)+(G53*G$50)+(H53*H$50)+(F53*F$51)</f>
        <v>690.4</v>
      </c>
      <c r="K53" s="21">
        <v>8.1000000000000003E-2</v>
      </c>
      <c r="L53" s="20">
        <f t="shared" si="16"/>
        <v>55.922400000000003</v>
      </c>
      <c r="M53" s="22">
        <f t="shared" si="17"/>
        <v>746.32240000000002</v>
      </c>
      <c r="N53" s="19">
        <f t="shared" si="18"/>
        <v>376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5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6"/>
        <v>0</v>
      </c>
      <c r="M54" s="22">
        <f t="shared" si="17"/>
        <v>0</v>
      </c>
      <c r="N54" s="19">
        <f t="shared" si="18"/>
        <v>0</v>
      </c>
    </row>
    <row r="55" spans="1:14" x14ac:dyDescent="0.25">
      <c r="A55" s="16" t="s">
        <v>68</v>
      </c>
      <c r="B55" t="s">
        <v>69</v>
      </c>
      <c r="C55" s="17">
        <v>249</v>
      </c>
      <c r="D55" s="17">
        <v>1412</v>
      </c>
      <c r="E55" s="17">
        <v>1336</v>
      </c>
      <c r="F55" s="45">
        <v>693</v>
      </c>
      <c r="G55" s="17">
        <v>0</v>
      </c>
      <c r="H55" s="18">
        <v>16</v>
      </c>
      <c r="I55" s="19">
        <f t="shared" si="15"/>
        <v>3690</v>
      </c>
      <c r="J55" s="20">
        <f>+(C55*C$50)+(D55*D$50)+(E55*E$50)+(G55*G$50)+(H55*H$50)+(F55*F$51)</f>
        <v>5486.5999999999995</v>
      </c>
      <c r="K55" s="21">
        <v>8.6999999999999994E-2</v>
      </c>
      <c r="L55" s="20">
        <f t="shared" si="16"/>
        <v>477.3341999999999</v>
      </c>
      <c r="M55" s="22">
        <f t="shared" si="17"/>
        <v>5963.9341999999997</v>
      </c>
      <c r="N55" s="19">
        <f t="shared" si="18"/>
        <v>3706</v>
      </c>
    </row>
    <row r="56" spans="1:14" x14ac:dyDescent="0.25">
      <c r="A56" s="16" t="s">
        <v>70</v>
      </c>
      <c r="B56" t="s">
        <v>71</v>
      </c>
      <c r="C56" s="17">
        <v>32</v>
      </c>
      <c r="D56" s="17">
        <v>114</v>
      </c>
      <c r="E56" s="17">
        <v>295</v>
      </c>
      <c r="F56" s="17">
        <v>1</v>
      </c>
      <c r="G56" s="17">
        <v>0</v>
      </c>
      <c r="H56" s="18">
        <v>2</v>
      </c>
      <c r="I56" s="19">
        <f t="shared" si="15"/>
        <v>442</v>
      </c>
      <c r="J56" s="20">
        <f>+(C56*C$50)+(D56*D$50)+(E56*E$50)+(G56*G$50)+(H56*H$50)+(F56*F$51)</f>
        <v>656.6</v>
      </c>
      <c r="K56" s="21">
        <v>8.8999999999999996E-2</v>
      </c>
      <c r="L56" s="20">
        <f t="shared" si="16"/>
        <v>58.437399999999997</v>
      </c>
      <c r="M56" s="22">
        <f t="shared" si="17"/>
        <v>715.03740000000005</v>
      </c>
      <c r="N56" s="19">
        <f t="shared" si="18"/>
        <v>444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9846</v>
      </c>
      <c r="G57" s="17">
        <v>0</v>
      </c>
      <c r="H57" s="18">
        <v>0</v>
      </c>
      <c r="I57" s="19">
        <f t="shared" si="15"/>
        <v>9847</v>
      </c>
      <c r="J57" s="20">
        <f>+(C57*C$50)+(D57*D$50)+(E57*E$50)+(G57*G$50)+(H57*H$50)+(F57*F$50)</f>
        <v>6893.7</v>
      </c>
      <c r="K57" s="21">
        <v>8.8999999999999996E-2</v>
      </c>
      <c r="L57" s="20">
        <f t="shared" si="16"/>
        <v>613.53929999999991</v>
      </c>
      <c r="M57" s="22">
        <f t="shared" si="17"/>
        <v>7507.2392999999993</v>
      </c>
      <c r="N57" s="19">
        <f t="shared" si="18"/>
        <v>9847</v>
      </c>
    </row>
    <row r="58" spans="1:14" x14ac:dyDescent="0.25">
      <c r="A58" s="16"/>
      <c r="B58" s="37" t="s">
        <v>73</v>
      </c>
      <c r="C58" s="26">
        <f>SUM(C52:C57)</f>
        <v>465</v>
      </c>
      <c r="D58" s="26">
        <f t="shared" ref="D58:G58" si="19">SUM(D52:D57)</f>
        <v>2807</v>
      </c>
      <c r="E58" s="26">
        <f t="shared" si="19"/>
        <v>4447</v>
      </c>
      <c r="F58" s="26">
        <f t="shared" si="19"/>
        <v>10540</v>
      </c>
      <c r="G58" s="26">
        <f t="shared" si="19"/>
        <v>1</v>
      </c>
      <c r="H58" s="26">
        <f>SUM(H52:H57)</f>
        <v>290</v>
      </c>
      <c r="I58" s="26">
        <f>SUM(I52:I57)</f>
        <v>18259</v>
      </c>
      <c r="J58" s="43">
        <f>SUM(J52:J57)</f>
        <v>20256.449999999997</v>
      </c>
      <c r="K58" s="2"/>
      <c r="L58" s="44">
        <f>SUM(L52:L57)</f>
        <v>1734.0944499999998</v>
      </c>
      <c r="M58" s="44">
        <f>SUM(M52:M57)</f>
        <v>21990.544449999998</v>
      </c>
      <c r="N58" s="26">
        <f t="shared" si="18"/>
        <v>18550</v>
      </c>
    </row>
    <row r="60" spans="1:14" x14ac:dyDescent="0.25">
      <c r="B60" s="46" t="s">
        <v>74</v>
      </c>
      <c r="C60" s="33">
        <f t="shared" ref="C60:G60" si="20">+C25+C32+C47+C58</f>
        <v>754</v>
      </c>
      <c r="D60" s="33">
        <f t="shared" si="20"/>
        <v>7418</v>
      </c>
      <c r="E60" s="33">
        <f t="shared" si="20"/>
        <v>56333</v>
      </c>
      <c r="F60" s="33">
        <f t="shared" si="20"/>
        <v>12487</v>
      </c>
      <c r="G60" s="33">
        <f t="shared" si="20"/>
        <v>40</v>
      </c>
      <c r="H60" s="33">
        <f>+H25+H32+H47+H58</f>
        <v>1113</v>
      </c>
      <c r="I60" s="33">
        <f>+I25+I32+I47+I58</f>
        <v>76992</v>
      </c>
      <c r="J60" s="35">
        <f>+J25+J32+J47+J58</f>
        <v>106978</v>
      </c>
      <c r="L60" s="15">
        <f>+L25+L32+L47+L58</f>
        <v>8997.6255999999994</v>
      </c>
      <c r="M60" s="15">
        <f>+M25+M32+M47+M58</f>
        <v>115975.62560000001</v>
      </c>
    </row>
    <row r="61" spans="1:14" x14ac:dyDescent="0.25">
      <c r="H61" t="s">
        <v>10</v>
      </c>
      <c r="I61" s="19">
        <f>+I60+H60+G60</f>
        <v>78145</v>
      </c>
      <c r="J61">
        <f>+I66</f>
        <v>732</v>
      </c>
      <c r="K61" s="19">
        <f>+I61+J61</f>
        <v>78877</v>
      </c>
    </row>
    <row r="62" spans="1:14" x14ac:dyDescent="0.25">
      <c r="H62" t="s">
        <v>75</v>
      </c>
      <c r="I62" s="17"/>
    </row>
    <row r="63" spans="1:14" x14ac:dyDescent="0.25">
      <c r="H63" s="46" t="s">
        <v>76</v>
      </c>
      <c r="I63" s="19">
        <f>+I62-I61</f>
        <v>-78145</v>
      </c>
    </row>
    <row r="64" spans="1:14" x14ac:dyDescent="0.25">
      <c r="E64" t="s">
        <v>77</v>
      </c>
      <c r="H64" s="46" t="s">
        <v>78</v>
      </c>
      <c r="I64" s="19">
        <f>+[4]CanData!P1</f>
        <v>3324</v>
      </c>
    </row>
    <row r="65" spans="8:10" x14ac:dyDescent="0.25">
      <c r="H65" s="46" t="s">
        <v>76</v>
      </c>
      <c r="I65" s="50">
        <f>+I63-I64</f>
        <v>-81469</v>
      </c>
      <c r="J65" s="28"/>
    </row>
    <row r="66" spans="8:10" x14ac:dyDescent="0.25">
      <c r="I66">
        <v>732</v>
      </c>
      <c r="J66" t="s">
        <v>79</v>
      </c>
    </row>
    <row r="67" spans="8:10" x14ac:dyDescent="0.25">
      <c r="I67" s="19">
        <f>+I65-I66</f>
        <v>-82201</v>
      </c>
      <c r="J67" s="2" t="s">
        <v>80</v>
      </c>
    </row>
  </sheetData>
  <mergeCells count="1">
    <mergeCell ref="C5:H5"/>
  </mergeCells>
  <pageMargins left="0.2" right="0.2" top="0.25" bottom="0.25" header="0.3" footer="0.3"/>
  <pageSetup scale="74" orientation="portrait" r:id="rId1"/>
  <headerFooter>
    <oddHeader>&amp;RPrinted: &amp;D &amp;T</oddHeader>
    <oddFooter>&amp;C&amp;Z&amp;F&amp;RTab: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workbookViewId="0">
      <selection activeCell="D8" sqref="D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6" x14ac:dyDescent="0.25">
      <c r="B1" s="2" t="s">
        <v>0</v>
      </c>
    </row>
    <row r="2" spans="1:16" x14ac:dyDescent="0.25">
      <c r="B2" s="2" t="s">
        <v>1</v>
      </c>
    </row>
    <row r="3" spans="1:16" x14ac:dyDescent="0.25">
      <c r="B3" t="s">
        <v>2</v>
      </c>
    </row>
    <row r="4" spans="1:16" ht="15.75" thickBot="1" x14ac:dyDescent="0.3">
      <c r="B4" s="3" t="str">
        <f>+'[5]PT Rev JE 03'!A3</f>
        <v>May 2016</v>
      </c>
    </row>
    <row r="5" spans="1:16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6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6" x14ac:dyDescent="0.25">
      <c r="B7" s="13" t="s">
        <v>12</v>
      </c>
      <c r="H7" s="14">
        <v>2.9</v>
      </c>
      <c r="I7" s="15">
        <v>1.5</v>
      </c>
    </row>
    <row r="8" spans="1:16" x14ac:dyDescent="0.25">
      <c r="A8" s="16" t="s">
        <v>13</v>
      </c>
      <c r="B8" t="s">
        <v>14</v>
      </c>
      <c r="C8" s="17">
        <v>3</v>
      </c>
      <c r="D8" s="17">
        <v>133</v>
      </c>
      <c r="E8" s="17">
        <v>852</v>
      </c>
      <c r="F8" s="17">
        <v>0</v>
      </c>
      <c r="G8" s="17">
        <v>0</v>
      </c>
      <c r="H8" s="18">
        <v>3</v>
      </c>
      <c r="I8" s="19">
        <f>SUM(C8:E8)</f>
        <v>988</v>
      </c>
      <c r="J8" s="20">
        <f>+(H8*H$7)+(I8*I$7)</f>
        <v>1490.7</v>
      </c>
      <c r="K8" s="21">
        <v>0.08</v>
      </c>
      <c r="L8" s="20">
        <f>+J8*K8</f>
        <v>119.256</v>
      </c>
      <c r="M8" s="22">
        <f>+J8+L8</f>
        <v>1609.9560000000001</v>
      </c>
      <c r="N8" s="19">
        <f>+I8+H8+G8</f>
        <v>991</v>
      </c>
    </row>
    <row r="9" spans="1:16" x14ac:dyDescent="0.25">
      <c r="A9" s="16" t="s">
        <v>15</v>
      </c>
      <c r="B9" s="4" t="s">
        <v>16</v>
      </c>
      <c r="C9" s="17">
        <v>9</v>
      </c>
      <c r="D9" s="17">
        <v>425</v>
      </c>
      <c r="E9" s="17">
        <v>2638</v>
      </c>
      <c r="F9" s="17">
        <v>0</v>
      </c>
      <c r="G9" s="17">
        <v>0</v>
      </c>
      <c r="H9" s="18">
        <v>39</v>
      </c>
      <c r="I9" s="19">
        <f>SUM(C9:E9)</f>
        <v>3072</v>
      </c>
      <c r="J9" s="20">
        <f>+(H9*H$7)+(I9*I$7)</f>
        <v>4721.1000000000004</v>
      </c>
      <c r="K9" s="21">
        <v>0.08</v>
      </c>
      <c r="L9" s="20">
        <f>+J9*K9</f>
        <v>377.68800000000005</v>
      </c>
      <c r="M9" s="22">
        <f>+J9+L9</f>
        <v>5098.7880000000005</v>
      </c>
      <c r="N9" s="19">
        <f>+I9+H9+G9</f>
        <v>3111</v>
      </c>
    </row>
    <row r="10" spans="1:16" x14ac:dyDescent="0.25">
      <c r="A10" s="16" t="s">
        <v>17</v>
      </c>
      <c r="B10" s="4" t="s">
        <v>18</v>
      </c>
      <c r="C10" s="17">
        <v>3</v>
      </c>
      <c r="D10" s="17">
        <v>153</v>
      </c>
      <c r="E10" s="17">
        <v>1243</v>
      </c>
      <c r="F10" s="17">
        <v>0</v>
      </c>
      <c r="G10" s="17">
        <v>0</v>
      </c>
      <c r="H10" s="18">
        <v>7</v>
      </c>
      <c r="I10" s="19">
        <f>SUM(C10:E10)</f>
        <v>1399</v>
      </c>
      <c r="J10" s="20">
        <f>+(H10*H$7)+(I10*I$7)</f>
        <v>2118.8000000000002</v>
      </c>
      <c r="K10" s="21">
        <v>8.1000000000000003E-2</v>
      </c>
      <c r="L10" s="20">
        <f>+J10*K10</f>
        <v>171.62280000000001</v>
      </c>
      <c r="M10" s="22">
        <f>+J10+L10</f>
        <v>2290.4228000000003</v>
      </c>
      <c r="N10" s="19">
        <f>+I10+H10+G10</f>
        <v>1406</v>
      </c>
    </row>
    <row r="11" spans="1:16" x14ac:dyDescent="0.25">
      <c r="C11" s="23">
        <f t="shared" ref="C11:J11" si="0">SUM(C8:C10)</f>
        <v>15</v>
      </c>
      <c r="D11" s="23">
        <f t="shared" si="0"/>
        <v>711</v>
      </c>
      <c r="E11" s="23">
        <f t="shared" si="0"/>
        <v>4733</v>
      </c>
      <c r="F11" s="23">
        <f t="shared" si="0"/>
        <v>0</v>
      </c>
      <c r="G11" s="23">
        <f t="shared" si="0"/>
        <v>0</v>
      </c>
      <c r="H11" s="24">
        <f t="shared" si="0"/>
        <v>49</v>
      </c>
      <c r="I11" s="23">
        <f>SUM(I8:I10)</f>
        <v>5459</v>
      </c>
      <c r="J11" s="25">
        <f t="shared" si="0"/>
        <v>8330.6</v>
      </c>
      <c r="K11" s="21"/>
      <c r="L11" s="25">
        <f>SUM(L8:L10)</f>
        <v>668.56680000000006</v>
      </c>
      <c r="M11" s="25">
        <f>SUM(M8:M10)</f>
        <v>8999.1668000000009</v>
      </c>
      <c r="N11" s="26">
        <f>+I11+H11+G11</f>
        <v>5508</v>
      </c>
    </row>
    <row r="12" spans="1:16" x14ac:dyDescent="0.25">
      <c r="H12" s="27"/>
      <c r="K12" s="21"/>
    </row>
    <row r="13" spans="1:16" x14ac:dyDescent="0.25">
      <c r="A13" s="16" t="s">
        <v>19</v>
      </c>
      <c r="B13" s="4" t="s">
        <v>20</v>
      </c>
      <c r="C13" s="17">
        <v>12</v>
      </c>
      <c r="D13" s="17">
        <v>122</v>
      </c>
      <c r="E13" s="17">
        <v>24113</v>
      </c>
      <c r="F13" s="17">
        <v>0</v>
      </c>
      <c r="G13" s="17">
        <v>0</v>
      </c>
      <c r="H13" s="18">
        <v>0</v>
      </c>
      <c r="I13" s="19">
        <f t="shared" ref="I13:I22" si="1">SUM(C13:E13)</f>
        <v>24247</v>
      </c>
      <c r="J13" s="20">
        <f t="shared" ref="J13:J21" si="2">+(H13*H$7)+(I13*I$7)</f>
        <v>36370.5</v>
      </c>
      <c r="K13" s="21">
        <v>8.5999999999999993E-2</v>
      </c>
      <c r="L13" s="20">
        <f t="shared" ref="L13:L21" si="3">+J13*K13</f>
        <v>3127.8629999999998</v>
      </c>
      <c r="M13" s="22">
        <f t="shared" ref="M13:M21" si="4">+J13+L13</f>
        <v>39498.362999999998</v>
      </c>
      <c r="N13" s="19">
        <f t="shared" ref="N13:N21" si="5">+I13+H13+G13</f>
        <v>24247</v>
      </c>
      <c r="P13" s="17">
        <f>549+183</f>
        <v>732</v>
      </c>
    </row>
    <row r="14" spans="1:16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92</v>
      </c>
      <c r="F14" s="17">
        <v>0</v>
      </c>
      <c r="G14" s="17">
        <v>0</v>
      </c>
      <c r="H14" s="18">
        <v>0</v>
      </c>
      <c r="I14" s="19">
        <f t="shared" si="1"/>
        <v>100</v>
      </c>
      <c r="J14" s="20">
        <f t="shared" si="2"/>
        <v>150</v>
      </c>
      <c r="K14" s="21">
        <v>8.5999999999999993E-2</v>
      </c>
      <c r="L14" s="20">
        <f t="shared" si="3"/>
        <v>12.899999999999999</v>
      </c>
      <c r="M14" s="22">
        <f t="shared" si="4"/>
        <v>162.9</v>
      </c>
      <c r="N14" s="19">
        <f t="shared" si="5"/>
        <v>100</v>
      </c>
    </row>
    <row r="15" spans="1:16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874</v>
      </c>
      <c r="F15" s="17">
        <v>0</v>
      </c>
      <c r="G15" s="17">
        <v>0</v>
      </c>
      <c r="H15" s="18">
        <v>7</v>
      </c>
      <c r="I15" s="19">
        <f t="shared" si="1"/>
        <v>874</v>
      </c>
      <c r="J15" s="20">
        <f>+(H15*H$7)+(I15*I$7)</f>
        <v>1331.3</v>
      </c>
      <c r="K15" s="21">
        <v>0.08</v>
      </c>
      <c r="L15" s="20">
        <f t="shared" si="3"/>
        <v>106.504</v>
      </c>
      <c r="M15" s="22">
        <f t="shared" si="4"/>
        <v>1437.8039999999999</v>
      </c>
      <c r="N15" s="19">
        <f t="shared" si="5"/>
        <v>881</v>
      </c>
    </row>
    <row r="16" spans="1:16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1127</v>
      </c>
      <c r="F16" s="17">
        <v>0</v>
      </c>
      <c r="G16" s="17">
        <v>0</v>
      </c>
      <c r="H16" s="18">
        <v>38</v>
      </c>
      <c r="I16" s="19">
        <f t="shared" si="1"/>
        <v>1128</v>
      </c>
      <c r="J16" s="20">
        <f t="shared" si="2"/>
        <v>1802.2</v>
      </c>
      <c r="K16" s="21">
        <v>8.1000000000000003E-2</v>
      </c>
      <c r="L16" s="20">
        <f t="shared" si="3"/>
        <v>145.97820000000002</v>
      </c>
      <c r="M16" s="22">
        <f t="shared" si="4"/>
        <v>1948.1782000000001</v>
      </c>
      <c r="N16" s="19">
        <f t="shared" si="5"/>
        <v>1166</v>
      </c>
    </row>
    <row r="17" spans="1:16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6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6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6" x14ac:dyDescent="0.25">
      <c r="A20" s="16" t="s">
        <v>32</v>
      </c>
      <c r="B20" s="28" t="s">
        <v>33</v>
      </c>
      <c r="C20" s="17">
        <v>0</v>
      </c>
      <c r="D20" s="17">
        <v>32</v>
      </c>
      <c r="E20" s="17">
        <v>2128</v>
      </c>
      <c r="F20" s="17">
        <v>0</v>
      </c>
      <c r="G20" s="17">
        <v>0</v>
      </c>
      <c r="H20" s="18">
        <v>2</v>
      </c>
      <c r="I20" s="19">
        <f t="shared" si="1"/>
        <v>2160</v>
      </c>
      <c r="J20" s="20">
        <f t="shared" si="2"/>
        <v>3245.8</v>
      </c>
      <c r="K20" s="21">
        <v>8.5999999999999993E-2</v>
      </c>
      <c r="L20" s="20">
        <f t="shared" si="3"/>
        <v>279.1388</v>
      </c>
      <c r="M20" s="22">
        <f t="shared" si="4"/>
        <v>3524.9388000000004</v>
      </c>
      <c r="N20" s="19">
        <f t="shared" si="5"/>
        <v>2162</v>
      </c>
    </row>
    <row r="21" spans="1:16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786</v>
      </c>
      <c r="F21" s="17">
        <v>0</v>
      </c>
      <c r="G21" s="17">
        <v>0</v>
      </c>
      <c r="H21" s="18">
        <v>8</v>
      </c>
      <c r="I21" s="19">
        <f t="shared" si="1"/>
        <v>786</v>
      </c>
      <c r="J21" s="20">
        <f t="shared" si="2"/>
        <v>1202.2</v>
      </c>
      <c r="K21" s="21">
        <v>8.2000000000000003E-2</v>
      </c>
      <c r="L21" s="20">
        <f t="shared" si="3"/>
        <v>98.580400000000012</v>
      </c>
      <c r="M21" s="22">
        <f t="shared" si="4"/>
        <v>1300.7804000000001</v>
      </c>
      <c r="N21" s="19">
        <f t="shared" si="5"/>
        <v>794</v>
      </c>
    </row>
    <row r="22" spans="1:16" x14ac:dyDescent="0.25">
      <c r="A22" s="16"/>
      <c r="H22" s="27"/>
      <c r="I22" s="19">
        <f t="shared" si="1"/>
        <v>0</v>
      </c>
      <c r="K22" s="21"/>
    </row>
    <row r="23" spans="1:16" x14ac:dyDescent="0.25">
      <c r="A23" s="16"/>
      <c r="C23" s="29">
        <f>SUM(C13:C22)</f>
        <v>12</v>
      </c>
      <c r="D23" s="29">
        <f t="shared" ref="D23:G23" si="6">SUM(D13:D22)</f>
        <v>164</v>
      </c>
      <c r="E23" s="29">
        <f t="shared" si="6"/>
        <v>29376</v>
      </c>
      <c r="F23" s="29"/>
      <c r="G23" s="29">
        <f t="shared" si="6"/>
        <v>0</v>
      </c>
      <c r="H23" s="30">
        <f>SUM(H13:H22)</f>
        <v>62</v>
      </c>
      <c r="I23" s="31">
        <f>SUM(I13:I22)</f>
        <v>29552</v>
      </c>
      <c r="J23" s="25">
        <f>SUM(J13:J22)</f>
        <v>44507.8</v>
      </c>
      <c r="K23" s="25"/>
      <c r="L23" s="25">
        <f>SUM(L13:L22)</f>
        <v>3803.2483999999995</v>
      </c>
      <c r="M23" s="25">
        <f>SUM(M13:M22)</f>
        <v>48311.048400000007</v>
      </c>
      <c r="N23" s="26">
        <f>+I23+H23+G23</f>
        <v>29614</v>
      </c>
    </row>
    <row r="24" spans="1:16" ht="9" customHeight="1" x14ac:dyDescent="0.25">
      <c r="A24" s="16"/>
      <c r="H24" s="27"/>
      <c r="K24" s="21"/>
    </row>
    <row r="25" spans="1:16" x14ac:dyDescent="0.25">
      <c r="A25" s="16"/>
      <c r="B25" s="32" t="s">
        <v>36</v>
      </c>
      <c r="C25" s="33">
        <f t="shared" ref="C25:G25" si="7">+C23+C11</f>
        <v>27</v>
      </c>
      <c r="D25" s="33">
        <f t="shared" si="7"/>
        <v>875</v>
      </c>
      <c r="E25" s="33">
        <f>+E23+E11</f>
        <v>34109</v>
      </c>
      <c r="F25" s="33"/>
      <c r="G25" s="33">
        <f t="shared" si="7"/>
        <v>0</v>
      </c>
      <c r="H25" s="34">
        <f>+H23+H11</f>
        <v>111</v>
      </c>
      <c r="I25" s="33">
        <f>+I23+I11</f>
        <v>35011</v>
      </c>
      <c r="J25" s="35">
        <f>+J11+J23</f>
        <v>52838.400000000001</v>
      </c>
      <c r="K25" s="36"/>
      <c r="L25" s="15">
        <f>+L11+L23</f>
        <v>4471.8151999999991</v>
      </c>
      <c r="M25" s="15">
        <f>+M11+M23</f>
        <v>57310.215200000006</v>
      </c>
      <c r="N25" s="19">
        <f>+N11+N23</f>
        <v>35122</v>
      </c>
      <c r="O25" s="17">
        <f>+GETPIVOTDATA("CanCount",[5]Old_Can_Sort!$A$4,"CompanyDivision","BDI")</f>
        <v>35490</v>
      </c>
      <c r="P25" s="19">
        <f>+O25-N25</f>
        <v>368</v>
      </c>
    </row>
    <row r="26" spans="1:16" x14ac:dyDescent="0.25">
      <c r="A26" s="16"/>
    </row>
    <row r="27" spans="1:16" x14ac:dyDescent="0.25">
      <c r="A27" s="16"/>
      <c r="B27" s="32" t="s">
        <v>37</v>
      </c>
    </row>
    <row r="28" spans="1:16" x14ac:dyDescent="0.25">
      <c r="A28" s="16" t="s">
        <v>13</v>
      </c>
      <c r="B28" t="s">
        <v>38</v>
      </c>
      <c r="C28" s="17">
        <v>1</v>
      </c>
      <c r="D28" s="17">
        <v>270</v>
      </c>
      <c r="E28" s="17">
        <v>3920</v>
      </c>
      <c r="F28" s="17">
        <v>0</v>
      </c>
      <c r="G28" s="17">
        <v>0</v>
      </c>
      <c r="H28" s="18">
        <v>35</v>
      </c>
      <c r="I28" s="19">
        <f t="shared" ref="I28" si="8">SUM(C28:E28)</f>
        <v>4191</v>
      </c>
      <c r="J28" s="20">
        <f t="shared" ref="J28" si="9">+(H28*H$7)+(I28*I$7)</f>
        <v>6388</v>
      </c>
      <c r="K28" s="21">
        <v>0.08</v>
      </c>
      <c r="L28" s="20">
        <f t="shared" ref="L28:L31" si="10">+J28*K28</f>
        <v>511.04</v>
      </c>
      <c r="M28" s="22">
        <f t="shared" ref="M28:M31" si="11">+J28+L28</f>
        <v>6899.04</v>
      </c>
      <c r="N28" s="19">
        <f t="shared" ref="N28:N32" si="12">+I28+H28+G28</f>
        <v>4226</v>
      </c>
    </row>
    <row r="29" spans="1:16" x14ac:dyDescent="0.25">
      <c r="A29" s="16">
        <v>12</v>
      </c>
      <c r="B29" t="s">
        <v>39</v>
      </c>
      <c r="C29" s="17">
        <v>0</v>
      </c>
      <c r="D29" s="17">
        <v>2</v>
      </c>
      <c r="E29" s="17">
        <v>114</v>
      </c>
      <c r="F29" s="17">
        <v>0</v>
      </c>
      <c r="G29" s="17">
        <v>0</v>
      </c>
      <c r="H29" s="18">
        <v>0</v>
      </c>
      <c r="I29" s="19">
        <f t="shared" ref="I29:I31" si="13">SUM(C29:E29)</f>
        <v>116</v>
      </c>
      <c r="J29" s="20">
        <f>+(H29*H$7)+(I29*I$7)</f>
        <v>174</v>
      </c>
      <c r="K29" s="21">
        <v>8.5999999999999993E-2</v>
      </c>
      <c r="L29" s="20">
        <f t="shared" si="10"/>
        <v>14.963999999999999</v>
      </c>
      <c r="M29" s="22">
        <f t="shared" si="11"/>
        <v>188.964</v>
      </c>
      <c r="N29" s="19">
        <f t="shared" si="12"/>
        <v>116</v>
      </c>
    </row>
    <row r="30" spans="1:16" x14ac:dyDescent="0.25">
      <c r="A30" s="16">
        <v>14</v>
      </c>
      <c r="B30" t="s">
        <v>40</v>
      </c>
      <c r="C30" s="17">
        <v>0</v>
      </c>
      <c r="D30" s="17">
        <v>14</v>
      </c>
      <c r="E30" s="17">
        <v>1180</v>
      </c>
      <c r="F30" s="17">
        <v>0</v>
      </c>
      <c r="G30" s="17">
        <v>0</v>
      </c>
      <c r="H30" s="18">
        <v>0</v>
      </c>
      <c r="I30" s="19">
        <f t="shared" si="13"/>
        <v>1194</v>
      </c>
      <c r="J30" s="20">
        <f>+(H30*H$7)+(I30*I$7)</f>
        <v>1791</v>
      </c>
      <c r="K30" s="21">
        <v>8.5999999999999993E-2</v>
      </c>
      <c r="L30" s="20">
        <f t="shared" si="10"/>
        <v>154.02599999999998</v>
      </c>
      <c r="M30" s="22">
        <f t="shared" si="11"/>
        <v>1945.0260000000001</v>
      </c>
      <c r="N30" s="19">
        <f t="shared" si="12"/>
        <v>1194</v>
      </c>
    </row>
    <row r="31" spans="1:16" x14ac:dyDescent="0.25">
      <c r="A31" s="16">
        <v>13</v>
      </c>
      <c r="B31" t="s">
        <v>41</v>
      </c>
      <c r="C31" s="17">
        <v>0</v>
      </c>
      <c r="D31" s="17">
        <v>58</v>
      </c>
      <c r="E31" s="17">
        <v>7017</v>
      </c>
      <c r="F31" s="17">
        <v>0</v>
      </c>
      <c r="G31" s="17">
        <v>0</v>
      </c>
      <c r="H31" s="18">
        <v>0</v>
      </c>
      <c r="I31" s="19">
        <f t="shared" si="13"/>
        <v>7075</v>
      </c>
      <c r="J31" s="20">
        <f>+(H31*H$7)+(I31*I$7)</f>
        <v>10612.5</v>
      </c>
      <c r="K31" s="21">
        <v>8.5999999999999993E-2</v>
      </c>
      <c r="L31" s="20">
        <f t="shared" si="10"/>
        <v>912.67499999999995</v>
      </c>
      <c r="M31" s="22">
        <f t="shared" si="11"/>
        <v>11525.174999999999</v>
      </c>
      <c r="N31" s="19">
        <f t="shared" si="12"/>
        <v>7075</v>
      </c>
    </row>
    <row r="32" spans="1:16" x14ac:dyDescent="0.25">
      <c r="A32" s="16"/>
      <c r="B32" s="37" t="s">
        <v>42</v>
      </c>
      <c r="C32" s="26">
        <f>SUM(C28:C31)</f>
        <v>1</v>
      </c>
      <c r="D32" s="26">
        <f t="shared" ref="D32:H32" si="14">SUM(D28:D31)</f>
        <v>344</v>
      </c>
      <c r="E32" s="26">
        <f t="shared" si="14"/>
        <v>12231</v>
      </c>
      <c r="F32" s="26"/>
      <c r="G32" s="26">
        <f t="shared" si="14"/>
        <v>0</v>
      </c>
      <c r="H32" s="26">
        <f t="shared" si="14"/>
        <v>35</v>
      </c>
      <c r="I32" s="26">
        <f>SUM(I28:I31)</f>
        <v>12576</v>
      </c>
      <c r="J32" s="38">
        <f>SUM(J28:J31)</f>
        <v>18965.5</v>
      </c>
      <c r="K32" s="2"/>
      <c r="L32" s="39">
        <f>SUM(L28:L31)</f>
        <v>1592.7049999999999</v>
      </c>
      <c r="M32" s="39">
        <f>SUM(M28:M31)</f>
        <v>20558.205000000002</v>
      </c>
      <c r="N32" s="26">
        <f t="shared" si="12"/>
        <v>12611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1</v>
      </c>
      <c r="D38" s="17">
        <v>0</v>
      </c>
      <c r="E38" s="17">
        <v>7</v>
      </c>
      <c r="F38" s="17">
        <v>0</v>
      </c>
      <c r="G38" s="17">
        <v>14</v>
      </c>
      <c r="H38" s="18">
        <v>95</v>
      </c>
      <c r="I38" s="19">
        <f>SUM(C38:F38)</f>
        <v>8</v>
      </c>
      <c r="J38" s="20">
        <f>+(C38*C$36)+(D38*D$37)+(E38*E$36)+(F38*F$36)+(G38*G$36)+(H38*H$36)</f>
        <v>351.3</v>
      </c>
      <c r="K38" s="21">
        <v>7.9000000000000001E-2</v>
      </c>
      <c r="L38" s="20">
        <f t="shared" ref="L38:L46" si="15">+J38*K38</f>
        <v>27.752700000000001</v>
      </c>
      <c r="M38" s="22">
        <f t="shared" ref="M38:M46" si="16">+J38+L38</f>
        <v>379.05270000000002</v>
      </c>
      <c r="N38" s="19">
        <f t="shared" ref="N38:N47" si="17">+I38+H38+G38</f>
        <v>117</v>
      </c>
    </row>
    <row r="39" spans="1:14" x14ac:dyDescent="0.25">
      <c r="A39" s="16" t="s">
        <v>45</v>
      </c>
      <c r="B39" s="42" t="s">
        <v>47</v>
      </c>
      <c r="C39" s="17">
        <v>175</v>
      </c>
      <c r="D39" s="17">
        <v>650</v>
      </c>
      <c r="E39" s="17">
        <v>1294</v>
      </c>
      <c r="F39" s="17">
        <v>0</v>
      </c>
      <c r="G39" s="17">
        <v>15</v>
      </c>
      <c r="H39" s="18">
        <v>493</v>
      </c>
      <c r="I39" s="19">
        <f t="shared" ref="I39:I46" si="18">SUM(C39:F39)</f>
        <v>2119</v>
      </c>
      <c r="J39" s="20">
        <f>+(C39*C$36)+(D39*D$37)+(E39*E$36)+(F39*F$36)+(G39*G$36)+(H39*H$36)</f>
        <v>4209.75</v>
      </c>
      <c r="K39" s="21">
        <v>7.9000000000000001E-2</v>
      </c>
      <c r="L39" s="20">
        <f t="shared" si="15"/>
        <v>332.57024999999999</v>
      </c>
      <c r="M39" s="22">
        <f t="shared" si="16"/>
        <v>4542.3202499999998</v>
      </c>
      <c r="N39" s="19">
        <f t="shared" si="17"/>
        <v>2627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1858</v>
      </c>
      <c r="E40" s="17">
        <v>679</v>
      </c>
      <c r="F40" s="17">
        <v>1378</v>
      </c>
      <c r="G40" s="17">
        <v>4</v>
      </c>
      <c r="H40" s="18">
        <v>12</v>
      </c>
      <c r="I40" s="19">
        <f t="shared" si="18"/>
        <v>3917</v>
      </c>
      <c r="J40" s="20">
        <f>+(C40*C$36)+(D40*D$36)+(E40*E$36)+(F40*F$36)+(G40*G$36)+(H40*H$36)</f>
        <v>4358.1000000000004</v>
      </c>
      <c r="K40" s="21">
        <v>8.2000000000000003E-2</v>
      </c>
      <c r="L40" s="20">
        <f t="shared" si="15"/>
        <v>357.36420000000004</v>
      </c>
      <c r="M40" s="22">
        <f t="shared" si="16"/>
        <v>4715.4642000000003</v>
      </c>
      <c r="N40" s="19">
        <f t="shared" si="17"/>
        <v>3933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28</v>
      </c>
      <c r="E41" s="17">
        <v>2030</v>
      </c>
      <c r="F41" s="17">
        <v>11</v>
      </c>
      <c r="G41" s="17">
        <v>1</v>
      </c>
      <c r="H41" s="18">
        <v>44</v>
      </c>
      <c r="I41" s="19">
        <f t="shared" si="18"/>
        <v>2069</v>
      </c>
      <c r="J41" s="20">
        <f>+(C41*C$36)+(D41*D$36)+(E41*E$36)+(F41*F$36)+(G41*G$36)+(H41*H$36)</f>
        <v>2419.4500000000003</v>
      </c>
      <c r="K41" s="21">
        <v>8.1000000000000003E-2</v>
      </c>
      <c r="L41" s="20">
        <f t="shared" si="15"/>
        <v>195.97545000000002</v>
      </c>
      <c r="M41" s="22">
        <f t="shared" si="16"/>
        <v>2615.4254500000002</v>
      </c>
      <c r="N41" s="19">
        <f t="shared" si="17"/>
        <v>2114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505</v>
      </c>
      <c r="E42" s="17">
        <v>598</v>
      </c>
      <c r="F42" s="17">
        <v>548</v>
      </c>
      <c r="G42" s="17">
        <v>3</v>
      </c>
      <c r="H42" s="18">
        <v>3</v>
      </c>
      <c r="I42" s="19">
        <f t="shared" si="18"/>
        <v>1651</v>
      </c>
      <c r="J42" s="20">
        <f>+(C42*C$36)+(D42*D$36)+(E42*E$36)+(G42*G$36)+(H42*H$36)+(F42*F$36)</f>
        <v>1833.9500000000003</v>
      </c>
      <c r="K42" s="21">
        <v>7.9000000000000001E-2</v>
      </c>
      <c r="L42" s="20">
        <f t="shared" si="15"/>
        <v>144.88205000000002</v>
      </c>
      <c r="M42" s="22">
        <f t="shared" si="16"/>
        <v>1978.8320500000002</v>
      </c>
      <c r="N42" s="19">
        <f t="shared" si="17"/>
        <v>1657</v>
      </c>
    </row>
    <row r="43" spans="1:14" x14ac:dyDescent="0.25">
      <c r="A43" s="16" t="s">
        <v>54</v>
      </c>
      <c r="B43" t="s">
        <v>55</v>
      </c>
      <c r="C43" s="17">
        <v>83</v>
      </c>
      <c r="D43" s="17">
        <v>346</v>
      </c>
      <c r="E43" s="17">
        <v>609</v>
      </c>
      <c r="F43" s="17">
        <v>0</v>
      </c>
      <c r="G43" s="17">
        <v>0</v>
      </c>
      <c r="H43" s="18">
        <v>23</v>
      </c>
      <c r="I43" s="19">
        <f t="shared" ref="I43" si="19">SUM(C43:F43)</f>
        <v>1038</v>
      </c>
      <c r="J43" s="20">
        <f>+(C43*C$36)+(D43*D$36)+(E43*E$36)+(F43*F$36)+(G43*G$36)+(H43*H$36)</f>
        <v>1215.4000000000001</v>
      </c>
      <c r="K43" s="21">
        <v>7.9000000000000001E-2</v>
      </c>
      <c r="L43" s="20">
        <f t="shared" si="15"/>
        <v>96.016600000000011</v>
      </c>
      <c r="M43" s="22">
        <f t="shared" si="16"/>
        <v>1311.4166</v>
      </c>
      <c r="N43" s="19">
        <f t="shared" si="17"/>
        <v>1061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8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5"/>
        <v>0</v>
      </c>
      <c r="M44" s="22">
        <f t="shared" si="16"/>
        <v>0</v>
      </c>
      <c r="N44" s="19">
        <f t="shared" si="17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8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5"/>
        <v>0.34760000000000002</v>
      </c>
      <c r="M45" s="22">
        <f t="shared" si="16"/>
        <v>4.7476000000000003</v>
      </c>
      <c r="N45" s="19">
        <f t="shared" si="17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2</v>
      </c>
      <c r="I46" s="19">
        <f t="shared" si="18"/>
        <v>4</v>
      </c>
      <c r="J46" s="20">
        <f>+(C46*C$36)+(D46*D$36)+(E46*E$36)+(G46*G$36)+(H46*H$36)+(F46*F$36)</f>
        <v>13.55</v>
      </c>
      <c r="K46" s="21">
        <v>7.9000000000000001E-2</v>
      </c>
      <c r="L46" s="20">
        <f t="shared" si="15"/>
        <v>1.0704500000000001</v>
      </c>
      <c r="M46" s="22">
        <f t="shared" si="16"/>
        <v>14.620450000000002</v>
      </c>
      <c r="N46" s="19">
        <f t="shared" si="17"/>
        <v>7</v>
      </c>
    </row>
    <row r="47" spans="1:14" x14ac:dyDescent="0.25">
      <c r="A47" s="16"/>
      <c r="B47" s="37" t="s">
        <v>61</v>
      </c>
      <c r="C47" s="26">
        <f t="shared" ref="C47:J47" si="20">SUM(C38:C46)</f>
        <v>262</v>
      </c>
      <c r="D47" s="26">
        <f t="shared" si="20"/>
        <v>3391</v>
      </c>
      <c r="E47" s="26">
        <f t="shared" si="20"/>
        <v>5220</v>
      </c>
      <c r="F47" s="26">
        <f t="shared" si="20"/>
        <v>1937</v>
      </c>
      <c r="G47" s="26">
        <f t="shared" si="20"/>
        <v>38</v>
      </c>
      <c r="H47" s="26">
        <f t="shared" si="20"/>
        <v>672</v>
      </c>
      <c r="I47" s="26">
        <f>SUM(I38:I46)</f>
        <v>10810</v>
      </c>
      <c r="J47" s="43">
        <f t="shared" si="20"/>
        <v>14405.900000000001</v>
      </c>
      <c r="K47" s="2"/>
      <c r="L47" s="44">
        <f>SUM(L38:L46)</f>
        <v>1155.9793</v>
      </c>
      <c r="M47" s="44">
        <f>SUM(M38:M46)</f>
        <v>15561.879300000002</v>
      </c>
      <c r="N47" s="26">
        <f t="shared" si="17"/>
        <v>11520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177</v>
      </c>
      <c r="D52" s="17">
        <v>1191</v>
      </c>
      <c r="E52" s="17">
        <v>2581</v>
      </c>
      <c r="F52" s="45">
        <v>0</v>
      </c>
      <c r="G52" s="17">
        <v>1</v>
      </c>
      <c r="H52" s="18">
        <v>196</v>
      </c>
      <c r="I52" s="19">
        <f t="shared" ref="I52:I57" si="21">SUM(C52:F52)</f>
        <v>3949</v>
      </c>
      <c r="J52" s="20">
        <f>+(C52*C$50)+(D52*D$50)+(E52*E$50)+(G52*G$50)+(H52*H$50)+(F52*F$51)</f>
        <v>6482.65</v>
      </c>
      <c r="K52" s="21">
        <v>8.1000000000000003E-2</v>
      </c>
      <c r="L52" s="20">
        <f t="shared" ref="L52:L57" si="22">+J52*K52</f>
        <v>525.09465</v>
      </c>
      <c r="M52" s="22">
        <f t="shared" ref="M52:M57" si="23">+J52+L52</f>
        <v>7007.7446499999996</v>
      </c>
      <c r="N52" s="19">
        <f t="shared" ref="N52:N58" si="24">+I52+H52+G52</f>
        <v>4146</v>
      </c>
    </row>
    <row r="53" spans="1:14" x14ac:dyDescent="0.25">
      <c r="A53" s="16" t="s">
        <v>65</v>
      </c>
      <c r="B53" t="s">
        <v>66</v>
      </c>
      <c r="C53" s="17">
        <v>7</v>
      </c>
      <c r="D53" s="17">
        <v>87</v>
      </c>
      <c r="E53" s="17">
        <v>204</v>
      </c>
      <c r="F53" s="17">
        <v>0</v>
      </c>
      <c r="G53" s="17">
        <v>0</v>
      </c>
      <c r="H53" s="18">
        <v>73</v>
      </c>
      <c r="I53" s="19">
        <f t="shared" si="21"/>
        <v>298</v>
      </c>
      <c r="J53" s="20">
        <f>+(C53*C$50)+(D53*D$50)+(E53*E$50)+(G53*G$50)+(H53*H$50)+(F53*F$51)</f>
        <v>677.8</v>
      </c>
      <c r="K53" s="21">
        <v>8.1000000000000003E-2</v>
      </c>
      <c r="L53" s="20">
        <f t="shared" si="22"/>
        <v>54.901800000000001</v>
      </c>
      <c r="M53" s="22">
        <f t="shared" si="23"/>
        <v>732.70179999999993</v>
      </c>
      <c r="N53" s="19">
        <f t="shared" si="24"/>
        <v>371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21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22"/>
        <v>0</v>
      </c>
      <c r="M54" s="22">
        <f t="shared" si="23"/>
        <v>0</v>
      </c>
      <c r="N54" s="19">
        <f t="shared" si="24"/>
        <v>0</v>
      </c>
    </row>
    <row r="55" spans="1:14" x14ac:dyDescent="0.25">
      <c r="A55" s="16" t="s">
        <v>68</v>
      </c>
      <c r="B55" t="s">
        <v>69</v>
      </c>
      <c r="C55" s="17">
        <v>251</v>
      </c>
      <c r="D55" s="17">
        <v>1425</v>
      </c>
      <c r="E55" s="17">
        <v>1320</v>
      </c>
      <c r="F55" s="45">
        <v>686</v>
      </c>
      <c r="G55" s="17">
        <v>0</v>
      </c>
      <c r="H55" s="18">
        <v>16</v>
      </c>
      <c r="I55" s="19">
        <f t="shared" si="21"/>
        <v>3682</v>
      </c>
      <c r="J55" s="20">
        <f>+(C55*C$50)+(D55*D$50)+(E55*E$50)+(G55*G$50)+(H55*H$50)+(F55*F$51)</f>
        <v>5473.8</v>
      </c>
      <c r="K55" s="21">
        <v>8.6999999999999994E-2</v>
      </c>
      <c r="L55" s="20">
        <f t="shared" si="22"/>
        <v>476.22059999999999</v>
      </c>
      <c r="M55" s="22">
        <f t="shared" si="23"/>
        <v>5950.0205999999998</v>
      </c>
      <c r="N55" s="19">
        <f t="shared" si="24"/>
        <v>3698</v>
      </c>
    </row>
    <row r="56" spans="1:14" x14ac:dyDescent="0.25">
      <c r="A56" s="16" t="s">
        <v>70</v>
      </c>
      <c r="B56" t="s">
        <v>71</v>
      </c>
      <c r="C56" s="17">
        <v>30</v>
      </c>
      <c r="D56" s="17">
        <v>115</v>
      </c>
      <c r="E56" s="17">
        <v>297</v>
      </c>
      <c r="F56" s="17">
        <v>1</v>
      </c>
      <c r="G56" s="17">
        <v>0</v>
      </c>
      <c r="H56" s="18">
        <v>2</v>
      </c>
      <c r="I56" s="19">
        <f t="shared" si="21"/>
        <v>443</v>
      </c>
      <c r="J56" s="20">
        <f>+(C56*C$50)+(D56*D$50)+(E56*E$50)+(G56*G$50)+(H56*H$50)+(F56*F$51)</f>
        <v>658.9</v>
      </c>
      <c r="K56" s="21">
        <v>8.8999999999999996E-2</v>
      </c>
      <c r="L56" s="20">
        <f t="shared" si="22"/>
        <v>58.642099999999992</v>
      </c>
      <c r="M56" s="22">
        <f t="shared" si="23"/>
        <v>717.5421</v>
      </c>
      <c r="N56" s="19">
        <f t="shared" si="24"/>
        <v>445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9845</v>
      </c>
      <c r="G57" s="17">
        <v>0</v>
      </c>
      <c r="H57" s="18">
        <v>0</v>
      </c>
      <c r="I57" s="19">
        <f t="shared" si="21"/>
        <v>9846</v>
      </c>
      <c r="J57" s="20">
        <f>+(C57*C$50)+(D57*D$50)+(E57*E$50)+(G57*G$50)+(H57*H$50)+(F57*F$50)</f>
        <v>6893</v>
      </c>
      <c r="K57" s="21">
        <v>8.8999999999999996E-2</v>
      </c>
      <c r="L57" s="20">
        <f t="shared" si="22"/>
        <v>613.47699999999998</v>
      </c>
      <c r="M57" s="22">
        <f t="shared" si="23"/>
        <v>7506.4769999999999</v>
      </c>
      <c r="N57" s="19">
        <f t="shared" si="24"/>
        <v>9846</v>
      </c>
    </row>
    <row r="58" spans="1:14" x14ac:dyDescent="0.25">
      <c r="A58" s="16"/>
      <c r="B58" s="37" t="s">
        <v>73</v>
      </c>
      <c r="C58" s="26">
        <f>SUM(C52:C57)</f>
        <v>465</v>
      </c>
      <c r="D58" s="26">
        <f t="shared" ref="D58:G58" si="25">SUM(D52:D57)</f>
        <v>2819</v>
      </c>
      <c r="E58" s="26">
        <f t="shared" si="25"/>
        <v>4402</v>
      </c>
      <c r="F58" s="26">
        <f t="shared" si="25"/>
        <v>10532</v>
      </c>
      <c r="G58" s="26">
        <f t="shared" si="25"/>
        <v>1</v>
      </c>
      <c r="H58" s="26">
        <f>SUM(H52:H57)</f>
        <v>287</v>
      </c>
      <c r="I58" s="26">
        <f>SUM(I52:I57)</f>
        <v>18218</v>
      </c>
      <c r="J58" s="43">
        <f>SUM(J52:J57)</f>
        <v>20186.150000000001</v>
      </c>
      <c r="K58" s="2"/>
      <c r="L58" s="44">
        <f>SUM(L52:L57)</f>
        <v>1728.3361500000001</v>
      </c>
      <c r="M58" s="44">
        <f>SUM(M52:M57)</f>
        <v>21914.486150000001</v>
      </c>
      <c r="N58" s="26">
        <f t="shared" si="24"/>
        <v>18506</v>
      </c>
    </row>
    <row r="60" spans="1:14" x14ac:dyDescent="0.25">
      <c r="B60" s="46" t="s">
        <v>74</v>
      </c>
      <c r="C60" s="33">
        <f t="shared" ref="C60:G60" si="26">+C25+C32+C47+C58</f>
        <v>755</v>
      </c>
      <c r="D60" s="33">
        <f t="shared" si="26"/>
        <v>7429</v>
      </c>
      <c r="E60" s="33">
        <f t="shared" si="26"/>
        <v>55962</v>
      </c>
      <c r="F60" s="33">
        <f t="shared" si="26"/>
        <v>12469</v>
      </c>
      <c r="G60" s="33">
        <f t="shared" si="26"/>
        <v>39</v>
      </c>
      <c r="H60" s="33">
        <f>+H25+H32+H47+H58</f>
        <v>1105</v>
      </c>
      <c r="I60" s="33">
        <f>+I25+I32+I47+I58</f>
        <v>76615</v>
      </c>
      <c r="J60" s="35">
        <f>+J25+J32+J47+J58</f>
        <v>106395.94999999998</v>
      </c>
      <c r="L60" s="15">
        <f>+L25+L32+L47+L58</f>
        <v>8948.8356499999991</v>
      </c>
      <c r="M60" s="15">
        <f>+M25+M32+M47+M58</f>
        <v>115344.78565000001</v>
      </c>
    </row>
    <row r="61" spans="1:14" x14ac:dyDescent="0.25">
      <c r="H61" t="s">
        <v>10</v>
      </c>
      <c r="I61" s="19"/>
    </row>
    <row r="62" spans="1:14" x14ac:dyDescent="0.25">
      <c r="H62" t="s">
        <v>75</v>
      </c>
      <c r="I62" s="17">
        <f>+[5]CanData!N1</f>
        <v>81774</v>
      </c>
    </row>
    <row r="63" spans="1:14" x14ac:dyDescent="0.25">
      <c r="H63" s="46" t="s">
        <v>76</v>
      </c>
      <c r="I63" s="19">
        <f>+I62-I61</f>
        <v>81774</v>
      </c>
    </row>
    <row r="64" spans="1:14" x14ac:dyDescent="0.25">
      <c r="E64" t="s">
        <v>77</v>
      </c>
      <c r="H64" s="46" t="s">
        <v>78</v>
      </c>
      <c r="I64" s="19">
        <f>+[5]CanData!P1</f>
        <v>3283</v>
      </c>
    </row>
    <row r="65" spans="8:10" x14ac:dyDescent="0.25">
      <c r="H65" s="46" t="s">
        <v>76</v>
      </c>
      <c r="I65" s="50">
        <f>+I63-I64</f>
        <v>78491</v>
      </c>
      <c r="J65" s="2" t="s">
        <v>80</v>
      </c>
    </row>
  </sheetData>
  <mergeCells count="1">
    <mergeCell ref="C5:H5"/>
  </mergeCells>
  <pageMargins left="0.2" right="0.2" top="0.25" bottom="0.25" header="0.3" footer="0.3"/>
  <pageSetup scale="75" orientation="portrait" r:id="rId1"/>
  <headerFooter>
    <oddHeader>&amp;RPrinted: &amp;D &amp;T</oddHeader>
    <oddFooter>&amp;C&amp;Z&amp;F&amp;RTab: 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workbookViewId="0">
      <selection activeCell="L26" sqref="L26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6" x14ac:dyDescent="0.25">
      <c r="B1" s="2" t="s">
        <v>0</v>
      </c>
    </row>
    <row r="2" spans="1:16" x14ac:dyDescent="0.25">
      <c r="B2" s="2" t="s">
        <v>1</v>
      </c>
    </row>
    <row r="3" spans="1:16" x14ac:dyDescent="0.25">
      <c r="B3" t="s">
        <v>2</v>
      </c>
    </row>
    <row r="4" spans="1:16" ht="15.75" thickBot="1" x14ac:dyDescent="0.3">
      <c r="B4" s="3" t="str">
        <f>+'[6]PT Rev JE 03'!A3</f>
        <v>Apr 2016</v>
      </c>
    </row>
    <row r="5" spans="1:16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6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6" x14ac:dyDescent="0.25">
      <c r="B7" s="13" t="s">
        <v>12</v>
      </c>
      <c r="H7" s="14">
        <v>2.9</v>
      </c>
      <c r="I7" s="15">
        <v>1.5</v>
      </c>
    </row>
    <row r="8" spans="1:16" x14ac:dyDescent="0.25">
      <c r="A8" s="16" t="s">
        <v>13</v>
      </c>
      <c r="B8" t="s">
        <v>14</v>
      </c>
      <c r="C8" s="17">
        <v>3</v>
      </c>
      <c r="D8" s="17">
        <v>138</v>
      </c>
      <c r="E8" s="17">
        <v>852</v>
      </c>
      <c r="F8" s="17">
        <v>0</v>
      </c>
      <c r="G8" s="17">
        <v>0</v>
      </c>
      <c r="H8" s="18">
        <v>3</v>
      </c>
      <c r="I8" s="19">
        <f>SUM(C8:E8)</f>
        <v>993</v>
      </c>
      <c r="J8" s="20">
        <f>+(H8*H$7)+(I8*I$7)</f>
        <v>1498.2</v>
      </c>
      <c r="K8" s="21">
        <v>0.08</v>
      </c>
      <c r="L8" s="20">
        <f>+J8*K8</f>
        <v>119.85600000000001</v>
      </c>
      <c r="M8" s="22">
        <f>+J8+L8</f>
        <v>1618.056</v>
      </c>
      <c r="N8" s="19">
        <f>+I8+H8+G8</f>
        <v>996</v>
      </c>
    </row>
    <row r="9" spans="1:16" x14ac:dyDescent="0.25">
      <c r="A9" s="16" t="s">
        <v>15</v>
      </c>
      <c r="B9" s="4" t="s">
        <v>16</v>
      </c>
      <c r="C9" s="17">
        <v>9</v>
      </c>
      <c r="D9" s="17">
        <v>425</v>
      </c>
      <c r="E9" s="17">
        <v>2620</v>
      </c>
      <c r="F9" s="17">
        <v>0</v>
      </c>
      <c r="G9" s="17">
        <v>0</v>
      </c>
      <c r="H9" s="18">
        <v>36</v>
      </c>
      <c r="I9" s="19">
        <f>SUM(C9:E9)</f>
        <v>3054</v>
      </c>
      <c r="J9" s="20">
        <f>+(H9*H$7)+(I9*I$7)</f>
        <v>4685.3999999999996</v>
      </c>
      <c r="K9" s="21">
        <v>0.08</v>
      </c>
      <c r="L9" s="20">
        <f>+J9*K9</f>
        <v>374.83199999999999</v>
      </c>
      <c r="M9" s="22">
        <f>+J9+L9</f>
        <v>5060.232</v>
      </c>
      <c r="N9" s="19">
        <f>+I9+H9+G9</f>
        <v>3090</v>
      </c>
    </row>
    <row r="10" spans="1:16" x14ac:dyDescent="0.25">
      <c r="A10" s="16" t="s">
        <v>17</v>
      </c>
      <c r="B10" s="4" t="s">
        <v>18</v>
      </c>
      <c r="C10" s="17">
        <v>3</v>
      </c>
      <c r="D10" s="17">
        <v>154</v>
      </c>
      <c r="E10" s="17">
        <v>1237</v>
      </c>
      <c r="F10" s="17">
        <v>0</v>
      </c>
      <c r="G10" s="17">
        <v>0</v>
      </c>
      <c r="H10" s="18">
        <v>7</v>
      </c>
      <c r="I10" s="19">
        <f>SUM(C10:E10)</f>
        <v>1394</v>
      </c>
      <c r="J10" s="20">
        <f>+(H10*H$7)+(I10*I$7)</f>
        <v>2111.3000000000002</v>
      </c>
      <c r="K10" s="21">
        <v>8.1000000000000003E-2</v>
      </c>
      <c r="L10" s="20">
        <f>+J10*K10</f>
        <v>171.01530000000002</v>
      </c>
      <c r="M10" s="22">
        <f>+J10+L10</f>
        <v>2282.3153000000002</v>
      </c>
      <c r="N10" s="19">
        <f>+I10+H10+G10</f>
        <v>1401</v>
      </c>
    </row>
    <row r="11" spans="1:16" x14ac:dyDescent="0.25">
      <c r="C11" s="23">
        <v>15</v>
      </c>
      <c r="D11" s="23">
        <v>717</v>
      </c>
      <c r="E11" s="23">
        <v>4709</v>
      </c>
      <c r="F11" s="23">
        <v>0</v>
      </c>
      <c r="G11" s="23">
        <v>0</v>
      </c>
      <c r="H11" s="24">
        <v>46</v>
      </c>
      <c r="I11" s="23">
        <f>SUM(I8:I10)</f>
        <v>5441</v>
      </c>
      <c r="J11" s="25">
        <f t="shared" ref="J11" si="0">SUM(J8:J10)</f>
        <v>8294.9</v>
      </c>
      <c r="K11" s="21"/>
      <c r="L11" s="25">
        <f>SUM(L8:L10)</f>
        <v>665.70330000000001</v>
      </c>
      <c r="M11" s="25">
        <f>SUM(M8:M10)</f>
        <v>8960.6033000000007</v>
      </c>
      <c r="N11" s="26">
        <f>+I11+H11+G11</f>
        <v>5487</v>
      </c>
    </row>
    <row r="12" spans="1:16" x14ac:dyDescent="0.25">
      <c r="H12" s="27"/>
      <c r="K12" s="21"/>
    </row>
    <row r="13" spans="1:16" x14ac:dyDescent="0.25">
      <c r="A13" s="16" t="s">
        <v>19</v>
      </c>
      <c r="B13" s="4" t="s">
        <v>20</v>
      </c>
      <c r="C13" s="17">
        <v>2</v>
      </c>
      <c r="D13" s="17">
        <v>120</v>
      </c>
      <c r="E13" s="17">
        <v>24092</v>
      </c>
      <c r="F13" s="17">
        <v>0</v>
      </c>
      <c r="G13" s="17">
        <v>0</v>
      </c>
      <c r="H13" s="18">
        <v>0</v>
      </c>
      <c r="I13" s="19">
        <f t="shared" ref="I13:I22" si="1">SUM(C13:E13)</f>
        <v>24214</v>
      </c>
      <c r="J13" s="20">
        <f t="shared" ref="J13:J21" si="2">+(H13*H$7)+(I13*I$7)</f>
        <v>36321</v>
      </c>
      <c r="K13" s="21">
        <v>8.5999999999999993E-2</v>
      </c>
      <c r="L13" s="20">
        <f t="shared" ref="L13:L21" si="3">+J13*K13</f>
        <v>3123.6059999999998</v>
      </c>
      <c r="M13" s="22">
        <f t="shared" ref="M13:M21" si="4">+J13+L13</f>
        <v>39444.606</v>
      </c>
      <c r="N13" s="19">
        <f t="shared" ref="N13:N21" si="5">+I13+H13+G13</f>
        <v>24214</v>
      </c>
      <c r="P13" s="17">
        <f>549+183</f>
        <v>732</v>
      </c>
    </row>
    <row r="14" spans="1:16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95</v>
      </c>
      <c r="F14" s="17">
        <v>0</v>
      </c>
      <c r="G14" s="17">
        <v>0</v>
      </c>
      <c r="H14" s="18">
        <v>0</v>
      </c>
      <c r="I14" s="19">
        <f t="shared" si="1"/>
        <v>103</v>
      </c>
      <c r="J14" s="20">
        <f t="shared" si="2"/>
        <v>154.5</v>
      </c>
      <c r="K14" s="21">
        <v>8.5999999999999993E-2</v>
      </c>
      <c r="L14" s="20">
        <f t="shared" si="3"/>
        <v>13.286999999999999</v>
      </c>
      <c r="M14" s="22">
        <f t="shared" si="4"/>
        <v>167.78700000000001</v>
      </c>
      <c r="N14" s="19">
        <f t="shared" si="5"/>
        <v>103</v>
      </c>
    </row>
    <row r="15" spans="1:16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880</v>
      </c>
      <c r="F15" s="17">
        <v>0</v>
      </c>
      <c r="G15" s="17">
        <v>0</v>
      </c>
      <c r="H15" s="18">
        <v>5</v>
      </c>
      <c r="I15" s="19">
        <f t="shared" si="1"/>
        <v>880</v>
      </c>
      <c r="J15" s="20">
        <f>+(H15*H$7)+(I15*I$7)</f>
        <v>1334.5</v>
      </c>
      <c r="K15" s="21">
        <v>0.08</v>
      </c>
      <c r="L15" s="20">
        <f t="shared" si="3"/>
        <v>106.76</v>
      </c>
      <c r="M15" s="22">
        <f t="shared" si="4"/>
        <v>1441.26</v>
      </c>
      <c r="N15" s="19">
        <f t="shared" si="5"/>
        <v>885</v>
      </c>
    </row>
    <row r="16" spans="1:16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1131</v>
      </c>
      <c r="F16" s="17">
        <v>0</v>
      </c>
      <c r="G16" s="17">
        <v>0</v>
      </c>
      <c r="H16" s="18">
        <v>38</v>
      </c>
      <c r="I16" s="19">
        <f t="shared" si="1"/>
        <v>1132</v>
      </c>
      <c r="J16" s="20">
        <f t="shared" si="2"/>
        <v>1808.2</v>
      </c>
      <c r="K16" s="21">
        <v>8.1000000000000003E-2</v>
      </c>
      <c r="L16" s="20">
        <f t="shared" si="3"/>
        <v>146.46420000000001</v>
      </c>
      <c r="M16" s="22">
        <f t="shared" si="4"/>
        <v>1954.6642000000002</v>
      </c>
      <c r="N16" s="19">
        <f t="shared" si="5"/>
        <v>1170</v>
      </c>
    </row>
    <row r="17" spans="1:16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6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6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6" x14ac:dyDescent="0.25">
      <c r="A20" s="16" t="s">
        <v>32</v>
      </c>
      <c r="B20" s="28" t="s">
        <v>33</v>
      </c>
      <c r="C20" s="17">
        <v>0</v>
      </c>
      <c r="D20" s="17">
        <v>32</v>
      </c>
      <c r="E20" s="17">
        <v>2116</v>
      </c>
      <c r="F20" s="17">
        <v>0</v>
      </c>
      <c r="G20" s="17">
        <v>0</v>
      </c>
      <c r="H20" s="18">
        <v>2</v>
      </c>
      <c r="I20" s="19">
        <f t="shared" si="1"/>
        <v>2148</v>
      </c>
      <c r="J20" s="20">
        <f t="shared" si="2"/>
        <v>3227.8</v>
      </c>
      <c r="K20" s="21">
        <v>8.5999999999999993E-2</v>
      </c>
      <c r="L20" s="20">
        <f t="shared" si="3"/>
        <v>277.5908</v>
      </c>
      <c r="M20" s="22">
        <f t="shared" si="4"/>
        <v>3505.3908000000001</v>
      </c>
      <c r="N20" s="19">
        <f t="shared" si="5"/>
        <v>2150</v>
      </c>
    </row>
    <row r="21" spans="1:16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789</v>
      </c>
      <c r="F21" s="17">
        <v>0</v>
      </c>
      <c r="G21" s="17">
        <v>0</v>
      </c>
      <c r="H21" s="18">
        <v>8</v>
      </c>
      <c r="I21" s="19">
        <f t="shared" si="1"/>
        <v>789</v>
      </c>
      <c r="J21" s="20">
        <f t="shared" si="2"/>
        <v>1206.7</v>
      </c>
      <c r="K21" s="21">
        <v>8.2000000000000003E-2</v>
      </c>
      <c r="L21" s="20">
        <f t="shared" si="3"/>
        <v>98.949400000000011</v>
      </c>
      <c r="M21" s="22">
        <f t="shared" si="4"/>
        <v>1305.6494</v>
      </c>
      <c r="N21" s="19">
        <f t="shared" si="5"/>
        <v>797</v>
      </c>
    </row>
    <row r="22" spans="1:16" x14ac:dyDescent="0.25">
      <c r="A22" s="16"/>
      <c r="H22" s="27"/>
      <c r="I22" s="19">
        <f t="shared" si="1"/>
        <v>0</v>
      </c>
      <c r="K22" s="21"/>
    </row>
    <row r="23" spans="1:16" x14ac:dyDescent="0.25">
      <c r="A23" s="16"/>
      <c r="C23" s="29">
        <v>2</v>
      </c>
      <c r="D23" s="29">
        <v>162</v>
      </c>
      <c r="E23" s="29">
        <v>29359</v>
      </c>
      <c r="F23" s="29"/>
      <c r="G23" s="29">
        <v>0</v>
      </c>
      <c r="H23" s="30">
        <v>60</v>
      </c>
      <c r="I23" s="31">
        <f>SUM(I13:I22)</f>
        <v>29523</v>
      </c>
      <c r="J23" s="25">
        <f>SUM(J13:J22)</f>
        <v>44458.5</v>
      </c>
      <c r="K23" s="25"/>
      <c r="L23" s="25">
        <f>SUM(L13:L22)</f>
        <v>3798.9413999999992</v>
      </c>
      <c r="M23" s="25">
        <f>SUM(M13:M22)</f>
        <v>48257.441400000003</v>
      </c>
      <c r="N23" s="26">
        <f>+I23+H23+G23</f>
        <v>29583</v>
      </c>
    </row>
    <row r="24" spans="1:16" ht="9" customHeight="1" x14ac:dyDescent="0.25">
      <c r="A24" s="16"/>
      <c r="H24" s="27"/>
      <c r="K24" s="21"/>
    </row>
    <row r="25" spans="1:16" x14ac:dyDescent="0.25">
      <c r="A25" s="16"/>
      <c r="B25" s="32" t="s">
        <v>36</v>
      </c>
      <c r="C25" s="33">
        <v>17</v>
      </c>
      <c r="D25" s="33">
        <v>879</v>
      </c>
      <c r="E25" s="33">
        <v>34068</v>
      </c>
      <c r="F25" s="33"/>
      <c r="G25" s="33">
        <v>0</v>
      </c>
      <c r="H25" s="34">
        <v>106</v>
      </c>
      <c r="I25" s="33">
        <f>+I23+I11</f>
        <v>34964</v>
      </c>
      <c r="J25" s="35">
        <f>+J11+J23</f>
        <v>52753.4</v>
      </c>
      <c r="K25" s="36"/>
      <c r="L25" s="15">
        <f>+L11+L23</f>
        <v>4464.6446999999989</v>
      </c>
      <c r="M25" s="15">
        <f>+M11+M23</f>
        <v>57218.044700000006</v>
      </c>
      <c r="N25" s="19">
        <f>+N11+N23</f>
        <v>35070</v>
      </c>
      <c r="O25" s="17">
        <f>+GETPIVOTDATA("CanCount",[6]Old_Can_Sort!$A$4,"CompanyDivision","BDI")</f>
        <v>35490</v>
      </c>
      <c r="P25" s="19">
        <f>+O25-N25</f>
        <v>420</v>
      </c>
    </row>
    <row r="26" spans="1:16" x14ac:dyDescent="0.25">
      <c r="A26" s="16"/>
    </row>
    <row r="27" spans="1:16" x14ac:dyDescent="0.25">
      <c r="A27" s="16"/>
      <c r="B27" s="32" t="s">
        <v>37</v>
      </c>
    </row>
    <row r="28" spans="1:16" x14ac:dyDescent="0.25">
      <c r="A28" s="16" t="s">
        <v>13</v>
      </c>
      <c r="B28" t="s">
        <v>38</v>
      </c>
      <c r="C28" s="17">
        <v>1</v>
      </c>
      <c r="D28" s="17">
        <v>270</v>
      </c>
      <c r="E28" s="17">
        <v>3897</v>
      </c>
      <c r="F28" s="17">
        <v>0</v>
      </c>
      <c r="G28" s="17">
        <v>0</v>
      </c>
      <c r="H28" s="18">
        <v>38</v>
      </c>
      <c r="I28" s="19">
        <f t="shared" ref="I28" si="6">SUM(C28:E28)</f>
        <v>4168</v>
      </c>
      <c r="J28" s="20">
        <f t="shared" ref="J28" si="7">+(H28*H$7)+(I28*I$7)</f>
        <v>6362.2</v>
      </c>
      <c r="K28" s="21">
        <v>0.08</v>
      </c>
      <c r="L28" s="20">
        <f t="shared" ref="L28:L31" si="8">+J28*K28</f>
        <v>508.976</v>
      </c>
      <c r="M28" s="22">
        <f t="shared" ref="M28:M31" si="9">+J28+L28</f>
        <v>6871.1759999999995</v>
      </c>
      <c r="N28" s="19">
        <f t="shared" ref="N28:N32" si="10">+I28+H28+G28</f>
        <v>4206</v>
      </c>
    </row>
    <row r="29" spans="1:16" x14ac:dyDescent="0.25">
      <c r="A29" s="16">
        <v>12</v>
      </c>
      <c r="B29" t="s">
        <v>39</v>
      </c>
      <c r="C29" s="17">
        <v>0</v>
      </c>
      <c r="D29" s="17">
        <v>1</v>
      </c>
      <c r="E29" s="17">
        <v>111</v>
      </c>
      <c r="F29" s="17">
        <v>0</v>
      </c>
      <c r="G29" s="17">
        <v>0</v>
      </c>
      <c r="H29" s="18">
        <v>0</v>
      </c>
      <c r="I29" s="19">
        <f t="shared" ref="I29:I31" si="11">SUM(C29:E29)</f>
        <v>112</v>
      </c>
      <c r="J29" s="20">
        <f>+(H29*H$7)+(I29*I$7)</f>
        <v>168</v>
      </c>
      <c r="K29" s="21">
        <v>8.5999999999999993E-2</v>
      </c>
      <c r="L29" s="20">
        <f t="shared" si="8"/>
        <v>14.447999999999999</v>
      </c>
      <c r="M29" s="22">
        <f t="shared" si="9"/>
        <v>182.44800000000001</v>
      </c>
      <c r="N29" s="19">
        <f t="shared" si="10"/>
        <v>112</v>
      </c>
    </row>
    <row r="30" spans="1:16" x14ac:dyDescent="0.25">
      <c r="A30" s="16">
        <v>14</v>
      </c>
      <c r="B30" t="s">
        <v>40</v>
      </c>
      <c r="C30" s="17">
        <v>0</v>
      </c>
      <c r="D30" s="17">
        <v>14</v>
      </c>
      <c r="E30" s="17">
        <v>1181</v>
      </c>
      <c r="F30" s="17">
        <v>0</v>
      </c>
      <c r="G30" s="17">
        <v>0</v>
      </c>
      <c r="H30" s="18">
        <v>0</v>
      </c>
      <c r="I30" s="19">
        <f t="shared" si="11"/>
        <v>1195</v>
      </c>
      <c r="J30" s="20">
        <f>+(H30*H$7)+(I30*I$7)</f>
        <v>1792.5</v>
      </c>
      <c r="K30" s="21">
        <v>8.5999999999999993E-2</v>
      </c>
      <c r="L30" s="20">
        <f t="shared" si="8"/>
        <v>154.155</v>
      </c>
      <c r="M30" s="22">
        <f t="shared" si="9"/>
        <v>1946.655</v>
      </c>
      <c r="N30" s="19">
        <f t="shared" si="10"/>
        <v>1195</v>
      </c>
    </row>
    <row r="31" spans="1:16" x14ac:dyDescent="0.25">
      <c r="A31" s="16">
        <v>13</v>
      </c>
      <c r="B31" t="s">
        <v>41</v>
      </c>
      <c r="C31" s="17">
        <v>0</v>
      </c>
      <c r="D31" s="17">
        <v>58</v>
      </c>
      <c r="E31" s="17">
        <v>7003</v>
      </c>
      <c r="F31" s="17">
        <v>0</v>
      </c>
      <c r="G31" s="17">
        <v>0</v>
      </c>
      <c r="H31" s="18">
        <v>0</v>
      </c>
      <c r="I31" s="19">
        <f t="shared" si="11"/>
        <v>7061</v>
      </c>
      <c r="J31" s="20">
        <f>+(H31*H$7)+(I31*I$7)</f>
        <v>10591.5</v>
      </c>
      <c r="K31" s="21">
        <v>8.5999999999999993E-2</v>
      </c>
      <c r="L31" s="20">
        <f t="shared" si="8"/>
        <v>910.86899999999991</v>
      </c>
      <c r="M31" s="22">
        <f t="shared" si="9"/>
        <v>11502.369000000001</v>
      </c>
      <c r="N31" s="19">
        <f t="shared" si="10"/>
        <v>7061</v>
      </c>
    </row>
    <row r="32" spans="1:16" x14ac:dyDescent="0.25">
      <c r="A32" s="16"/>
      <c r="B32" s="37" t="s">
        <v>42</v>
      </c>
      <c r="C32" s="26">
        <v>1</v>
      </c>
      <c r="D32" s="26">
        <v>343</v>
      </c>
      <c r="E32" s="26">
        <v>12192</v>
      </c>
      <c r="F32" s="26"/>
      <c r="G32" s="26">
        <v>0</v>
      </c>
      <c r="H32" s="26">
        <v>38</v>
      </c>
      <c r="I32" s="26">
        <f>SUM(I28:I31)</f>
        <v>12536</v>
      </c>
      <c r="J32" s="38">
        <f>SUM(J28:J31)</f>
        <v>18914.2</v>
      </c>
      <c r="K32" s="2"/>
      <c r="L32" s="39">
        <f>SUM(L28:L31)</f>
        <v>1588.4479999999999</v>
      </c>
      <c r="M32" s="39">
        <f>SUM(M28:M31)</f>
        <v>20502.648000000001</v>
      </c>
      <c r="N32" s="26">
        <f t="shared" si="10"/>
        <v>12574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0</v>
      </c>
      <c r="E38" s="17">
        <v>5</v>
      </c>
      <c r="F38" s="17">
        <v>0</v>
      </c>
      <c r="G38" s="17">
        <v>15</v>
      </c>
      <c r="H38" s="18">
        <v>97</v>
      </c>
      <c r="I38" s="19">
        <f>SUM(C38:F38)</f>
        <v>5</v>
      </c>
      <c r="J38" s="20">
        <f>+(C38*C$36)+(D38*D$37)+(E38*E$36)+(F38*F$36)+(G38*G$36)+(H38*H$36)</f>
        <v>357.15000000000003</v>
      </c>
      <c r="K38" s="21">
        <v>7.9000000000000001E-2</v>
      </c>
      <c r="L38" s="20">
        <f t="shared" ref="L38:L46" si="12">+J38*K38</f>
        <v>28.214850000000002</v>
      </c>
      <c r="M38" s="22">
        <f t="shared" ref="M38:M46" si="13">+J38+L38</f>
        <v>385.36485000000005</v>
      </c>
      <c r="N38" s="19">
        <f t="shared" ref="N38:N47" si="14">+I38+H38+G38</f>
        <v>117</v>
      </c>
    </row>
    <row r="39" spans="1:14" x14ac:dyDescent="0.25">
      <c r="A39" s="16" t="s">
        <v>45</v>
      </c>
      <c r="B39" s="42" t="s">
        <v>47</v>
      </c>
      <c r="C39" s="17">
        <v>173</v>
      </c>
      <c r="D39" s="17">
        <v>655</v>
      </c>
      <c r="E39" s="17">
        <v>1283</v>
      </c>
      <c r="F39" s="17">
        <v>0</v>
      </c>
      <c r="G39" s="17">
        <v>16</v>
      </c>
      <c r="H39" s="18">
        <v>487</v>
      </c>
      <c r="I39" s="19">
        <f t="shared" ref="I39:I46" si="15">SUM(C39:F39)</f>
        <v>2111</v>
      </c>
      <c r="J39" s="20">
        <f>+(C39*C$36)+(D39*D$37)+(E39*E$36)+(F39*F$36)+(G39*G$36)+(H39*H$36)</f>
        <v>4186.5</v>
      </c>
      <c r="K39" s="21">
        <v>7.9000000000000001E-2</v>
      </c>
      <c r="L39" s="20">
        <f t="shared" si="12"/>
        <v>330.73349999999999</v>
      </c>
      <c r="M39" s="22">
        <f t="shared" si="13"/>
        <v>4517.2335000000003</v>
      </c>
      <c r="N39" s="19">
        <f t="shared" si="14"/>
        <v>2614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1853</v>
      </c>
      <c r="E40" s="17">
        <v>674</v>
      </c>
      <c r="F40" s="17">
        <v>1371</v>
      </c>
      <c r="G40" s="17">
        <v>4</v>
      </c>
      <c r="H40" s="18">
        <v>13</v>
      </c>
      <c r="I40" s="19">
        <f t="shared" si="15"/>
        <v>3900</v>
      </c>
      <c r="J40" s="20">
        <f>+(C40*C$36)+(D40*D$36)+(E40*E$36)+(F40*F$36)+(G40*G$36)+(H40*H$36)</f>
        <v>4342.6000000000013</v>
      </c>
      <c r="K40" s="21">
        <v>8.2000000000000003E-2</v>
      </c>
      <c r="L40" s="20">
        <f t="shared" si="12"/>
        <v>356.09320000000014</v>
      </c>
      <c r="M40" s="22">
        <f t="shared" si="13"/>
        <v>4698.6932000000015</v>
      </c>
      <c r="N40" s="19">
        <f t="shared" si="14"/>
        <v>3917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28</v>
      </c>
      <c r="E41" s="17">
        <v>2028</v>
      </c>
      <c r="F41" s="17">
        <v>10</v>
      </c>
      <c r="G41" s="17">
        <v>1</v>
      </c>
      <c r="H41" s="18">
        <v>44</v>
      </c>
      <c r="I41" s="19">
        <f t="shared" si="15"/>
        <v>2066</v>
      </c>
      <c r="J41" s="20">
        <f>+(C41*C$36)+(D41*D$36)+(E41*E$36)+(F41*F$36)+(G41*G$36)+(H41*H$36)</f>
        <v>2416.1500000000005</v>
      </c>
      <c r="K41" s="21">
        <v>8.1000000000000003E-2</v>
      </c>
      <c r="L41" s="20">
        <f t="shared" si="12"/>
        <v>195.70815000000005</v>
      </c>
      <c r="M41" s="22">
        <f t="shared" si="13"/>
        <v>2611.8581500000005</v>
      </c>
      <c r="N41" s="19">
        <f t="shared" si="14"/>
        <v>2111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506</v>
      </c>
      <c r="E42" s="17">
        <v>600</v>
      </c>
      <c r="F42" s="17">
        <v>540</v>
      </c>
      <c r="G42" s="17">
        <v>3</v>
      </c>
      <c r="H42" s="18">
        <v>3</v>
      </c>
      <c r="I42" s="19">
        <f t="shared" si="15"/>
        <v>1646</v>
      </c>
      <c r="J42" s="20">
        <f>+(C42*C$36)+(D42*D$36)+(E42*E$36)+(G42*G$36)+(H42*H$36)+(F42*F$36)</f>
        <v>1828.4499999999998</v>
      </c>
      <c r="K42" s="21">
        <v>7.9000000000000001E-2</v>
      </c>
      <c r="L42" s="20">
        <f t="shared" si="12"/>
        <v>144.44754999999998</v>
      </c>
      <c r="M42" s="22">
        <f t="shared" si="13"/>
        <v>1972.8975499999997</v>
      </c>
      <c r="N42" s="19">
        <f t="shared" si="14"/>
        <v>1652</v>
      </c>
    </row>
    <row r="43" spans="1:14" x14ac:dyDescent="0.25">
      <c r="A43" s="16" t="s">
        <v>54</v>
      </c>
      <c r="B43" t="s">
        <v>55</v>
      </c>
      <c r="C43" s="17">
        <v>86</v>
      </c>
      <c r="D43" s="17">
        <v>347</v>
      </c>
      <c r="E43" s="17">
        <v>604</v>
      </c>
      <c r="F43" s="17">
        <v>0</v>
      </c>
      <c r="G43" s="17">
        <v>0</v>
      </c>
      <c r="H43" s="18">
        <v>23</v>
      </c>
      <c r="I43" s="19">
        <f t="shared" ref="I43" si="16">SUM(C43:F43)</f>
        <v>1037</v>
      </c>
      <c r="J43" s="20">
        <f>+(C43*C$36)+(D43*D$36)+(E43*E$36)+(F43*F$36)+(G43*G$36)+(H43*H$36)</f>
        <v>1214.3000000000002</v>
      </c>
      <c r="K43" s="21">
        <v>7.9000000000000001E-2</v>
      </c>
      <c r="L43" s="20">
        <f t="shared" si="12"/>
        <v>95.929700000000011</v>
      </c>
      <c r="M43" s="22">
        <f t="shared" si="13"/>
        <v>1310.2297000000001</v>
      </c>
      <c r="N43" s="19">
        <f t="shared" si="14"/>
        <v>1060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5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2"/>
        <v>0</v>
      </c>
      <c r="M44" s="22">
        <f t="shared" si="13"/>
        <v>0</v>
      </c>
      <c r="N44" s="19">
        <f t="shared" si="14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5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2"/>
        <v>0.34760000000000002</v>
      </c>
      <c r="M45" s="22">
        <f t="shared" si="13"/>
        <v>4.7476000000000003</v>
      </c>
      <c r="N45" s="19">
        <f t="shared" si="14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3</v>
      </c>
      <c r="I46" s="19">
        <f t="shared" si="15"/>
        <v>4</v>
      </c>
      <c r="J46" s="20">
        <f>+(C46*C$36)+(D46*D$36)+(E46*E$36)+(G46*G$36)+(H46*H$36)+(F46*F$36)</f>
        <v>16.75</v>
      </c>
      <c r="K46" s="21">
        <v>7.9000000000000001E-2</v>
      </c>
      <c r="L46" s="20">
        <f t="shared" si="12"/>
        <v>1.32325</v>
      </c>
      <c r="M46" s="22">
        <f t="shared" si="13"/>
        <v>18.073250000000002</v>
      </c>
      <c r="N46" s="19">
        <f t="shared" si="14"/>
        <v>8</v>
      </c>
    </row>
    <row r="47" spans="1:14" x14ac:dyDescent="0.25">
      <c r="A47" s="16"/>
      <c r="B47" s="37" t="s">
        <v>61</v>
      </c>
      <c r="C47" s="26">
        <v>262</v>
      </c>
      <c r="D47" s="26">
        <v>3393</v>
      </c>
      <c r="E47" s="26">
        <v>5197</v>
      </c>
      <c r="F47" s="26">
        <v>1921</v>
      </c>
      <c r="G47" s="26">
        <v>40</v>
      </c>
      <c r="H47" s="26">
        <v>670</v>
      </c>
      <c r="I47" s="26">
        <f>SUM(I38:I46)</f>
        <v>10773</v>
      </c>
      <c r="J47" s="43">
        <f t="shared" ref="J47" si="17">SUM(J38:J46)</f>
        <v>14366.300000000001</v>
      </c>
      <c r="K47" s="2"/>
      <c r="L47" s="44">
        <f>SUM(L38:L46)</f>
        <v>1152.7978000000001</v>
      </c>
      <c r="M47" s="44">
        <f>SUM(M38:M46)</f>
        <v>15519.097800000001</v>
      </c>
      <c r="N47" s="26">
        <f t="shared" si="14"/>
        <v>11483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181</v>
      </c>
      <c r="D52" s="17">
        <v>1185</v>
      </c>
      <c r="E52" s="17">
        <v>2582</v>
      </c>
      <c r="F52" s="45">
        <v>0</v>
      </c>
      <c r="G52" s="17">
        <v>1</v>
      </c>
      <c r="H52" s="18">
        <v>198</v>
      </c>
      <c r="I52" s="19">
        <f t="shared" ref="I52:I57" si="18">SUM(C52:F52)</f>
        <v>3948</v>
      </c>
      <c r="J52" s="20">
        <f>+(C52*C$50)+(D52*D$50)+(E52*E$50)+(G52*G$50)+(H52*H$50)+(F52*F$51)</f>
        <v>6485.9500000000007</v>
      </c>
      <c r="K52" s="21">
        <v>8.1000000000000003E-2</v>
      </c>
      <c r="L52" s="20">
        <f t="shared" ref="L52:L57" si="19">+J52*K52</f>
        <v>525.36195000000009</v>
      </c>
      <c r="M52" s="22">
        <f t="shared" ref="M52:M57" si="20">+J52+L52</f>
        <v>7011.3119500000012</v>
      </c>
      <c r="N52" s="19">
        <f t="shared" ref="N52:N58" si="21">+I52+H52+G52</f>
        <v>4147</v>
      </c>
    </row>
    <row r="53" spans="1:14" x14ac:dyDescent="0.25">
      <c r="A53" s="16" t="s">
        <v>65</v>
      </c>
      <c r="B53" t="s">
        <v>66</v>
      </c>
      <c r="C53" s="17">
        <v>6</v>
      </c>
      <c r="D53" s="17">
        <v>82</v>
      </c>
      <c r="E53" s="17">
        <v>205</v>
      </c>
      <c r="F53" s="17">
        <v>0</v>
      </c>
      <c r="G53" s="17">
        <v>0</v>
      </c>
      <c r="H53" s="18">
        <v>71</v>
      </c>
      <c r="I53" s="19">
        <f t="shared" si="18"/>
        <v>293</v>
      </c>
      <c r="J53" s="20">
        <f>+(C53*C$50)+(D53*D$50)+(E53*E$50)+(G53*G$50)+(H53*H$50)+(F53*F$51)</f>
        <v>664.30000000000007</v>
      </c>
      <c r="K53" s="21">
        <v>8.1000000000000003E-2</v>
      </c>
      <c r="L53" s="20">
        <f t="shared" si="19"/>
        <v>53.80830000000001</v>
      </c>
      <c r="M53" s="22">
        <f t="shared" si="20"/>
        <v>718.1083000000001</v>
      </c>
      <c r="N53" s="19">
        <f t="shared" si="21"/>
        <v>364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8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9"/>
        <v>0</v>
      </c>
      <c r="M54" s="22">
        <f t="shared" si="20"/>
        <v>0</v>
      </c>
      <c r="N54" s="19">
        <f t="shared" si="21"/>
        <v>0</v>
      </c>
    </row>
    <row r="55" spans="1:14" x14ac:dyDescent="0.25">
      <c r="A55" s="16" t="s">
        <v>68</v>
      </c>
      <c r="B55" t="s">
        <v>69</v>
      </c>
      <c r="C55" s="17">
        <v>247</v>
      </c>
      <c r="D55" s="17">
        <v>1412</v>
      </c>
      <c r="E55" s="17">
        <v>1326</v>
      </c>
      <c r="F55" s="45">
        <v>679</v>
      </c>
      <c r="G55" s="17">
        <v>0</v>
      </c>
      <c r="H55" s="18">
        <v>16</v>
      </c>
      <c r="I55" s="19">
        <f t="shared" si="18"/>
        <v>3664</v>
      </c>
      <c r="J55" s="20">
        <f>+(C55*C$50)+(D55*D$50)+(E55*E$50)+(G55*G$50)+(H55*H$50)+(F55*F$51)</f>
        <v>5448.4</v>
      </c>
      <c r="K55" s="21">
        <v>8.6999999999999994E-2</v>
      </c>
      <c r="L55" s="20">
        <f t="shared" si="19"/>
        <v>474.01079999999996</v>
      </c>
      <c r="M55" s="22">
        <f t="shared" si="20"/>
        <v>5922.4107999999997</v>
      </c>
      <c r="N55" s="19">
        <f t="shared" si="21"/>
        <v>3680</v>
      </c>
    </row>
    <row r="56" spans="1:14" x14ac:dyDescent="0.25">
      <c r="A56" s="16" t="s">
        <v>70</v>
      </c>
      <c r="B56" t="s">
        <v>71</v>
      </c>
      <c r="C56" s="17">
        <v>29</v>
      </c>
      <c r="D56" s="17">
        <v>111</v>
      </c>
      <c r="E56" s="17">
        <v>290</v>
      </c>
      <c r="F56" s="17">
        <v>0</v>
      </c>
      <c r="G56" s="17">
        <v>0</v>
      </c>
      <c r="H56" s="18">
        <v>2</v>
      </c>
      <c r="I56" s="19">
        <f t="shared" si="18"/>
        <v>430</v>
      </c>
      <c r="J56" s="20">
        <f>+(C56*C$50)+(D56*D$50)+(E56*E$50)+(G56*G$50)+(H56*H$50)+(F56*F$51)</f>
        <v>639.79999999999995</v>
      </c>
      <c r="K56" s="21">
        <v>8.8999999999999996E-2</v>
      </c>
      <c r="L56" s="20">
        <f t="shared" si="19"/>
        <v>56.942199999999993</v>
      </c>
      <c r="M56" s="22">
        <f t="shared" si="20"/>
        <v>696.74219999999991</v>
      </c>
      <c r="N56" s="19">
        <f t="shared" si="21"/>
        <v>432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9847</v>
      </c>
      <c r="G57" s="17">
        <v>0</v>
      </c>
      <c r="H57" s="18">
        <v>0</v>
      </c>
      <c r="I57" s="19">
        <f t="shared" si="18"/>
        <v>9848</v>
      </c>
      <c r="J57" s="20">
        <f>+(C57*C$50)+(D57*D$50)+(E57*E$50)+(G57*G$50)+(H57*H$50)+(F57*F$50)</f>
        <v>6894.4</v>
      </c>
      <c r="K57" s="21">
        <v>8.8999999999999996E-2</v>
      </c>
      <c r="L57" s="20">
        <f t="shared" si="19"/>
        <v>613.60159999999996</v>
      </c>
      <c r="M57" s="22">
        <f t="shared" si="20"/>
        <v>7508.0015999999996</v>
      </c>
      <c r="N57" s="19">
        <f t="shared" si="21"/>
        <v>9848</v>
      </c>
    </row>
    <row r="58" spans="1:14" x14ac:dyDescent="0.25">
      <c r="A58" s="16"/>
      <c r="B58" s="37" t="s">
        <v>73</v>
      </c>
      <c r="C58" s="26">
        <f>SUM(C52:C57)</f>
        <v>463</v>
      </c>
      <c r="D58" s="26">
        <f t="shared" ref="D58:G58" si="22">SUM(D52:D57)</f>
        <v>2791</v>
      </c>
      <c r="E58" s="26">
        <f t="shared" si="22"/>
        <v>4403</v>
      </c>
      <c r="F58" s="26">
        <f t="shared" si="22"/>
        <v>10526</v>
      </c>
      <c r="G58" s="26">
        <f t="shared" si="22"/>
        <v>1</v>
      </c>
      <c r="H58" s="26">
        <f>SUM(H52:H57)</f>
        <v>287</v>
      </c>
      <c r="I58" s="26">
        <f>SUM(I52:I57)</f>
        <v>18183</v>
      </c>
      <c r="J58" s="43">
        <f>SUM(J52:J57)</f>
        <v>20132.849999999999</v>
      </c>
      <c r="K58" s="2"/>
      <c r="L58" s="44">
        <f>SUM(L52:L57)</f>
        <v>1723.7248500000001</v>
      </c>
      <c r="M58" s="44">
        <f>SUM(M52:M57)</f>
        <v>21856.574850000001</v>
      </c>
      <c r="N58" s="26">
        <f t="shared" si="21"/>
        <v>18471</v>
      </c>
    </row>
    <row r="60" spans="1:14" x14ac:dyDescent="0.25">
      <c r="B60" s="46" t="s">
        <v>74</v>
      </c>
      <c r="C60" s="33">
        <f t="shared" ref="C60:G60" si="23">+C25+C32+C47+C58</f>
        <v>743</v>
      </c>
      <c r="D60" s="33">
        <f t="shared" si="23"/>
        <v>7406</v>
      </c>
      <c r="E60" s="33">
        <f t="shared" si="23"/>
        <v>55860</v>
      </c>
      <c r="F60" s="33">
        <f t="shared" si="23"/>
        <v>12447</v>
      </c>
      <c r="G60" s="33">
        <f t="shared" si="23"/>
        <v>41</v>
      </c>
      <c r="H60" s="33">
        <f>+H25+H32+H47+H58</f>
        <v>1101</v>
      </c>
      <c r="I60" s="33">
        <f>+I25+I32+I47+I58</f>
        <v>76456</v>
      </c>
      <c r="J60" s="35">
        <f>+J25+J32+J47+J58</f>
        <v>106166.75</v>
      </c>
      <c r="L60" s="15">
        <f>+L25+L32+L47+L58</f>
        <v>8929.61535</v>
      </c>
      <c r="M60" s="15">
        <f>+M25+M32+M47+M58</f>
        <v>115096.36535000002</v>
      </c>
    </row>
    <row r="61" spans="1:14" x14ac:dyDescent="0.25">
      <c r="H61" t="s">
        <v>10</v>
      </c>
      <c r="I61" s="19">
        <f>+I60+H60+G60</f>
        <v>77598</v>
      </c>
    </row>
    <row r="62" spans="1:14" x14ac:dyDescent="0.25">
      <c r="H62" t="s">
        <v>75</v>
      </c>
      <c r="I62" s="17">
        <f>+[6]CanData!N1</f>
        <v>81540</v>
      </c>
    </row>
    <row r="63" spans="1:14" x14ac:dyDescent="0.25">
      <c r="H63" s="46" t="s">
        <v>76</v>
      </c>
      <c r="I63" s="19">
        <f>+I62-I61</f>
        <v>3942</v>
      </c>
    </row>
    <row r="64" spans="1:14" x14ac:dyDescent="0.25">
      <c r="E64" t="s">
        <v>77</v>
      </c>
      <c r="H64" s="46" t="s">
        <v>78</v>
      </c>
      <c r="I64" s="19">
        <f>+[6]CanData!P1</f>
        <v>3210</v>
      </c>
    </row>
    <row r="65" spans="8:10" x14ac:dyDescent="0.25">
      <c r="H65" s="46" t="s">
        <v>76</v>
      </c>
      <c r="I65" s="50">
        <f>+I63-I64</f>
        <v>732</v>
      </c>
      <c r="J65" s="2" t="s">
        <v>80</v>
      </c>
    </row>
  </sheetData>
  <mergeCells count="1">
    <mergeCell ref="C5:H5"/>
  </mergeCells>
  <pageMargins left="0.2" right="0.2" top="0.25" bottom="0.25" header="0.3" footer="0.3"/>
  <pageSetup scale="75" orientation="portrait" r:id="rId1"/>
  <headerFooter>
    <oddHeader>&amp;RPrinted: &amp;D &amp;T</oddHeader>
    <oddFooter>&amp;C&amp;Z&amp;F&amp;RTab: 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opLeftCell="A40" workbookViewId="0">
      <selection activeCell="E54" sqref="E54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6" x14ac:dyDescent="0.25">
      <c r="B1" s="2" t="s">
        <v>0</v>
      </c>
    </row>
    <row r="2" spans="1:16" x14ac:dyDescent="0.25">
      <c r="B2" s="2" t="s">
        <v>1</v>
      </c>
    </row>
    <row r="3" spans="1:16" x14ac:dyDescent="0.25">
      <c r="B3" t="s">
        <v>2</v>
      </c>
    </row>
    <row r="4" spans="1:16" ht="15.75" thickBot="1" x14ac:dyDescent="0.3">
      <c r="B4" s="3" t="str">
        <f>+'[7]PT Rev JE 03'!A3</f>
        <v>Apr 2016</v>
      </c>
    </row>
    <row r="5" spans="1:16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6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  <c r="P6" s="12" t="s">
        <v>11</v>
      </c>
    </row>
    <row r="7" spans="1:16" x14ac:dyDescent="0.25">
      <c r="B7" s="13" t="s">
        <v>12</v>
      </c>
      <c r="H7" s="14">
        <v>2.9</v>
      </c>
      <c r="I7" s="15">
        <v>1.5</v>
      </c>
    </row>
    <row r="8" spans="1:16" x14ac:dyDescent="0.25">
      <c r="A8" s="16" t="s">
        <v>13</v>
      </c>
      <c r="B8" t="s">
        <v>14</v>
      </c>
      <c r="C8" s="17">
        <v>3</v>
      </c>
      <c r="D8" s="17">
        <v>139</v>
      </c>
      <c r="E8" s="17">
        <v>855</v>
      </c>
      <c r="F8" s="17">
        <v>0</v>
      </c>
      <c r="G8" s="17">
        <v>0</v>
      </c>
      <c r="H8" s="18">
        <v>3</v>
      </c>
      <c r="I8" s="19">
        <f>SUM(C8:E8)</f>
        <v>997</v>
      </c>
      <c r="J8" s="20">
        <f>+(H8*H$7)+(I8*I$7)</f>
        <v>1504.2</v>
      </c>
      <c r="K8" s="21">
        <v>0.08</v>
      </c>
      <c r="L8" s="20">
        <f>+J8*K8</f>
        <v>120.33600000000001</v>
      </c>
      <c r="M8" s="22">
        <f>+J8+L8</f>
        <v>1624.5360000000001</v>
      </c>
      <c r="N8" s="19">
        <f>+I8+H8+G8</f>
        <v>1000</v>
      </c>
    </row>
    <row r="9" spans="1:16" x14ac:dyDescent="0.25">
      <c r="A9" s="16" t="s">
        <v>15</v>
      </c>
      <c r="B9" s="4" t="s">
        <v>16</v>
      </c>
      <c r="C9" s="17">
        <v>9</v>
      </c>
      <c r="D9" s="17">
        <v>426</v>
      </c>
      <c r="E9" s="17">
        <v>2595</v>
      </c>
      <c r="F9" s="17">
        <v>0</v>
      </c>
      <c r="G9" s="17">
        <v>0</v>
      </c>
      <c r="H9" s="18">
        <v>35</v>
      </c>
      <c r="I9" s="19">
        <f>SUM(C9:E9)</f>
        <v>3030</v>
      </c>
      <c r="J9" s="20">
        <f>+(H9*H$7)+(I9*I$7)</f>
        <v>4646.5</v>
      </c>
      <c r="K9" s="21">
        <v>0.08</v>
      </c>
      <c r="L9" s="20">
        <f>+J9*K9</f>
        <v>371.72</v>
      </c>
      <c r="M9" s="22">
        <f>+J9+L9</f>
        <v>5018.22</v>
      </c>
      <c r="N9" s="19">
        <f>+I9+H9+G9</f>
        <v>3065</v>
      </c>
    </row>
    <row r="10" spans="1:16" x14ac:dyDescent="0.25">
      <c r="A10" s="16" t="s">
        <v>17</v>
      </c>
      <c r="B10" s="4" t="s">
        <v>18</v>
      </c>
      <c r="C10" s="17">
        <v>3</v>
      </c>
      <c r="D10" s="17">
        <v>155</v>
      </c>
      <c r="E10" s="17">
        <v>1232</v>
      </c>
      <c r="F10" s="17">
        <v>0</v>
      </c>
      <c r="G10" s="17">
        <v>0</v>
      </c>
      <c r="H10" s="18">
        <v>7</v>
      </c>
      <c r="I10" s="19">
        <f>SUM(C10:E10)</f>
        <v>1390</v>
      </c>
      <c r="J10" s="20">
        <f>+(H10*H$7)+(I10*I$7)</f>
        <v>2105.3000000000002</v>
      </c>
      <c r="K10" s="21">
        <v>8.1000000000000003E-2</v>
      </c>
      <c r="L10" s="20">
        <f>+J10*K10</f>
        <v>170.52930000000001</v>
      </c>
      <c r="M10" s="22">
        <f>+J10+L10</f>
        <v>2275.8293000000003</v>
      </c>
      <c r="N10" s="19">
        <f>+I10+H10+G10</f>
        <v>1397</v>
      </c>
    </row>
    <row r="11" spans="1:16" x14ac:dyDescent="0.25">
      <c r="C11" s="23">
        <v>15</v>
      </c>
      <c r="D11" s="23">
        <v>720</v>
      </c>
      <c r="E11" s="23">
        <v>4682</v>
      </c>
      <c r="F11" s="23">
        <v>0</v>
      </c>
      <c r="G11" s="23">
        <v>0</v>
      </c>
      <c r="H11" s="24">
        <v>45</v>
      </c>
      <c r="I11" s="23">
        <f>SUM(I8:I10)</f>
        <v>5417</v>
      </c>
      <c r="J11" s="25">
        <f t="shared" ref="J11" si="0">SUM(J8:J10)</f>
        <v>8256</v>
      </c>
      <c r="K11" s="21"/>
      <c r="L11" s="25">
        <f>SUM(L8:L10)</f>
        <v>662.58530000000007</v>
      </c>
      <c r="M11" s="25">
        <f>SUM(M8:M10)</f>
        <v>8918.5853000000006</v>
      </c>
      <c r="N11" s="26">
        <f>+I11+H11+G11</f>
        <v>5462</v>
      </c>
    </row>
    <row r="12" spans="1:16" x14ac:dyDescent="0.25">
      <c r="H12" s="27"/>
      <c r="K12" s="21"/>
    </row>
    <row r="13" spans="1:16" x14ac:dyDescent="0.25">
      <c r="A13" s="16" t="s">
        <v>19</v>
      </c>
      <c r="B13" s="4" t="s">
        <v>20</v>
      </c>
      <c r="C13" s="17">
        <v>2</v>
      </c>
      <c r="D13" s="17">
        <v>121</v>
      </c>
      <c r="E13" s="17">
        <v>23912</v>
      </c>
      <c r="F13" s="17">
        <v>0</v>
      </c>
      <c r="G13" s="17">
        <v>0</v>
      </c>
      <c r="H13" s="18">
        <v>0</v>
      </c>
      <c r="I13" s="19">
        <f t="shared" ref="I13:I22" si="1">SUM(C13:E13)</f>
        <v>24035</v>
      </c>
      <c r="J13" s="20">
        <f t="shared" ref="J13:J21" si="2">+(H13*H$7)+(I13*I$7)</f>
        <v>36052.5</v>
      </c>
      <c r="K13" s="21">
        <v>8.5999999999999993E-2</v>
      </c>
      <c r="L13" s="20">
        <f t="shared" ref="L13:L21" si="3">+J13*K13</f>
        <v>3100.5149999999999</v>
      </c>
      <c r="M13" s="22">
        <f t="shared" ref="M13:M21" si="4">+J13+L13</f>
        <v>39153.014999999999</v>
      </c>
      <c r="N13" s="19">
        <f t="shared" ref="N13:N21" si="5">+I13+H13+G13</f>
        <v>24035</v>
      </c>
      <c r="P13" s="17">
        <f>549+183</f>
        <v>732</v>
      </c>
    </row>
    <row r="14" spans="1:16" x14ac:dyDescent="0.25">
      <c r="A14" s="16" t="s">
        <v>21</v>
      </c>
      <c r="B14" t="s">
        <v>22</v>
      </c>
      <c r="C14" s="17">
        <v>0</v>
      </c>
      <c r="D14" s="17">
        <v>8</v>
      </c>
      <c r="E14" s="17">
        <v>94</v>
      </c>
      <c r="F14" s="17">
        <v>0</v>
      </c>
      <c r="G14" s="17">
        <v>0</v>
      </c>
      <c r="H14" s="18">
        <v>0</v>
      </c>
      <c r="I14" s="19">
        <f t="shared" si="1"/>
        <v>102</v>
      </c>
      <c r="J14" s="20">
        <f t="shared" si="2"/>
        <v>153</v>
      </c>
      <c r="K14" s="21">
        <v>8.5999999999999993E-2</v>
      </c>
      <c r="L14" s="20">
        <f t="shared" si="3"/>
        <v>13.157999999999999</v>
      </c>
      <c r="M14" s="22">
        <f t="shared" si="4"/>
        <v>166.15799999999999</v>
      </c>
      <c r="N14" s="19">
        <f t="shared" si="5"/>
        <v>102</v>
      </c>
    </row>
    <row r="15" spans="1:16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911</v>
      </c>
      <c r="F15" s="17">
        <v>0</v>
      </c>
      <c r="G15" s="17">
        <v>0</v>
      </c>
      <c r="H15" s="18">
        <v>5</v>
      </c>
      <c r="I15" s="19">
        <f t="shared" si="1"/>
        <v>911</v>
      </c>
      <c r="J15" s="20">
        <f>+(H15*H$7)+(I15*I$7)</f>
        <v>1381</v>
      </c>
      <c r="K15" s="21">
        <v>0.08</v>
      </c>
      <c r="L15" s="20">
        <f t="shared" si="3"/>
        <v>110.48</v>
      </c>
      <c r="M15" s="22">
        <f t="shared" si="4"/>
        <v>1491.48</v>
      </c>
      <c r="N15" s="19">
        <f t="shared" si="5"/>
        <v>916</v>
      </c>
    </row>
    <row r="16" spans="1:16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1116</v>
      </c>
      <c r="F16" s="17">
        <v>0</v>
      </c>
      <c r="G16" s="17">
        <v>0</v>
      </c>
      <c r="H16" s="18">
        <v>37</v>
      </c>
      <c r="I16" s="19">
        <f t="shared" si="1"/>
        <v>1117</v>
      </c>
      <c r="J16" s="20">
        <f t="shared" si="2"/>
        <v>1782.8</v>
      </c>
      <c r="K16" s="21">
        <v>8.1000000000000003E-2</v>
      </c>
      <c r="L16" s="20">
        <f t="shared" si="3"/>
        <v>144.4068</v>
      </c>
      <c r="M16" s="22">
        <f t="shared" si="4"/>
        <v>1927.2067999999999</v>
      </c>
      <c r="N16" s="19">
        <f t="shared" si="5"/>
        <v>1154</v>
      </c>
    </row>
    <row r="17" spans="1:16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6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6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6" x14ac:dyDescent="0.25">
      <c r="A20" s="16" t="s">
        <v>32</v>
      </c>
      <c r="B20" s="28" t="s">
        <v>33</v>
      </c>
      <c r="C20" s="17">
        <v>0</v>
      </c>
      <c r="D20" s="17">
        <v>30</v>
      </c>
      <c r="E20" s="17">
        <v>2122</v>
      </c>
      <c r="F20" s="17">
        <v>0</v>
      </c>
      <c r="G20" s="17">
        <v>0</v>
      </c>
      <c r="H20" s="18">
        <v>2</v>
      </c>
      <c r="I20" s="19">
        <f t="shared" si="1"/>
        <v>2152</v>
      </c>
      <c r="J20" s="20">
        <f t="shared" si="2"/>
        <v>3233.8</v>
      </c>
      <c r="K20" s="21">
        <v>8.5999999999999993E-2</v>
      </c>
      <c r="L20" s="20">
        <f t="shared" si="3"/>
        <v>278.10680000000002</v>
      </c>
      <c r="M20" s="22">
        <f t="shared" si="4"/>
        <v>3511.9068000000002</v>
      </c>
      <c r="N20" s="19">
        <f t="shared" si="5"/>
        <v>2154</v>
      </c>
    </row>
    <row r="21" spans="1:16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784</v>
      </c>
      <c r="F21" s="17">
        <v>0</v>
      </c>
      <c r="G21" s="17">
        <v>0</v>
      </c>
      <c r="H21" s="18">
        <v>8</v>
      </c>
      <c r="I21" s="19">
        <f t="shared" si="1"/>
        <v>784</v>
      </c>
      <c r="J21" s="20">
        <f t="shared" si="2"/>
        <v>1199.2</v>
      </c>
      <c r="K21" s="21">
        <v>8.2000000000000003E-2</v>
      </c>
      <c r="L21" s="20">
        <f t="shared" si="3"/>
        <v>98.334400000000002</v>
      </c>
      <c r="M21" s="22">
        <f t="shared" si="4"/>
        <v>1297.5344</v>
      </c>
      <c r="N21" s="19">
        <f t="shared" si="5"/>
        <v>792</v>
      </c>
    </row>
    <row r="22" spans="1:16" x14ac:dyDescent="0.25">
      <c r="A22" s="16"/>
      <c r="H22" s="27"/>
      <c r="I22" s="19">
        <f t="shared" si="1"/>
        <v>0</v>
      </c>
      <c r="K22" s="21"/>
    </row>
    <row r="23" spans="1:16" x14ac:dyDescent="0.25">
      <c r="A23" s="16"/>
      <c r="C23" s="29">
        <v>2</v>
      </c>
      <c r="D23" s="29">
        <v>161</v>
      </c>
      <c r="E23" s="29">
        <v>29195</v>
      </c>
      <c r="F23" s="29"/>
      <c r="G23" s="29">
        <v>0</v>
      </c>
      <c r="H23" s="30">
        <v>59</v>
      </c>
      <c r="I23" s="31">
        <f>SUM(I13:I22)</f>
        <v>29358</v>
      </c>
      <c r="J23" s="25">
        <f>SUM(J13:J22)</f>
        <v>44208.100000000006</v>
      </c>
      <c r="K23" s="25"/>
      <c r="L23" s="25">
        <f>SUM(L13:L22)</f>
        <v>3777.2849999999999</v>
      </c>
      <c r="M23" s="25">
        <f>SUM(M13:M22)</f>
        <v>47985.385000000002</v>
      </c>
      <c r="N23" s="26">
        <f>+I23+H23+G23</f>
        <v>29417</v>
      </c>
    </row>
    <row r="24" spans="1:16" ht="9" customHeight="1" x14ac:dyDescent="0.25">
      <c r="A24" s="16"/>
      <c r="H24" s="27"/>
      <c r="K24" s="21"/>
    </row>
    <row r="25" spans="1:16" x14ac:dyDescent="0.25">
      <c r="A25" s="16"/>
      <c r="B25" s="32" t="s">
        <v>36</v>
      </c>
      <c r="C25" s="33">
        <v>17</v>
      </c>
      <c r="D25" s="33">
        <v>881</v>
      </c>
      <c r="E25" s="33">
        <v>33877</v>
      </c>
      <c r="F25" s="33"/>
      <c r="G25" s="33">
        <v>0</v>
      </c>
      <c r="H25" s="34">
        <v>104</v>
      </c>
      <c r="I25" s="33">
        <f>+I23+I11</f>
        <v>34775</v>
      </c>
      <c r="J25" s="35">
        <f>+J11+J23</f>
        <v>52464.100000000006</v>
      </c>
      <c r="K25" s="36"/>
      <c r="L25" s="15">
        <f>+L11+L23</f>
        <v>4439.8702999999996</v>
      </c>
      <c r="M25" s="15">
        <f>+M11+M23</f>
        <v>56903.970300000001</v>
      </c>
      <c r="N25" s="19">
        <f>+N11+N23</f>
        <v>34879</v>
      </c>
      <c r="O25" s="17">
        <f>+GETPIVOTDATA("CanCount",[7]Old_Can_Sort!$A$4,"CompanyDivision","BDI")</f>
        <v>35490</v>
      </c>
      <c r="P25" s="19">
        <f>+O25-N25</f>
        <v>611</v>
      </c>
    </row>
    <row r="26" spans="1:16" x14ac:dyDescent="0.25">
      <c r="A26" s="16"/>
    </row>
    <row r="27" spans="1:16" x14ac:dyDescent="0.25">
      <c r="A27" s="16"/>
      <c r="B27" s="32" t="s">
        <v>37</v>
      </c>
    </row>
    <row r="28" spans="1:16" x14ac:dyDescent="0.25">
      <c r="A28" s="16" t="s">
        <v>13</v>
      </c>
      <c r="B28" t="s">
        <v>38</v>
      </c>
      <c r="C28" s="17">
        <v>1</v>
      </c>
      <c r="D28" s="17">
        <v>269</v>
      </c>
      <c r="E28" s="17">
        <v>3876</v>
      </c>
      <c r="F28" s="17">
        <v>0</v>
      </c>
      <c r="G28" s="17">
        <v>0</v>
      </c>
      <c r="H28" s="18">
        <v>36</v>
      </c>
      <c r="I28" s="19">
        <f t="shared" ref="I28" si="6">SUM(C28:E28)</f>
        <v>4146</v>
      </c>
      <c r="J28" s="20">
        <f t="shared" ref="J28" si="7">+(H28*H$7)+(I28*I$7)</f>
        <v>6323.4</v>
      </c>
      <c r="K28" s="21">
        <v>0.08</v>
      </c>
      <c r="L28" s="20">
        <f t="shared" ref="L28:L31" si="8">+J28*K28</f>
        <v>505.87199999999996</v>
      </c>
      <c r="M28" s="22">
        <f t="shared" ref="M28:M31" si="9">+J28+L28</f>
        <v>6829.2719999999999</v>
      </c>
      <c r="N28" s="19">
        <f t="shared" ref="N28:N32" si="10">+I28+H28+G28</f>
        <v>4182</v>
      </c>
    </row>
    <row r="29" spans="1:16" x14ac:dyDescent="0.25">
      <c r="A29" s="16">
        <v>12</v>
      </c>
      <c r="B29" t="s">
        <v>39</v>
      </c>
      <c r="C29" s="17">
        <v>0</v>
      </c>
      <c r="D29" s="17">
        <v>0</v>
      </c>
      <c r="E29" s="17">
        <v>105</v>
      </c>
      <c r="F29" s="17">
        <v>0</v>
      </c>
      <c r="G29" s="17">
        <v>0</v>
      </c>
      <c r="H29" s="18">
        <v>0</v>
      </c>
      <c r="I29" s="19">
        <f t="shared" ref="I29:I31" si="11">SUM(C29:E29)</f>
        <v>105</v>
      </c>
      <c r="J29" s="20">
        <f>+(H29*H$7)+(I29*I$7)</f>
        <v>157.5</v>
      </c>
      <c r="K29" s="21">
        <v>8.5999999999999993E-2</v>
      </c>
      <c r="L29" s="20">
        <f t="shared" si="8"/>
        <v>13.544999999999998</v>
      </c>
      <c r="M29" s="22">
        <f t="shared" si="9"/>
        <v>171.04499999999999</v>
      </c>
      <c r="N29" s="19">
        <f t="shared" si="10"/>
        <v>105</v>
      </c>
    </row>
    <row r="30" spans="1:16" x14ac:dyDescent="0.25">
      <c r="A30" s="16">
        <v>14</v>
      </c>
      <c r="B30" t="s">
        <v>40</v>
      </c>
      <c r="C30" s="17">
        <v>0</v>
      </c>
      <c r="D30" s="17">
        <v>15</v>
      </c>
      <c r="E30" s="17">
        <v>1171</v>
      </c>
      <c r="F30" s="17">
        <v>0</v>
      </c>
      <c r="G30" s="17">
        <v>0</v>
      </c>
      <c r="H30" s="18">
        <v>0</v>
      </c>
      <c r="I30" s="19">
        <f t="shared" si="11"/>
        <v>1186</v>
      </c>
      <c r="J30" s="20">
        <f>+(H30*H$7)+(I30*I$7)</f>
        <v>1779</v>
      </c>
      <c r="K30" s="21">
        <v>8.5999999999999993E-2</v>
      </c>
      <c r="L30" s="20">
        <f t="shared" si="8"/>
        <v>152.994</v>
      </c>
      <c r="M30" s="22">
        <f t="shared" si="9"/>
        <v>1931.9939999999999</v>
      </c>
      <c r="N30" s="19">
        <f t="shared" si="10"/>
        <v>1186</v>
      </c>
    </row>
    <row r="31" spans="1:16" x14ac:dyDescent="0.25">
      <c r="A31" s="16">
        <v>13</v>
      </c>
      <c r="B31" t="s">
        <v>41</v>
      </c>
      <c r="C31" s="17">
        <v>0</v>
      </c>
      <c r="D31" s="17">
        <v>59</v>
      </c>
      <c r="E31" s="17">
        <v>6992</v>
      </c>
      <c r="F31" s="17">
        <v>0</v>
      </c>
      <c r="G31" s="17">
        <v>0</v>
      </c>
      <c r="H31" s="18">
        <v>0</v>
      </c>
      <c r="I31" s="19">
        <f t="shared" si="11"/>
        <v>7051</v>
      </c>
      <c r="J31" s="20">
        <f>+(H31*H$7)+(I31*I$7)</f>
        <v>10576.5</v>
      </c>
      <c r="K31" s="21">
        <v>8.5999999999999993E-2</v>
      </c>
      <c r="L31" s="20">
        <f t="shared" si="8"/>
        <v>909.57899999999995</v>
      </c>
      <c r="M31" s="22">
        <f t="shared" si="9"/>
        <v>11486.079</v>
      </c>
      <c r="N31" s="19">
        <f t="shared" si="10"/>
        <v>7051</v>
      </c>
    </row>
    <row r="32" spans="1:16" x14ac:dyDescent="0.25">
      <c r="A32" s="16"/>
      <c r="B32" s="37" t="s">
        <v>42</v>
      </c>
      <c r="C32" s="26">
        <v>1</v>
      </c>
      <c r="D32" s="26">
        <v>343</v>
      </c>
      <c r="E32" s="26">
        <v>12144</v>
      </c>
      <c r="F32" s="26"/>
      <c r="G32" s="26">
        <v>0</v>
      </c>
      <c r="H32" s="26">
        <v>36</v>
      </c>
      <c r="I32" s="26">
        <f>SUM(I28:I31)</f>
        <v>12488</v>
      </c>
      <c r="J32" s="38">
        <f>SUM(J28:J31)</f>
        <v>18836.400000000001</v>
      </c>
      <c r="K32" s="2"/>
      <c r="L32" s="39">
        <f>SUM(L28:L31)</f>
        <v>1581.9899999999998</v>
      </c>
      <c r="M32" s="39">
        <f>SUM(M28:M31)</f>
        <v>20418.39</v>
      </c>
      <c r="N32" s="26">
        <f t="shared" si="10"/>
        <v>12524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2</v>
      </c>
      <c r="E38" s="17">
        <v>5</v>
      </c>
      <c r="F38" s="17">
        <v>0</v>
      </c>
      <c r="G38" s="17">
        <v>15</v>
      </c>
      <c r="H38" s="18">
        <v>96</v>
      </c>
      <c r="I38" s="19">
        <f>SUM(C38:F38)</f>
        <v>7</v>
      </c>
      <c r="J38" s="20">
        <f>+(C38*C$36)+(D38*D$37)+(E38*E$36)+(F38*F$36)+(G38*G$36)+(H38*H$36)</f>
        <v>356.95000000000005</v>
      </c>
      <c r="K38" s="21">
        <v>7.9000000000000001E-2</v>
      </c>
      <c r="L38" s="20">
        <f t="shared" ref="L38:L46" si="12">+J38*K38</f>
        <v>28.199050000000003</v>
      </c>
      <c r="M38" s="22">
        <f t="shared" ref="M38:M46" si="13">+J38+L38</f>
        <v>385.14905000000005</v>
      </c>
      <c r="N38" s="19">
        <f t="shared" ref="N38:N47" si="14">+I38+H38+G38</f>
        <v>118</v>
      </c>
    </row>
    <row r="39" spans="1:14" x14ac:dyDescent="0.25">
      <c r="A39" s="16" t="s">
        <v>45</v>
      </c>
      <c r="B39" s="42" t="s">
        <v>47</v>
      </c>
      <c r="C39" s="17">
        <v>178</v>
      </c>
      <c r="D39" s="17">
        <v>664</v>
      </c>
      <c r="E39" s="17">
        <v>1286</v>
      </c>
      <c r="F39" s="17">
        <v>0</v>
      </c>
      <c r="G39" s="17">
        <v>15</v>
      </c>
      <c r="H39" s="18">
        <v>489</v>
      </c>
      <c r="I39" s="19">
        <f t="shared" ref="I39:I46" si="15">SUM(C39:F39)</f>
        <v>2128</v>
      </c>
      <c r="J39" s="20">
        <f>+(C39*C$36)+(D39*D$37)+(E39*E$36)+(F39*F$36)+(G39*G$36)+(H39*H$36)</f>
        <v>4212.4500000000007</v>
      </c>
      <c r="K39" s="21">
        <v>7.9000000000000001E-2</v>
      </c>
      <c r="L39" s="20">
        <f t="shared" si="12"/>
        <v>332.78355000000005</v>
      </c>
      <c r="M39" s="22">
        <f t="shared" si="13"/>
        <v>4545.2335500000008</v>
      </c>
      <c r="N39" s="19">
        <f t="shared" si="14"/>
        <v>2632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1854</v>
      </c>
      <c r="E40" s="17">
        <v>669</v>
      </c>
      <c r="F40" s="17">
        <v>1365</v>
      </c>
      <c r="G40" s="17">
        <v>5</v>
      </c>
      <c r="H40" s="18">
        <v>13</v>
      </c>
      <c r="I40" s="19">
        <f t="shared" si="15"/>
        <v>3890</v>
      </c>
      <c r="J40" s="20">
        <f>+(C40*C$36)+(D40*D$36)+(E40*E$36)+(F40*F$36)+(G40*G$36)+(H40*H$36)</f>
        <v>4334.3500000000004</v>
      </c>
      <c r="K40" s="21">
        <v>8.2000000000000003E-2</v>
      </c>
      <c r="L40" s="20">
        <f t="shared" si="12"/>
        <v>355.41670000000005</v>
      </c>
      <c r="M40" s="22">
        <f t="shared" si="13"/>
        <v>4689.7667000000001</v>
      </c>
      <c r="N40" s="19">
        <f t="shared" si="14"/>
        <v>3908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28</v>
      </c>
      <c r="E41" s="17">
        <v>2019</v>
      </c>
      <c r="F41" s="17">
        <v>9</v>
      </c>
      <c r="G41" s="17">
        <v>1</v>
      </c>
      <c r="H41" s="18">
        <v>45</v>
      </c>
      <c r="I41" s="19">
        <f t="shared" si="15"/>
        <v>2056</v>
      </c>
      <c r="J41" s="20">
        <f>+(C41*C$36)+(D41*D$36)+(E41*E$36)+(F41*F$36)+(G41*G$36)+(H41*H$36)</f>
        <v>2408.3500000000004</v>
      </c>
      <c r="K41" s="21">
        <v>8.1000000000000003E-2</v>
      </c>
      <c r="L41" s="20">
        <f t="shared" si="12"/>
        <v>195.07635000000005</v>
      </c>
      <c r="M41" s="22">
        <f t="shared" si="13"/>
        <v>2603.4263500000006</v>
      </c>
      <c r="N41" s="19">
        <f t="shared" si="14"/>
        <v>2102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505</v>
      </c>
      <c r="E42" s="17">
        <v>590</v>
      </c>
      <c r="F42" s="17">
        <v>539</v>
      </c>
      <c r="G42" s="17">
        <v>3</v>
      </c>
      <c r="H42" s="18">
        <v>3</v>
      </c>
      <c r="I42" s="19">
        <f t="shared" si="15"/>
        <v>1634</v>
      </c>
      <c r="J42" s="20">
        <f>+(C42*C$36)+(D42*D$36)+(E42*E$36)+(G42*G$36)+(H42*H$36)+(F42*F$36)</f>
        <v>1815.25</v>
      </c>
      <c r="K42" s="21">
        <v>7.9000000000000001E-2</v>
      </c>
      <c r="L42" s="20">
        <f t="shared" si="12"/>
        <v>143.40475000000001</v>
      </c>
      <c r="M42" s="22">
        <f t="shared" si="13"/>
        <v>1958.6547499999999</v>
      </c>
      <c r="N42" s="19">
        <f t="shared" si="14"/>
        <v>1640</v>
      </c>
    </row>
    <row r="43" spans="1:14" x14ac:dyDescent="0.25">
      <c r="A43" s="16" t="s">
        <v>54</v>
      </c>
      <c r="B43" t="s">
        <v>55</v>
      </c>
      <c r="C43" s="17">
        <v>86</v>
      </c>
      <c r="D43" s="17">
        <v>349</v>
      </c>
      <c r="E43" s="17">
        <v>603</v>
      </c>
      <c r="F43" s="17">
        <v>0</v>
      </c>
      <c r="G43" s="17">
        <v>0</v>
      </c>
      <c r="H43" s="18">
        <v>23</v>
      </c>
      <c r="I43" s="19">
        <f t="shared" ref="I43" si="16">SUM(C43:F43)</f>
        <v>1038</v>
      </c>
      <c r="J43" s="20">
        <f>+(C43*C$36)+(D43*D$36)+(E43*E$36)+(F43*F$36)+(G43*G$36)+(H43*H$36)</f>
        <v>1215.4000000000001</v>
      </c>
      <c r="K43" s="21">
        <v>7.9000000000000001E-2</v>
      </c>
      <c r="L43" s="20">
        <f t="shared" si="12"/>
        <v>96.016600000000011</v>
      </c>
      <c r="M43" s="22">
        <f t="shared" si="13"/>
        <v>1311.4166</v>
      </c>
      <c r="N43" s="19">
        <f t="shared" si="14"/>
        <v>1061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5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2"/>
        <v>0</v>
      </c>
      <c r="M44" s="22">
        <f t="shared" si="13"/>
        <v>0</v>
      </c>
      <c r="N44" s="19">
        <f t="shared" si="14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5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2"/>
        <v>0.34760000000000002</v>
      </c>
      <c r="M45" s="22">
        <f t="shared" si="13"/>
        <v>4.7476000000000003</v>
      </c>
      <c r="N45" s="19">
        <f t="shared" si="14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3</v>
      </c>
      <c r="I46" s="19">
        <f t="shared" si="15"/>
        <v>4</v>
      </c>
      <c r="J46" s="20">
        <f>+(C46*C$36)+(D46*D$36)+(E46*E$36)+(G46*G$36)+(H46*H$36)+(F46*F$36)</f>
        <v>16.75</v>
      </c>
      <c r="K46" s="21">
        <v>7.9000000000000001E-2</v>
      </c>
      <c r="L46" s="20">
        <f t="shared" si="12"/>
        <v>1.32325</v>
      </c>
      <c r="M46" s="22">
        <f t="shared" si="13"/>
        <v>18.073250000000002</v>
      </c>
      <c r="N46" s="19">
        <f t="shared" si="14"/>
        <v>8</v>
      </c>
    </row>
    <row r="47" spans="1:14" x14ac:dyDescent="0.25">
      <c r="A47" s="16"/>
      <c r="B47" s="37" t="s">
        <v>61</v>
      </c>
      <c r="C47" s="26">
        <v>267</v>
      </c>
      <c r="D47" s="26">
        <v>3406</v>
      </c>
      <c r="E47" s="26">
        <v>5175</v>
      </c>
      <c r="F47" s="26">
        <v>1913</v>
      </c>
      <c r="G47" s="26">
        <v>40</v>
      </c>
      <c r="H47" s="26">
        <v>672</v>
      </c>
      <c r="I47" s="26">
        <f>SUM(I38:I46)</f>
        <v>10761</v>
      </c>
      <c r="J47" s="43">
        <f t="shared" ref="J47" si="17">SUM(J38:J46)</f>
        <v>14363.9</v>
      </c>
      <c r="K47" s="2"/>
      <c r="L47" s="44">
        <f>SUM(L38:L46)</f>
        <v>1152.5678499999999</v>
      </c>
      <c r="M47" s="44">
        <f>SUM(M38:M46)</f>
        <v>15516.467850000003</v>
      </c>
      <c r="N47" s="26">
        <f t="shared" si="14"/>
        <v>11473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183</v>
      </c>
      <c r="D52" s="17">
        <v>1180</v>
      </c>
      <c r="E52" s="17">
        <v>2551</v>
      </c>
      <c r="F52" s="45">
        <v>0</v>
      </c>
      <c r="G52" s="17">
        <v>1</v>
      </c>
      <c r="H52" s="18">
        <v>197</v>
      </c>
      <c r="I52" s="19">
        <f t="shared" ref="I52:I57" si="18">SUM(C52:F52)</f>
        <v>3914</v>
      </c>
      <c r="J52" s="20">
        <f>+(C52*C$50)+(D52*D$50)+(E52*E$50)+(G52*G$50)+(H52*H$50)+(F52*F$51)</f>
        <v>6430.9500000000007</v>
      </c>
      <c r="K52" s="21">
        <v>8.1000000000000003E-2</v>
      </c>
      <c r="L52" s="20">
        <f t="shared" ref="L52:L57" si="19">+J52*K52</f>
        <v>520.90695000000005</v>
      </c>
      <c r="M52" s="22">
        <f t="shared" ref="M52:M57" si="20">+J52+L52</f>
        <v>6951.8569500000012</v>
      </c>
      <c r="N52" s="19">
        <f t="shared" ref="N52:N58" si="21">+I52+H52+G52</f>
        <v>4112</v>
      </c>
    </row>
    <row r="53" spans="1:14" x14ac:dyDescent="0.25">
      <c r="A53" s="16" t="s">
        <v>65</v>
      </c>
      <c r="B53" t="s">
        <v>66</v>
      </c>
      <c r="C53" s="17">
        <v>6</v>
      </c>
      <c r="D53" s="17">
        <v>84</v>
      </c>
      <c r="E53" s="17">
        <v>204</v>
      </c>
      <c r="F53" s="17">
        <v>0</v>
      </c>
      <c r="G53" s="17">
        <v>0</v>
      </c>
      <c r="H53" s="18">
        <v>68</v>
      </c>
      <c r="I53" s="19">
        <f t="shared" si="18"/>
        <v>294</v>
      </c>
      <c r="J53" s="20">
        <f>+(C53*C$50)+(D53*D$50)+(E53*E$50)+(G53*G$50)+(H53*H$50)+(F53*F$51)</f>
        <v>656.2</v>
      </c>
      <c r="K53" s="21">
        <v>8.1000000000000003E-2</v>
      </c>
      <c r="L53" s="20">
        <f t="shared" si="19"/>
        <v>53.152200000000008</v>
      </c>
      <c r="M53" s="22">
        <f t="shared" si="20"/>
        <v>709.35220000000004</v>
      </c>
      <c r="N53" s="19">
        <f t="shared" si="21"/>
        <v>362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8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9"/>
        <v>0</v>
      </c>
      <c r="M54" s="22">
        <f t="shared" si="20"/>
        <v>0</v>
      </c>
      <c r="N54" s="19">
        <f t="shared" si="21"/>
        <v>0</v>
      </c>
    </row>
    <row r="55" spans="1:14" x14ac:dyDescent="0.25">
      <c r="A55" s="16" t="s">
        <v>68</v>
      </c>
      <c r="B55" t="s">
        <v>69</v>
      </c>
      <c r="C55" s="17">
        <v>247</v>
      </c>
      <c r="D55" s="17">
        <v>1397</v>
      </c>
      <c r="E55" s="17">
        <v>1318</v>
      </c>
      <c r="F55" s="45">
        <v>665</v>
      </c>
      <c r="G55" s="17">
        <v>0</v>
      </c>
      <c r="H55" s="18">
        <v>15</v>
      </c>
      <c r="I55" s="19">
        <f t="shared" si="18"/>
        <v>3627</v>
      </c>
      <c r="J55" s="20">
        <f>+(C55*C$50)+(D55*D$50)+(E55*E$50)+(G55*G$50)+(H55*H$50)+(F55*F$51)</f>
        <v>5389.7</v>
      </c>
      <c r="K55" s="21">
        <v>8.6999999999999994E-2</v>
      </c>
      <c r="L55" s="20">
        <f t="shared" si="19"/>
        <v>468.90389999999996</v>
      </c>
      <c r="M55" s="22">
        <f t="shared" si="20"/>
        <v>5858.6039000000001</v>
      </c>
      <c r="N55" s="19">
        <f t="shared" si="21"/>
        <v>3642</v>
      </c>
    </row>
    <row r="56" spans="1:14" x14ac:dyDescent="0.25">
      <c r="A56" s="16" t="s">
        <v>70</v>
      </c>
      <c r="B56" t="s">
        <v>71</v>
      </c>
      <c r="C56" s="17">
        <v>28</v>
      </c>
      <c r="D56" s="17">
        <v>108</v>
      </c>
      <c r="E56" s="17">
        <v>287</v>
      </c>
      <c r="F56" s="17">
        <v>0</v>
      </c>
      <c r="G56" s="17">
        <v>0</v>
      </c>
      <c r="H56" s="18">
        <v>2</v>
      </c>
      <c r="I56" s="19">
        <f t="shared" si="18"/>
        <v>423</v>
      </c>
      <c r="J56" s="20">
        <f>+(C56*C$50)+(D56*D$50)+(E56*E$50)+(G56*G$50)+(H56*H$50)+(F56*F$51)</f>
        <v>629.69999999999993</v>
      </c>
      <c r="K56" s="21">
        <v>8.8999999999999996E-2</v>
      </c>
      <c r="L56" s="20">
        <f t="shared" si="19"/>
        <v>56.043299999999988</v>
      </c>
      <c r="M56" s="22">
        <f t="shared" si="20"/>
        <v>685.74329999999986</v>
      </c>
      <c r="N56" s="19">
        <f t="shared" si="21"/>
        <v>425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9825</v>
      </c>
      <c r="G57" s="17">
        <v>0</v>
      </c>
      <c r="H57" s="18">
        <v>0</v>
      </c>
      <c r="I57" s="19">
        <f t="shared" si="18"/>
        <v>9826</v>
      </c>
      <c r="J57" s="20">
        <f>+(C57*C$50)+(D57*D$50)+(E57*E$50)+(G57*G$50)+(H57*H$50)+(F57*F$50)</f>
        <v>6879</v>
      </c>
      <c r="K57" s="21">
        <v>8.8999999999999996E-2</v>
      </c>
      <c r="L57" s="20">
        <f t="shared" si="19"/>
        <v>612.23099999999999</v>
      </c>
      <c r="M57" s="22">
        <f t="shared" si="20"/>
        <v>7491.2309999999998</v>
      </c>
      <c r="N57" s="19">
        <f t="shared" si="21"/>
        <v>9826</v>
      </c>
    </row>
    <row r="58" spans="1:14" x14ac:dyDescent="0.25">
      <c r="A58" s="16"/>
      <c r="B58" s="37" t="s">
        <v>73</v>
      </c>
      <c r="C58" s="26">
        <f>SUM(C52:C57)</f>
        <v>464</v>
      </c>
      <c r="D58" s="26">
        <f t="shared" ref="D58:G58" si="22">SUM(D52:D57)</f>
        <v>2770</v>
      </c>
      <c r="E58" s="26">
        <f t="shared" si="22"/>
        <v>4360</v>
      </c>
      <c r="F58" s="26">
        <f t="shared" si="22"/>
        <v>10490</v>
      </c>
      <c r="G58" s="26">
        <f t="shared" si="22"/>
        <v>1</v>
      </c>
      <c r="H58" s="26">
        <f>SUM(H52:H57)</f>
        <v>282</v>
      </c>
      <c r="I58" s="26">
        <f>SUM(I52:I57)</f>
        <v>18084</v>
      </c>
      <c r="J58" s="43">
        <f>SUM(J52:J57)</f>
        <v>19985.550000000003</v>
      </c>
      <c r="K58" s="2"/>
      <c r="L58" s="44">
        <f>SUM(L52:L57)</f>
        <v>1711.2373500000001</v>
      </c>
      <c r="M58" s="44">
        <f>SUM(M52:M57)</f>
        <v>21696.787349999999</v>
      </c>
      <c r="N58" s="26">
        <f t="shared" si="21"/>
        <v>18367</v>
      </c>
    </row>
    <row r="60" spans="1:14" x14ac:dyDescent="0.25">
      <c r="B60" s="46" t="s">
        <v>74</v>
      </c>
      <c r="C60" s="33">
        <f t="shared" ref="C60:G60" si="23">+C25+C32+C47+C58</f>
        <v>749</v>
      </c>
      <c r="D60" s="33">
        <f t="shared" si="23"/>
        <v>7400</v>
      </c>
      <c r="E60" s="33">
        <f t="shared" si="23"/>
        <v>55556</v>
      </c>
      <c r="F60" s="33">
        <f t="shared" si="23"/>
        <v>12403</v>
      </c>
      <c r="G60" s="33">
        <f t="shared" si="23"/>
        <v>41</v>
      </c>
      <c r="H60" s="33">
        <f>+H25+H32+H47+H58</f>
        <v>1094</v>
      </c>
      <c r="I60" s="33">
        <f>+I25+I32+I47+I58</f>
        <v>76108</v>
      </c>
      <c r="J60" s="35">
        <f>+J25+J32+J47+J58</f>
        <v>105649.95</v>
      </c>
      <c r="L60" s="15">
        <f>+L25+L32+L47+L58</f>
        <v>8885.6654999999992</v>
      </c>
      <c r="M60" s="15">
        <f>+M25+M32+M47+M58</f>
        <v>114535.6155</v>
      </c>
    </row>
    <row r="61" spans="1:14" x14ac:dyDescent="0.25">
      <c r="H61" t="s">
        <v>10</v>
      </c>
      <c r="I61" s="19">
        <f>+I60+H60+G60</f>
        <v>77243</v>
      </c>
    </row>
    <row r="62" spans="1:14" x14ac:dyDescent="0.25">
      <c r="H62" t="s">
        <v>75</v>
      </c>
      <c r="I62" s="17">
        <f>+[7]CanData!N1</f>
        <v>81150</v>
      </c>
    </row>
    <row r="63" spans="1:14" x14ac:dyDescent="0.25">
      <c r="H63" s="46" t="s">
        <v>76</v>
      </c>
      <c r="I63" s="19">
        <f>+I62-I61</f>
        <v>3907</v>
      </c>
    </row>
    <row r="64" spans="1:14" x14ac:dyDescent="0.25">
      <c r="E64" t="s">
        <v>77</v>
      </c>
      <c r="H64" s="46" t="s">
        <v>78</v>
      </c>
      <c r="I64" s="19">
        <f>+[7]CanData!P1</f>
        <v>3175</v>
      </c>
    </row>
    <row r="65" spans="8:10" x14ac:dyDescent="0.25">
      <c r="H65" s="46" t="s">
        <v>76</v>
      </c>
      <c r="I65" s="50">
        <f>+I63-I64</f>
        <v>732</v>
      </c>
      <c r="J65" s="2" t="s">
        <v>80</v>
      </c>
    </row>
  </sheetData>
  <mergeCells count="1">
    <mergeCell ref="C5:H5"/>
  </mergeCells>
  <pageMargins left="0.2" right="0.2" top="0.25" bottom="0.25" header="0.3" footer="0.3"/>
  <pageSetup scale="75" orientation="portrait" r:id="rId1"/>
  <headerFooter>
    <oddHeader>&amp;RPrinted: &amp;D &amp;T</oddHeader>
    <oddFooter>&amp;C&amp;Z&amp;F&amp;RTab: 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workbookViewId="0">
      <selection activeCell="E18" sqref="E18"/>
    </sheetView>
  </sheetViews>
  <sheetFormatPr defaultRowHeight="15" x14ac:dyDescent="0.25"/>
  <cols>
    <col min="1" max="1" width="5.42578125" style="1" customWidth="1"/>
    <col min="2" max="2" width="24" customWidth="1"/>
    <col min="3" max="4" width="8.7109375" bestFit="1" customWidth="1"/>
    <col min="5" max="6" width="8" bestFit="1" customWidth="1"/>
    <col min="7" max="7" width="8.7109375" bestFit="1" customWidth="1"/>
    <col min="8" max="8" width="10.28515625" customWidth="1"/>
    <col min="9" max="9" width="10.5703125" bestFit="1" customWidth="1"/>
    <col min="10" max="10" width="12.42578125" customWidth="1"/>
    <col min="12" max="12" width="10.5703125" bestFit="1" customWidth="1"/>
    <col min="13" max="13" width="12.5703125" customWidth="1"/>
    <col min="15" max="15" width="8" bestFit="1" customWidth="1"/>
  </cols>
  <sheetData>
    <row r="1" spans="1:14" x14ac:dyDescent="0.25">
      <c r="B1" s="2" t="s">
        <v>0</v>
      </c>
    </row>
    <row r="2" spans="1:14" x14ac:dyDescent="0.25">
      <c r="B2" s="2" t="s">
        <v>1</v>
      </c>
    </row>
    <row r="3" spans="1:14" x14ac:dyDescent="0.25">
      <c r="B3" t="s">
        <v>2</v>
      </c>
    </row>
    <row r="4" spans="1:14" ht="15.75" thickBot="1" x14ac:dyDescent="0.3">
      <c r="B4" s="3" t="str">
        <f>+'[8]PT Rev JE 03'!A3</f>
        <v>Feb 2016</v>
      </c>
    </row>
    <row r="5" spans="1:14" ht="15.75" thickBot="1" x14ac:dyDescent="0.3">
      <c r="B5" s="4"/>
      <c r="C5" s="59" t="s">
        <v>3</v>
      </c>
      <c r="D5" s="60"/>
      <c r="E5" s="60"/>
      <c r="F5" s="60"/>
      <c r="G5" s="60"/>
      <c r="H5" s="61"/>
    </row>
    <row r="6" spans="1:14" ht="15.75" thickBot="1" x14ac:dyDescent="0.3">
      <c r="B6" s="4"/>
      <c r="C6" s="5">
        <v>32</v>
      </c>
      <c r="D6" s="6">
        <v>64</v>
      </c>
      <c r="E6" s="6">
        <v>96</v>
      </c>
      <c r="F6" s="6" t="s">
        <v>4</v>
      </c>
      <c r="G6" s="6">
        <v>220</v>
      </c>
      <c r="H6" s="7">
        <v>300</v>
      </c>
      <c r="I6" s="8" t="s">
        <v>5</v>
      </c>
      <c r="J6" s="9" t="s">
        <v>6</v>
      </c>
      <c r="K6" s="9" t="s">
        <v>7</v>
      </c>
      <c r="L6" s="10" t="s">
        <v>8</v>
      </c>
      <c r="M6" s="10" t="s">
        <v>9</v>
      </c>
      <c r="N6" s="11" t="s">
        <v>10</v>
      </c>
    </row>
    <row r="7" spans="1:14" x14ac:dyDescent="0.25">
      <c r="B7" s="13" t="s">
        <v>12</v>
      </c>
      <c r="H7" s="14">
        <v>2.9</v>
      </c>
      <c r="I7" s="15">
        <v>1.5</v>
      </c>
    </row>
    <row r="8" spans="1:14" x14ac:dyDescent="0.25">
      <c r="A8" s="16" t="s">
        <v>13</v>
      </c>
      <c r="B8" t="s">
        <v>14</v>
      </c>
      <c r="C8" s="17">
        <v>3</v>
      </c>
      <c r="D8" s="17">
        <v>139</v>
      </c>
      <c r="E8" s="17">
        <v>857</v>
      </c>
      <c r="F8" s="17">
        <v>0</v>
      </c>
      <c r="G8" s="17">
        <v>0</v>
      </c>
      <c r="H8" s="18">
        <v>3</v>
      </c>
      <c r="I8" s="19">
        <f>SUM(C8:E8)</f>
        <v>999</v>
      </c>
      <c r="J8" s="20">
        <f>+(H8*H$7)+(I8*I$7)</f>
        <v>1507.2</v>
      </c>
      <c r="K8" s="21">
        <v>0.08</v>
      </c>
      <c r="L8" s="20">
        <f>+J8*K8</f>
        <v>120.57600000000001</v>
      </c>
      <c r="M8" s="22">
        <f>+J8+L8</f>
        <v>1627.7760000000001</v>
      </c>
      <c r="N8" s="19">
        <f>+I8+H8+G8</f>
        <v>1002</v>
      </c>
    </row>
    <row r="9" spans="1:14" x14ac:dyDescent="0.25">
      <c r="A9" s="16" t="s">
        <v>15</v>
      </c>
      <c r="B9" s="4" t="s">
        <v>16</v>
      </c>
      <c r="C9" s="17">
        <v>9</v>
      </c>
      <c r="D9" s="17">
        <v>422</v>
      </c>
      <c r="E9" s="17">
        <v>2568</v>
      </c>
      <c r="F9" s="17">
        <v>0</v>
      </c>
      <c r="G9" s="17">
        <v>0</v>
      </c>
      <c r="H9" s="18">
        <v>35</v>
      </c>
      <c r="I9" s="19">
        <f>SUM(C9:E9)</f>
        <v>2999</v>
      </c>
      <c r="J9" s="20">
        <f>+(H9*H$7)+(I9*I$7)</f>
        <v>4600</v>
      </c>
      <c r="K9" s="21">
        <v>0.08</v>
      </c>
      <c r="L9" s="20">
        <f>+J9*K9</f>
        <v>368</v>
      </c>
      <c r="M9" s="22">
        <f>+J9+L9</f>
        <v>4968</v>
      </c>
      <c r="N9" s="19">
        <f>+I9+H9+G9</f>
        <v>3034</v>
      </c>
    </row>
    <row r="10" spans="1:14" x14ac:dyDescent="0.25">
      <c r="A10" s="16" t="s">
        <v>17</v>
      </c>
      <c r="B10" s="4" t="s">
        <v>18</v>
      </c>
      <c r="C10" s="17">
        <v>3</v>
      </c>
      <c r="D10" s="17">
        <v>153</v>
      </c>
      <c r="E10" s="17">
        <v>1229</v>
      </c>
      <c r="F10" s="17">
        <v>0</v>
      </c>
      <c r="G10" s="17">
        <v>0</v>
      </c>
      <c r="H10" s="18">
        <v>7</v>
      </c>
      <c r="I10" s="19">
        <f>SUM(C10:E10)</f>
        <v>1385</v>
      </c>
      <c r="J10" s="20">
        <f>+(H10*H$7)+(I10*I$7)</f>
        <v>2097.8000000000002</v>
      </c>
      <c r="K10" s="21">
        <v>8.1000000000000003E-2</v>
      </c>
      <c r="L10" s="20">
        <f>+J10*K10</f>
        <v>169.92180000000002</v>
      </c>
      <c r="M10" s="22">
        <f>+J10+L10</f>
        <v>2267.7218000000003</v>
      </c>
      <c r="N10" s="19">
        <f>+I10+H10+G10</f>
        <v>1392</v>
      </c>
    </row>
    <row r="11" spans="1:14" x14ac:dyDescent="0.25">
      <c r="C11" s="23">
        <v>15</v>
      </c>
      <c r="D11" s="23">
        <v>714</v>
      </c>
      <c r="E11" s="23">
        <v>4654</v>
      </c>
      <c r="F11" s="23">
        <v>0</v>
      </c>
      <c r="G11" s="23">
        <v>0</v>
      </c>
      <c r="H11" s="24">
        <v>45</v>
      </c>
      <c r="I11" s="23">
        <f>SUM(I8:I10)</f>
        <v>5383</v>
      </c>
      <c r="J11" s="25">
        <f t="shared" ref="J11" si="0">SUM(J8:J10)</f>
        <v>8205</v>
      </c>
      <c r="K11" s="21"/>
      <c r="L11" s="25">
        <f>SUM(L8:L10)</f>
        <v>658.4978000000001</v>
      </c>
      <c r="M11" s="25">
        <f>SUM(M8:M10)</f>
        <v>8863.497800000001</v>
      </c>
      <c r="N11" s="26">
        <f>+I11+H11+G11</f>
        <v>5428</v>
      </c>
    </row>
    <row r="12" spans="1:14" x14ac:dyDescent="0.25">
      <c r="H12" s="27"/>
      <c r="K12" s="21"/>
    </row>
    <row r="13" spans="1:14" x14ac:dyDescent="0.25">
      <c r="A13" s="16" t="s">
        <v>19</v>
      </c>
      <c r="B13" s="4" t="s">
        <v>20</v>
      </c>
      <c r="C13" s="17">
        <v>2</v>
      </c>
      <c r="D13" s="17">
        <v>117</v>
      </c>
      <c r="E13" s="17">
        <v>24581</v>
      </c>
      <c r="F13" s="17">
        <v>0</v>
      </c>
      <c r="G13" s="17">
        <v>0</v>
      </c>
      <c r="H13" s="18">
        <v>0</v>
      </c>
      <c r="I13" s="19">
        <f t="shared" ref="I13:I22" si="1">SUM(C13:E13)</f>
        <v>24700</v>
      </c>
      <c r="J13" s="20">
        <f t="shared" ref="J13:J21" si="2">+(H13*H$7)+(I13*I$7)</f>
        <v>37050</v>
      </c>
      <c r="K13" s="21">
        <v>8.5999999999999993E-2</v>
      </c>
      <c r="L13" s="20">
        <f t="shared" ref="L13:L21" si="3">+J13*K13</f>
        <v>3186.2999999999997</v>
      </c>
      <c r="M13" s="22">
        <f t="shared" ref="M13:M21" si="4">+J13+L13</f>
        <v>40236.300000000003</v>
      </c>
      <c r="N13" s="19">
        <f t="shared" ref="N13:N21" si="5">+I13+H13+G13</f>
        <v>24700</v>
      </c>
    </row>
    <row r="14" spans="1:14" x14ac:dyDescent="0.25">
      <c r="A14" s="16" t="s">
        <v>21</v>
      </c>
      <c r="B14" t="s">
        <v>22</v>
      </c>
      <c r="C14" s="17">
        <v>0</v>
      </c>
      <c r="D14" s="17">
        <v>7</v>
      </c>
      <c r="E14" s="17">
        <v>95</v>
      </c>
      <c r="F14" s="17">
        <v>0</v>
      </c>
      <c r="G14" s="17">
        <v>0</v>
      </c>
      <c r="H14" s="18">
        <v>0</v>
      </c>
      <c r="I14" s="19">
        <f t="shared" si="1"/>
        <v>102</v>
      </c>
      <c r="J14" s="20">
        <f t="shared" si="2"/>
        <v>153</v>
      </c>
      <c r="K14" s="21">
        <v>8.5999999999999993E-2</v>
      </c>
      <c r="L14" s="20">
        <f t="shared" si="3"/>
        <v>13.157999999999999</v>
      </c>
      <c r="M14" s="22">
        <f t="shared" si="4"/>
        <v>166.15799999999999</v>
      </c>
      <c r="N14" s="19">
        <f t="shared" si="5"/>
        <v>102</v>
      </c>
    </row>
    <row r="15" spans="1:14" x14ac:dyDescent="0.25">
      <c r="A15" s="16" t="s">
        <v>23</v>
      </c>
      <c r="B15" t="s">
        <v>24</v>
      </c>
      <c r="C15" s="17">
        <v>0</v>
      </c>
      <c r="D15" s="17">
        <v>0</v>
      </c>
      <c r="E15" s="17">
        <v>913</v>
      </c>
      <c r="F15" s="17">
        <v>0</v>
      </c>
      <c r="G15" s="17">
        <v>0</v>
      </c>
      <c r="H15" s="18">
        <v>5</v>
      </c>
      <c r="I15" s="19">
        <f t="shared" si="1"/>
        <v>913</v>
      </c>
      <c r="J15" s="20">
        <f>+(H15*H$7)+(I15*I$7)</f>
        <v>1384</v>
      </c>
      <c r="K15" s="21">
        <v>0.08</v>
      </c>
      <c r="L15" s="20">
        <f t="shared" si="3"/>
        <v>110.72</v>
      </c>
      <c r="M15" s="22">
        <f t="shared" si="4"/>
        <v>1494.72</v>
      </c>
      <c r="N15" s="19">
        <f t="shared" si="5"/>
        <v>918</v>
      </c>
    </row>
    <row r="16" spans="1:14" x14ac:dyDescent="0.25">
      <c r="A16" s="16" t="s">
        <v>25</v>
      </c>
      <c r="B16" s="28" t="s">
        <v>26</v>
      </c>
      <c r="C16" s="17">
        <v>0</v>
      </c>
      <c r="D16" s="17">
        <v>1</v>
      </c>
      <c r="E16" s="17">
        <v>1108</v>
      </c>
      <c r="F16" s="17">
        <v>0</v>
      </c>
      <c r="G16" s="17">
        <v>0</v>
      </c>
      <c r="H16" s="18">
        <v>38</v>
      </c>
      <c r="I16" s="19">
        <f t="shared" si="1"/>
        <v>1109</v>
      </c>
      <c r="J16" s="20">
        <f t="shared" si="2"/>
        <v>1773.7</v>
      </c>
      <c r="K16" s="21">
        <v>8.1000000000000003E-2</v>
      </c>
      <c r="L16" s="20">
        <f t="shared" si="3"/>
        <v>143.66970000000001</v>
      </c>
      <c r="M16" s="22">
        <f t="shared" si="4"/>
        <v>1917.3697</v>
      </c>
      <c r="N16" s="19">
        <f t="shared" si="5"/>
        <v>1147</v>
      </c>
    </row>
    <row r="17" spans="1:16" x14ac:dyDescent="0.25">
      <c r="A17" s="16">
        <v>10</v>
      </c>
      <c r="B17" s="28" t="s">
        <v>27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8">
        <v>0</v>
      </c>
      <c r="I17" s="19">
        <f t="shared" si="1"/>
        <v>40</v>
      </c>
      <c r="J17" s="20">
        <f t="shared" si="2"/>
        <v>60</v>
      </c>
      <c r="K17" s="21">
        <v>7.6999999999999999E-2</v>
      </c>
      <c r="L17" s="20">
        <f t="shared" si="3"/>
        <v>4.62</v>
      </c>
      <c r="M17" s="22">
        <f t="shared" si="4"/>
        <v>64.62</v>
      </c>
      <c r="N17" s="19">
        <f t="shared" si="5"/>
        <v>40</v>
      </c>
    </row>
    <row r="18" spans="1:16" x14ac:dyDescent="0.25">
      <c r="A18" s="16" t="s">
        <v>28</v>
      </c>
      <c r="B18" s="28" t="s">
        <v>29</v>
      </c>
      <c r="C18" s="17">
        <v>0</v>
      </c>
      <c r="D18" s="17">
        <v>0</v>
      </c>
      <c r="E18" s="17">
        <v>82</v>
      </c>
      <c r="F18" s="17">
        <v>0</v>
      </c>
      <c r="G18" s="17">
        <v>0</v>
      </c>
      <c r="H18" s="18">
        <v>7</v>
      </c>
      <c r="I18" s="19">
        <f t="shared" si="1"/>
        <v>82</v>
      </c>
      <c r="J18" s="20">
        <f t="shared" si="2"/>
        <v>143.30000000000001</v>
      </c>
      <c r="K18" s="21">
        <v>0.08</v>
      </c>
      <c r="L18" s="20">
        <f t="shared" si="3"/>
        <v>11.464</v>
      </c>
      <c r="M18" s="22">
        <f t="shared" si="4"/>
        <v>154.76400000000001</v>
      </c>
      <c r="N18" s="19">
        <f t="shared" si="5"/>
        <v>89</v>
      </c>
    </row>
    <row r="19" spans="1:16" x14ac:dyDescent="0.25">
      <c r="A19" s="16" t="s">
        <v>30</v>
      </c>
      <c r="B19" s="28" t="s">
        <v>31</v>
      </c>
      <c r="C19" s="17">
        <v>0</v>
      </c>
      <c r="D19" s="17">
        <v>1</v>
      </c>
      <c r="E19" s="17">
        <v>134</v>
      </c>
      <c r="F19" s="17">
        <v>0</v>
      </c>
      <c r="G19" s="17">
        <v>0</v>
      </c>
      <c r="H19" s="18">
        <v>0</v>
      </c>
      <c r="I19" s="19">
        <f t="shared" si="1"/>
        <v>135</v>
      </c>
      <c r="J19" s="20">
        <f t="shared" si="2"/>
        <v>202.5</v>
      </c>
      <c r="K19" s="21">
        <v>0.08</v>
      </c>
      <c r="L19" s="20">
        <f t="shared" si="3"/>
        <v>16.2</v>
      </c>
      <c r="M19" s="22">
        <f t="shared" si="4"/>
        <v>218.7</v>
      </c>
      <c r="N19" s="19">
        <f t="shared" si="5"/>
        <v>135</v>
      </c>
    </row>
    <row r="20" spans="1:16" x14ac:dyDescent="0.25">
      <c r="A20" s="16" t="s">
        <v>32</v>
      </c>
      <c r="B20" s="28" t="s">
        <v>33</v>
      </c>
      <c r="C20" s="17">
        <v>0</v>
      </c>
      <c r="D20" s="17">
        <v>38</v>
      </c>
      <c r="E20" s="17">
        <v>2106</v>
      </c>
      <c r="F20" s="17">
        <v>0</v>
      </c>
      <c r="G20" s="17">
        <v>0</v>
      </c>
      <c r="H20" s="18">
        <v>2</v>
      </c>
      <c r="I20" s="19">
        <f t="shared" si="1"/>
        <v>2144</v>
      </c>
      <c r="J20" s="20">
        <f t="shared" si="2"/>
        <v>3221.8</v>
      </c>
      <c r="K20" s="21">
        <v>8.5999999999999993E-2</v>
      </c>
      <c r="L20" s="20">
        <f t="shared" si="3"/>
        <v>277.07479999999998</v>
      </c>
      <c r="M20" s="22">
        <f t="shared" si="4"/>
        <v>3498.8748000000001</v>
      </c>
      <c r="N20" s="19">
        <f t="shared" si="5"/>
        <v>2146</v>
      </c>
    </row>
    <row r="21" spans="1:16" x14ac:dyDescent="0.25">
      <c r="A21" s="16" t="s">
        <v>34</v>
      </c>
      <c r="B21" s="28" t="s">
        <v>35</v>
      </c>
      <c r="C21" s="17">
        <v>0</v>
      </c>
      <c r="D21" s="17">
        <v>0</v>
      </c>
      <c r="E21" s="17">
        <v>776</v>
      </c>
      <c r="F21" s="17">
        <v>0</v>
      </c>
      <c r="G21" s="17">
        <v>0</v>
      </c>
      <c r="H21" s="18">
        <v>9</v>
      </c>
      <c r="I21" s="19">
        <f t="shared" si="1"/>
        <v>776</v>
      </c>
      <c r="J21" s="20">
        <f t="shared" si="2"/>
        <v>1190.0999999999999</v>
      </c>
      <c r="K21" s="21">
        <v>8.2000000000000003E-2</v>
      </c>
      <c r="L21" s="20">
        <f t="shared" si="3"/>
        <v>97.588200000000001</v>
      </c>
      <c r="M21" s="22">
        <f t="shared" si="4"/>
        <v>1287.6881999999998</v>
      </c>
      <c r="N21" s="19">
        <f t="shared" si="5"/>
        <v>785</v>
      </c>
    </row>
    <row r="22" spans="1:16" x14ac:dyDescent="0.25">
      <c r="A22" s="16"/>
      <c r="H22" s="27"/>
      <c r="I22" s="19">
        <f t="shared" si="1"/>
        <v>0</v>
      </c>
      <c r="K22" s="21"/>
    </row>
    <row r="23" spans="1:16" x14ac:dyDescent="0.25">
      <c r="A23" s="16"/>
      <c r="C23" s="29">
        <v>2</v>
      </c>
      <c r="D23" s="29">
        <v>164</v>
      </c>
      <c r="E23" s="29">
        <v>29835</v>
      </c>
      <c r="F23" s="29"/>
      <c r="G23" s="29">
        <v>0</v>
      </c>
      <c r="H23" s="30">
        <v>61</v>
      </c>
      <c r="I23" s="31">
        <f>SUM(I13:I22)</f>
        <v>30001</v>
      </c>
      <c r="J23" s="25">
        <f>SUM(J13:J22)</f>
        <v>45178.400000000001</v>
      </c>
      <c r="K23" s="25"/>
      <c r="L23" s="25">
        <f>SUM(L13:L22)</f>
        <v>3860.794699999999</v>
      </c>
      <c r="M23" s="25">
        <f>SUM(M13:M22)</f>
        <v>49039.194700000007</v>
      </c>
      <c r="N23" s="26">
        <f>+I23+H23+G23</f>
        <v>30062</v>
      </c>
    </row>
    <row r="24" spans="1:16" ht="9" customHeight="1" x14ac:dyDescent="0.25">
      <c r="A24" s="16"/>
      <c r="H24" s="27"/>
      <c r="K24" s="21"/>
    </row>
    <row r="25" spans="1:16" x14ac:dyDescent="0.25">
      <c r="A25" s="16"/>
      <c r="B25" s="32" t="s">
        <v>36</v>
      </c>
      <c r="C25" s="33">
        <v>17</v>
      </c>
      <c r="D25" s="33">
        <v>878</v>
      </c>
      <c r="E25" s="33">
        <v>34489</v>
      </c>
      <c r="F25" s="33"/>
      <c r="G25" s="33">
        <v>0</v>
      </c>
      <c r="H25" s="34">
        <v>106</v>
      </c>
      <c r="I25" s="33">
        <f>+I23+I11</f>
        <v>35384</v>
      </c>
      <c r="J25" s="35">
        <f>+J11+J23</f>
        <v>53383.4</v>
      </c>
      <c r="K25" s="36"/>
      <c r="L25" s="15">
        <f>+L11+L23</f>
        <v>4519.2924999999996</v>
      </c>
      <c r="M25" s="15">
        <f>+M11+M23</f>
        <v>57902.692500000005</v>
      </c>
      <c r="N25" s="19">
        <f>+N11+N23</f>
        <v>35490</v>
      </c>
      <c r="O25" s="17">
        <f>+GETPIVOTDATA("CanCount",[8]Old_Can_Sort!$A$4,"CompanyDivision","BDI")</f>
        <v>35490</v>
      </c>
      <c r="P25" s="19">
        <f>+O25-N25</f>
        <v>0</v>
      </c>
    </row>
    <row r="26" spans="1:16" x14ac:dyDescent="0.25">
      <c r="A26" s="16"/>
    </row>
    <row r="27" spans="1:16" x14ac:dyDescent="0.25">
      <c r="A27" s="16"/>
      <c r="B27" s="32" t="s">
        <v>37</v>
      </c>
    </row>
    <row r="28" spans="1:16" x14ac:dyDescent="0.25">
      <c r="A28" s="16" t="s">
        <v>13</v>
      </c>
      <c r="B28" t="s">
        <v>38</v>
      </c>
      <c r="C28" s="17">
        <v>1</v>
      </c>
      <c r="D28" s="17">
        <v>271</v>
      </c>
      <c r="E28" s="17">
        <v>3852</v>
      </c>
      <c r="F28" s="17">
        <v>0</v>
      </c>
      <c r="G28" s="17">
        <v>0</v>
      </c>
      <c r="H28" s="18">
        <v>34</v>
      </c>
      <c r="I28" s="19">
        <f t="shared" ref="I28" si="6">SUM(C28:E28)</f>
        <v>4124</v>
      </c>
      <c r="J28" s="20">
        <f t="shared" ref="J28" si="7">+(H28*H$7)+(I28*I$7)</f>
        <v>6284.6</v>
      </c>
      <c r="K28" s="21">
        <v>0.08</v>
      </c>
      <c r="L28" s="20">
        <f t="shared" ref="L28:L31" si="8">+J28*K28</f>
        <v>502.76800000000003</v>
      </c>
      <c r="M28" s="22">
        <f t="shared" ref="M28:M31" si="9">+J28+L28</f>
        <v>6787.3680000000004</v>
      </c>
      <c r="N28" s="19">
        <f t="shared" ref="N28:N32" si="10">+I28+H28+G28</f>
        <v>4158</v>
      </c>
    </row>
    <row r="29" spans="1:16" x14ac:dyDescent="0.25">
      <c r="A29" s="16">
        <v>12</v>
      </c>
      <c r="B29" t="s">
        <v>39</v>
      </c>
      <c r="C29" s="17">
        <v>0</v>
      </c>
      <c r="D29" s="17">
        <v>0</v>
      </c>
      <c r="E29" s="17">
        <v>106</v>
      </c>
      <c r="F29" s="17">
        <v>0</v>
      </c>
      <c r="G29" s="17">
        <v>0</v>
      </c>
      <c r="H29" s="18">
        <v>0</v>
      </c>
      <c r="I29" s="19">
        <f t="shared" ref="I29:I31" si="11">SUM(C29:E29)</f>
        <v>106</v>
      </c>
      <c r="J29" s="20">
        <f>+(H29*H$7)+(I29*I$7)</f>
        <v>159</v>
      </c>
      <c r="K29" s="21">
        <v>8.5999999999999993E-2</v>
      </c>
      <c r="L29" s="20">
        <f t="shared" si="8"/>
        <v>13.673999999999999</v>
      </c>
      <c r="M29" s="22">
        <f t="shared" si="9"/>
        <v>172.67400000000001</v>
      </c>
      <c r="N29" s="19">
        <f t="shared" si="10"/>
        <v>106</v>
      </c>
    </row>
    <row r="30" spans="1:16" x14ac:dyDescent="0.25">
      <c r="A30" s="16">
        <v>14</v>
      </c>
      <c r="B30" t="s">
        <v>40</v>
      </c>
      <c r="C30" s="17">
        <v>0</v>
      </c>
      <c r="D30" s="17">
        <v>16</v>
      </c>
      <c r="E30" s="17">
        <v>1179</v>
      </c>
      <c r="F30" s="17">
        <v>0</v>
      </c>
      <c r="G30" s="17">
        <v>0</v>
      </c>
      <c r="H30" s="18">
        <v>0</v>
      </c>
      <c r="I30" s="19">
        <f t="shared" si="11"/>
        <v>1195</v>
      </c>
      <c r="J30" s="20">
        <f>+(H30*H$7)+(I30*I$7)</f>
        <v>1792.5</v>
      </c>
      <c r="K30" s="21">
        <v>8.5999999999999993E-2</v>
      </c>
      <c r="L30" s="20">
        <f t="shared" si="8"/>
        <v>154.155</v>
      </c>
      <c r="M30" s="22">
        <f t="shared" si="9"/>
        <v>1946.655</v>
      </c>
      <c r="N30" s="19">
        <f t="shared" si="10"/>
        <v>1195</v>
      </c>
    </row>
    <row r="31" spans="1:16" x14ac:dyDescent="0.25">
      <c r="A31" s="16">
        <v>13</v>
      </c>
      <c r="B31" t="s">
        <v>41</v>
      </c>
      <c r="C31" s="17">
        <v>0</v>
      </c>
      <c r="D31" s="17">
        <v>59</v>
      </c>
      <c r="E31" s="17">
        <v>6975</v>
      </c>
      <c r="F31" s="17">
        <v>0</v>
      </c>
      <c r="G31" s="17">
        <v>0</v>
      </c>
      <c r="H31" s="18">
        <v>0</v>
      </c>
      <c r="I31" s="19">
        <f t="shared" si="11"/>
        <v>7034</v>
      </c>
      <c r="J31" s="20">
        <f>+(H31*H$7)+(I31*I$7)</f>
        <v>10551</v>
      </c>
      <c r="K31" s="21">
        <v>8.5999999999999993E-2</v>
      </c>
      <c r="L31" s="20">
        <f t="shared" si="8"/>
        <v>907.38599999999997</v>
      </c>
      <c r="M31" s="22">
        <f t="shared" si="9"/>
        <v>11458.386</v>
      </c>
      <c r="N31" s="19">
        <f t="shared" si="10"/>
        <v>7034</v>
      </c>
    </row>
    <row r="32" spans="1:16" x14ac:dyDescent="0.25">
      <c r="A32" s="16"/>
      <c r="B32" s="37" t="s">
        <v>42</v>
      </c>
      <c r="C32" s="26">
        <v>1</v>
      </c>
      <c r="D32" s="26">
        <v>346</v>
      </c>
      <c r="E32" s="26">
        <v>12112</v>
      </c>
      <c r="F32" s="26"/>
      <c r="G32" s="26">
        <v>0</v>
      </c>
      <c r="H32" s="26">
        <v>34</v>
      </c>
      <c r="I32" s="26">
        <f>SUM(I28:I31)</f>
        <v>12459</v>
      </c>
      <c r="J32" s="38">
        <f>SUM(J28:J31)</f>
        <v>18787.099999999999</v>
      </c>
      <c r="K32" s="2"/>
      <c r="L32" s="39">
        <f>SUM(L28:L31)</f>
        <v>1577.9829999999999</v>
      </c>
      <c r="M32" s="39">
        <f>SUM(M28:M31)</f>
        <v>20365.082999999999</v>
      </c>
      <c r="N32" s="26">
        <f t="shared" si="10"/>
        <v>12493</v>
      </c>
    </row>
    <row r="33" spans="1:14" x14ac:dyDescent="0.25">
      <c r="A33" s="16"/>
    </row>
    <row r="34" spans="1:14" ht="15.75" thickBot="1" x14ac:dyDescent="0.3">
      <c r="A34" s="16"/>
    </row>
    <row r="35" spans="1:14" ht="15.75" thickBot="1" x14ac:dyDescent="0.3">
      <c r="A35" s="16"/>
      <c r="B35" s="32" t="s">
        <v>43</v>
      </c>
      <c r="C35" s="5">
        <v>32</v>
      </c>
      <c r="D35" s="6">
        <v>64</v>
      </c>
      <c r="E35" s="6">
        <v>96</v>
      </c>
      <c r="F35" s="6"/>
      <c r="G35" s="6">
        <v>220</v>
      </c>
      <c r="H35" s="7">
        <v>300</v>
      </c>
    </row>
    <row r="36" spans="1:14" x14ac:dyDescent="0.25">
      <c r="A36" s="16"/>
      <c r="B36" s="13" t="s">
        <v>12</v>
      </c>
      <c r="C36" s="15">
        <v>1.1000000000000001</v>
      </c>
      <c r="D36" s="15">
        <v>1.1000000000000001</v>
      </c>
      <c r="E36" s="15">
        <v>1.1000000000000001</v>
      </c>
      <c r="F36" s="15">
        <v>1.1000000000000001</v>
      </c>
      <c r="G36" s="15">
        <v>2.75</v>
      </c>
      <c r="H36" s="15">
        <v>3.2</v>
      </c>
      <c r="J36" s="15"/>
    </row>
    <row r="37" spans="1:14" x14ac:dyDescent="0.25">
      <c r="A37" s="16"/>
      <c r="B37" s="40" t="s">
        <v>44</v>
      </c>
      <c r="C37" s="15"/>
      <c r="D37" s="41">
        <v>1.5</v>
      </c>
      <c r="E37" s="15"/>
      <c r="F37" s="15"/>
      <c r="G37" s="15"/>
      <c r="H37" s="15"/>
    </row>
    <row r="38" spans="1:14" x14ac:dyDescent="0.25">
      <c r="A38" s="16" t="s">
        <v>45</v>
      </c>
      <c r="B38" s="42" t="s">
        <v>46</v>
      </c>
      <c r="C38" s="17">
        <v>0</v>
      </c>
      <c r="D38" s="17">
        <v>1</v>
      </c>
      <c r="E38" s="17">
        <v>5</v>
      </c>
      <c r="F38" s="17">
        <v>0</v>
      </c>
      <c r="G38" s="17">
        <v>14</v>
      </c>
      <c r="H38" s="18">
        <v>91</v>
      </c>
      <c r="I38" s="19">
        <f>SUM(C38:F38)</f>
        <v>6</v>
      </c>
      <c r="J38" s="20">
        <f>+(C38*C$36)+(D38*D$37)+(E38*E$36)+(F38*F$36)+(G38*G$36)+(H38*H$36)</f>
        <v>336.7</v>
      </c>
      <c r="K38" s="21">
        <v>7.9000000000000001E-2</v>
      </c>
      <c r="L38" s="20">
        <f t="shared" ref="L38:L46" si="12">+J38*K38</f>
        <v>26.599299999999999</v>
      </c>
      <c r="M38" s="22">
        <f t="shared" ref="M38:M46" si="13">+J38+L38</f>
        <v>363.29930000000002</v>
      </c>
      <c r="N38" s="19">
        <f t="shared" ref="N38:N47" si="14">+I38+H38+G38</f>
        <v>111</v>
      </c>
    </row>
    <row r="39" spans="1:14" x14ac:dyDescent="0.25">
      <c r="A39" s="16" t="s">
        <v>45</v>
      </c>
      <c r="B39" s="42" t="s">
        <v>47</v>
      </c>
      <c r="C39" s="17">
        <v>181</v>
      </c>
      <c r="D39" s="17">
        <v>663</v>
      </c>
      <c r="E39" s="17">
        <v>1284</v>
      </c>
      <c r="F39" s="17">
        <v>0</v>
      </c>
      <c r="G39" s="17">
        <v>15</v>
      </c>
      <c r="H39" s="18">
        <v>489</v>
      </c>
      <c r="I39" s="19">
        <f t="shared" ref="I39:I46" si="15">SUM(C39:F39)</f>
        <v>2128</v>
      </c>
      <c r="J39" s="20">
        <f>+(C39*C$36)+(D39*D$37)+(E39*E$36)+(F39*F$36)+(G39*G$36)+(H39*H$36)</f>
        <v>4212.05</v>
      </c>
      <c r="K39" s="21">
        <v>7.9000000000000001E-2</v>
      </c>
      <c r="L39" s="20">
        <f t="shared" si="12"/>
        <v>332.75195000000002</v>
      </c>
      <c r="M39" s="22">
        <f t="shared" si="13"/>
        <v>4544.80195</v>
      </c>
      <c r="N39" s="19">
        <f t="shared" si="14"/>
        <v>2632</v>
      </c>
    </row>
    <row r="40" spans="1:14" x14ac:dyDescent="0.25">
      <c r="A40" s="16" t="s">
        <v>48</v>
      </c>
      <c r="B40" t="s">
        <v>49</v>
      </c>
      <c r="C40" s="17">
        <v>2</v>
      </c>
      <c r="D40" s="17">
        <v>1853</v>
      </c>
      <c r="E40" s="17">
        <v>661</v>
      </c>
      <c r="F40" s="17">
        <v>1358</v>
      </c>
      <c r="G40" s="17">
        <v>5</v>
      </c>
      <c r="H40" s="18">
        <v>13</v>
      </c>
      <c r="I40" s="19">
        <f t="shared" si="15"/>
        <v>3874</v>
      </c>
      <c r="J40" s="20">
        <f>+(C40*C$36)+(D40*D$36)+(E40*E$36)+(F40*F$36)+(G40*G$36)+(H40*H$36)</f>
        <v>4316.7500000000009</v>
      </c>
      <c r="K40" s="21">
        <v>8.2000000000000003E-2</v>
      </c>
      <c r="L40" s="20">
        <f t="shared" si="12"/>
        <v>353.97350000000012</v>
      </c>
      <c r="M40" s="22">
        <f t="shared" si="13"/>
        <v>4670.723500000001</v>
      </c>
      <c r="N40" s="19">
        <f t="shared" si="14"/>
        <v>3892</v>
      </c>
    </row>
    <row r="41" spans="1:14" x14ac:dyDescent="0.25">
      <c r="A41" s="16" t="s">
        <v>50</v>
      </c>
      <c r="B41" t="s">
        <v>51</v>
      </c>
      <c r="C41" s="17">
        <v>0</v>
      </c>
      <c r="D41" s="17">
        <v>28</v>
      </c>
      <c r="E41" s="17">
        <v>2027</v>
      </c>
      <c r="F41" s="17">
        <v>9</v>
      </c>
      <c r="G41" s="17">
        <v>1</v>
      </c>
      <c r="H41" s="18">
        <v>46</v>
      </c>
      <c r="I41" s="19">
        <f t="shared" si="15"/>
        <v>2064</v>
      </c>
      <c r="J41" s="20">
        <f>+(C41*C$36)+(D41*D$36)+(E41*E$36)+(F41*F$36)+(G41*G$36)+(H41*H$36)</f>
        <v>2420.3500000000004</v>
      </c>
      <c r="K41" s="21">
        <v>8.1000000000000003E-2</v>
      </c>
      <c r="L41" s="20">
        <f t="shared" si="12"/>
        <v>196.04835000000003</v>
      </c>
      <c r="M41" s="22">
        <f t="shared" si="13"/>
        <v>2616.3983500000004</v>
      </c>
      <c r="N41" s="19">
        <f t="shared" si="14"/>
        <v>2111</v>
      </c>
    </row>
    <row r="42" spans="1:14" x14ac:dyDescent="0.25">
      <c r="A42" s="16" t="s">
        <v>52</v>
      </c>
      <c r="B42" t="s">
        <v>53</v>
      </c>
      <c r="C42" s="17">
        <v>0</v>
      </c>
      <c r="D42" s="17">
        <v>509</v>
      </c>
      <c r="E42" s="17">
        <v>590</v>
      </c>
      <c r="F42" s="17">
        <v>535</v>
      </c>
      <c r="G42" s="17">
        <v>3</v>
      </c>
      <c r="H42" s="18">
        <v>3</v>
      </c>
      <c r="I42" s="19">
        <f t="shared" si="15"/>
        <v>1634</v>
      </c>
      <c r="J42" s="20">
        <f>+(C42*C$36)+(D42*D$36)+(E42*E$36)+(G42*G$36)+(H42*H$36)+(F42*F$36)</f>
        <v>1815.25</v>
      </c>
      <c r="K42" s="21">
        <v>7.9000000000000001E-2</v>
      </c>
      <c r="L42" s="20">
        <f t="shared" si="12"/>
        <v>143.40475000000001</v>
      </c>
      <c r="M42" s="22">
        <f t="shared" si="13"/>
        <v>1958.6547499999999</v>
      </c>
      <c r="N42" s="19">
        <f t="shared" si="14"/>
        <v>1640</v>
      </c>
    </row>
    <row r="43" spans="1:14" x14ac:dyDescent="0.25">
      <c r="A43" s="16" t="s">
        <v>54</v>
      </c>
      <c r="B43" t="s">
        <v>55</v>
      </c>
      <c r="C43" s="17">
        <v>87</v>
      </c>
      <c r="D43" s="17">
        <v>345</v>
      </c>
      <c r="E43" s="17">
        <v>604</v>
      </c>
      <c r="F43" s="17">
        <v>0</v>
      </c>
      <c r="G43" s="17">
        <v>0</v>
      </c>
      <c r="H43" s="18">
        <v>23</v>
      </c>
      <c r="I43" s="19">
        <f t="shared" ref="I43" si="16">SUM(C43:F43)</f>
        <v>1036</v>
      </c>
      <c r="J43" s="20">
        <f>+(C43*C$36)+(D43*D$36)+(E43*E$36)+(F43*F$36)+(G43*G$36)+(H43*H$36)</f>
        <v>1213.2</v>
      </c>
      <c r="K43" s="21">
        <v>7.9000000000000001E-2</v>
      </c>
      <c r="L43" s="20">
        <f t="shared" si="12"/>
        <v>95.842800000000011</v>
      </c>
      <c r="M43" s="22">
        <f t="shared" si="13"/>
        <v>1309.0428000000002</v>
      </c>
      <c r="N43" s="19">
        <f t="shared" si="14"/>
        <v>1059</v>
      </c>
    </row>
    <row r="44" spans="1:14" x14ac:dyDescent="0.25">
      <c r="A44" s="16" t="s">
        <v>56</v>
      </c>
      <c r="B44" t="s">
        <v>57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8">
        <v>0</v>
      </c>
      <c r="I44" s="19">
        <f t="shared" si="15"/>
        <v>0</v>
      </c>
      <c r="J44" s="20">
        <f>+(C44*C$36)+(D44*D$36)+(E44*E$36)+(G44*G$36)+(H44*H$36)+(F44*F$36)</f>
        <v>0</v>
      </c>
      <c r="K44" s="21">
        <v>7.9000000000000001E-2</v>
      </c>
      <c r="L44" s="20">
        <f t="shared" si="12"/>
        <v>0</v>
      </c>
      <c r="M44" s="22">
        <f t="shared" si="13"/>
        <v>0</v>
      </c>
      <c r="N44" s="19">
        <f t="shared" si="14"/>
        <v>0</v>
      </c>
    </row>
    <row r="45" spans="1:14" x14ac:dyDescent="0.25">
      <c r="A45" s="16" t="s">
        <v>56</v>
      </c>
      <c r="B45" t="s">
        <v>58</v>
      </c>
      <c r="C45" s="17">
        <v>1</v>
      </c>
      <c r="D45" s="17">
        <v>1</v>
      </c>
      <c r="E45" s="17">
        <v>2</v>
      </c>
      <c r="F45" s="17">
        <v>0</v>
      </c>
      <c r="G45" s="17">
        <v>0</v>
      </c>
      <c r="H45" s="18">
        <v>0</v>
      </c>
      <c r="I45" s="19">
        <f t="shared" si="15"/>
        <v>4</v>
      </c>
      <c r="J45" s="20">
        <f>+(C45*C$36)+(D45*D$36)+(E45*E$36)+(G45*G$36)+(H45*H$36)+(F45*F$36)</f>
        <v>4.4000000000000004</v>
      </c>
      <c r="K45" s="21">
        <v>7.9000000000000001E-2</v>
      </c>
      <c r="L45" s="20">
        <f t="shared" si="12"/>
        <v>0.34760000000000002</v>
      </c>
      <c r="M45" s="22">
        <f t="shared" si="13"/>
        <v>4.7476000000000003</v>
      </c>
      <c r="N45" s="19">
        <f t="shared" si="14"/>
        <v>4</v>
      </c>
    </row>
    <row r="46" spans="1:14" x14ac:dyDescent="0.25">
      <c r="A46" s="16" t="s">
        <v>59</v>
      </c>
      <c r="B46" t="s">
        <v>60</v>
      </c>
      <c r="C46" s="17">
        <v>0</v>
      </c>
      <c r="D46" s="17">
        <v>3</v>
      </c>
      <c r="E46" s="17">
        <v>1</v>
      </c>
      <c r="F46" s="17">
        <v>0</v>
      </c>
      <c r="G46" s="17">
        <v>1</v>
      </c>
      <c r="H46" s="18">
        <v>3</v>
      </c>
      <c r="I46" s="19">
        <f t="shared" si="15"/>
        <v>4</v>
      </c>
      <c r="J46" s="20">
        <f>+(C46*C$36)+(D46*D$36)+(E46*E$36)+(G46*G$36)+(H46*H$36)+(F46*F$36)</f>
        <v>16.75</v>
      </c>
      <c r="K46" s="21">
        <v>7.9000000000000001E-2</v>
      </c>
      <c r="L46" s="20">
        <f t="shared" si="12"/>
        <v>1.32325</v>
      </c>
      <c r="M46" s="22">
        <f t="shared" si="13"/>
        <v>18.073250000000002</v>
      </c>
      <c r="N46" s="19">
        <f t="shared" si="14"/>
        <v>8</v>
      </c>
    </row>
    <row r="47" spans="1:14" x14ac:dyDescent="0.25">
      <c r="A47" s="16"/>
      <c r="B47" s="37" t="s">
        <v>61</v>
      </c>
      <c r="C47" s="26">
        <v>271</v>
      </c>
      <c r="D47" s="26">
        <v>3403</v>
      </c>
      <c r="E47" s="26">
        <v>5174</v>
      </c>
      <c r="F47" s="26">
        <v>1902</v>
      </c>
      <c r="G47" s="26">
        <v>39</v>
      </c>
      <c r="H47" s="26">
        <v>668</v>
      </c>
      <c r="I47" s="26">
        <f>SUM(I38:I46)</f>
        <v>10750</v>
      </c>
      <c r="J47" s="43">
        <f t="shared" ref="J47" si="17">SUM(J38:J46)</f>
        <v>14335.45</v>
      </c>
      <c r="K47" s="2"/>
      <c r="L47" s="44">
        <f>SUM(L38:L46)</f>
        <v>1150.2915000000003</v>
      </c>
      <c r="M47" s="44">
        <f>SUM(M38:M46)</f>
        <v>15485.7415</v>
      </c>
      <c r="N47" s="26">
        <f t="shared" si="14"/>
        <v>11457</v>
      </c>
    </row>
    <row r="48" spans="1:14" ht="9.6" customHeight="1" thickBot="1" x14ac:dyDescent="0.3">
      <c r="A48" s="16"/>
    </row>
    <row r="49" spans="1:14" ht="15.75" thickBot="1" x14ac:dyDescent="0.3">
      <c r="A49" s="16"/>
      <c r="B49" s="32" t="s">
        <v>62</v>
      </c>
      <c r="C49" s="5">
        <v>32</v>
      </c>
      <c r="D49" s="6">
        <v>64</v>
      </c>
      <c r="E49" s="6">
        <v>96</v>
      </c>
      <c r="F49" s="6" t="s">
        <v>4</v>
      </c>
      <c r="G49" s="6">
        <v>220</v>
      </c>
      <c r="H49" s="7">
        <v>300</v>
      </c>
    </row>
    <row r="50" spans="1:14" x14ac:dyDescent="0.25">
      <c r="A50" s="16"/>
      <c r="B50" s="13" t="s">
        <v>12</v>
      </c>
      <c r="C50" s="15">
        <v>1.1000000000000001</v>
      </c>
      <c r="D50" s="15">
        <v>1.5</v>
      </c>
      <c r="E50" s="15">
        <v>1.5</v>
      </c>
      <c r="F50" s="15">
        <v>0.7</v>
      </c>
      <c r="G50" s="15">
        <v>2.75</v>
      </c>
      <c r="H50" s="15">
        <v>3.2</v>
      </c>
    </row>
    <row r="51" spans="1:14" x14ac:dyDescent="0.25">
      <c r="A51" s="16"/>
      <c r="B51" s="13" t="s">
        <v>63</v>
      </c>
      <c r="C51" s="15"/>
      <c r="D51" s="15"/>
      <c r="E51" s="15"/>
      <c r="F51" s="41">
        <v>1.5</v>
      </c>
      <c r="G51" s="15"/>
      <c r="H51" s="15"/>
    </row>
    <row r="52" spans="1:14" x14ac:dyDescent="0.25">
      <c r="A52" s="16" t="s">
        <v>17</v>
      </c>
      <c r="B52" t="s">
        <v>64</v>
      </c>
      <c r="C52" s="17">
        <v>183</v>
      </c>
      <c r="D52" s="17">
        <v>1175</v>
      </c>
      <c r="E52" s="17">
        <v>2547</v>
      </c>
      <c r="F52" s="45">
        <v>0</v>
      </c>
      <c r="G52" s="17">
        <v>1</v>
      </c>
      <c r="H52" s="18">
        <v>196</v>
      </c>
      <c r="I52" s="19">
        <f t="shared" ref="I52:I57" si="18">SUM(C52:F52)</f>
        <v>3905</v>
      </c>
      <c r="J52" s="20">
        <f>+(C52*C$50)+(D52*D$50)+(E52*E$50)+(G52*G$50)+(H52*H$50)+(F52*F$51)</f>
        <v>6414.25</v>
      </c>
      <c r="K52" s="21">
        <v>8.1000000000000003E-2</v>
      </c>
      <c r="L52" s="20">
        <f t="shared" ref="L52:L57" si="19">+J52*K52</f>
        <v>519.55425000000002</v>
      </c>
      <c r="M52" s="22">
        <f t="shared" ref="M52:M57" si="20">+J52+L52</f>
        <v>6933.8042500000001</v>
      </c>
      <c r="N52" s="19">
        <f t="shared" ref="N52:N58" si="21">+I52+H52+G52</f>
        <v>4102</v>
      </c>
    </row>
    <row r="53" spans="1:14" x14ac:dyDescent="0.25">
      <c r="A53" s="16" t="s">
        <v>65</v>
      </c>
      <c r="B53" t="s">
        <v>66</v>
      </c>
      <c r="C53" s="17">
        <v>6</v>
      </c>
      <c r="D53" s="17">
        <v>84</v>
      </c>
      <c r="E53" s="17">
        <v>200</v>
      </c>
      <c r="F53" s="17">
        <v>0</v>
      </c>
      <c r="G53" s="17">
        <v>0</v>
      </c>
      <c r="H53" s="18">
        <v>69</v>
      </c>
      <c r="I53" s="19">
        <f t="shared" si="18"/>
        <v>290</v>
      </c>
      <c r="J53" s="20">
        <f>+(C53*C$50)+(D53*D$50)+(E53*E$50)+(G53*G$50)+(H53*H$50)+(F53*F$51)</f>
        <v>653.40000000000009</v>
      </c>
      <c r="K53" s="21">
        <v>8.1000000000000003E-2</v>
      </c>
      <c r="L53" s="20">
        <f t="shared" si="19"/>
        <v>52.92540000000001</v>
      </c>
      <c r="M53" s="22">
        <f t="shared" si="20"/>
        <v>706.32540000000006</v>
      </c>
      <c r="N53" s="19">
        <f t="shared" si="21"/>
        <v>359</v>
      </c>
    </row>
    <row r="54" spans="1:14" x14ac:dyDescent="0.25">
      <c r="A54" s="16" t="s">
        <v>25</v>
      </c>
      <c r="B54" t="s">
        <v>67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9">
        <f t="shared" si="18"/>
        <v>0</v>
      </c>
      <c r="J54" s="20">
        <f>+(C54*C$50)+(D54*D$50)+(E54*E$50)+(G54*G$50)+(H54*H$50)+(F54*F$51)</f>
        <v>0</v>
      </c>
      <c r="K54" s="21">
        <v>8.1000000000000003E-2</v>
      </c>
      <c r="L54" s="20">
        <f t="shared" si="19"/>
        <v>0</v>
      </c>
      <c r="M54" s="22">
        <f t="shared" si="20"/>
        <v>0</v>
      </c>
      <c r="N54" s="19">
        <f t="shared" si="21"/>
        <v>0</v>
      </c>
    </row>
    <row r="55" spans="1:14" x14ac:dyDescent="0.25">
      <c r="A55" s="16" t="s">
        <v>68</v>
      </c>
      <c r="B55" t="s">
        <v>69</v>
      </c>
      <c r="C55" s="17">
        <v>252</v>
      </c>
      <c r="D55" s="17">
        <v>1385</v>
      </c>
      <c r="E55" s="17">
        <v>1314</v>
      </c>
      <c r="F55" s="45">
        <v>666</v>
      </c>
      <c r="G55" s="17">
        <v>0</v>
      </c>
      <c r="H55" s="18">
        <v>15</v>
      </c>
      <c r="I55" s="19">
        <f t="shared" si="18"/>
        <v>3617</v>
      </c>
      <c r="J55" s="20">
        <f>+(C55*C$50)+(D55*D$50)+(E55*E$50)+(G55*G$50)+(H55*H$50)+(F55*F$51)</f>
        <v>5372.7</v>
      </c>
      <c r="K55" s="21">
        <v>8.6999999999999994E-2</v>
      </c>
      <c r="L55" s="20">
        <f t="shared" si="19"/>
        <v>467.42489999999998</v>
      </c>
      <c r="M55" s="22">
        <f t="shared" si="20"/>
        <v>5840.1248999999998</v>
      </c>
      <c r="N55" s="19">
        <f t="shared" si="21"/>
        <v>3632</v>
      </c>
    </row>
    <row r="56" spans="1:14" x14ac:dyDescent="0.25">
      <c r="A56" s="16" t="s">
        <v>70</v>
      </c>
      <c r="B56" t="s">
        <v>71</v>
      </c>
      <c r="C56" s="17">
        <v>28</v>
      </c>
      <c r="D56" s="17">
        <v>108</v>
      </c>
      <c r="E56" s="17">
        <v>285</v>
      </c>
      <c r="F56" s="17">
        <v>0</v>
      </c>
      <c r="G56" s="17">
        <v>0</v>
      </c>
      <c r="H56" s="18">
        <v>1</v>
      </c>
      <c r="I56" s="19">
        <f t="shared" si="18"/>
        <v>421</v>
      </c>
      <c r="J56" s="20">
        <f>+(C56*C$50)+(D56*D$50)+(E56*E$50)+(G56*G$50)+(H56*H$50)+(F56*F$51)</f>
        <v>623.5</v>
      </c>
      <c r="K56" s="21">
        <v>8.8999999999999996E-2</v>
      </c>
      <c r="L56" s="20">
        <f t="shared" si="19"/>
        <v>55.491499999999995</v>
      </c>
      <c r="M56" s="22">
        <f t="shared" si="20"/>
        <v>678.99149999999997</v>
      </c>
      <c r="N56" s="19">
        <f t="shared" si="21"/>
        <v>422</v>
      </c>
    </row>
    <row r="57" spans="1:14" x14ac:dyDescent="0.25">
      <c r="A57" s="16" t="s">
        <v>70</v>
      </c>
      <c r="B57" t="s">
        <v>72</v>
      </c>
      <c r="C57" s="17">
        <v>0</v>
      </c>
      <c r="D57" s="17">
        <v>1</v>
      </c>
      <c r="E57" s="17">
        <v>0</v>
      </c>
      <c r="F57" s="17">
        <v>9819</v>
      </c>
      <c r="G57" s="17">
        <v>0</v>
      </c>
      <c r="H57" s="18">
        <v>0</v>
      </c>
      <c r="I57" s="19">
        <f t="shared" si="18"/>
        <v>9820</v>
      </c>
      <c r="J57" s="20">
        <f>+(C57*C$50)+(D57*D$50)+(E57*E$50)+(G57*G$50)+(H57*H$50)+(F57*F$50)</f>
        <v>6874.7999999999993</v>
      </c>
      <c r="K57" s="21">
        <v>8.8999999999999996E-2</v>
      </c>
      <c r="L57" s="20">
        <f t="shared" si="19"/>
        <v>611.85719999999992</v>
      </c>
      <c r="M57" s="22">
        <f t="shared" si="20"/>
        <v>7486.6571999999996</v>
      </c>
      <c r="N57" s="19">
        <f t="shared" si="21"/>
        <v>9820</v>
      </c>
    </row>
    <row r="58" spans="1:14" x14ac:dyDescent="0.25">
      <c r="A58" s="16"/>
      <c r="B58" s="37" t="s">
        <v>73</v>
      </c>
      <c r="C58" s="26">
        <f>SUM(C52:C57)</f>
        <v>469</v>
      </c>
      <c r="D58" s="26">
        <f t="shared" ref="D58:G58" si="22">SUM(D52:D57)</f>
        <v>2753</v>
      </c>
      <c r="E58" s="26">
        <f t="shared" si="22"/>
        <v>4346</v>
      </c>
      <c r="F58" s="26">
        <f t="shared" si="22"/>
        <v>10485</v>
      </c>
      <c r="G58" s="26">
        <f t="shared" si="22"/>
        <v>1</v>
      </c>
      <c r="H58" s="26">
        <f>SUM(H52:H57)</f>
        <v>281</v>
      </c>
      <c r="I58" s="26">
        <f>SUM(I52:I57)</f>
        <v>18053</v>
      </c>
      <c r="J58" s="43">
        <f>SUM(J52:J57)</f>
        <v>19938.649999999998</v>
      </c>
      <c r="K58" s="2"/>
      <c r="L58" s="44">
        <f>SUM(L52:L57)</f>
        <v>1707.25325</v>
      </c>
      <c r="M58" s="44">
        <f>SUM(M52:M57)</f>
        <v>21645.903249999999</v>
      </c>
      <c r="N58" s="26">
        <f t="shared" si="21"/>
        <v>18335</v>
      </c>
    </row>
    <row r="60" spans="1:14" x14ac:dyDescent="0.25">
      <c r="B60" s="46" t="s">
        <v>74</v>
      </c>
      <c r="C60" s="33">
        <f t="shared" ref="C60:G60" si="23">+C25+C32+C47+C58</f>
        <v>758</v>
      </c>
      <c r="D60" s="33">
        <f t="shared" si="23"/>
        <v>7380</v>
      </c>
      <c r="E60" s="33">
        <f t="shared" si="23"/>
        <v>56121</v>
      </c>
      <c r="F60" s="33">
        <f t="shared" si="23"/>
        <v>12387</v>
      </c>
      <c r="G60" s="33">
        <f t="shared" si="23"/>
        <v>40</v>
      </c>
      <c r="H60" s="33">
        <f>+H25+H32+H47+H58</f>
        <v>1089</v>
      </c>
      <c r="I60" s="33">
        <f>+I25+I32+I47+I58</f>
        <v>76646</v>
      </c>
      <c r="J60" s="35">
        <f>+J25+J32+J47+J58</f>
        <v>106444.59999999999</v>
      </c>
      <c r="L60" s="15">
        <f>+L25+L32+L47+L58</f>
        <v>8954.8202500000007</v>
      </c>
      <c r="M60" s="15">
        <f>+M25+M32+M47+M58</f>
        <v>115399.42025000001</v>
      </c>
    </row>
    <row r="61" spans="1:14" x14ac:dyDescent="0.25">
      <c r="H61" t="s">
        <v>10</v>
      </c>
      <c r="I61" s="19">
        <f>+I60+H60+G60</f>
        <v>77775</v>
      </c>
    </row>
    <row r="62" spans="1:14" x14ac:dyDescent="0.25">
      <c r="H62" t="s">
        <v>75</v>
      </c>
      <c r="I62" s="17">
        <f>+[8]CanData!N1</f>
        <v>80910</v>
      </c>
    </row>
    <row r="63" spans="1:14" x14ac:dyDescent="0.25">
      <c r="H63" s="46" t="s">
        <v>76</v>
      </c>
      <c r="I63" s="19">
        <f>+I62-I61</f>
        <v>3135</v>
      </c>
    </row>
    <row r="64" spans="1:14" x14ac:dyDescent="0.25">
      <c r="E64" t="s">
        <v>77</v>
      </c>
      <c r="H64" s="46" t="s">
        <v>78</v>
      </c>
      <c r="I64" s="19">
        <f>+[8]CanData!P1</f>
        <v>3135</v>
      </c>
    </row>
    <row r="65" spans="8:10" x14ac:dyDescent="0.25">
      <c r="H65" s="46" t="s">
        <v>76</v>
      </c>
      <c r="I65" s="50">
        <f>+I63-I64</f>
        <v>0</v>
      </c>
      <c r="J65" s="2" t="s">
        <v>80</v>
      </c>
    </row>
  </sheetData>
  <mergeCells count="1">
    <mergeCell ref="C5:H5"/>
  </mergeCells>
  <pageMargins left="0.2" right="0.2" top="0.25" bottom="0.25" header="0.3" footer="0.3"/>
  <pageSetup scale="74" orientation="portrait" r:id="rId1"/>
  <headerFooter>
    <oddHeader>&amp;RPrinted: &amp;D &amp;T</oddHeader>
    <oddFooter>&amp;C&amp;Z&amp;F&amp;RTab: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98C6119-75C7-4798-B983-0A4FEAA7BDF4}"/>
</file>

<file path=customXml/itemProps2.xml><?xml version="1.0" encoding="utf-8"?>
<ds:datastoreItem xmlns:ds="http://schemas.openxmlformats.org/officeDocument/2006/customXml" ds:itemID="{C33FDC2D-A52F-4F38-BEEB-D756A3974E7C}"/>
</file>

<file path=customXml/itemProps3.xml><?xml version="1.0" encoding="utf-8"?>
<ds:datastoreItem xmlns:ds="http://schemas.openxmlformats.org/officeDocument/2006/customXml" ds:itemID="{3D832450-417E-4DB2-B004-B8E17E09172D}"/>
</file>

<file path=customXml/itemProps4.xml><?xml version="1.0" encoding="utf-8"?>
<ds:datastoreItem xmlns:ds="http://schemas.openxmlformats.org/officeDocument/2006/customXml" ds:itemID="{9574D80E-7464-4454-89A8-23244AC27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Can Total</vt:lpstr>
      <vt:lpstr>Can_9-16</vt:lpstr>
      <vt:lpstr>Can_8-16</vt:lpstr>
      <vt:lpstr>Can_7-16</vt:lpstr>
      <vt:lpstr>Can_6-16</vt:lpstr>
      <vt:lpstr>Can_5-16</vt:lpstr>
      <vt:lpstr>Can_4-16</vt:lpstr>
      <vt:lpstr>Can_3-16</vt:lpstr>
      <vt:lpstr>Can_2-16</vt:lpstr>
      <vt:lpstr>Can_1-16</vt:lpstr>
      <vt:lpstr>Can_12-15</vt:lpstr>
      <vt:lpstr>Can_11-15</vt:lpstr>
      <vt:lpstr>Can_10-15</vt:lpstr>
      <vt:lpstr>Sheet2</vt:lpstr>
      <vt:lpstr>'Can Total'!Print_Area</vt:lpstr>
      <vt:lpstr>'Can_10-15'!Print_Area</vt:lpstr>
      <vt:lpstr>'Can_11-15'!Print_Area</vt:lpstr>
      <vt:lpstr>'Can_1-16'!Print_Area</vt:lpstr>
      <vt:lpstr>'Can_12-15'!Print_Area</vt:lpstr>
      <vt:lpstr>'Can_2-16'!Print_Area</vt:lpstr>
      <vt:lpstr>'Can_3-16'!Print_Area</vt:lpstr>
      <vt:lpstr>'Can_4-16'!Print_Area</vt:lpstr>
      <vt:lpstr>'Can_5-16'!Print_Area</vt:lpstr>
      <vt:lpstr>'Can_6-16'!Print_Area</vt:lpstr>
      <vt:lpstr>'Can_7-16'!Print_Area</vt:lpstr>
      <vt:lpstr>'Can_8-16'!Print_Area</vt:lpstr>
      <vt:lpstr>'Can_9-16'!Print_Area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johnf</dc:creator>
  <cp:lastModifiedBy>Weldon</cp:lastModifiedBy>
  <cp:lastPrinted>2017-03-14T00:57:33Z</cp:lastPrinted>
  <dcterms:created xsi:type="dcterms:W3CDTF">2017-03-07T20:47:07Z</dcterms:created>
  <dcterms:modified xsi:type="dcterms:W3CDTF">2017-03-14T00:57:47Z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