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6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charts/colors4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charts/style3.xml" ContentType="application/vnd.ms-office.chartstyle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harts/style4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Workpapers\"/>
    </mc:Choice>
  </mc:AlternateContent>
  <bookViews>
    <workbookView xWindow="0" yWindow="0" windowWidth="28800" windowHeight="12720"/>
  </bookViews>
  <sheets>
    <sheet name="Rebuttal vs Filed-Tbl 1 and 2" sheetId="3" r:id="rId1"/>
    <sheet name="Table 3-Ill 3" sheetId="20" r:id="rId2"/>
    <sheet name="Staff vs Avista-Tbl 4" sheetId="2" r:id="rId3"/>
    <sheet name="Table No. 5-7" sheetId="10" r:id="rId4"/>
    <sheet name="Illustration-1" sheetId="21" r:id="rId5"/>
    <sheet name="Chart 1- Staff Elec" sheetId="5" r:id="rId6"/>
    <sheet name="Chart 2 - Avista Reb Elec" sheetId="9" r:id="rId7"/>
    <sheet name="Chart 3 - 3 year rate bas Ele" sheetId="8" r:id="rId8"/>
    <sheet name="Table 8" sheetId="17" r:id="rId9"/>
    <sheet name="Table 9-E" sheetId="14" r:id="rId10"/>
    <sheet name="Table 10-G" sheetId="15" r:id="rId11"/>
    <sheet name="Illustration 2" sheetId="16" r:id="rId12"/>
    <sheet name="Uncont-Contested Tbls 11-12" sheetId="18" r:id="rId13"/>
    <sheet name="Table 13" sheetId="22" r:id="rId14"/>
    <sheet name="Table 14" sheetId="2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tuals_Mo">[1]Tables!$B$19</definedName>
    <definedName name="Allocation_Categories">OFFSET('[2]Allocation Factors'!$A$4,0,0,COUNTA('[2]Allocation Factors'!$A:$A)-COUNTA('[2]Allocation Factors'!$A$1:$A$3),1)</definedName>
    <definedName name="Base1_Billing2" localSheetId="4">#REF!</definedName>
    <definedName name="Base1_Billing2" localSheetId="10">#REF!</definedName>
    <definedName name="Base1_Billing2" localSheetId="9">#REF!</definedName>
    <definedName name="Base1_Billing2">#REF!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" localSheetId="4">#REF!</definedName>
    <definedName name="ID" localSheetId="10">#REF!</definedName>
    <definedName name="ID" localSheetId="9">#REF!</definedName>
    <definedName name="ID">#REF!</definedName>
    <definedName name="ID_001b" localSheetId="4">#REF!</definedName>
    <definedName name="ID_001b" localSheetId="10">#REF!</definedName>
    <definedName name="ID_001b" localSheetId="9">#REF!</definedName>
    <definedName name="ID_001b">#REF!</definedName>
    <definedName name="ID_011b" localSheetId="4">#REF!</definedName>
    <definedName name="ID_011b" localSheetId="10">#REF!</definedName>
    <definedName name="ID_011b" localSheetId="9">#REF!</definedName>
    <definedName name="ID_011b">#REF!</definedName>
    <definedName name="ID_012b" localSheetId="4">#REF!</definedName>
    <definedName name="ID_012b" localSheetId="10">#REF!</definedName>
    <definedName name="ID_012b" localSheetId="9">#REF!</definedName>
    <definedName name="ID_012b">#REF!</definedName>
    <definedName name="ID_021b" localSheetId="4">#REF!</definedName>
    <definedName name="ID_021b" localSheetId="10">#REF!</definedName>
    <definedName name="ID_021b" localSheetId="9">#REF!</definedName>
    <definedName name="ID_021b">#REF!</definedName>
    <definedName name="ID_Elec" localSheetId="4">#REF!</definedName>
    <definedName name="ID_Elec" localSheetId="10">#REF!</definedName>
    <definedName name="ID_Elec" localSheetId="9">#REF!</definedName>
    <definedName name="ID_Elec">#REF!</definedName>
    <definedName name="ID_Gas" localSheetId="4">'[5]DEBT CALC'!#REF!</definedName>
    <definedName name="ID_Gas" localSheetId="10">#REF!</definedName>
    <definedName name="ID_Gas" localSheetId="9">#REF!</definedName>
    <definedName name="ID_Gas">'[5]DEBT CALC'!#REF!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0">'Rebuttal vs Filed-Tbl 1 and 2'!$A$1:$U$29</definedName>
    <definedName name="_xlnm.Print_Area" localSheetId="12">'Uncont-Contested Tbls 11-12'!$A$2:$E$13</definedName>
    <definedName name="Print_for_CBReport" localSheetId="4">#REF!</definedName>
    <definedName name="Print_for_CBReport" localSheetId="10">#REF!</definedName>
    <definedName name="Print_for_CBReport" localSheetId="9">#REF!</definedName>
    <definedName name="Print_for_CBReport">#REF!</definedName>
    <definedName name="Print_for_Checking" localSheetId="4">'[5]ADJ SUMMARY'!#REF!:'[5]ADJ SUMMARY'!#REF!</definedName>
    <definedName name="Print_for_Checking" localSheetId="10">#REF!</definedName>
    <definedName name="Print_for_Checking" localSheetId="9">#REF!</definedName>
    <definedName name="Print_for_Checking">'[5]ADJ SUMMARY'!#REF!:'[5]ADJ SUMMARY'!#REF!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[6]Macro1!$A$92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RRC_Adjustment_Print" localSheetId="4">#REF!</definedName>
    <definedName name="RRC_Adjustment_Print" localSheetId="9">#REF!</definedName>
    <definedName name="RRC_Adjustment_Print">#REF!</definedName>
    <definedName name="RRC_Rate_Print" localSheetId="4">#REF!</definedName>
    <definedName name="RRC_Rate_Print" localSheetId="9">#REF!</definedName>
    <definedName name="RRC_Rate_Print">#REF!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mmary" localSheetId="4">#REF!</definedName>
    <definedName name="Summary" localSheetId="10">#REF!</definedName>
    <definedName name="Summary" localSheetId="9">#REF!</definedName>
    <definedName name="Summary">#REF!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vl_tbl_SchedClass">[1]!tbl_SchedAll[StClSch]</definedName>
    <definedName name="WA_001b" localSheetId="4">#REF!</definedName>
    <definedName name="WA_001b" localSheetId="10">#REF!</definedName>
    <definedName name="WA_001b" localSheetId="9">#REF!</definedName>
    <definedName name="WA_001b">#REF!</definedName>
    <definedName name="WA_011b" localSheetId="4">#REF!</definedName>
    <definedName name="WA_011b" localSheetId="10">#REF!</definedName>
    <definedName name="WA_011b" localSheetId="9">#REF!</definedName>
    <definedName name="WA_011b">#REF!</definedName>
    <definedName name="WA_012b" localSheetId="4">#REF!</definedName>
    <definedName name="WA_012b" localSheetId="10">#REF!</definedName>
    <definedName name="WA_012b" localSheetId="9">#REF!</definedName>
    <definedName name="WA_012b">#REF!</definedName>
    <definedName name="WA_021b" localSheetId="4">#REF!</definedName>
    <definedName name="WA_021b" localSheetId="10">#REF!</definedName>
    <definedName name="WA_021b" localSheetId="9">#REF!</definedName>
    <definedName name="WA_021b">#REF!</definedName>
    <definedName name="WA_Elec" localSheetId="4">#REF!</definedName>
    <definedName name="WA_Elec" localSheetId="10">#REF!</definedName>
    <definedName name="WA_Elec" localSheetId="9">#REF!</definedName>
    <definedName name="WA_Elec">#REF!</definedName>
    <definedName name="WA_Gas" localSheetId="4">'[5]DEBT CALC'!#REF!</definedName>
    <definedName name="WA_Gas" localSheetId="10">#REF!</definedName>
    <definedName name="WA_Gas" localSheetId="9">#REF!</definedName>
    <definedName name="WA_Gas">'[5]DEBT CALC'!#REF!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23" l="1"/>
  <c r="Y42" i="23"/>
  <c r="X42" i="23"/>
  <c r="W42" i="23"/>
  <c r="V42" i="23"/>
  <c r="E42" i="23"/>
  <c r="Z33" i="23"/>
  <c r="Y33" i="23"/>
  <c r="X33" i="23"/>
  <c r="W33" i="23"/>
  <c r="V33" i="23"/>
  <c r="E33" i="23"/>
  <c r="Z22" i="23"/>
  <c r="Y22" i="23"/>
  <c r="X22" i="23"/>
  <c r="W22" i="23"/>
  <c r="V22" i="23"/>
  <c r="E19" i="23"/>
  <c r="E10" i="23"/>
  <c r="Z9" i="23"/>
  <c r="Y9" i="23"/>
  <c r="X9" i="23"/>
  <c r="W9" i="23"/>
  <c r="V9" i="23"/>
  <c r="Z8" i="23"/>
  <c r="Y8" i="23"/>
  <c r="X8" i="23"/>
  <c r="W8" i="23"/>
  <c r="V8" i="23"/>
  <c r="Z7" i="23"/>
  <c r="Y7" i="23"/>
  <c r="X7" i="23"/>
  <c r="W7" i="23"/>
  <c r="V7" i="23"/>
  <c r="Z6" i="23"/>
  <c r="Y6" i="23"/>
  <c r="X6" i="23"/>
  <c r="W6" i="23"/>
  <c r="V6" i="23"/>
  <c r="Z5" i="23"/>
  <c r="Y5" i="23"/>
  <c r="X5" i="23"/>
  <c r="W5" i="23"/>
  <c r="V5" i="23"/>
  <c r="Y10" i="23" l="1"/>
  <c r="X10" i="23"/>
  <c r="W10" i="23"/>
  <c r="V10" i="23"/>
  <c r="Z10" i="23"/>
  <c r="Z23" i="23" l="1"/>
  <c r="V23" i="23"/>
  <c r="Y23" i="23"/>
  <c r="X23" i="23"/>
  <c r="W23" i="23"/>
  <c r="X15" i="23" l="1"/>
  <c r="X18" i="23"/>
  <c r="X14" i="23"/>
  <c r="X17" i="23"/>
  <c r="X16" i="23"/>
  <c r="Y18" i="23"/>
  <c r="Y14" i="23"/>
  <c r="Y17" i="23"/>
  <c r="Y16" i="23"/>
  <c r="Y15" i="23"/>
  <c r="V17" i="23"/>
  <c r="V16" i="23"/>
  <c r="V15" i="23"/>
  <c r="V18" i="23"/>
  <c r="V14" i="23"/>
  <c r="W16" i="23"/>
  <c r="W15" i="23"/>
  <c r="W18" i="23"/>
  <c r="W14" i="23"/>
  <c r="W17" i="23"/>
  <c r="Z17" i="23"/>
  <c r="Z16" i="23"/>
  <c r="Z15" i="23"/>
  <c r="Z18" i="23"/>
  <c r="Z14" i="23"/>
  <c r="W19" i="23" l="1"/>
  <c r="V19" i="23"/>
  <c r="Y19" i="23"/>
  <c r="X19" i="23"/>
  <c r="Z19" i="23"/>
  <c r="D6" i="22" l="1"/>
  <c r="F6" i="22"/>
  <c r="F20" i="22" l="1"/>
  <c r="D20" i="22"/>
  <c r="F13" i="22"/>
  <c r="D13" i="22"/>
  <c r="F12" i="22"/>
  <c r="D12" i="22"/>
  <c r="F4" i="22"/>
  <c r="D4" i="22"/>
  <c r="F14" i="22" l="1"/>
  <c r="D10" i="22"/>
  <c r="D15" i="22" s="1"/>
  <c r="F18" i="22"/>
  <c r="F22" i="22" s="1"/>
  <c r="F10" i="22"/>
  <c r="F15" i="22" s="1"/>
  <c r="D14" i="22"/>
  <c r="D18" i="22" s="1"/>
  <c r="D22" i="22" s="1"/>
  <c r="F32" i="15"/>
  <c r="E31" i="15"/>
  <c r="F31" i="15" s="1"/>
  <c r="F30" i="15"/>
  <c r="E30" i="15"/>
  <c r="E29" i="15"/>
  <c r="F29" i="15" s="1"/>
  <c r="F28" i="15"/>
  <c r="F33" i="15" s="1"/>
  <c r="E28" i="15"/>
  <c r="E32" i="15" s="1"/>
  <c r="F23" i="15"/>
  <c r="E23" i="15"/>
  <c r="D22" i="15"/>
  <c r="F22" i="15" s="1"/>
  <c r="D21" i="15"/>
  <c r="F21" i="15" s="1"/>
  <c r="D20" i="15"/>
  <c r="F20" i="15" s="1"/>
  <c r="F19" i="15"/>
  <c r="D10" i="15"/>
  <c r="E10" i="15" s="1"/>
  <c r="D9" i="15"/>
  <c r="E9" i="15" s="1"/>
  <c r="D8" i="15"/>
  <c r="E8" i="15" s="1"/>
  <c r="D7" i="15"/>
  <c r="E7" i="15" s="1"/>
  <c r="E12" i="15" s="1"/>
  <c r="F32" i="14"/>
  <c r="F31" i="14"/>
  <c r="E31" i="14"/>
  <c r="E30" i="14"/>
  <c r="F30" i="14" s="1"/>
  <c r="F29" i="14"/>
  <c r="E29" i="14"/>
  <c r="E28" i="14"/>
  <c r="F28" i="14" s="1"/>
  <c r="E23" i="14"/>
  <c r="F22" i="14"/>
  <c r="F21" i="14"/>
  <c r="F20" i="14"/>
  <c r="F24" i="14" s="1"/>
  <c r="F19" i="14"/>
  <c r="D10" i="14"/>
  <c r="E10" i="14" s="1"/>
  <c r="D9" i="14"/>
  <c r="E9" i="14" s="1"/>
  <c r="D8" i="14"/>
  <c r="E8" i="14" s="1"/>
  <c r="D7" i="14"/>
  <c r="E7" i="14" s="1"/>
  <c r="E12" i="14" s="1"/>
  <c r="F24" i="15" l="1"/>
  <c r="F33" i="14"/>
  <c r="E32" i="14"/>
  <c r="G7" i="8" l="1"/>
  <c r="G4" i="5"/>
  <c r="H13" i="2" l="1"/>
  <c r="H6" i="2"/>
  <c r="J11" i="2" l="1"/>
  <c r="J12" i="2"/>
  <c r="J13" i="2" l="1"/>
  <c r="H8" i="3" l="1"/>
  <c r="D8" i="3"/>
</calcChain>
</file>

<file path=xl/sharedStrings.xml><?xml version="1.0" encoding="utf-8"?>
<sst xmlns="http://schemas.openxmlformats.org/spreadsheetml/2006/main" count="466" uniqueCount="220">
  <si>
    <t>Staff</t>
  </si>
  <si>
    <t>Avista Rebuttal</t>
  </si>
  <si>
    <t>Avista Planned</t>
  </si>
  <si>
    <t>Rate Year 1</t>
  </si>
  <si>
    <t>12.31.2016</t>
  </si>
  <si>
    <t>12.31.2017</t>
  </si>
  <si>
    <t>Rate Year 2</t>
  </si>
  <si>
    <t>Rate Year 3</t>
  </si>
  <si>
    <t>Net Plant After ADFIT (Rate Base)</t>
  </si>
  <si>
    <t>Electric</t>
  </si>
  <si>
    <t>May 1, 2018</t>
  </si>
  <si>
    <r>
      <t xml:space="preserve">May 1, 2019 </t>
    </r>
    <r>
      <rPr>
        <b/>
        <vertAlign val="superscript"/>
        <sz val="12"/>
        <color theme="1"/>
        <rFont val="Times New Roman"/>
        <family val="1"/>
      </rPr>
      <t>(1)</t>
    </r>
  </si>
  <si>
    <r>
      <t xml:space="preserve">May 1, 2020 </t>
    </r>
    <r>
      <rPr>
        <b/>
        <vertAlign val="superscript"/>
        <sz val="12"/>
        <color theme="1"/>
        <rFont val="Times New Roman"/>
        <family val="1"/>
      </rPr>
      <t>(1)</t>
    </r>
  </si>
  <si>
    <t>Natural Gas</t>
  </si>
  <si>
    <t>Updates/Agreed-To Adjustments</t>
  </si>
  <si>
    <t xml:space="preserve">     Rebuttal Revenue Requirement</t>
  </si>
  <si>
    <t>% Increase Base</t>
  </si>
  <si>
    <t>% Increase Billed</t>
  </si>
  <si>
    <t>Table No. 1</t>
  </si>
  <si>
    <t xml:space="preserve">Staff Filed </t>
  </si>
  <si>
    <t xml:space="preserve">Power Supply </t>
  </si>
  <si>
    <t>Net Capital Adjustments</t>
  </si>
  <si>
    <t>Cost of Capital</t>
  </si>
  <si>
    <t>Working Capital</t>
  </si>
  <si>
    <t>(1) Avista believes Staff errorred in its calculation of its electric pro forma property tax adjustment. Once corrected, Avista and Staff would agree.</t>
  </si>
  <si>
    <t>See Company witness Schuh           &amp; Andrews (Section III. below)</t>
  </si>
  <si>
    <t>See Company witnesses                Thies / McKenzie</t>
  </si>
  <si>
    <t>See Company witnesses             Kalich / Johnson</t>
  </si>
  <si>
    <t xml:space="preserve">Miscellaneous Contested Adjustments:  </t>
  </si>
  <si>
    <t>Line:</t>
  </si>
  <si>
    <t>Nat. Gas</t>
  </si>
  <si>
    <r>
      <t>Pro Forma Property Tax</t>
    </r>
    <r>
      <rPr>
        <vertAlign val="superscript"/>
        <sz val="11"/>
        <color theme="1"/>
        <rFont val="Times New Roman"/>
        <family val="1"/>
      </rPr>
      <t xml:space="preserve"> (1)</t>
    </r>
  </si>
  <si>
    <r>
      <t xml:space="preserve">Reduction in Capital Projects </t>
    </r>
    <r>
      <rPr>
        <vertAlign val="superscript"/>
        <sz val="12"/>
        <color theme="1"/>
        <rFont val="Times New Roman"/>
        <family val="1"/>
      </rPr>
      <t>(2)</t>
    </r>
  </si>
  <si>
    <t>12.31.2017 EOP</t>
  </si>
  <si>
    <t>Table No. 3</t>
  </si>
  <si>
    <t>Avista As-filed</t>
  </si>
  <si>
    <r>
      <rPr>
        <vertAlign val="superscript"/>
        <sz val="10"/>
        <color theme="1"/>
        <rFont val="Times New Roman"/>
        <family val="1"/>
      </rPr>
      <t xml:space="preserve">(1) </t>
    </r>
    <r>
      <rPr>
        <sz val="10"/>
        <color theme="1"/>
        <rFont val="Times New Roman"/>
        <family val="1"/>
      </rPr>
      <t>Rate Years 2 and 3 based on Revenue Growth Factor on prior year proposed revenues.</t>
    </r>
  </si>
  <si>
    <t>MT SB #363 Hydro Fee</t>
  </si>
  <si>
    <t>See Andrews (Section V. below)</t>
  </si>
  <si>
    <t>At</t>
  </si>
  <si>
    <t>May 2018 - Apr 2019</t>
  </si>
  <si>
    <t>May 2019 - Apr 2020</t>
  </si>
  <si>
    <t>May 2020 - Apr 2021</t>
  </si>
  <si>
    <t>EMA-2 &amp; 6</t>
  </si>
  <si>
    <t>EMA-3 &amp; 7</t>
  </si>
  <si>
    <t>EMA-5 &amp; 9</t>
  </si>
  <si>
    <t xml:space="preserve">Reference:    Exhs. </t>
  </si>
  <si>
    <t>Pro Forma Study</t>
  </si>
  <si>
    <t xml:space="preserve"> </t>
  </si>
  <si>
    <t>Chart 1</t>
  </si>
  <si>
    <t>Public Counsel</t>
  </si>
  <si>
    <t>ICNU</t>
  </si>
  <si>
    <t>NWIGU</t>
  </si>
  <si>
    <t>n/a</t>
  </si>
  <si>
    <t>(3)</t>
  </si>
  <si>
    <r>
      <t xml:space="preserve">Staff </t>
    </r>
    <r>
      <rPr>
        <vertAlign val="superscript"/>
        <sz val="12"/>
        <color theme="1"/>
        <rFont val="Times New Roman"/>
        <family val="1"/>
      </rPr>
      <t>(2)</t>
    </r>
  </si>
  <si>
    <r>
      <rPr>
        <vertAlign val="superscript"/>
        <sz val="10"/>
        <color theme="1"/>
        <rFont val="Times New Roman"/>
        <family val="1"/>
      </rPr>
      <t xml:space="preserve">(3) </t>
    </r>
    <r>
      <rPr>
        <sz val="10"/>
        <color theme="1"/>
        <rFont val="Times New Roman"/>
        <family val="1"/>
      </rPr>
      <t>Public Counsel, ICNU and NWIGU oppose a Three-Year Rate Plan.</t>
    </r>
  </si>
  <si>
    <r>
      <rPr>
        <vertAlign val="superscript"/>
        <sz val="10"/>
        <color theme="1"/>
        <rFont val="Times New Roman"/>
        <family val="1"/>
      </rPr>
      <t xml:space="preserve">(2) </t>
    </r>
    <r>
      <rPr>
        <sz val="10"/>
        <color theme="1"/>
        <rFont val="Times New Roman"/>
        <family val="1"/>
      </rPr>
      <t>Main difference with Staff is cost of capital, removal of power suppy update and level of capital additions.</t>
    </r>
  </si>
  <si>
    <r>
      <t xml:space="preserve">5/1/2019 </t>
    </r>
    <r>
      <rPr>
        <b/>
        <vertAlign val="superscript"/>
        <sz val="12"/>
        <color theme="1"/>
        <rFont val="Calibri"/>
        <family val="2"/>
        <scheme val="minor"/>
      </rPr>
      <t>(1)</t>
    </r>
  </si>
  <si>
    <r>
      <t xml:space="preserve">5/1/2020 </t>
    </r>
    <r>
      <rPr>
        <b/>
        <vertAlign val="superscript"/>
        <sz val="12"/>
        <color theme="1"/>
        <rFont val="Calibri"/>
        <family val="2"/>
        <scheme val="minor"/>
      </rPr>
      <t>(1)</t>
    </r>
  </si>
  <si>
    <t>Staff Proposed</t>
  </si>
  <si>
    <t xml:space="preserve">Avista </t>
  </si>
  <si>
    <t>EOP</t>
  </si>
  <si>
    <t>AMA</t>
  </si>
  <si>
    <t>As-Filed Revenue Requirement</t>
  </si>
  <si>
    <r>
      <rPr>
        <vertAlign val="superscript"/>
        <sz val="10"/>
        <color theme="1"/>
        <rFont val="Times New Roman"/>
        <family val="1"/>
      </rPr>
      <t xml:space="preserve">(1) </t>
    </r>
    <r>
      <rPr>
        <sz val="10"/>
        <color theme="1"/>
        <rFont val="Times New Roman"/>
        <family val="1"/>
      </rPr>
      <t>Rate Years 2 and 3 based on Revenue Growth Factor (K-Factor) on prior year proposed revenues.</t>
    </r>
  </si>
  <si>
    <t>(1) Rate Years 2 and 3 determined by adjusting Rate Year 1 rate base balances by Staff's Net Plant after ADFIT growth rate of 3.04% (electric) and 5.02% (natural gas).</t>
  </si>
  <si>
    <t>Net Plant After ADFIT (Rate Base) (000s)</t>
  </si>
  <si>
    <t>Summary of Revenue Requirement - As-Filed versus Rebuttal   (000s)</t>
  </si>
  <si>
    <t>Summary of Proposed Revenue Requirement Positions (000s)</t>
  </si>
  <si>
    <t>Reconcilation of Avista Rebuttal versus Staff Revenue Requirement -  Year 1 (000s)</t>
  </si>
  <si>
    <t>Table No. 4</t>
  </si>
  <si>
    <t>Table No. 5</t>
  </si>
  <si>
    <t>Table No. 6</t>
  </si>
  <si>
    <t>Net Plant after ADFIT (Rate Base)  (000s)</t>
  </si>
  <si>
    <t>Net plant after ADFIT (Rate Base)   (000s)</t>
  </si>
  <si>
    <t>K-Factor Calculation - Rate Year 1:</t>
  </si>
  <si>
    <t>(a)</t>
  </si>
  <si>
    <t>(c)</t>
  </si>
  <si>
    <t>Category</t>
  </si>
  <si>
    <t>Growth Rate 2013-2016</t>
  </si>
  <si>
    <t>K-Factor %              (a) x (b)</t>
  </si>
  <si>
    <t>Operating Expenses</t>
  </si>
  <si>
    <r>
      <t>Depreciation/Amortization</t>
    </r>
    <r>
      <rPr>
        <b/>
        <vertAlign val="superscript"/>
        <sz val="12"/>
        <color theme="1"/>
        <rFont val="Times New Roman"/>
        <family val="1"/>
      </rPr>
      <t>(1)</t>
    </r>
  </si>
  <si>
    <t>Taxes Other than Income</t>
  </si>
  <si>
    <t>Net Plant After ADFIT</t>
  </si>
  <si>
    <t xml:space="preserve">Annual Growth In Sales Revenue </t>
  </si>
  <si>
    <t xml:space="preserve"> Total K-Factor % </t>
  </si>
  <si>
    <t>See Exh. EMA- 8, page 8 for growth rates and page 6 for revenue proportion and annual growth in sales revenue.</t>
  </si>
  <si>
    <r>
      <rPr>
        <b/>
        <vertAlign val="superscript"/>
        <sz val="10"/>
        <rFont val="Times New Roman"/>
        <family val="1"/>
      </rPr>
      <t xml:space="preserve">(1) </t>
    </r>
    <r>
      <rPr>
        <b/>
        <sz val="10"/>
        <rFont val="Times New Roman"/>
        <family val="1"/>
      </rPr>
      <t>The growth rate in depreciation/amortization expense is primarily driven by shorter-lived assets representing a higher proportion of investment in recent years.</t>
    </r>
  </si>
  <si>
    <t>Avista Revised Revenue Growth Factor (K-Factor) for Rate Years 2 and 3 (May 1, 2019 and May 1, 2020)</t>
  </si>
  <si>
    <t xml:space="preserve">Avista Revised Revenue Growth Factor </t>
  </si>
  <si>
    <t>(b)</t>
  </si>
  <si>
    <t>Line</t>
  </si>
  <si>
    <t xml:space="preserve">Growth Rate     </t>
  </si>
  <si>
    <t>Revenue Portion of Category</t>
  </si>
  <si>
    <t>Weighted Avg Escalation (a) x (b)</t>
  </si>
  <si>
    <t>Operating Expenses (1)</t>
  </si>
  <si>
    <t>Depreciation/Amortization</t>
  </si>
  <si>
    <t>Net Plant After ADFIT (2)</t>
  </si>
  <si>
    <t>Annual Growth In Sales Revenue (2)</t>
  </si>
  <si>
    <t xml:space="preserve"> Total Escalator %</t>
  </si>
  <si>
    <t>Staff Revenue Escalator Calculation</t>
  </si>
  <si>
    <t xml:space="preserve">Growth Rate </t>
  </si>
  <si>
    <t>Operating Expenses - (UTC Indices)</t>
  </si>
  <si>
    <t>(1) On rebuttal Avista agrees with Staff's operating expenses growth component.</t>
  </si>
  <si>
    <t>(2) Staff witness Mr. Hancock supports Avista's Net Plant after ADFIT and Annual Growth in Sales Revenue components.</t>
  </si>
  <si>
    <t>Year</t>
  </si>
  <si>
    <t>Capital Expenditures</t>
  </si>
  <si>
    <t>Net Rate Base</t>
  </si>
  <si>
    <t>Revenue Requirement</t>
  </si>
  <si>
    <t>(000s)</t>
  </si>
  <si>
    <t>Company Proposed Adjustments on Rebuttal</t>
  </si>
  <si>
    <r>
      <t xml:space="preserve">12/31/2016 to EOP Adjustment              </t>
    </r>
    <r>
      <rPr>
        <b/>
        <sz val="9"/>
        <color theme="1"/>
        <rFont val="Calibri"/>
        <family val="2"/>
        <scheme val="minor"/>
      </rPr>
      <t>(Adj. 2.19 E / 2.16 G)</t>
    </r>
  </si>
  <si>
    <t>For Information Only</t>
  </si>
  <si>
    <r>
      <t xml:space="preserve">2017 Pro Forma Additions            (Through October)                 </t>
    </r>
    <r>
      <rPr>
        <b/>
        <sz val="9"/>
        <color theme="1"/>
        <rFont val="Calibri"/>
        <family val="2"/>
        <scheme val="minor"/>
      </rPr>
      <t>(Adj. 3.10 E &amp; G)</t>
    </r>
  </si>
  <si>
    <t>2017 Pro Forma Additions         (Through         September)</t>
  </si>
  <si>
    <t>2017 Pro Forma Additions            (Through                 August)</t>
  </si>
  <si>
    <t>Table 10</t>
  </si>
  <si>
    <t xml:space="preserve">Electric and Natural Gas Contested Adjustments </t>
  </si>
  <si>
    <t xml:space="preserve"> Accepted by Avista</t>
  </si>
  <si>
    <t>Item:</t>
  </si>
  <si>
    <t>Adjustment Electric</t>
  </si>
  <si>
    <t>Adjustment Natural Gas</t>
  </si>
  <si>
    <t>Adjustment Name</t>
  </si>
  <si>
    <t>Party Contesting</t>
  </si>
  <si>
    <t>a)</t>
  </si>
  <si>
    <t>Restate Property Tax</t>
  </si>
  <si>
    <t>b)</t>
  </si>
  <si>
    <t>c)</t>
  </si>
  <si>
    <t>Restating Incentives</t>
  </si>
  <si>
    <t>d)</t>
  </si>
  <si>
    <t>Pro Forma Incentive Expenses</t>
  </si>
  <si>
    <t>e)</t>
  </si>
  <si>
    <t>Pro Forma Property Tax (Nat. Gas)</t>
  </si>
  <si>
    <t>Staff / Public Counsel</t>
  </si>
  <si>
    <t>f)</t>
  </si>
  <si>
    <t>Pro Forma Director Fees Expense</t>
  </si>
  <si>
    <t>Staff / ICNU / NWIGU / Public Counsel</t>
  </si>
  <si>
    <t>g)</t>
  </si>
  <si>
    <t>EOP 2017 Capital Net Rate Base</t>
  </si>
  <si>
    <t>Staff  (contest Public Counsel's adjustment)</t>
  </si>
  <si>
    <t>Uncollectible Expense</t>
  </si>
  <si>
    <t>-</t>
  </si>
  <si>
    <t>Conversion Factor</t>
  </si>
  <si>
    <t xml:space="preserve"> Opposed by Avista</t>
  </si>
  <si>
    <t>Adjustment Number Electric</t>
  </si>
  <si>
    <t>Adjustment Number Natural Gas</t>
  </si>
  <si>
    <t>Restate Debt Interest (flow through)</t>
  </si>
  <si>
    <t>Staff / ICNU / NWIGU</t>
  </si>
  <si>
    <t>Restate 2016 AMA Rate Base to EOP</t>
  </si>
  <si>
    <t>Staff added adj</t>
  </si>
  <si>
    <t>Pro Forma Labor Non-Exec</t>
  </si>
  <si>
    <t>ICNU / NWIGU / Public Counsel</t>
  </si>
  <si>
    <t>Pro Forma Property Tax</t>
  </si>
  <si>
    <t>Pro Forma 2017 Threshhold Capital Adds</t>
  </si>
  <si>
    <t>Pro Forma O&amp;M Offsets</t>
  </si>
  <si>
    <t>h)</t>
  </si>
  <si>
    <t xml:space="preserve">New-A1 </t>
  </si>
  <si>
    <t>Avista adjustment added on rebuttal</t>
  </si>
  <si>
    <t>i.)</t>
  </si>
  <si>
    <t>Pro Forma Power Supply &amp; Transm Revs</t>
  </si>
  <si>
    <t>Table 11</t>
  </si>
  <si>
    <t>New MT Aquatic Invasive Fee</t>
  </si>
  <si>
    <t>ROE            Electric</t>
  </si>
  <si>
    <t>ICNU/NWIGU</t>
  </si>
  <si>
    <t>Resulting ROE of Proposed Revenue Positions of Parties</t>
  </si>
  <si>
    <t>ROE             Natural Gas</t>
  </si>
  <si>
    <t>Table No. 7</t>
  </si>
  <si>
    <t>Table 8</t>
  </si>
  <si>
    <t>Table 9- Electric</t>
  </si>
  <si>
    <t>Table 12</t>
  </si>
  <si>
    <r>
      <rPr>
        <b/>
        <u/>
        <sz val="12"/>
        <color theme="1"/>
        <rFont val="Calibri"/>
        <family val="2"/>
        <scheme val="minor"/>
      </rPr>
      <t>Rate Year 1</t>
    </r>
    <r>
      <rPr>
        <b/>
        <sz val="12"/>
        <color theme="1"/>
        <rFont val="Calibri"/>
        <family val="2"/>
        <scheme val="minor"/>
      </rPr>
      <t xml:space="preserve">        05.01.2018 - 04.30.2019</t>
    </r>
  </si>
  <si>
    <t>Avista 12/31/2017</t>
  </si>
  <si>
    <t xml:space="preserve">12.31.17 </t>
  </si>
  <si>
    <t>Working Capital - Per Results of Operations</t>
  </si>
  <si>
    <t>Restating Adjustment</t>
  </si>
  <si>
    <t>Working Capital - As Filed</t>
  </si>
  <si>
    <t>Avista's Proposed Adjustments</t>
  </si>
  <si>
    <t>Avista's Revised Position - Rebuttal</t>
  </si>
  <si>
    <t>Reclassify Cash/Temporary Investments &amp; Idaho Earnings Test</t>
  </si>
  <si>
    <t>Revised Allocation Methodology</t>
  </si>
  <si>
    <t>Total Staff's Proposed Adjustments</t>
  </si>
  <si>
    <t>Total change from ROO</t>
  </si>
  <si>
    <t>Staff's total change from ROO</t>
  </si>
  <si>
    <t>Difference - rounding</t>
  </si>
  <si>
    <t>Working Capital  (000s)</t>
  </si>
  <si>
    <t>Staff's Position</t>
  </si>
  <si>
    <t>Staff's Proposed Adjustments:</t>
  </si>
  <si>
    <t>1)</t>
  </si>
  <si>
    <t>2)</t>
  </si>
  <si>
    <t>Issue #</t>
  </si>
  <si>
    <t>AVISTA METHOD</t>
  </si>
  <si>
    <t>Line #</t>
  </si>
  <si>
    <t>FERC</t>
  </si>
  <si>
    <t>Account Description</t>
  </si>
  <si>
    <t>2016 AMA</t>
  </si>
  <si>
    <t>Gas-North</t>
  </si>
  <si>
    <t>Gas-South</t>
  </si>
  <si>
    <t>ED-WA</t>
  </si>
  <si>
    <t>ED-ID</t>
  </si>
  <si>
    <t>GD-WA</t>
  </si>
  <si>
    <t>GD-ID</t>
  </si>
  <si>
    <t>GD-OR</t>
  </si>
  <si>
    <t>128150</t>
  </si>
  <si>
    <t>SPECIAL FUNDS-CS2 GE LTSA ADVA</t>
  </si>
  <si>
    <t>128155</t>
  </si>
  <si>
    <t>SPECIAL FUNDS-CS2 LTSA ADV-O&amp;M</t>
  </si>
  <si>
    <t>151120</t>
  </si>
  <si>
    <t>FUEL STOCK COAL-COLSTRIP</t>
  </si>
  <si>
    <t>232110</t>
  </si>
  <si>
    <t>ACCTS PAY-POWER TRANSACTIONS</t>
  </si>
  <si>
    <t>232130</t>
  </si>
  <si>
    <t>ACCTS PAY-GAS SUPPLY TRANSACTI</t>
  </si>
  <si>
    <t xml:space="preserve">   Total - Avista Method</t>
  </si>
  <si>
    <t>STAFF METHOD</t>
  </si>
  <si>
    <t xml:space="preserve">   Total - Staff Method</t>
  </si>
  <si>
    <t>AVISTA METHOD (000s)</t>
  </si>
  <si>
    <t>STAFF METHOD (000s)</t>
  </si>
  <si>
    <r>
      <rPr>
        <vertAlign val="superscript"/>
        <sz val="10"/>
        <color theme="1"/>
        <rFont val="Times New Roman"/>
        <family val="1"/>
      </rPr>
      <t>(2) "</t>
    </r>
    <r>
      <rPr>
        <sz val="10"/>
        <color theme="1"/>
        <rFont val="Times New Roman"/>
        <family val="1"/>
      </rPr>
      <t xml:space="preserve">Reduction in Capital Projects" result of Company revising its approach to reflect a "functionalized threshold" method (similar to Staff witness Wright proposed approach in Puget Sound Energy Docket Nos. UE-170033/UG-170034.)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</si>
</sst>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"/>
      <name val="Times New Roman"/>
      <family val="1"/>
    </font>
    <font>
      <u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2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 val="singleAccounting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2" xfId="0" applyBorder="1"/>
    <xf numFmtId="164" fontId="0" fillId="0" borderId="2" xfId="1" applyNumberFormat="1" applyFont="1" applyBorder="1"/>
    <xf numFmtId="164" fontId="0" fillId="2" borderId="2" xfId="1" applyNumberFormat="1" applyFont="1" applyFill="1" applyBorder="1"/>
    <xf numFmtId="164" fontId="0" fillId="3" borderId="0" xfId="1" applyNumberFormat="1" applyFont="1" applyFill="1"/>
    <xf numFmtId="164" fontId="0" fillId="3" borderId="2" xfId="1" applyNumberFormat="1" applyFont="1" applyFill="1" applyBorder="1"/>
    <xf numFmtId="164" fontId="0" fillId="0" borderId="0" xfId="1" applyNumberFormat="1" applyFont="1" applyFill="1"/>
    <xf numFmtId="0" fontId="0" fillId="0" borderId="0" xfId="0" applyFill="1"/>
    <xf numFmtId="0" fontId="3" fillId="0" borderId="0" xfId="0" applyFont="1"/>
    <xf numFmtId="0" fontId="4" fillId="0" borderId="0" xfId="0" applyFont="1"/>
    <xf numFmtId="165" fontId="4" fillId="0" borderId="1" xfId="2" applyNumberFormat="1" applyFont="1" applyBorder="1"/>
    <xf numFmtId="15" fontId="3" fillId="0" borderId="1" xfId="0" quotePrefix="1" applyNumberFormat="1" applyFont="1" applyBorder="1" applyAlignment="1">
      <alignment horizontal="center" wrapText="1"/>
    </xf>
    <xf numFmtId="0" fontId="4" fillId="0" borderId="10" xfId="0" applyFont="1" applyBorder="1"/>
    <xf numFmtId="0" fontId="4" fillId="3" borderId="0" xfId="0" applyFont="1" applyFill="1" applyBorder="1"/>
    <xf numFmtId="15" fontId="3" fillId="0" borderId="11" xfId="0" quotePrefix="1" applyNumberFormat="1" applyFont="1" applyBorder="1" applyAlignment="1">
      <alignment horizontal="center" wrapText="1"/>
    </xf>
    <xf numFmtId="165" fontId="4" fillId="0" borderId="0" xfId="2" applyNumberFormat="1" applyFont="1" applyBorder="1"/>
    <xf numFmtId="165" fontId="4" fillId="0" borderId="12" xfId="2" applyNumberFormat="1" applyFont="1" applyBorder="1"/>
    <xf numFmtId="165" fontId="4" fillId="0" borderId="11" xfId="2" applyNumberFormat="1" applyFont="1" applyBorder="1"/>
    <xf numFmtId="0" fontId="4" fillId="0" borderId="19" xfId="0" applyFont="1" applyBorder="1"/>
    <xf numFmtId="10" fontId="4" fillId="0" borderId="0" xfId="0" applyNumberFormat="1" applyFont="1"/>
    <xf numFmtId="10" fontId="5" fillId="0" borderId="1" xfId="0" applyNumberFormat="1" applyFont="1" applyBorder="1"/>
    <xf numFmtId="0" fontId="5" fillId="0" borderId="1" xfId="0" applyFont="1" applyBorder="1"/>
    <xf numFmtId="10" fontId="5" fillId="0" borderId="11" xfId="0" applyNumberFormat="1" applyFont="1" applyBorder="1"/>
    <xf numFmtId="10" fontId="5" fillId="0" borderId="0" xfId="0" applyNumberFormat="1" applyFont="1" applyBorder="1"/>
    <xf numFmtId="0" fontId="5" fillId="0" borderId="0" xfId="0" applyFont="1" applyBorder="1"/>
    <xf numFmtId="10" fontId="5" fillId="0" borderId="12" xfId="0" applyNumberFormat="1" applyFont="1" applyBorder="1"/>
    <xf numFmtId="0" fontId="4" fillId="0" borderId="0" xfId="0" applyFont="1" applyBorder="1"/>
    <xf numFmtId="15" fontId="3" fillId="0" borderId="0" xfId="0" quotePrefix="1" applyNumberFormat="1" applyFont="1" applyBorder="1" applyAlignment="1">
      <alignment horizontal="center" wrapText="1"/>
    </xf>
    <xf numFmtId="10" fontId="4" fillId="0" borderId="0" xfId="0" applyNumberFormat="1" applyFont="1" applyBorder="1"/>
    <xf numFmtId="0" fontId="4" fillId="0" borderId="0" xfId="0" applyFont="1" applyBorder="1" applyAlignment="1">
      <alignment vertical="top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65" fontId="4" fillId="0" borderId="27" xfId="2" applyNumberFormat="1" applyFont="1" applyBorder="1" applyAlignment="1">
      <alignment horizontal="center" vertical="center" wrapText="1"/>
    </xf>
    <xf numFmtId="10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4" borderId="10" xfId="0" applyFont="1" applyFill="1" applyBorder="1"/>
    <xf numFmtId="0" fontId="4" fillId="4" borderId="0" xfId="0" applyFont="1" applyFill="1" applyBorder="1"/>
    <xf numFmtId="0" fontId="3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4" fillId="4" borderId="14" xfId="0" applyFont="1" applyFill="1" applyBorder="1"/>
    <xf numFmtId="0" fontId="4" fillId="4" borderId="5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wrapText="1"/>
    </xf>
    <xf numFmtId="165" fontId="3" fillId="4" borderId="0" xfId="2" quotePrefix="1" applyNumberFormat="1" applyFont="1" applyFill="1" applyBorder="1" applyAlignment="1">
      <alignment horizontal="center" vertical="center" wrapText="1"/>
    </xf>
    <xf numFmtId="15" fontId="3" fillId="4" borderId="0" xfId="0" quotePrefix="1" applyNumberFormat="1" applyFont="1" applyFill="1" applyBorder="1" applyAlignment="1">
      <alignment horizontal="center" vertical="center" wrapText="1"/>
    </xf>
    <xf numFmtId="165" fontId="3" fillId="4" borderId="12" xfId="2" quotePrefix="1" applyNumberFormat="1" applyFont="1" applyFill="1" applyBorder="1" applyAlignment="1">
      <alignment horizontal="center" vertical="center" wrapText="1"/>
    </xf>
    <xf numFmtId="165" fontId="4" fillId="4" borderId="0" xfId="2" applyNumberFormat="1" applyFont="1" applyFill="1" applyBorder="1" applyAlignment="1">
      <alignment vertical="center"/>
    </xf>
    <xf numFmtId="43" fontId="4" fillId="4" borderId="12" xfId="1" applyFont="1" applyFill="1" applyBorder="1" applyAlignment="1">
      <alignment horizontal="center" vertical="center"/>
    </xf>
    <xf numFmtId="165" fontId="4" fillId="4" borderId="12" xfId="2" applyNumberFormat="1" applyFont="1" applyFill="1" applyBorder="1" applyAlignment="1">
      <alignment vertical="center"/>
    </xf>
    <xf numFmtId="165" fontId="4" fillId="4" borderId="1" xfId="2" applyNumberFormat="1" applyFont="1" applyFill="1" applyBorder="1" applyAlignment="1">
      <alignment vertical="center"/>
    </xf>
    <xf numFmtId="10" fontId="4" fillId="4" borderId="0" xfId="0" applyNumberFormat="1" applyFont="1" applyFill="1" applyBorder="1" applyAlignment="1">
      <alignment vertical="center"/>
    </xf>
    <xf numFmtId="165" fontId="4" fillId="4" borderId="11" xfId="2" applyNumberFormat="1" applyFont="1" applyFill="1" applyBorder="1" applyAlignment="1">
      <alignment vertical="center"/>
    </xf>
    <xf numFmtId="165" fontId="3" fillId="4" borderId="24" xfId="2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5" fontId="3" fillId="4" borderId="25" xfId="2" applyNumberFormat="1" applyFont="1" applyFill="1" applyBorder="1" applyAlignment="1">
      <alignment vertical="center"/>
    </xf>
    <xf numFmtId="0" fontId="4" fillId="4" borderId="15" xfId="0" applyFont="1" applyFill="1" applyBorder="1"/>
    <xf numFmtId="0" fontId="3" fillId="4" borderId="27" xfId="0" applyFont="1" applyFill="1" applyBorder="1" applyAlignment="1"/>
    <xf numFmtId="15" fontId="3" fillId="4" borderId="27" xfId="0" quotePrefix="1" applyNumberFormat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/>
    </xf>
    <xf numFmtId="0" fontId="4" fillId="4" borderId="28" xfId="0" applyFont="1" applyFill="1" applyBorder="1"/>
    <xf numFmtId="0" fontId="4" fillId="4" borderId="0" xfId="0" applyFont="1" applyFill="1"/>
    <xf numFmtId="0" fontId="3" fillId="4" borderId="0" xfId="0" applyFont="1" applyFill="1" applyBorder="1" applyAlignment="1">
      <alignment horizontal="center" vertical="center"/>
    </xf>
    <xf numFmtId="165" fontId="4" fillId="4" borderId="0" xfId="2" applyNumberFormat="1" applyFont="1" applyFill="1" applyBorder="1" applyAlignment="1">
      <alignment horizontal="center" vertical="center"/>
    </xf>
    <xf numFmtId="165" fontId="10" fillId="4" borderId="0" xfId="2" applyNumberFormat="1" applyFont="1" applyFill="1" applyBorder="1" applyAlignment="1">
      <alignment horizontal="center" vertical="center"/>
    </xf>
    <xf numFmtId="10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165" fontId="11" fillId="4" borderId="0" xfId="2" applyNumberFormat="1" applyFont="1" applyFill="1" applyBorder="1" applyAlignment="1">
      <alignment horizontal="center" vertical="center"/>
    </xf>
    <xf numFmtId="165" fontId="9" fillId="4" borderId="0" xfId="2" applyNumberFormat="1" applyFont="1" applyFill="1" applyBorder="1" applyAlignment="1">
      <alignment horizontal="center" vertical="center"/>
    </xf>
    <xf numFmtId="43" fontId="9" fillId="4" borderId="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165" fontId="14" fillId="0" borderId="4" xfId="2" applyNumberFormat="1" applyFont="1" applyBorder="1"/>
    <xf numFmtId="0" fontId="15" fillId="3" borderId="0" xfId="0" applyFont="1" applyFill="1" applyBorder="1"/>
    <xf numFmtId="165" fontId="14" fillId="0" borderId="13" xfId="2" applyNumberFormat="1" applyFont="1" applyBorder="1"/>
    <xf numFmtId="0" fontId="15" fillId="3" borderId="17" xfId="0" applyFont="1" applyFill="1" applyBorder="1"/>
    <xf numFmtId="0" fontId="5" fillId="0" borderId="21" xfId="0" applyFont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/>
    <xf numFmtId="165" fontId="3" fillId="0" borderId="0" xfId="2" quotePrefix="1" applyNumberFormat="1" applyFont="1" applyFill="1" applyBorder="1" applyAlignment="1">
      <alignment horizontal="center" vertical="center" wrapText="1"/>
    </xf>
    <xf numFmtId="15" fontId="3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165" fontId="4" fillId="4" borderId="5" xfId="2" applyNumberFormat="1" applyFont="1" applyFill="1" applyBorder="1"/>
    <xf numFmtId="165" fontId="4" fillId="4" borderId="15" xfId="2" applyNumberFormat="1" applyFont="1" applyFill="1" applyBorder="1"/>
    <xf numFmtId="15" fontId="3" fillId="4" borderId="0" xfId="0" quotePrefix="1" applyNumberFormat="1" applyFont="1" applyFill="1" applyBorder="1" applyAlignment="1">
      <alignment horizontal="center" wrapText="1"/>
    </xf>
    <xf numFmtId="15" fontId="3" fillId="4" borderId="12" xfId="0" quotePrefix="1" applyNumberFormat="1" applyFont="1" applyFill="1" applyBorder="1" applyAlignment="1">
      <alignment horizontal="center" wrapText="1"/>
    </xf>
    <xf numFmtId="165" fontId="4" fillId="4" borderId="30" xfId="2" applyNumberFormat="1" applyFont="1" applyFill="1" applyBorder="1"/>
    <xf numFmtId="165" fontId="4" fillId="4" borderId="31" xfId="2" applyNumberFormat="1" applyFont="1" applyFill="1" applyBorder="1"/>
    <xf numFmtId="165" fontId="4" fillId="4" borderId="30" xfId="2" quotePrefix="1" applyNumberFormat="1" applyFont="1" applyFill="1" applyBorder="1" applyAlignment="1">
      <alignment horizontal="center" wrapText="1"/>
    </xf>
    <xf numFmtId="165" fontId="4" fillId="4" borderId="30" xfId="2" applyNumberFormat="1" applyFont="1" applyFill="1" applyBorder="1" applyAlignment="1"/>
    <xf numFmtId="165" fontId="4" fillId="4" borderId="31" xfId="2" applyNumberFormat="1" applyFont="1" applyFill="1" applyBorder="1" applyAlignment="1"/>
    <xf numFmtId="0" fontId="4" fillId="3" borderId="5" xfId="0" applyFont="1" applyFill="1" applyBorder="1" applyAlignment="1"/>
    <xf numFmtId="0" fontId="4" fillId="4" borderId="29" xfId="0" applyFont="1" applyFill="1" applyBorder="1"/>
    <xf numFmtId="0" fontId="18" fillId="0" borderId="0" xfId="0" applyFont="1"/>
    <xf numFmtId="0" fontId="18" fillId="0" borderId="10" xfId="0" applyFont="1" applyBorder="1"/>
    <xf numFmtId="0" fontId="16" fillId="0" borderId="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8" fillId="0" borderId="0" xfId="0" applyFont="1" applyBorder="1"/>
    <xf numFmtId="0" fontId="16" fillId="0" borderId="16" xfId="0" applyFont="1" applyBorder="1" applyAlignment="1">
      <alignment horizontal="center" wrapText="1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14" xfId="0" applyFont="1" applyBorder="1"/>
    <xf numFmtId="165" fontId="16" fillId="0" borderId="5" xfId="2" applyNumberFormat="1" applyFont="1" applyFill="1" applyBorder="1"/>
    <xf numFmtId="165" fontId="16" fillId="0" borderId="5" xfId="2" applyNumberFormat="1" applyFont="1" applyBorder="1"/>
    <xf numFmtId="165" fontId="16" fillId="0" borderId="15" xfId="2" applyNumberFormat="1" applyFont="1" applyBorder="1"/>
    <xf numFmtId="165" fontId="16" fillId="0" borderId="1" xfId="2" applyNumberFormat="1" applyFont="1" applyFill="1" applyBorder="1"/>
    <xf numFmtId="165" fontId="16" fillId="0" borderId="1" xfId="2" applyNumberFormat="1" applyFont="1" applyBorder="1"/>
    <xf numFmtId="165" fontId="16" fillId="0" borderId="11" xfId="2" applyNumberFormat="1" applyFont="1" applyBorder="1"/>
    <xf numFmtId="0" fontId="16" fillId="0" borderId="21" xfId="0" applyFont="1" applyBorder="1"/>
    <xf numFmtId="0" fontId="17" fillId="0" borderId="29" xfId="0" applyFont="1" applyBorder="1"/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8" xfId="0" applyBorder="1"/>
    <xf numFmtId="0" fontId="0" fillId="0" borderId="10" xfId="0" applyBorder="1"/>
    <xf numFmtId="0" fontId="0" fillId="0" borderId="0" xfId="0" applyBorder="1"/>
    <xf numFmtId="14" fontId="2" fillId="0" borderId="11" xfId="0" applyNumberFormat="1" applyFont="1" applyBorder="1" applyAlignment="1">
      <alignment horizontal="center"/>
    </xf>
    <xf numFmtId="164" fontId="0" fillId="0" borderId="0" xfId="0" applyNumberFormat="1" applyBorder="1"/>
    <xf numFmtId="164" fontId="0" fillId="0" borderId="0" xfId="1" applyNumberFormat="1" applyFont="1" applyBorder="1"/>
    <xf numFmtId="164" fontId="0" fillId="0" borderId="12" xfId="1" applyNumberFormat="1" applyFont="1" applyBorder="1"/>
    <xf numFmtId="0" fontId="0" fillId="0" borderId="14" xfId="0" applyBorder="1"/>
    <xf numFmtId="0" fontId="0" fillId="0" borderId="5" xfId="0" applyBorder="1"/>
    <xf numFmtId="164" fontId="0" fillId="0" borderId="32" xfId="1" applyNumberFormat="1" applyFont="1" applyBorder="1"/>
    <xf numFmtId="164" fontId="0" fillId="0" borderId="5" xfId="1" applyNumberFormat="1" applyFont="1" applyBorder="1"/>
    <xf numFmtId="164" fontId="0" fillId="0" borderId="15" xfId="1" applyNumberFormat="1" applyFont="1" applyBorder="1"/>
    <xf numFmtId="0" fontId="0" fillId="0" borderId="0" xfId="0" applyFill="1" applyBorder="1"/>
    <xf numFmtId="164" fontId="0" fillId="0" borderId="0" xfId="1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65" fontId="4" fillId="4" borderId="5" xfId="2" quotePrefix="1" applyNumberFormat="1" applyFont="1" applyFill="1" applyBorder="1" applyAlignment="1">
      <alignment horizontal="center" wrapText="1"/>
    </xf>
    <xf numFmtId="0" fontId="16" fillId="3" borderId="38" xfId="0" applyFont="1" applyFill="1" applyBorder="1" applyAlignment="1">
      <alignment horizontal="center"/>
    </xf>
    <xf numFmtId="0" fontId="16" fillId="3" borderId="27" xfId="0" applyFont="1" applyFill="1" applyBorder="1" applyAlignment="1">
      <alignment horizontal="center"/>
    </xf>
    <xf numFmtId="14" fontId="16" fillId="3" borderId="33" xfId="0" applyNumberFormat="1" applyFont="1" applyFill="1" applyBorder="1" applyAlignment="1">
      <alignment horizontal="center"/>
    </xf>
    <xf numFmtId="0" fontId="20" fillId="0" borderId="0" xfId="0" quotePrefix="1" applyFont="1" applyBorder="1" applyAlignment="1">
      <alignment vertical="top" wrapText="1"/>
    </xf>
    <xf numFmtId="0" fontId="16" fillId="4" borderId="10" xfId="0" applyFont="1" applyFill="1" applyBorder="1" applyAlignment="1">
      <alignment horizontal="center"/>
    </xf>
    <xf numFmtId="0" fontId="16" fillId="4" borderId="10" xfId="0" applyFont="1" applyFill="1" applyBorder="1"/>
    <xf numFmtId="0" fontId="16" fillId="4" borderId="35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14" fontId="16" fillId="4" borderId="36" xfId="0" applyNumberFormat="1" applyFont="1" applyFill="1" applyBorder="1" applyAlignment="1">
      <alignment horizontal="center"/>
    </xf>
    <xf numFmtId="14" fontId="16" fillId="4" borderId="11" xfId="0" applyNumberFormat="1" applyFont="1" applyFill="1" applyBorder="1" applyAlignment="1">
      <alignment horizontal="center"/>
    </xf>
    <xf numFmtId="0" fontId="16" fillId="4" borderId="21" xfId="0" applyFont="1" applyFill="1" applyBorder="1"/>
    <xf numFmtId="164" fontId="16" fillId="4" borderId="32" xfId="1" applyNumberFormat="1" applyFont="1" applyFill="1" applyBorder="1"/>
    <xf numFmtId="164" fontId="16" fillId="4" borderId="15" xfId="1" applyNumberFormat="1" applyFont="1" applyFill="1" applyBorder="1"/>
    <xf numFmtId="164" fontId="16" fillId="4" borderId="34" xfId="1" applyNumberFormat="1" applyFont="1" applyFill="1" applyBorder="1"/>
    <xf numFmtId="164" fontId="16" fillId="4" borderId="40" xfId="1" applyNumberFormat="1" applyFont="1" applyFill="1" applyBorder="1"/>
    <xf numFmtId="0" fontId="16" fillId="4" borderId="37" xfId="0" applyFont="1" applyFill="1" applyBorder="1" applyAlignment="1">
      <alignment horizontal="center"/>
    </xf>
    <xf numFmtId="14" fontId="16" fillId="4" borderId="3" xfId="0" applyNumberFormat="1" applyFont="1" applyFill="1" applyBorder="1" applyAlignment="1">
      <alignment horizontal="center"/>
    </xf>
    <xf numFmtId="164" fontId="16" fillId="4" borderId="41" xfId="0" applyNumberFormat="1" applyFont="1" applyFill="1" applyBorder="1"/>
    <xf numFmtId="164" fontId="16" fillId="3" borderId="39" xfId="0" applyNumberFormat="1" applyFont="1" applyFill="1" applyBorder="1"/>
    <xf numFmtId="164" fontId="16" fillId="3" borderId="28" xfId="1" applyNumberFormat="1" applyFont="1" applyFill="1" applyBorder="1"/>
    <xf numFmtId="0" fontId="18" fillId="4" borderId="10" xfId="0" applyFont="1" applyFill="1" applyBorder="1"/>
    <xf numFmtId="0" fontId="16" fillId="4" borderId="0" xfId="0" applyFont="1" applyFill="1" applyBorder="1" applyAlignment="1">
      <alignment horizontal="center" wrapText="1"/>
    </xf>
    <xf numFmtId="0" fontId="16" fillId="4" borderId="12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4" xfId="0" applyFont="1" applyFill="1" applyBorder="1"/>
    <xf numFmtId="0" fontId="16" fillId="4" borderId="35" xfId="0" applyFont="1" applyFill="1" applyBorder="1" applyAlignment="1">
      <alignment horizontal="center" wrapText="1"/>
    </xf>
    <xf numFmtId="0" fontId="16" fillId="4" borderId="3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right"/>
    </xf>
    <xf numFmtId="0" fontId="22" fillId="0" borderId="0" xfId="3"/>
    <xf numFmtId="0" fontId="22" fillId="0" borderId="0" xfId="3" applyFont="1" applyAlignment="1">
      <alignment horizontal="center" vertical="center"/>
    </xf>
    <xf numFmtId="0" fontId="22" fillId="0" borderId="0" xfId="3" applyAlignment="1">
      <alignment horizontal="center" vertical="center"/>
    </xf>
    <xf numFmtId="0" fontId="23" fillId="4" borderId="6" xfId="3" applyFont="1" applyFill="1" applyBorder="1"/>
    <xf numFmtId="0" fontId="24" fillId="4" borderId="8" xfId="3" applyFont="1" applyFill="1" applyBorder="1" applyAlignment="1">
      <alignment horizontal="center" vertical="center"/>
    </xf>
    <xf numFmtId="0" fontId="24" fillId="4" borderId="18" xfId="3" applyFont="1" applyFill="1" applyBorder="1" applyAlignment="1">
      <alignment horizontal="center" vertical="center"/>
    </xf>
    <xf numFmtId="0" fontId="25" fillId="4" borderId="21" xfId="4" applyFont="1" applyFill="1" applyBorder="1" applyAlignment="1">
      <alignment wrapText="1"/>
    </xf>
    <xf numFmtId="0" fontId="25" fillId="4" borderId="1" xfId="4" applyFont="1" applyFill="1" applyBorder="1" applyAlignment="1">
      <alignment horizontal="center" wrapText="1"/>
    </xf>
    <xf numFmtId="0" fontId="25" fillId="4" borderId="11" xfId="4" applyFont="1" applyFill="1" applyBorder="1" applyAlignment="1">
      <alignment horizontal="center" wrapText="1"/>
    </xf>
    <xf numFmtId="0" fontId="3" fillId="4" borderId="10" xfId="5" applyFont="1" applyFill="1" applyBorder="1"/>
    <xf numFmtId="10" fontId="4" fillId="4" borderId="0" xfId="6" applyNumberFormat="1" applyFont="1" applyFill="1" applyBorder="1"/>
    <xf numFmtId="10" fontId="4" fillId="4" borderId="12" xfId="6" applyNumberFormat="1" applyFont="1" applyFill="1" applyBorder="1"/>
    <xf numFmtId="0" fontId="25" fillId="4" borderId="10" xfId="4" applyFont="1" applyFill="1" applyBorder="1"/>
    <xf numFmtId="0" fontId="27" fillId="4" borderId="0" xfId="3" applyFont="1" applyFill="1" applyBorder="1"/>
    <xf numFmtId="10" fontId="4" fillId="4" borderId="11" xfId="6" applyNumberFormat="1" applyFont="1" applyFill="1" applyBorder="1"/>
    <xf numFmtId="0" fontId="25" fillId="4" borderId="14" xfId="4" applyFont="1" applyFill="1" applyBorder="1" applyAlignment="1">
      <alignment horizontal="right"/>
    </xf>
    <xf numFmtId="0" fontId="28" fillId="4" borderId="5" xfId="3" applyFont="1" applyFill="1" applyBorder="1"/>
    <xf numFmtId="10" fontId="3" fillId="3" borderId="42" xfId="6" applyNumberFormat="1" applyFont="1" applyFill="1" applyBorder="1"/>
    <xf numFmtId="0" fontId="30" fillId="0" borderId="0" xfId="3" applyFont="1"/>
    <xf numFmtId="0" fontId="24" fillId="4" borderId="0" xfId="3" applyFont="1" applyFill="1" applyBorder="1" applyAlignment="1">
      <alignment horizontal="left" vertical="top" wrapText="1"/>
    </xf>
    <xf numFmtId="0" fontId="22" fillId="4" borderId="6" xfId="3" applyFill="1" applyBorder="1"/>
    <xf numFmtId="0" fontId="24" fillId="4" borderId="33" xfId="3" applyFont="1" applyFill="1" applyBorder="1" applyAlignment="1">
      <alignment horizontal="center"/>
    </xf>
    <xf numFmtId="0" fontId="24" fillId="3" borderId="10" xfId="3" applyFont="1" applyFill="1" applyBorder="1" applyAlignment="1">
      <alignment horizontal="center"/>
    </xf>
    <xf numFmtId="0" fontId="24" fillId="4" borderId="10" xfId="3" applyFont="1" applyFill="1" applyBorder="1" applyAlignment="1">
      <alignment horizontal="center"/>
    </xf>
    <xf numFmtId="0" fontId="28" fillId="4" borderId="14" xfId="3" applyFont="1" applyFill="1" applyBorder="1" applyAlignment="1">
      <alignment horizontal="center"/>
    </xf>
    <xf numFmtId="0" fontId="28" fillId="4" borderId="0" xfId="3" applyFont="1" applyFill="1" applyAlignment="1">
      <alignment horizontal="center"/>
    </xf>
    <xf numFmtId="0" fontId="22" fillId="4" borderId="0" xfId="3" applyFill="1"/>
    <xf numFmtId="0" fontId="28" fillId="4" borderId="6" xfId="3" applyFont="1" applyFill="1" applyBorder="1" applyAlignment="1">
      <alignment horizontal="center"/>
    </xf>
    <xf numFmtId="0" fontId="24" fillId="4" borderId="14" xfId="3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top" wrapText="1"/>
    </xf>
    <xf numFmtId="40" fontId="4" fillId="4" borderId="0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10" xfId="0" applyFont="1" applyBorder="1"/>
    <xf numFmtId="165" fontId="2" fillId="0" borderId="0" xfId="2" applyNumberFormat="1" applyFont="1" applyBorder="1"/>
    <xf numFmtId="165" fontId="2" fillId="0" borderId="12" xfId="2" applyNumberFormat="1" applyFont="1" applyBorder="1"/>
    <xf numFmtId="165" fontId="2" fillId="0" borderId="5" xfId="2" applyNumberFormat="1" applyFont="1" applyBorder="1"/>
    <xf numFmtId="165" fontId="2" fillId="0" borderId="15" xfId="2" applyNumberFormat="1" applyFont="1" applyBorder="1"/>
    <xf numFmtId="0" fontId="2" fillId="5" borderId="43" xfId="0" applyFont="1" applyFill="1" applyBorder="1" applyAlignment="1">
      <alignment horizontal="center" vertical="center" wrapText="1"/>
    </xf>
    <xf numFmtId="165" fontId="2" fillId="5" borderId="0" xfId="2" applyNumberFormat="1" applyFont="1" applyFill="1" applyBorder="1"/>
    <xf numFmtId="165" fontId="2" fillId="5" borderId="12" xfId="2" applyNumberFormat="1" applyFont="1" applyFill="1" applyBorder="1"/>
    <xf numFmtId="165" fontId="2" fillId="5" borderId="5" xfId="2" applyNumberFormat="1" applyFont="1" applyFill="1" applyBorder="1"/>
    <xf numFmtId="165" fontId="2" fillId="5" borderId="15" xfId="2" applyNumberFormat="1" applyFont="1" applyFill="1" applyBorder="1"/>
    <xf numFmtId="0" fontId="2" fillId="0" borderId="21" xfId="0" applyFont="1" applyBorder="1"/>
    <xf numFmtId="165" fontId="2" fillId="0" borderId="1" xfId="2" applyNumberFormat="1" applyFont="1" applyBorder="1"/>
    <xf numFmtId="165" fontId="2" fillId="5" borderId="1" xfId="2" applyNumberFormat="1" applyFont="1" applyFill="1" applyBorder="1"/>
    <xf numFmtId="165" fontId="2" fillId="5" borderId="11" xfId="2" applyNumberFormat="1" applyFont="1" applyFill="1" applyBorder="1"/>
    <xf numFmtId="0" fontId="2" fillId="5" borderId="4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165" fontId="2" fillId="0" borderId="11" xfId="2" applyNumberFormat="1" applyFont="1" applyBorder="1"/>
    <xf numFmtId="0" fontId="2" fillId="0" borderId="14" xfId="0" applyFont="1" applyBorder="1"/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7" fillId="0" borderId="0" xfId="3" applyFont="1"/>
    <xf numFmtId="0" fontId="27" fillId="0" borderId="0" xfId="3" applyFont="1" applyAlignment="1">
      <alignment vertical="top"/>
    </xf>
    <xf numFmtId="0" fontId="27" fillId="0" borderId="0" xfId="3" applyFont="1" applyAlignment="1">
      <alignment horizontal="center" vertical="top" wrapText="1"/>
    </xf>
    <xf numFmtId="0" fontId="27" fillId="4" borderId="6" xfId="3" applyFont="1" applyFill="1" applyBorder="1"/>
    <xf numFmtId="0" fontId="27" fillId="4" borderId="10" xfId="3" applyFont="1" applyFill="1" applyBorder="1"/>
    <xf numFmtId="0" fontId="27" fillId="4" borderId="14" xfId="3" applyFont="1" applyFill="1" applyBorder="1"/>
    <xf numFmtId="2" fontId="27" fillId="4" borderId="48" xfId="3" applyNumberFormat="1" applyFont="1" applyFill="1" applyBorder="1" applyAlignment="1">
      <alignment horizontal="center" vertical="top"/>
    </xf>
    <xf numFmtId="2" fontId="27" fillId="4" borderId="49" xfId="3" applyNumberFormat="1" applyFont="1" applyFill="1" applyBorder="1" applyAlignment="1">
      <alignment horizontal="center" vertical="top"/>
    </xf>
    <xf numFmtId="3" fontId="27" fillId="4" borderId="49" xfId="3" applyNumberFormat="1" applyFont="1" applyFill="1" applyBorder="1" applyAlignment="1">
      <alignment vertical="top"/>
    </xf>
    <xf numFmtId="0" fontId="27" fillId="4" borderId="42" xfId="3" applyFont="1" applyFill="1" applyBorder="1" applyAlignment="1">
      <alignment horizontal="left" vertical="top" wrapText="1"/>
    </xf>
    <xf numFmtId="0" fontId="27" fillId="4" borderId="0" xfId="3" applyFont="1" applyFill="1"/>
    <xf numFmtId="0" fontId="27" fillId="4" borderId="0" xfId="3" applyFont="1" applyFill="1" applyAlignment="1">
      <alignment vertical="top"/>
    </xf>
    <xf numFmtId="0" fontId="27" fillId="4" borderId="0" xfId="3" applyFont="1" applyFill="1" applyAlignment="1">
      <alignment horizontal="center" vertical="top" wrapText="1"/>
    </xf>
    <xf numFmtId="0" fontId="25" fillId="4" borderId="50" xfId="3" applyFont="1" applyFill="1" applyBorder="1" applyAlignment="1">
      <alignment horizontal="center" wrapText="1"/>
    </xf>
    <xf numFmtId="0" fontId="25" fillId="4" borderId="8" xfId="3" applyFont="1" applyFill="1" applyBorder="1" applyAlignment="1">
      <alignment horizontal="center" wrapText="1"/>
    </xf>
    <xf numFmtId="0" fontId="25" fillId="4" borderId="18" xfId="3" applyFont="1" applyFill="1" applyBorder="1" applyAlignment="1">
      <alignment horizontal="center" wrapText="1"/>
    </xf>
    <xf numFmtId="2" fontId="27" fillId="4" borderId="51" xfId="3" applyNumberFormat="1" applyFont="1" applyFill="1" applyBorder="1" applyAlignment="1">
      <alignment horizontal="center" vertical="top"/>
    </xf>
    <xf numFmtId="2" fontId="27" fillId="4" borderId="52" xfId="3" applyNumberFormat="1" applyFont="1" applyFill="1" applyBorder="1" applyAlignment="1">
      <alignment horizontal="center" vertical="top"/>
    </xf>
    <xf numFmtId="3" fontId="27" fillId="4" borderId="52" xfId="3" applyNumberFormat="1" applyFont="1" applyFill="1" applyBorder="1" applyAlignment="1">
      <alignment vertical="top"/>
    </xf>
    <xf numFmtId="0" fontId="27" fillId="4" borderId="43" xfId="3" applyFont="1" applyFill="1" applyBorder="1" applyAlignment="1">
      <alignment horizontal="left" vertical="top" wrapText="1"/>
    </xf>
    <xf numFmtId="0" fontId="27" fillId="4" borderId="29" xfId="3" applyFont="1" applyFill="1" applyBorder="1"/>
    <xf numFmtId="2" fontId="27" fillId="4" borderId="47" xfId="3" applyNumberFormat="1" applyFont="1" applyFill="1" applyBorder="1" applyAlignment="1">
      <alignment horizontal="center" vertical="top"/>
    </xf>
    <xf numFmtId="2" fontId="27" fillId="4" borderId="53" xfId="3" applyNumberFormat="1" applyFont="1" applyFill="1" applyBorder="1" applyAlignment="1">
      <alignment horizontal="center" vertical="top"/>
    </xf>
    <xf numFmtId="3" fontId="27" fillId="4" borderId="53" xfId="3" applyNumberFormat="1" applyFont="1" applyFill="1" applyBorder="1" applyAlignment="1">
      <alignment vertical="top"/>
    </xf>
    <xf numFmtId="2" fontId="27" fillId="4" borderId="55" xfId="3" applyNumberFormat="1" applyFont="1" applyFill="1" applyBorder="1" applyAlignment="1">
      <alignment horizontal="center" vertical="top"/>
    </xf>
    <xf numFmtId="2" fontId="27" fillId="4" borderId="56" xfId="3" applyNumberFormat="1" applyFont="1" applyFill="1" applyBorder="1" applyAlignment="1">
      <alignment horizontal="center" vertical="top"/>
    </xf>
    <xf numFmtId="3" fontId="27" fillId="4" borderId="56" xfId="3" applyNumberFormat="1" applyFont="1" applyFill="1" applyBorder="1" applyAlignment="1">
      <alignment vertical="top"/>
    </xf>
    <xf numFmtId="0" fontId="27" fillId="4" borderId="15" xfId="3" applyFont="1" applyFill="1" applyBorder="1" applyAlignment="1">
      <alignment horizontal="left" vertical="top" wrapText="1"/>
    </xf>
    <xf numFmtId="0" fontId="27" fillId="4" borderId="31" xfId="3" applyFont="1" applyFill="1" applyBorder="1" applyAlignment="1">
      <alignment horizontal="left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27" fillId="4" borderId="47" xfId="3" applyFont="1" applyFill="1" applyBorder="1" applyAlignment="1">
      <alignment vertical="top"/>
    </xf>
    <xf numFmtId="2" fontId="27" fillId="0" borderId="53" xfId="0" applyNumberFormat="1" applyFont="1" applyBorder="1" applyAlignment="1">
      <alignment horizontal="center" vertical="top"/>
    </xf>
    <xf numFmtId="3" fontId="27" fillId="0" borderId="53" xfId="0" applyNumberFormat="1" applyFont="1" applyBorder="1" applyAlignment="1">
      <alignment vertical="top"/>
    </xf>
    <xf numFmtId="0" fontId="32" fillId="0" borderId="54" xfId="0" applyFont="1" applyBorder="1" applyAlignment="1">
      <alignment horizontal="left" vertical="top" wrapText="1"/>
    </xf>
    <xf numFmtId="165" fontId="4" fillId="0" borderId="27" xfId="2" applyNumberFormat="1" applyFont="1" applyBorder="1" applyAlignment="1">
      <alignment horizontal="center" vertical="center" wrapText="1"/>
    </xf>
    <xf numFmtId="0" fontId="4" fillId="4" borderId="6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10" fontId="3" fillId="4" borderId="0" xfId="0" applyNumberFormat="1" applyFont="1" applyFill="1" applyBorder="1"/>
    <xf numFmtId="10" fontId="3" fillId="4" borderId="12" xfId="0" applyNumberFormat="1" applyFont="1" applyFill="1" applyBorder="1"/>
    <xf numFmtId="0" fontId="3" fillId="4" borderId="14" xfId="0" applyFont="1" applyFill="1" applyBorder="1"/>
    <xf numFmtId="0" fontId="4" fillId="4" borderId="0" xfId="0" applyFont="1" applyFill="1" applyBorder="1" applyAlignment="1">
      <alignment horizontal="left" vertical="center"/>
    </xf>
    <xf numFmtId="165" fontId="16" fillId="0" borderId="34" xfId="2" applyNumberFormat="1" applyFont="1" applyFill="1" applyBorder="1"/>
    <xf numFmtId="165" fontId="16" fillId="0" borderId="56" xfId="2" applyNumberFormat="1" applyFont="1" applyFill="1" applyBorder="1"/>
    <xf numFmtId="14" fontId="16" fillId="3" borderId="33" xfId="0" applyNumberFormat="1" applyFont="1" applyFill="1" applyBorder="1" applyAlignment="1">
      <alignment horizontal="center" wrapText="1"/>
    </xf>
    <xf numFmtId="0" fontId="16" fillId="4" borderId="37" xfId="0" applyFont="1" applyFill="1" applyBorder="1" applyAlignment="1">
      <alignment horizontal="center" wrapText="1"/>
    </xf>
    <xf numFmtId="0" fontId="24" fillId="4" borderId="21" xfId="4" applyFont="1" applyFill="1" applyBorder="1" applyAlignment="1">
      <alignment wrapText="1"/>
    </xf>
    <xf numFmtId="0" fontId="24" fillId="4" borderId="1" xfId="4" applyFont="1" applyFill="1" applyBorder="1" applyAlignment="1">
      <alignment horizontal="center" wrapText="1"/>
    </xf>
    <xf numFmtId="0" fontId="24" fillId="4" borderId="11" xfId="4" applyFont="1" applyFill="1" applyBorder="1" applyAlignment="1">
      <alignment horizontal="center" wrapText="1"/>
    </xf>
    <xf numFmtId="0" fontId="35" fillId="3" borderId="10" xfId="5" applyFont="1" applyFill="1" applyBorder="1"/>
    <xf numFmtId="10" fontId="5" fillId="3" borderId="0" xfId="6" applyNumberFormat="1" applyFont="1" applyFill="1" applyBorder="1"/>
    <xf numFmtId="10" fontId="5" fillId="3" borderId="12" xfId="6" applyNumberFormat="1" applyFont="1" applyFill="1" applyBorder="1"/>
    <xf numFmtId="0" fontId="35" fillId="4" borderId="10" xfId="5" applyFont="1" applyFill="1" applyBorder="1"/>
    <xf numFmtId="10" fontId="5" fillId="4" borderId="0" xfId="6" applyNumberFormat="1" applyFont="1" applyFill="1" applyBorder="1"/>
    <xf numFmtId="10" fontId="5" fillId="4" borderId="12" xfId="6" applyNumberFormat="1" applyFont="1" applyFill="1" applyBorder="1"/>
    <xf numFmtId="0" fontId="24" fillId="3" borderId="10" xfId="4" applyFont="1" applyFill="1" applyBorder="1"/>
    <xf numFmtId="10" fontId="5" fillId="3" borderId="1" xfId="6" applyNumberFormat="1" applyFont="1" applyFill="1" applyBorder="1"/>
    <xf numFmtId="0" fontId="28" fillId="3" borderId="0" xfId="3" applyFont="1" applyFill="1" applyBorder="1"/>
    <xf numFmtId="10" fontId="36" fillId="3" borderId="0" xfId="3" applyNumberFormat="1" applyFont="1" applyFill="1" applyBorder="1"/>
    <xf numFmtId="10" fontId="5" fillId="3" borderId="11" xfId="6" applyNumberFormat="1" applyFont="1" applyFill="1" applyBorder="1"/>
    <xf numFmtId="0" fontId="24" fillId="4" borderId="14" xfId="4" applyFont="1" applyFill="1" applyBorder="1" applyAlignment="1">
      <alignment horizontal="right"/>
    </xf>
    <xf numFmtId="10" fontId="35" fillId="3" borderId="42" xfId="6" applyNumberFormat="1" applyFont="1" applyFill="1" applyBorder="1"/>
    <xf numFmtId="0" fontId="22" fillId="4" borderId="6" xfId="3" applyFont="1" applyFill="1" applyBorder="1"/>
    <xf numFmtId="0" fontId="22" fillId="4" borderId="0" xfId="3" applyFont="1" applyFill="1"/>
    <xf numFmtId="0" fontId="24" fillId="4" borderId="8" xfId="3" applyFont="1" applyFill="1" applyBorder="1" applyAlignment="1">
      <alignment horizontal="center"/>
    </xf>
    <xf numFmtId="0" fontId="24" fillId="4" borderId="18" xfId="3" applyFont="1" applyFill="1" applyBorder="1" applyAlignment="1">
      <alignment horizontal="center"/>
    </xf>
    <xf numFmtId="0" fontId="34" fillId="4" borderId="6" xfId="3" applyFont="1" applyFill="1" applyBorder="1" applyAlignment="1">
      <alignment vertical="center"/>
    </xf>
    <xf numFmtId="0" fontId="0" fillId="4" borderId="0" xfId="0" applyFill="1"/>
    <xf numFmtId="0" fontId="0" fillId="4" borderId="0" xfId="0" applyFill="1" applyBorder="1"/>
    <xf numFmtId="0" fontId="37" fillId="4" borderId="0" xfId="0" applyFont="1" applyFill="1" applyBorder="1" applyAlignment="1">
      <alignment horizontal="center"/>
    </xf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6" fontId="0" fillId="4" borderId="0" xfId="2" applyNumberFormat="1" applyFont="1" applyFill="1" applyBorder="1"/>
    <xf numFmtId="167" fontId="0" fillId="4" borderId="0" xfId="1" applyNumberFormat="1" applyFont="1" applyFill="1" applyBorder="1"/>
    <xf numFmtId="166" fontId="0" fillId="4" borderId="5" xfId="2" applyNumberFormat="1" applyFont="1" applyFill="1" applyBorder="1"/>
    <xf numFmtId="0" fontId="0" fillId="4" borderId="5" xfId="0" applyFill="1" applyBorder="1"/>
    <xf numFmtId="164" fontId="0" fillId="4" borderId="5" xfId="1" applyNumberFormat="1" applyFont="1" applyFill="1" applyBorder="1"/>
    <xf numFmtId="164" fontId="0" fillId="4" borderId="0" xfId="1" applyNumberFormat="1" applyFont="1" applyFill="1"/>
    <xf numFmtId="0" fontId="9" fillId="4" borderId="0" xfId="0" applyFont="1" applyFill="1"/>
    <xf numFmtId="0" fontId="9" fillId="4" borderId="0" xfId="0" applyFont="1" applyFill="1" applyBorder="1"/>
    <xf numFmtId="0" fontId="9" fillId="4" borderId="6" xfId="0" applyFont="1" applyFill="1" applyBorder="1"/>
    <xf numFmtId="0" fontId="9" fillId="4" borderId="18" xfId="0" applyFont="1" applyFill="1" applyBorder="1"/>
    <xf numFmtId="0" fontId="9" fillId="4" borderId="10" xfId="0" applyFont="1" applyFill="1" applyBorder="1"/>
    <xf numFmtId="0" fontId="9" fillId="4" borderId="12" xfId="0" applyFont="1" applyFill="1" applyBorder="1"/>
    <xf numFmtId="0" fontId="39" fillId="4" borderId="0" xfId="0" applyFont="1" applyFill="1" applyBorder="1" applyAlignment="1">
      <alignment horizontal="center"/>
    </xf>
    <xf numFmtId="165" fontId="9" fillId="4" borderId="0" xfId="2" applyNumberFormat="1" applyFont="1" applyFill="1" applyBorder="1"/>
    <xf numFmtId="164" fontId="9" fillId="4" borderId="0" xfId="1" applyNumberFormat="1" applyFont="1" applyFill="1" applyBorder="1"/>
    <xf numFmtId="164" fontId="9" fillId="4" borderId="1" xfId="1" applyNumberFormat="1" applyFont="1" applyFill="1" applyBorder="1"/>
    <xf numFmtId="0" fontId="38" fillId="4" borderId="0" xfId="0" applyFont="1" applyFill="1" applyBorder="1"/>
    <xf numFmtId="166" fontId="9" fillId="4" borderId="0" xfId="2" applyNumberFormat="1" applyFont="1" applyFill="1" applyBorder="1"/>
    <xf numFmtId="167" fontId="9" fillId="4" borderId="0" xfId="1" applyNumberFormat="1" applyFont="1" applyFill="1" applyBorder="1"/>
    <xf numFmtId="167" fontId="9" fillId="4" borderId="1" xfId="1" applyNumberFormat="1" applyFont="1" applyFill="1" applyBorder="1"/>
    <xf numFmtId="166" fontId="38" fillId="4" borderId="0" xfId="2" applyNumberFormat="1" applyFont="1" applyFill="1" applyBorder="1"/>
    <xf numFmtId="0" fontId="9" fillId="4" borderId="0" xfId="0" applyFont="1" applyFill="1" applyBorder="1" applyAlignment="1">
      <alignment horizontal="left" wrapText="1" indent="3"/>
    </xf>
    <xf numFmtId="0" fontId="9" fillId="4" borderId="0" xfId="0" applyFont="1" applyFill="1" applyBorder="1" applyAlignment="1">
      <alignment horizontal="left" indent="3"/>
    </xf>
    <xf numFmtId="167" fontId="9" fillId="4" borderId="16" xfId="1" applyNumberFormat="1" applyFont="1" applyFill="1" applyBorder="1"/>
    <xf numFmtId="0" fontId="9" fillId="4" borderId="14" xfId="0" applyFont="1" applyFill="1" applyBorder="1"/>
    <xf numFmtId="0" fontId="9" fillId="4" borderId="5" xfId="0" applyFont="1" applyFill="1" applyBorder="1"/>
    <xf numFmtId="164" fontId="9" fillId="4" borderId="5" xfId="1" applyNumberFormat="1" applyFont="1" applyFill="1" applyBorder="1"/>
    <xf numFmtId="0" fontId="9" fillId="4" borderId="15" xfId="0" applyFont="1" applyFill="1" applyBorder="1"/>
    <xf numFmtId="164" fontId="9" fillId="4" borderId="0" xfId="1" applyNumberFormat="1" applyFont="1" applyFill="1"/>
    <xf numFmtId="0" fontId="9" fillId="0" borderId="0" xfId="0" applyFont="1"/>
    <xf numFmtId="165" fontId="9" fillId="4" borderId="0" xfId="1" applyNumberFormat="1" applyFont="1" applyFill="1" applyBorder="1"/>
    <xf numFmtId="0" fontId="38" fillId="4" borderId="1" xfId="0" applyFont="1" applyFill="1" applyBorder="1"/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166" fontId="9" fillId="4" borderId="1" xfId="1" applyNumberFormat="1" applyFont="1" applyFill="1" applyBorder="1"/>
    <xf numFmtId="166" fontId="38" fillId="4" borderId="1" xfId="2" applyNumberFormat="1" applyFont="1" applyFill="1" applyBorder="1"/>
    <xf numFmtId="166" fontId="38" fillId="4" borderId="5" xfId="2" applyNumberFormat="1" applyFont="1" applyFill="1" applyBorder="1"/>
    <xf numFmtId="0" fontId="39" fillId="4" borderId="0" xfId="0" applyFont="1" applyFill="1" applyBorder="1"/>
    <xf numFmtId="0" fontId="39" fillId="4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164" fontId="0" fillId="4" borderId="8" xfId="1" applyNumberFormat="1" applyFont="1" applyFill="1" applyBorder="1"/>
    <xf numFmtId="164" fontId="40" fillId="4" borderId="0" xfId="1" applyNumberFormat="1" applyFont="1" applyFill="1" applyBorder="1" applyAlignment="1">
      <alignment horizontal="center"/>
    </xf>
    <xf numFmtId="164" fontId="37" fillId="4" borderId="0" xfId="1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0" fillId="4" borderId="58" xfId="2" applyNumberFormat="1" applyFont="1" applyFill="1" applyBorder="1"/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22" fillId="0" borderId="0" xfId="1" applyNumberFormat="1" applyFont="1"/>
    <xf numFmtId="9" fontId="0" fillId="0" borderId="0" xfId="7" applyFont="1"/>
    <xf numFmtId="0" fontId="37" fillId="4" borderId="0" xfId="0" applyFont="1" applyFill="1" applyBorder="1" applyAlignment="1">
      <alignment horizontal="left"/>
    </xf>
    <xf numFmtId="166" fontId="0" fillId="4" borderId="58" xfId="2" applyNumberFormat="1" applyFont="1" applyFill="1" applyBorder="1"/>
    <xf numFmtId="166" fontId="0" fillId="4" borderId="17" xfId="2" applyNumberFormat="1" applyFont="1" applyFill="1" applyBorder="1"/>
    <xf numFmtId="0" fontId="37" fillId="4" borderId="10" xfId="0" applyFont="1" applyFill="1" applyBorder="1" applyAlignment="1">
      <alignment horizontal="center"/>
    </xf>
    <xf numFmtId="164" fontId="37" fillId="4" borderId="12" xfId="1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6" fontId="0" fillId="4" borderId="12" xfId="2" applyNumberFormat="1" applyFont="1" applyFill="1" applyBorder="1"/>
    <xf numFmtId="167" fontId="0" fillId="4" borderId="12" xfId="1" applyNumberFormat="1" applyFont="1" applyFill="1" applyBorder="1"/>
    <xf numFmtId="166" fontId="0" fillId="4" borderId="42" xfId="2" applyNumberFormat="1" applyFont="1" applyFill="1" applyBorder="1"/>
    <xf numFmtId="166" fontId="0" fillId="4" borderId="59" xfId="2" applyNumberFormat="1" applyFont="1" applyFill="1" applyBorder="1"/>
    <xf numFmtId="0" fontId="0" fillId="4" borderId="14" xfId="0" applyFill="1" applyBorder="1" applyAlignment="1">
      <alignment horizontal="center"/>
    </xf>
    <xf numFmtId="0" fontId="18" fillId="0" borderId="0" xfId="0" applyFont="1" applyFill="1" applyBorder="1"/>
    <xf numFmtId="0" fontId="16" fillId="0" borderId="0" xfId="0" applyFont="1" applyFill="1" applyBorder="1"/>
    <xf numFmtId="164" fontId="16" fillId="0" borderId="0" xfId="1" applyNumberFormat="1" applyFont="1" applyFill="1" applyBorder="1"/>
    <xf numFmtId="0" fontId="5" fillId="0" borderId="1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165" fontId="13" fillId="4" borderId="30" xfId="2" quotePrefix="1" applyNumberFormat="1" applyFont="1" applyFill="1" applyBorder="1" applyAlignment="1">
      <alignment horizontal="center" vertical="top" wrapText="1"/>
    </xf>
    <xf numFmtId="165" fontId="13" fillId="4" borderId="31" xfId="2" quotePrefix="1" applyNumberFormat="1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5" fontId="4" fillId="0" borderId="27" xfId="2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4" borderId="23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20" fillId="4" borderId="10" xfId="0" quotePrefix="1" applyFont="1" applyFill="1" applyBorder="1" applyAlignment="1">
      <alignment horizontal="left" vertical="top" wrapText="1"/>
    </xf>
    <xf numFmtId="0" fontId="20" fillId="4" borderId="0" xfId="0" quotePrefix="1" applyFont="1" applyFill="1" applyBorder="1" applyAlignment="1">
      <alignment horizontal="left" vertical="top" wrapText="1"/>
    </xf>
    <xf numFmtId="0" fontId="20" fillId="4" borderId="12" xfId="0" quotePrefix="1" applyFont="1" applyFill="1" applyBorder="1" applyAlignment="1">
      <alignment horizontal="left" vertical="top" wrapText="1"/>
    </xf>
    <xf numFmtId="0" fontId="20" fillId="4" borderId="14" xfId="0" quotePrefix="1" applyFont="1" applyFill="1" applyBorder="1" applyAlignment="1">
      <alignment horizontal="left" vertical="top" wrapText="1"/>
    </xf>
    <xf numFmtId="0" fontId="20" fillId="4" borderId="5" xfId="0" quotePrefix="1" applyFont="1" applyFill="1" applyBorder="1" applyAlignment="1">
      <alignment horizontal="left" vertical="top" wrapText="1"/>
    </xf>
    <xf numFmtId="0" fontId="20" fillId="4" borderId="15" xfId="0" quotePrefix="1" applyFont="1" applyFill="1" applyBorder="1" applyAlignment="1">
      <alignment horizontal="left" vertical="top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5" borderId="22" xfId="2" applyNumberFormat="1" applyFont="1" applyFill="1" applyBorder="1" applyAlignment="1">
      <alignment horizontal="center"/>
    </xf>
    <xf numFmtId="165" fontId="2" fillId="5" borderId="20" xfId="2" applyNumberFormat="1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4" fillId="4" borderId="14" xfId="3" applyFont="1" applyFill="1" applyBorder="1" applyAlignment="1">
      <alignment horizontal="left" vertical="top" wrapText="1"/>
    </xf>
    <xf numFmtId="0" fontId="24" fillId="4" borderId="5" xfId="3" applyFont="1" applyFill="1" applyBorder="1" applyAlignment="1">
      <alignment horizontal="left" vertical="top" wrapText="1"/>
    </xf>
    <xf numFmtId="0" fontId="24" fillId="4" borderId="15" xfId="3" applyFont="1" applyFill="1" applyBorder="1" applyAlignment="1">
      <alignment horizontal="left" vertical="top" wrapText="1"/>
    </xf>
    <xf numFmtId="0" fontId="24" fillId="4" borderId="14" xfId="3" quotePrefix="1" applyFont="1" applyFill="1" applyBorder="1" applyAlignment="1">
      <alignment horizontal="left" vertical="top" wrapText="1"/>
    </xf>
    <xf numFmtId="0" fontId="28" fillId="4" borderId="8" xfId="3" applyFont="1" applyFill="1" applyBorder="1" applyAlignment="1">
      <alignment horizontal="left" vertical="top"/>
    </xf>
    <xf numFmtId="0" fontId="28" fillId="4" borderId="0" xfId="3" applyFont="1" applyFill="1" applyAlignment="1">
      <alignment horizontal="left" vertical="top"/>
    </xf>
    <xf numFmtId="0" fontId="25" fillId="4" borderId="6" xfId="3" applyFont="1" applyFill="1" applyBorder="1" applyAlignment="1">
      <alignment horizontal="center" vertical="top"/>
    </xf>
    <xf numFmtId="0" fontId="25" fillId="4" borderId="8" xfId="3" applyFont="1" applyFill="1" applyBorder="1" applyAlignment="1">
      <alignment horizontal="center" vertical="top"/>
    </xf>
    <xf numFmtId="0" fontId="25" fillId="4" borderId="18" xfId="3" applyFont="1" applyFill="1" applyBorder="1" applyAlignment="1">
      <alignment horizontal="center" vertical="top"/>
    </xf>
    <xf numFmtId="0" fontId="25" fillId="4" borderId="14" xfId="3" applyFont="1" applyFill="1" applyBorder="1" applyAlignment="1">
      <alignment horizontal="center" vertical="top"/>
    </xf>
    <xf numFmtId="0" fontId="25" fillId="4" borderId="5" xfId="3" applyFont="1" applyFill="1" applyBorder="1" applyAlignment="1">
      <alignment horizontal="center" vertical="top"/>
    </xf>
    <xf numFmtId="0" fontId="25" fillId="4" borderId="15" xfId="3" applyFont="1" applyFill="1" applyBorder="1" applyAlignment="1">
      <alignment horizontal="center" vertical="top"/>
    </xf>
    <xf numFmtId="0" fontId="39" fillId="4" borderId="8" xfId="0" applyFont="1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3"/>
    <cellStyle name="Normal 2 2" xfId="4"/>
    <cellStyle name="Normal_WAGas6_97 2 2" xfId="5"/>
    <cellStyle name="Percent" xfId="7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Electric ROE Result</a:t>
            </a:r>
            <a:r>
              <a:rPr lang="en-US" sz="1400" b="1" baseline="0"/>
              <a:t> of Proposed </a:t>
            </a:r>
          </a:p>
          <a:p>
            <a:pPr>
              <a:defRPr b="1"/>
            </a:pPr>
            <a:r>
              <a:rPr lang="en-US" sz="1400" b="1" baseline="0"/>
              <a:t>Rate Base Levels in Rate Year 1</a:t>
            </a:r>
            <a:endParaRPr lang="en-US" sz="1400" b="1"/>
          </a:p>
        </c:rich>
      </c:tx>
      <c:layout>
        <c:manualLayout>
          <c:xMode val="edge"/>
          <c:yMode val="edge"/>
          <c:x val="0.20703294844816561"/>
          <c:y val="3.217146716595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08995160034259"/>
          <c:y val="0.23530944625407166"/>
          <c:w val="0.78871958309217305"/>
          <c:h val="0.663938033804406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'Table 3-Ill 3'!$J$12</c:f>
              <c:strCache>
                <c:ptCount val="1"/>
                <c:pt idx="0">
                  <c:v>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430711234081182E-3"/>
                  <c:y val="-0.347659767284789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60028386191676E-3"/>
                  <c:y val="-0.29003223131310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6553272308490632E-4"/>
                  <c:y val="-0.151577111492985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3-Ill 3'!$I$13:$I$15</c:f>
              <c:strCache>
                <c:ptCount val="3"/>
                <c:pt idx="0">
                  <c:v>Staff</c:v>
                </c:pt>
                <c:pt idx="1">
                  <c:v>Public Counsel</c:v>
                </c:pt>
                <c:pt idx="2">
                  <c:v>ICNU</c:v>
                </c:pt>
              </c:strCache>
            </c:strRef>
          </c:cat>
          <c:val>
            <c:numRef>
              <c:f>'Table 3-Ill 3'!$J$13:$J$15</c:f>
              <c:numCache>
                <c:formatCode>0.00%</c:formatCode>
                <c:ptCount val="3"/>
                <c:pt idx="0">
                  <c:v>8.1000000000000003E-2</c:v>
                </c:pt>
                <c:pt idx="1">
                  <c:v>7.8E-2</c:v>
                </c:pt>
                <c:pt idx="2">
                  <c:v>7.1999999999999995E-2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469944"/>
        <c:axId val="291470336"/>
      </c:barChart>
      <c:catAx>
        <c:axId val="29146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70336"/>
        <c:crosses val="autoZero"/>
        <c:auto val="1"/>
        <c:lblAlgn val="ctr"/>
        <c:lblOffset val="100"/>
        <c:noMultiLvlLbl val="0"/>
      </c:catAx>
      <c:valAx>
        <c:axId val="2914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6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Natural Gas ROE Result of Proposed 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Rate Base Levels in Rate Year 1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84425272107586"/>
          <c:y val="0.2345455344941659"/>
          <c:w val="0.8741557472789242"/>
          <c:h val="0.66502902990388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3-Ill 3'!$M$12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3-Ill 3'!$L$13:$L$15</c:f>
              <c:strCache>
                <c:ptCount val="3"/>
                <c:pt idx="0">
                  <c:v>Staff</c:v>
                </c:pt>
                <c:pt idx="1">
                  <c:v>Public Counsel</c:v>
                </c:pt>
                <c:pt idx="2">
                  <c:v>NWIGU</c:v>
                </c:pt>
              </c:strCache>
            </c:strRef>
          </c:cat>
          <c:val>
            <c:numRef>
              <c:f>'Table 3-Ill 3'!$M$13:$M$15</c:f>
              <c:numCache>
                <c:formatCode>0.00%</c:formatCode>
                <c:ptCount val="3"/>
                <c:pt idx="0">
                  <c:v>0.08</c:v>
                </c:pt>
                <c:pt idx="1">
                  <c:v>8.1000000000000003E-2</c:v>
                </c:pt>
                <c:pt idx="2">
                  <c:v>7.4999999999999997E-2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8902968"/>
        <c:axId val="218902576"/>
      </c:barChart>
      <c:catAx>
        <c:axId val="21890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02576"/>
        <c:crosses val="autoZero"/>
        <c:auto val="1"/>
        <c:lblAlgn val="ctr"/>
        <c:lblOffset val="100"/>
        <c:noMultiLvlLbl val="0"/>
      </c:catAx>
      <c:valAx>
        <c:axId val="218902576"/>
        <c:scaling>
          <c:orientation val="minMax"/>
          <c:min val="6.600000000000001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0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Electric Net Plant after ADFIT (000s)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Staff</a:t>
            </a:r>
            <a:r>
              <a:rPr lang="en-US" b="1" baseline="0"/>
              <a:t> Proposed vs Avista Balance at 12.31.2017 </a:t>
            </a:r>
            <a:r>
              <a:rPr lang="en-US" b="1"/>
              <a:t> </a:t>
            </a:r>
          </a:p>
        </c:rich>
      </c:tx>
      <c:layout>
        <c:manualLayout>
          <c:xMode val="edge"/>
          <c:yMode val="edge"/>
          <c:x val="0.2014699792960662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919417681485468"/>
          <c:y val="0.15309859154929575"/>
          <c:w val="0.82550219266070002"/>
          <c:h val="0.72341030098510417"/>
        </c:manualLayout>
      </c:layout>
      <c:lineChart>
        <c:grouping val="standard"/>
        <c:varyColors val="0"/>
        <c:ser>
          <c:idx val="2"/>
          <c:order val="0"/>
          <c:tx>
            <c:strRef>
              <c:f>'Illustration-1'!$B$6</c:f>
              <c:strCache>
                <c:ptCount val="1"/>
                <c:pt idx="0">
                  <c:v>12.31.17 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cat>
            <c:strRef>
              <c:f>'Illustration-1'!$C$5:$F$5</c:f>
              <c:strCache>
                <c:ptCount val="4"/>
                <c:pt idx="0">
                  <c:v>Avista 12/31/2017</c:v>
                </c:pt>
                <c:pt idx="1">
                  <c:v>Rate Year 1</c:v>
                </c:pt>
                <c:pt idx="2">
                  <c:v>Rate Year 2</c:v>
                </c:pt>
                <c:pt idx="3">
                  <c:v>Rate Year 3</c:v>
                </c:pt>
              </c:strCache>
            </c:strRef>
          </c:cat>
          <c:val>
            <c:numRef>
              <c:f>'Illustration-1'!$C$6:$F$6</c:f>
              <c:numCache>
                <c:formatCode>_(* #,##0_);_(* \(#,##0\);_(* "-"??_);_(@_)</c:formatCode>
                <c:ptCount val="4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'Illustration-1'!$B$7</c:f>
              <c:strCache>
                <c:ptCount val="1"/>
                <c:pt idx="0">
                  <c:v>Staff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"/>
            <c:bubble3D val="0"/>
            <c:spPr>
              <a:ln w="28575" cap="rnd">
                <a:noFill/>
                <a:round/>
              </a:ln>
              <a:effectLst/>
            </c:spPr>
          </c:dPt>
          <c:cat>
            <c:strRef>
              <c:f>'Illustration-1'!$C$5:$F$5</c:f>
              <c:strCache>
                <c:ptCount val="4"/>
                <c:pt idx="0">
                  <c:v>Avista 12/31/2017</c:v>
                </c:pt>
                <c:pt idx="1">
                  <c:v>Rate Year 1</c:v>
                </c:pt>
                <c:pt idx="2">
                  <c:v>Rate Year 2</c:v>
                </c:pt>
                <c:pt idx="3">
                  <c:v>Rate Year 3</c:v>
                </c:pt>
              </c:strCache>
            </c:strRef>
          </c:cat>
          <c:val>
            <c:numRef>
              <c:f>'Illustration-1'!$C$7:$F$7</c:f>
              <c:numCache>
                <c:formatCode>_(* #,##0_);_(* \(#,##0\);_(* "-"??_);_(@_)</c:formatCode>
                <c:ptCount val="4"/>
                <c:pt idx="0">
                  <c:v>1454</c:v>
                </c:pt>
                <c:pt idx="1">
                  <c:v>1454</c:v>
                </c:pt>
                <c:pt idx="2">
                  <c:v>1498</c:v>
                </c:pt>
                <c:pt idx="3">
                  <c:v>1544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'Illustration-1'!$B$6</c:f>
              <c:strCache>
                <c:ptCount val="1"/>
                <c:pt idx="0">
                  <c:v>12.31.17 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  <a:headEnd w="lg" len="lg"/>
              <a:tailEnd type="triangle" w="lg" len="lg"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12700" cap="rnd">
                  <a:solidFill>
                    <a:schemeClr val="tx1">
                      <a:alpha val="93000"/>
                    </a:schemeClr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-4.3478260869565216E-2"/>
                  <c:y val="-4.178995231229899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'Illustration-1'!$C$5:$F$5</c:f>
              <c:strCache>
                <c:ptCount val="4"/>
                <c:pt idx="0">
                  <c:v>Avista 12/31/2017</c:v>
                </c:pt>
                <c:pt idx="1">
                  <c:v>Rate Year 1</c:v>
                </c:pt>
                <c:pt idx="2">
                  <c:v>Rate Year 2</c:v>
                </c:pt>
                <c:pt idx="3">
                  <c:v>Rate Year 3</c:v>
                </c:pt>
              </c:strCache>
            </c:strRef>
          </c:cat>
          <c:val>
            <c:numRef>
              <c:f>'Illustration-1'!$C$6:$F$6</c:f>
              <c:numCache>
                <c:formatCode>_(* #,##0_);_(* \(#,##0\);_(* "-"??_);_(@_)</c:formatCode>
                <c:ptCount val="4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'Illustration-1'!$B$7</c:f>
              <c:strCache>
                <c:ptCount val="1"/>
                <c:pt idx="0">
                  <c:v>Staff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19050" cap="rnd">
                <a:solidFill>
                  <a:schemeClr val="tx1">
                    <a:alpha val="96000"/>
                  </a:schemeClr>
                </a:solidFill>
              </a:ln>
              <a:effectLst/>
            </c:spPr>
          </c:marker>
          <c:dPt>
            <c:idx val="0"/>
            <c:marker>
              <c:spPr>
                <a:solidFill>
                  <a:schemeClr val="accent2"/>
                </a:solidFill>
                <a:ln w="19050" cap="rnd">
                  <a:solidFill>
                    <a:schemeClr val="bg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"/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40786749482402E-3"/>
                  <c:y val="4.6948356807511738E-3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'Illustration-1'!$C$5:$F$5</c:f>
              <c:strCache>
                <c:ptCount val="4"/>
                <c:pt idx="0">
                  <c:v>Avista 12/31/2017</c:v>
                </c:pt>
                <c:pt idx="1">
                  <c:v>Rate Year 1</c:v>
                </c:pt>
                <c:pt idx="2">
                  <c:v>Rate Year 2</c:v>
                </c:pt>
                <c:pt idx="3">
                  <c:v>Rate Year 3</c:v>
                </c:pt>
              </c:strCache>
            </c:strRef>
          </c:cat>
          <c:val>
            <c:numRef>
              <c:f>'Illustration-1'!$C$7:$F$7</c:f>
              <c:numCache>
                <c:formatCode>_(* #,##0_);_(* \(#,##0\);_(* "-"??_);_(@_)</c:formatCode>
                <c:ptCount val="4"/>
                <c:pt idx="0">
                  <c:v>1454</c:v>
                </c:pt>
                <c:pt idx="1">
                  <c:v>1454</c:v>
                </c:pt>
                <c:pt idx="2">
                  <c:v>1498</c:v>
                </c:pt>
                <c:pt idx="3">
                  <c:v>1544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642776"/>
        <c:axId val="292643168"/>
      </c:lineChart>
      <c:catAx>
        <c:axId val="29264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43168"/>
        <c:crosses val="autoZero"/>
        <c:auto val="0"/>
        <c:lblAlgn val="ctr"/>
        <c:lblOffset val="100"/>
        <c:noMultiLvlLbl val="0"/>
      </c:catAx>
      <c:valAx>
        <c:axId val="292643168"/>
        <c:scaling>
          <c:orientation val="minMax"/>
          <c:min val="1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4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Electric Net Plant After ADFIT (Rate Base)</a:t>
            </a:r>
          </a:p>
          <a:p>
            <a:pPr>
              <a:defRPr sz="1600" b="1">
                <a:solidFill>
                  <a:sysClr val="windowText" lastClr="000000"/>
                </a:solidFill>
              </a:defRPr>
            </a:pPr>
            <a:r>
              <a:rPr lang="en-US" sz="1600" b="1" u="sng">
                <a:solidFill>
                  <a:sysClr val="windowText" lastClr="000000"/>
                </a:solidFill>
              </a:rPr>
              <a:t>Staff vs Avista Transfers to Plant  (000s)</a:t>
            </a:r>
          </a:p>
        </c:rich>
      </c:tx>
      <c:layout>
        <c:manualLayout>
          <c:xMode val="edge"/>
          <c:yMode val="edge"/>
          <c:x val="0.23277934755763185"/>
          <c:y val="1.5854458631299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16483525683692"/>
          <c:y val="0.21742092748853578"/>
          <c:w val="0.73411177669776939"/>
          <c:h val="0.59035904529090044"/>
        </c:manualLayout>
      </c:layout>
      <c:lineChart>
        <c:grouping val="standard"/>
        <c:varyColors val="0"/>
        <c:ser>
          <c:idx val="0"/>
          <c:order val="0"/>
          <c:tx>
            <c:strRef>
              <c:f>'Chart 1- Staff Elec'!$E$4</c:f>
              <c:strCache>
                <c:ptCount val="1"/>
                <c:pt idx="0">
                  <c:v>Staff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0297713981924548E-2"/>
                  <c:y val="3.4535625269795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550770866560335E-2"/>
                  <c:y val="-1.12833813561027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66507177033493E-2"/>
                  <c:y val="-3.41928846690505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1- Staff Elec'!$F$3:$I$3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1- Staff Elec'!$F$4:$I$4</c:f>
              <c:numCache>
                <c:formatCode>_(* #,##0_);_(* \(#,##0\);_(* "-"??_);_(@_)</c:formatCode>
                <c:ptCount val="4"/>
                <c:pt idx="0">
                  <c:v>1454074</c:v>
                </c:pt>
                <c:pt idx="1">
                  <c:v>1454074</c:v>
                </c:pt>
                <c:pt idx="2">
                  <c:v>1498277.8496000001</c:v>
                </c:pt>
                <c:pt idx="3">
                  <c:v>1543825.49622784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'Chart 1- Staff Elec'!$E$5</c:f>
              <c:strCache>
                <c:ptCount val="1"/>
                <c:pt idx="0">
                  <c:v>Avista Planned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6905901116427474E-2"/>
                  <c:y val="-2.4037841448558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538543328017009E-2"/>
                  <c:y val="-2.4037841448558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1- Staff Elec'!$F$3:$I$3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1- Staff Elec'!$F$5:$I$5</c:f>
              <c:numCache>
                <c:formatCode>_(* #,##0_);_(* \(#,##0\);_(* "-"??_);_(@_)</c:formatCode>
                <c:ptCount val="4"/>
                <c:pt idx="0">
                  <c:v>1530469</c:v>
                </c:pt>
                <c:pt idx="1">
                  <c:v>1539337</c:v>
                </c:pt>
                <c:pt idx="2">
                  <c:v>1574348</c:v>
                </c:pt>
                <c:pt idx="3">
                  <c:v>1634379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45520"/>
        <c:axId val="292645912"/>
      </c:lineChart>
      <c:catAx>
        <c:axId val="29264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45912"/>
        <c:crossesAt val="1.4249999999999999E+84"/>
        <c:auto val="1"/>
        <c:lblAlgn val="ctr"/>
        <c:lblOffset val="100"/>
        <c:tickLblSkip val="1"/>
        <c:noMultiLvlLbl val="0"/>
      </c:catAx>
      <c:valAx>
        <c:axId val="292645912"/>
        <c:scaling>
          <c:orientation val="minMax"/>
          <c:min val="1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64552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3965141612200435E-2"/>
                <c:y val="0.39457002523199614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55820953002889"/>
          <c:y val="0.23260018713636801"/>
          <c:w val="1.1990271550984354E-2"/>
          <c:h val="3.8660057425285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Electric Net Plant After ADFIT (Rate Base)</a:t>
            </a:r>
          </a:p>
          <a:p>
            <a:pPr>
              <a:defRPr sz="1600" b="1">
                <a:solidFill>
                  <a:sysClr val="windowText" lastClr="000000"/>
                </a:solidFill>
              </a:defRPr>
            </a:pPr>
            <a:r>
              <a:rPr lang="en-US" sz="1600" b="1" u="sng">
                <a:solidFill>
                  <a:sysClr val="windowText" lastClr="000000"/>
                </a:solidFill>
              </a:rPr>
              <a:t>Avista Rebuttal vs Avista Planned Transfers (000s)</a:t>
            </a:r>
          </a:p>
        </c:rich>
      </c:tx>
      <c:layout>
        <c:manualLayout>
          <c:xMode val="edge"/>
          <c:yMode val="edge"/>
          <c:x val="0.17737814305476443"/>
          <c:y val="1.585445616087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16483525683692"/>
          <c:y val="0.22658472881371525"/>
          <c:w val="0.73411177669776939"/>
          <c:h val="0.5811951581215723"/>
        </c:manualLayout>
      </c:layout>
      <c:lineChart>
        <c:grouping val="standard"/>
        <c:varyColors val="0"/>
        <c:ser>
          <c:idx val="0"/>
          <c:order val="0"/>
          <c:tx>
            <c:strRef>
              <c:f>'Chart 2 - Avista Reb Elec'!$E$6</c:f>
              <c:strCache>
                <c:ptCount val="1"/>
                <c:pt idx="0">
                  <c:v>Avista Rebuttal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0297713981924548E-2"/>
                  <c:y val="3.4535625269795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4550770866560335E-2"/>
                  <c:y val="-1.12833813561027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66507177033493E-2"/>
                  <c:y val="-3.41928846690505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2 - Avista Reb Elec'!$F$5:$I$5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2 - Avista Reb Elec'!$F$6:$I$6</c:f>
              <c:numCache>
                <c:formatCode>_(* #,##0_);_(* \(#,##0\);_(* "-"??_);_(@_)</c:formatCode>
                <c:ptCount val="4"/>
                <c:pt idx="0">
                  <c:v>1507919</c:v>
                </c:pt>
                <c:pt idx="1">
                  <c:v>1507919</c:v>
                </c:pt>
                <c:pt idx="2">
                  <c:v>1553759.7375999999</c:v>
                </c:pt>
                <c:pt idx="3">
                  <c:v>1600994.03362304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'Chart 2 - Avista Reb Elec'!$E$7</c:f>
              <c:strCache>
                <c:ptCount val="1"/>
                <c:pt idx="0">
                  <c:v>Avista Planned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6905901116427474E-2"/>
                  <c:y val="-2.4037841448558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538543328017009E-2"/>
                  <c:y val="-2.4037841448558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2 - Avista Reb Elec'!$F$5:$I$5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2 - Avista Reb Elec'!$F$7:$I$7</c:f>
              <c:numCache>
                <c:formatCode>_(* #,##0_);_(* \(#,##0\);_(* "-"??_);_(@_)</c:formatCode>
                <c:ptCount val="4"/>
                <c:pt idx="0">
                  <c:v>1530469</c:v>
                </c:pt>
                <c:pt idx="1">
                  <c:v>1539337</c:v>
                </c:pt>
                <c:pt idx="2">
                  <c:v>1574348</c:v>
                </c:pt>
                <c:pt idx="3">
                  <c:v>1634379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'Chart 3 - 3 year rate bas Ele'!$E$8</c:f>
              <c:strCache>
                <c:ptCount val="1"/>
                <c:pt idx="0">
                  <c:v>Avista Rebuttal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strRef>
              <c:f>'Chart 2 - Avista Reb Elec'!$F$5:$I$5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Ele'!$F$8:$I$8</c:f>
              <c:numCache>
                <c:formatCode>_(* #,##0_);_(* \(#,##0\);_(* "-"??_);_(@_)</c:formatCode>
                <c:ptCount val="4"/>
                <c:pt idx="0">
                  <c:v>1507919</c:v>
                </c:pt>
                <c:pt idx="1">
                  <c:v>1507919</c:v>
                </c:pt>
                <c:pt idx="2">
                  <c:v>1553759.7375999999</c:v>
                </c:pt>
                <c:pt idx="3">
                  <c:v>1600994.03362304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56136"/>
        <c:axId val="216256528"/>
      </c:lineChart>
      <c:catAx>
        <c:axId val="21625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6528"/>
        <c:crossesAt val="1.4249999999999998E+90"/>
        <c:auto val="1"/>
        <c:lblAlgn val="ctr"/>
        <c:lblOffset val="100"/>
        <c:tickLblSkip val="1"/>
        <c:noMultiLvlLbl val="0"/>
      </c:catAx>
      <c:valAx>
        <c:axId val="216256528"/>
        <c:scaling>
          <c:orientation val="minMax"/>
          <c:min val="1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613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3965141612200435E-2"/>
                <c:y val="0.39457002523199614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55820953002889"/>
          <c:y val="0.23260018713636801"/>
          <c:w val="0"/>
          <c:h val="3.8660057425285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Electric Net Plant After ADFIT (Rate Base)</a:t>
            </a:r>
          </a:p>
          <a:p>
            <a:pPr>
              <a:defRPr sz="1600" b="1">
                <a:solidFill>
                  <a:sysClr val="windowText" lastClr="000000"/>
                </a:solidFill>
              </a:defRPr>
            </a:pPr>
            <a:r>
              <a:rPr lang="en-US" sz="1600" b="1" u="sng">
                <a:solidFill>
                  <a:sysClr val="windowText" lastClr="000000"/>
                </a:solidFill>
              </a:rPr>
              <a:t>Avista Rebuttal</a:t>
            </a:r>
            <a:r>
              <a:rPr lang="en-US" sz="1600" b="1" u="sng" baseline="0">
                <a:solidFill>
                  <a:sysClr val="windowText" lastClr="000000"/>
                </a:solidFill>
              </a:rPr>
              <a:t> vs Staff vs Avista Planned Transfers</a:t>
            </a:r>
            <a:endParaRPr lang="en-US" sz="1600" b="1" u="sng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666559470782523"/>
          <c:y val="5.320839270202124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17706279538023"/>
          <c:y val="0.19412784802719724"/>
          <c:w val="0.77619378972977215"/>
          <c:h val="0.60611715893523754"/>
        </c:manualLayout>
      </c:layout>
      <c:lineChart>
        <c:grouping val="standard"/>
        <c:varyColors val="0"/>
        <c:ser>
          <c:idx val="3"/>
          <c:order val="0"/>
          <c:tx>
            <c:strRef>
              <c:f>'Chart 3 - 3 year rate bas Ele'!$E$7</c:f>
              <c:strCache>
                <c:ptCount val="1"/>
                <c:pt idx="0">
                  <c:v>Staff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Ele'!$F$7:$I$7</c:f>
              <c:numCache>
                <c:formatCode>_(* #,##0_);_(* \(#,##0\);_(* "-"??_);_(@_)</c:formatCode>
                <c:ptCount val="4"/>
                <c:pt idx="0">
                  <c:v>1454074</c:v>
                </c:pt>
                <c:pt idx="1">
                  <c:v>1454074</c:v>
                </c:pt>
                <c:pt idx="2">
                  <c:v>1498277.8496000001</c:v>
                </c:pt>
                <c:pt idx="3">
                  <c:v>1543825.49622784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3 - 3 year rate bas Ele'!$E$8</c:f>
              <c:strCache>
                <c:ptCount val="1"/>
                <c:pt idx="0">
                  <c:v>Avista Rebuttal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0" cap="flat">
                <a:solidFill>
                  <a:schemeClr val="bg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</c:dPt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Ele'!$F$8:$I$8</c:f>
              <c:numCache>
                <c:formatCode>_(* #,##0_);_(* \(#,##0\);_(* "-"??_);_(@_)</c:formatCode>
                <c:ptCount val="4"/>
                <c:pt idx="0">
                  <c:v>1507919</c:v>
                </c:pt>
                <c:pt idx="1">
                  <c:v>1507919</c:v>
                </c:pt>
                <c:pt idx="2">
                  <c:v>1553759.7375999999</c:v>
                </c:pt>
                <c:pt idx="3">
                  <c:v>1600994.03362304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'Chart 3 - 3 year rate bas Ele'!$E$9</c:f>
              <c:strCache>
                <c:ptCount val="1"/>
                <c:pt idx="0">
                  <c:v>Avista Planned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Ele'!$F$9:$I$9</c:f>
              <c:numCache>
                <c:formatCode>_(* #,##0_);_(* \(#,##0\);_(* "-"??_);_(@_)</c:formatCode>
                <c:ptCount val="4"/>
                <c:pt idx="0">
                  <c:v>1530469</c:v>
                </c:pt>
                <c:pt idx="1">
                  <c:v>1539337</c:v>
                </c:pt>
                <c:pt idx="2">
                  <c:v>1574348</c:v>
                </c:pt>
                <c:pt idx="3">
                  <c:v>1634379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'Chart 3 - 3 year rate bas Ele'!$E$7</c:f>
              <c:strCache>
                <c:ptCount val="1"/>
                <c:pt idx="0">
                  <c:v>Staff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spPr>
              <a:ln w="28575" cap="sq">
                <a:noFill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8575" cap="sq">
                <a:solidFill>
                  <a:schemeClr val="bg1"/>
                </a:solidFill>
                <a:round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120708748615727E-2"/>
                  <c:y val="2.0328503498903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Ele'!$F$7:$I$7</c:f>
              <c:numCache>
                <c:formatCode>_(* #,##0_);_(* \(#,##0\);_(* "-"??_);_(@_)</c:formatCode>
                <c:ptCount val="4"/>
                <c:pt idx="0">
                  <c:v>1454074</c:v>
                </c:pt>
                <c:pt idx="1">
                  <c:v>1454074</c:v>
                </c:pt>
                <c:pt idx="2">
                  <c:v>1498277.8496000001</c:v>
                </c:pt>
                <c:pt idx="3">
                  <c:v>1543825.49622784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'Chart 3 - 3 year rate bas Ele'!$E$8</c:f>
              <c:strCache>
                <c:ptCount val="1"/>
                <c:pt idx="0">
                  <c:v>Avista Rebuttal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spPr>
              <a:ln w="0" cap="flat">
                <a:noFill/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noFill/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9202657807308924E-2"/>
                  <c:y val="-3.56635460985435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0276854928017805E-2"/>
                  <c:y val="-1.17686879897857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120708748615727E-2"/>
                  <c:y val="2.7496960931530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Ele'!$F$8:$I$8</c:f>
              <c:numCache>
                <c:formatCode>_(* #,##0_);_(* \(#,##0\);_(* "-"??_);_(@_)</c:formatCode>
                <c:ptCount val="4"/>
                <c:pt idx="0">
                  <c:v>1507919</c:v>
                </c:pt>
                <c:pt idx="1">
                  <c:v>1507919</c:v>
                </c:pt>
                <c:pt idx="2">
                  <c:v>1553759.7375999999</c:v>
                </c:pt>
                <c:pt idx="3">
                  <c:v>1600994.03362304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'Chart 3 - 3 year rate bas Ele'!$E$9</c:f>
              <c:strCache>
                <c:ptCount val="1"/>
                <c:pt idx="0">
                  <c:v>Avista Planned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8.3632336655592471E-2"/>
                  <c:y val="-1.0734812042481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1550387596899226E-2"/>
                  <c:y val="3.227593255328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3 - 3 year rate bas Ele'!$F$6:$I$6</c:f>
              <c:strCache>
                <c:ptCount val="4"/>
                <c:pt idx="0">
                  <c:v>12.31.2017</c:v>
                </c:pt>
                <c:pt idx="1">
                  <c:v>5/1/2018</c:v>
                </c:pt>
                <c:pt idx="2">
                  <c:v>5/1/2019</c:v>
                </c:pt>
                <c:pt idx="3">
                  <c:v>5/1/2020</c:v>
                </c:pt>
              </c:strCache>
            </c:strRef>
          </c:cat>
          <c:val>
            <c:numRef>
              <c:f>'Chart 3 - 3 year rate bas Ele'!$F$9:$I$9</c:f>
              <c:numCache>
                <c:formatCode>_(* #,##0_);_(* \(#,##0\);_(* "-"??_);_(@_)</c:formatCode>
                <c:ptCount val="4"/>
                <c:pt idx="0">
                  <c:v>1530469</c:v>
                </c:pt>
                <c:pt idx="1">
                  <c:v>1539337</c:v>
                </c:pt>
                <c:pt idx="2">
                  <c:v>1574348</c:v>
                </c:pt>
                <c:pt idx="3">
                  <c:v>1634379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57704"/>
        <c:axId val="216258096"/>
      </c:lineChart>
      <c:catAx>
        <c:axId val="21625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8096"/>
        <c:crossesAt val="1.4249999999999998E+93"/>
        <c:auto val="1"/>
        <c:lblAlgn val="ctr"/>
        <c:lblOffset val="100"/>
        <c:tickLblSkip val="1"/>
        <c:noMultiLvlLbl val="0"/>
      </c:catAx>
      <c:valAx>
        <c:axId val="216258096"/>
        <c:scaling>
          <c:orientation val="minMax"/>
          <c:min val="1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770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2.3965141612200435E-2"/>
                <c:y val="0.39457002523199614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3033358868419"/>
          <c:y val="0.80737940951854492"/>
          <c:w val="3.610577385960724E-2"/>
          <c:h val="2.5985940416007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Capital Expenditures (in millions)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27372493072516E-2"/>
          <c:y val="0.13329739442946989"/>
          <c:w val="0.90154133172377848"/>
          <c:h val="0.70785887613104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'Illustration 2'!$C$2</c:f>
              <c:strCache>
                <c:ptCount val="1"/>
                <c:pt idx="0">
                  <c:v>Capital Expenditures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'Illustration 2'!$B$3:$B$17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'Illustration 2'!$C$3:$C$17</c:f>
              <c:numCache>
                <c:formatCode>#,##0.00_);[Red]\(#,##0.00\)</c:formatCode>
                <c:ptCount val="15"/>
                <c:pt idx="0">
                  <c:v>198</c:v>
                </c:pt>
                <c:pt idx="1">
                  <c:v>205</c:v>
                </c:pt>
                <c:pt idx="2">
                  <c:v>200</c:v>
                </c:pt>
                <c:pt idx="3">
                  <c:v>207</c:v>
                </c:pt>
                <c:pt idx="4">
                  <c:v>247</c:v>
                </c:pt>
                <c:pt idx="5">
                  <c:v>262</c:v>
                </c:pt>
                <c:pt idx="6">
                  <c:v>296</c:v>
                </c:pt>
                <c:pt idx="7">
                  <c:v>352</c:v>
                </c:pt>
                <c:pt idx="8">
                  <c:v>415</c:v>
                </c:pt>
                <c:pt idx="9">
                  <c:v>375</c:v>
                </c:pt>
                <c:pt idx="10">
                  <c:v>405</c:v>
                </c:pt>
                <c:pt idx="11">
                  <c:v>405</c:v>
                </c:pt>
                <c:pt idx="12">
                  <c:v>405</c:v>
                </c:pt>
                <c:pt idx="13">
                  <c:v>405</c:v>
                </c:pt>
                <c:pt idx="14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258880"/>
        <c:axId val="216259272"/>
      </c:barChart>
      <c:catAx>
        <c:axId val="21625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9272"/>
        <c:crosses val="autoZero"/>
        <c:auto val="1"/>
        <c:lblAlgn val="ctr"/>
        <c:lblOffset val="100"/>
        <c:noMultiLvlLbl val="0"/>
      </c:catAx>
      <c:valAx>
        <c:axId val="21625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5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500062</xdr:colOff>
      <xdr:row>17</xdr:row>
      <xdr:rowOff>190500</xdr:rowOff>
    </xdr:from>
    <xdr:to>
      <xdr:col>9</xdr:col>
      <xdr:colOff>752475</xdr:colOff>
      <xdr:row>32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757237</xdr:colOff>
      <xdr:row>18</xdr:row>
      <xdr:rowOff>0</xdr:rowOff>
    </xdr:from>
    <xdr:to>
      <xdr:col>13</xdr:col>
      <xdr:colOff>552450</xdr:colOff>
      <xdr:row>32</xdr:row>
      <xdr:rowOff>133349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495299</xdr:colOff>
      <xdr:row>4</xdr:row>
      <xdr:rowOff>85725</xdr:rowOff>
    </xdr:from>
    <xdr:to>
      <xdr:col>16</xdr:col>
      <xdr:colOff>428624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0.98834</cdr:x>
      <cdr:y>0.83733</cdr:y>
    </cdr:from>
    <cdr:to>
      <cdr:x>0.98894</cdr:x>
      <cdr:y>0.96322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5959008" y="2990850"/>
          <a:ext cx="3643" cy="4496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0.75829</cdr:x>
      <cdr:y>0.96</cdr:y>
    </cdr:from>
    <cdr:to>
      <cdr:x>0.99368</cdr:x>
      <cdr:y>0.96267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4572001" y="3429000"/>
          <a:ext cx="14192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0.8073</cdr:x>
      <cdr:y>0.89757</cdr:y>
    </cdr:from>
    <cdr:to>
      <cdr:x>0.92259</cdr:x>
      <cdr:y>0.96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867497" y="3206008"/>
          <a:ext cx="695104" cy="222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Planned</a:t>
          </a:r>
        </a:p>
      </cdr:txBody>
    </cdr:sp>
  </cdr:relSizeAnchor>
  <cdr:relSizeAnchor xmlns:cdr="http://schemas.openxmlformats.org/drawingml/2006/chartDrawing">
    <cdr:from>
      <cdr:x>0.75671</cdr:x>
      <cdr:y>0.84267</cdr:y>
    </cdr:from>
    <cdr:to>
      <cdr:x>0.75829</cdr:x>
      <cdr:y>0.95733</cdr:y>
    </cdr:to>
    <cdr:cxnSp macro="">
      <cdr:nvCxnSpPr>
        <cdr:cNvPr id="20" name="Straight Connector 19"/>
        <cdr:cNvCxnSpPr/>
      </cdr:nvCxnSpPr>
      <cdr:spPr>
        <a:xfrm xmlns:a="http://schemas.openxmlformats.org/drawingml/2006/main" flipH="1" flipV="1">
          <a:off x="4562476" y="3009900"/>
          <a:ext cx="9525" cy="4095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171451</xdr:rowOff>
    </xdr:from>
    <xdr:to>
      <xdr:col>7</xdr:col>
      <xdr:colOff>219075</xdr:colOff>
      <xdr:row>22</xdr:row>
      <xdr:rowOff>66676</xdr:rowOff>
    </xdr:to>
    <xdr:grpSp>
      <xdr:nvGrpSpPr>
        <xdr:cNvPr id="25" name="Group 24"/>
        <xdr:cNvGrpSpPr/>
      </xdr:nvGrpSpPr>
      <xdr:grpSpPr>
        <a:xfrm>
          <a:off x="0" y="1981201"/>
          <a:ext cx="6134100" cy="2695575"/>
          <a:chOff x="5619750" y="2000251"/>
          <a:chExt cx="6134100" cy="2705100"/>
        </a:xfrm>
      </xdr:grpSpPr>
      <xdr:graphicFrame macro="">
        <xdr:nvGraphicFramePr>
          <xdr:cNvPr id="4" name="Chart 3"/>
          <xdr:cNvGraphicFramePr/>
        </xdr:nvGraphicFramePr>
        <xdr:xfrm>
          <a:off x="5619750" y="2000251"/>
          <a:ext cx="6134100" cy="2705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8" name="Straight Arrow Connector 7"/>
          <xdr:cNvCxnSpPr/>
        </xdr:nvCxnSpPr>
        <xdr:spPr>
          <a:xfrm flipV="1">
            <a:off x="7210425" y="2962276"/>
            <a:ext cx="1" cy="533399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H="1">
            <a:off x="10991850" y="2219325"/>
            <a:ext cx="9526" cy="2200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/>
          <xdr:cNvSpPr txBox="1"/>
        </xdr:nvSpPr>
        <xdr:spPr>
          <a:xfrm rot="19837443">
            <a:off x="8352423" y="3119049"/>
            <a:ext cx="2722703" cy="3241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1">
                <a:solidFill>
                  <a:srgbClr val="FF0000"/>
                </a:solidFill>
              </a:rPr>
              <a:t>Staff proposed rate base over the Rate Plan.</a:t>
            </a:r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6734175" y="3267074"/>
            <a:ext cx="1095375" cy="41910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 b="1"/>
              <a:t>Avista</a:t>
            </a:r>
            <a:r>
              <a:rPr lang="en-US" sz="1000" b="1" baseline="0"/>
              <a:t> Rate Base @ 12.31.2017</a:t>
            </a:r>
            <a:endParaRPr lang="en-US" sz="1000" b="1"/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0.22723</cdr:x>
      <cdr:y>0.76462</cdr:y>
    </cdr:from>
    <cdr:to>
      <cdr:x>0.28571</cdr:x>
      <cdr:y>0.8235</cdr:y>
    </cdr:to>
    <cdr:sp macro="" textlink="">
      <cdr:nvSpPr>
        <cdr:cNvPr id="2" name="TextBox 10"/>
        <cdr:cNvSpPr txBox="1"/>
      </cdr:nvSpPr>
      <cdr:spPr>
        <a:xfrm xmlns:a="http://schemas.openxmlformats.org/drawingml/2006/main">
          <a:off x="1393826" y="2068377"/>
          <a:ext cx="358774" cy="15926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</a:rPr>
            <a:t>x</a:t>
          </a:r>
        </a:p>
      </cdr:txBody>
    </cdr:sp>
  </cdr:relSizeAnchor>
  <cdr:relSizeAnchor xmlns:cdr="http://schemas.openxmlformats.org/drawingml/2006/chartDrawing">
    <cdr:from>
      <cdr:x>0.46946</cdr:x>
      <cdr:y>0.81103</cdr:y>
    </cdr:from>
    <cdr:to>
      <cdr:x>0.4705</cdr:x>
      <cdr:y>0.88732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 flipV="1">
          <a:off x="2879727" y="2193927"/>
          <a:ext cx="6348" cy="20637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0.22723</cdr:x>
      <cdr:y>0.76462</cdr:y>
    </cdr:from>
    <cdr:to>
      <cdr:x>0.28571</cdr:x>
      <cdr:y>0.8235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393826" y="2068377"/>
          <a:ext cx="358774" cy="15926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bg1"/>
              </a:solidFill>
            </a:rPr>
            <a:t>x</a:t>
          </a:r>
        </a:p>
      </cdr:txBody>
    </cdr:sp>
  </cdr:relSizeAnchor>
  <cdr:relSizeAnchor xmlns:cdr="http://schemas.openxmlformats.org/drawingml/2006/chartDrawing">
    <cdr:from>
      <cdr:x>0.46946</cdr:x>
      <cdr:y>0.81103</cdr:y>
    </cdr:from>
    <cdr:to>
      <cdr:x>0.4705</cdr:x>
      <cdr:y>0.88732</cdr:y>
    </cdr:to>
    <cdr:cxnSp macro="">
      <cdr:nvCxnSpPr>
        <cdr:cNvPr id="12" name="Straight Arrow Connector 4"/>
        <cdr:cNvCxnSpPr/>
      </cdr:nvCxnSpPr>
      <cdr:spPr>
        <a:xfrm xmlns:a="http://schemas.openxmlformats.org/drawingml/2006/main" flipH="1" flipV="1">
          <a:off x="2879727" y="2193927"/>
          <a:ext cx="6348" cy="20637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0.45652</cdr:x>
      <cdr:y>0.70775</cdr:y>
    </cdr:from>
    <cdr:to>
      <cdr:x>0.54969</cdr:x>
      <cdr:y>0.89437</cdr:y>
    </cdr:to>
    <cdr:sp macro="" textlink="">
      <cdr:nvSpPr>
        <cdr:cNvPr id="13" name="Oval 12"/>
        <cdr:cNvSpPr/>
      </cdr:nvSpPr>
      <cdr:spPr>
        <a:xfrm xmlns:a="http://schemas.openxmlformats.org/drawingml/2006/main">
          <a:off x="2800350" y="1914524"/>
          <a:ext cx="571500" cy="50482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8</xdr:row>
      <xdr:rowOff>85724</xdr:rowOff>
    </xdr:from>
    <xdr:to>
      <xdr:col>9</xdr:col>
      <xdr:colOff>628650</xdr:colOff>
      <xdr:row>37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17</xdr:row>
      <xdr:rowOff>142875</xdr:rowOff>
    </xdr:from>
    <xdr:to>
      <xdr:col>17</xdr:col>
      <xdr:colOff>466725</xdr:colOff>
      <xdr:row>19</xdr:row>
      <xdr:rowOff>161926</xdr:rowOff>
    </xdr:to>
    <xdr:cxnSp macro="">
      <xdr:nvCxnSpPr>
        <xdr:cNvPr id="4" name="Straight Arrow Connector 3"/>
        <xdr:cNvCxnSpPr/>
      </xdr:nvCxnSpPr>
      <xdr:spPr>
        <a:xfrm flipV="1">
          <a:off x="11277600" y="3762375"/>
          <a:ext cx="0" cy="4000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0.13454</cdr:x>
      <cdr:y>0.56995</cdr:y>
    </cdr:from>
    <cdr:to>
      <cdr:x>0.86922</cdr:x>
      <cdr:y>0.57045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803478" y="3159552"/>
          <a:ext cx="4387647" cy="2749"/>
        </a:xfrm>
        <a:prstGeom xmlns:a="http://schemas.openxmlformats.org/drawingml/2006/main" prst="straightConnector1">
          <a:avLst/>
        </a:prstGeom>
        <a:ln xmlns:a="http://schemas.openxmlformats.org/drawingml/2006/main" w="25400" cmpd="sng">
          <a:solidFill>
            <a:srgbClr val="FF0000">
              <a:alpha val="94000"/>
            </a:srgbClr>
          </a:solidFill>
          <a:prstDash val="dash"/>
          <a:headEnd w="lg" len="lg"/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0.53104</cdr:x>
      <cdr:y>0.12332</cdr:y>
    </cdr:from>
    <cdr:to>
      <cdr:x>0.70205</cdr:x>
      <cdr:y>0.18263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3171443" y="683630"/>
          <a:ext cx="1021302" cy="3287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2</a:t>
          </a:r>
        </a:p>
      </cdr:txBody>
    </cdr:sp>
  </cdr:relSizeAnchor>
  <cdr:relSizeAnchor xmlns:cdr="http://schemas.openxmlformats.org/drawingml/2006/chartDrawing">
    <cdr:from>
      <cdr:x>0.77496</cdr:x>
      <cdr:y>0.12626</cdr:y>
    </cdr:from>
    <cdr:to>
      <cdr:x>0.94597</cdr:x>
      <cdr:y>0.18557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4628206" y="699936"/>
          <a:ext cx="1021302" cy="3287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3</a:t>
          </a:r>
        </a:p>
      </cdr:txBody>
    </cdr:sp>
  </cdr:relSizeAnchor>
  <cdr:relSizeAnchor xmlns:cdr="http://schemas.openxmlformats.org/drawingml/2006/chartDrawing">
    <cdr:from>
      <cdr:x>0.10717</cdr:x>
      <cdr:y>0.56742</cdr:y>
    </cdr:from>
    <cdr:to>
      <cdr:x>0.28133</cdr:x>
      <cdr:y>0.70406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640048" y="3145513"/>
          <a:ext cx="1040114" cy="7574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Base </a:t>
          </a:r>
        </a:p>
        <a:p xmlns:a="http://schemas.openxmlformats.org/drawingml/2006/main">
          <a:r>
            <a:rPr lang="en-US" sz="1200" b="1"/>
            <a:t>Balance </a:t>
          </a:r>
        </a:p>
        <a:p xmlns:a="http://schemas.openxmlformats.org/drawingml/2006/main">
          <a:r>
            <a:rPr lang="en-US" sz="1200" b="1"/>
            <a:t>at 12.31.17</a:t>
          </a:r>
        </a:p>
      </cdr:txBody>
    </cdr:sp>
  </cdr:relSizeAnchor>
  <cdr:relSizeAnchor xmlns:cdr="http://schemas.openxmlformats.org/drawingml/2006/chartDrawing">
    <cdr:from>
      <cdr:x>0.72193</cdr:x>
      <cdr:y>0.71825</cdr:y>
    </cdr:from>
    <cdr:to>
      <cdr:x>0.89305</cdr:x>
      <cdr:y>0.90873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3857625" y="34480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0.15415</cdr:x>
      <cdr:y>0.72469</cdr:y>
    </cdr:from>
    <cdr:to>
      <cdr:x>0.32855</cdr:x>
      <cdr:y>0.77032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920598" y="4017378"/>
          <a:ext cx="1041547" cy="25295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Staff Proposed</a:t>
          </a:r>
        </a:p>
      </cdr:txBody>
    </cdr:sp>
  </cdr:relSizeAnchor>
  <cdr:relSizeAnchor xmlns:cdr="http://schemas.openxmlformats.org/drawingml/2006/chartDrawing">
    <cdr:from>
      <cdr:x>0.55627</cdr:x>
      <cdr:y>0.28374</cdr:y>
    </cdr:from>
    <cdr:to>
      <cdr:x>0.74997</cdr:x>
      <cdr:y>0.3307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3322152" y="1572906"/>
          <a:ext cx="1156810" cy="260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Avista</a:t>
          </a:r>
          <a:r>
            <a:rPr lang="en-US" sz="1100" b="1" baseline="0"/>
            <a:t> Planned</a:t>
          </a:r>
          <a:endParaRPr lang="en-US" sz="1100" b="1"/>
        </a:p>
      </cdr:txBody>
    </cdr:sp>
  </cdr:relSizeAnchor>
  <cdr:relSizeAnchor xmlns:cdr="http://schemas.openxmlformats.org/drawingml/2006/chartDrawing">
    <cdr:from>
      <cdr:x>0.66507</cdr:x>
      <cdr:y>0.33333</cdr:y>
    </cdr:from>
    <cdr:to>
      <cdr:x>0.70654</cdr:x>
      <cdr:y>0.36637</cdr:y>
    </cdr:to>
    <cdr:cxnSp macro="">
      <cdr:nvCxnSpPr>
        <cdr:cNvPr id="22" name="Straight Arrow Connector 21"/>
        <cdr:cNvCxnSpPr/>
      </cdr:nvCxnSpPr>
      <cdr:spPr>
        <a:xfrm xmlns:a="http://schemas.openxmlformats.org/drawingml/2006/main">
          <a:off x="3971925" y="1847851"/>
          <a:ext cx="247656" cy="18311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0.02392</cdr:x>
      <cdr:y>0.88144</cdr:y>
    </cdr:from>
    <cdr:to>
      <cdr:x>1</cdr:x>
      <cdr:y>0.99141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142854" y="4886326"/>
          <a:ext cx="5829321" cy="609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/>
            <a:t>(1) Net</a:t>
          </a:r>
          <a:r>
            <a:rPr lang="en-US" sz="1000" b="1" baseline="0"/>
            <a:t> Plant after ADFIT at 12.31.2017 of $1.53 billion - 4 months before start of Rate Year 1.</a:t>
          </a:r>
        </a:p>
        <a:p xmlns:a="http://schemas.openxmlformats.org/drawingml/2006/main">
          <a:r>
            <a:rPr lang="en-US" sz="1000" b="1" baseline="0"/>
            <a:t>(2) The rate base regulatory lag impact imposed by Staff is approximately $76M to $90M annually, </a:t>
          </a:r>
        </a:p>
        <a:p xmlns:a="http://schemas.openxmlformats.org/drawingml/2006/main">
          <a:r>
            <a:rPr lang="en-US" sz="1000" b="1" baseline="0"/>
            <a:t>( approximately $17.0M - $20.0M annual </a:t>
          </a:r>
          <a:r>
            <a:rPr lang="en-US" sz="1000" b="1" u="sng" baseline="0"/>
            <a:t>lost </a:t>
          </a:r>
          <a:r>
            <a:rPr lang="en-US" sz="1000" b="1" baseline="0"/>
            <a:t>revenue requirement).</a:t>
          </a:r>
          <a:endParaRPr lang="en-US" sz="1000" b="1"/>
        </a:p>
      </cdr:txBody>
    </cdr:sp>
  </cdr:relSizeAnchor>
  <cdr:relSizeAnchor xmlns:cdr="http://schemas.openxmlformats.org/drawingml/2006/chartDrawing">
    <cdr:from>
      <cdr:x>0.10802</cdr:x>
      <cdr:y>0.48625</cdr:y>
    </cdr:from>
    <cdr:to>
      <cdr:x>0.1724</cdr:x>
      <cdr:y>0.52885</cdr:y>
    </cdr:to>
    <cdr:sp macro="" textlink="">
      <cdr:nvSpPr>
        <cdr:cNvPr id="24" name="TextBox 3"/>
        <cdr:cNvSpPr txBox="1"/>
      </cdr:nvSpPr>
      <cdr:spPr>
        <a:xfrm xmlns:a="http://schemas.openxmlformats.org/drawingml/2006/main">
          <a:off x="645118" y="2695576"/>
          <a:ext cx="384489" cy="2361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(1)</a:t>
          </a:r>
        </a:p>
      </cdr:txBody>
    </cdr:sp>
  </cdr:relSizeAnchor>
  <cdr:relSizeAnchor xmlns:cdr="http://schemas.openxmlformats.org/drawingml/2006/chartDrawing">
    <cdr:from>
      <cdr:x>0.28833</cdr:x>
      <cdr:y>0.12243</cdr:y>
    </cdr:from>
    <cdr:to>
      <cdr:x>0.45933</cdr:x>
      <cdr:y>0.1808</cdr:y>
    </cdr:to>
    <cdr:sp macro="" textlink="">
      <cdr:nvSpPr>
        <cdr:cNvPr id="25" name="TextBox 2"/>
        <cdr:cNvSpPr txBox="1"/>
      </cdr:nvSpPr>
      <cdr:spPr>
        <a:xfrm xmlns:a="http://schemas.openxmlformats.org/drawingml/2006/main">
          <a:off x="1721983" y="678706"/>
          <a:ext cx="1021242" cy="3235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1</a:t>
          </a:r>
        </a:p>
      </cdr:txBody>
    </cdr:sp>
  </cdr:relSizeAnchor>
  <cdr:relSizeAnchor xmlns:cdr="http://schemas.openxmlformats.org/drawingml/2006/chartDrawing">
    <cdr:from>
      <cdr:x>0.26475</cdr:x>
      <cdr:y>0.56179</cdr:y>
    </cdr:from>
    <cdr:to>
      <cdr:x>0.41786</cdr:x>
      <cdr:y>0.74499</cdr:y>
    </cdr:to>
    <cdr:sp macro="" textlink="">
      <cdr:nvSpPr>
        <cdr:cNvPr id="27" name="TextBox 26"/>
        <cdr:cNvSpPr txBox="1"/>
      </cdr:nvSpPr>
      <cdr:spPr>
        <a:xfrm xmlns:a="http://schemas.openxmlformats.org/drawingml/2006/main" rot="5400000">
          <a:off x="1530538" y="3164907"/>
          <a:ext cx="1015578" cy="91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Regulatory Lag</a:t>
          </a:r>
          <a:r>
            <a:rPr lang="en-US" sz="1100" baseline="0">
              <a:solidFill>
                <a:srgbClr val="FF0000"/>
              </a:solidFill>
            </a:rPr>
            <a:t> YR 1</a:t>
          </a:r>
        </a:p>
        <a:p xmlns:a="http://schemas.openxmlformats.org/drawingml/2006/main">
          <a:r>
            <a:rPr lang="en-US" sz="1100" baseline="0">
              <a:solidFill>
                <a:srgbClr val="FF0000"/>
              </a:solidFill>
            </a:rPr>
            <a:t>         ($85 million)</a:t>
          </a:r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0.6252</cdr:x>
      <cdr:y>0.44502</cdr:y>
    </cdr:from>
    <cdr:to>
      <cdr:x>0.68262</cdr:x>
      <cdr:y>0.65979</cdr:y>
    </cdr:to>
    <cdr:sp macro="" textlink="">
      <cdr:nvSpPr>
        <cdr:cNvPr id="28" name="Right Brace 27"/>
        <cdr:cNvSpPr/>
      </cdr:nvSpPr>
      <cdr:spPr>
        <a:xfrm xmlns:a="http://schemas.openxmlformats.org/drawingml/2006/main">
          <a:off x="3733788" y="2466975"/>
          <a:ext cx="342912" cy="1190626"/>
        </a:xfrm>
        <a:prstGeom xmlns:a="http://schemas.openxmlformats.org/drawingml/2006/main" prst="rightBrace">
          <a:avLst>
            <a:gd name="adj1" fmla="val 8333"/>
            <a:gd name="adj2" fmla="val 50800"/>
          </a:avLst>
        </a:prstGeom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0.50452</cdr:x>
      <cdr:y>0.43348</cdr:y>
    </cdr:from>
    <cdr:to>
      <cdr:x>0.65763</cdr:x>
      <cdr:y>0.61668</cdr:y>
    </cdr:to>
    <cdr:sp macro="" textlink="">
      <cdr:nvSpPr>
        <cdr:cNvPr id="29" name="TextBox 1"/>
        <cdr:cNvSpPr txBox="1"/>
      </cdr:nvSpPr>
      <cdr:spPr>
        <a:xfrm xmlns:a="http://schemas.openxmlformats.org/drawingml/2006/main" rot="5400000">
          <a:off x="2962496" y="2453629"/>
          <a:ext cx="101557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00B050"/>
              </a:solidFill>
            </a:rPr>
            <a:t>Regulatory Lag</a:t>
          </a:r>
          <a:r>
            <a:rPr lang="en-US" sz="1100" baseline="0">
              <a:solidFill>
                <a:srgbClr val="00B050"/>
              </a:solidFill>
            </a:rPr>
            <a:t> YR 2</a:t>
          </a:r>
        </a:p>
        <a:p xmlns:a="http://schemas.openxmlformats.org/drawingml/2006/main">
          <a:r>
            <a:rPr lang="en-US" sz="1100" baseline="0">
              <a:solidFill>
                <a:srgbClr val="00B050"/>
              </a:solidFill>
            </a:rPr>
            <a:t>         ($76 million)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0.87241</cdr:x>
      <cdr:y>0.26117</cdr:y>
    </cdr:from>
    <cdr:to>
      <cdr:x>0.92344</cdr:x>
      <cdr:y>0.53436</cdr:y>
    </cdr:to>
    <cdr:sp macro="" textlink="">
      <cdr:nvSpPr>
        <cdr:cNvPr id="30" name="Right Brace 29"/>
        <cdr:cNvSpPr/>
      </cdr:nvSpPr>
      <cdr:spPr>
        <a:xfrm xmlns:a="http://schemas.openxmlformats.org/drawingml/2006/main">
          <a:off x="5210200" y="1447801"/>
          <a:ext cx="304775" cy="1514475"/>
        </a:xfrm>
        <a:prstGeom xmlns:a="http://schemas.openxmlformats.org/drawingml/2006/main" prst="rightBrace">
          <a:avLst>
            <a:gd name="adj1" fmla="val 8333"/>
            <a:gd name="adj2" fmla="val 50640"/>
          </a:avLst>
        </a:prstGeom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0.7496</cdr:x>
      <cdr:y>0.28332</cdr:y>
    </cdr:from>
    <cdr:to>
      <cdr:x>0.90271</cdr:x>
      <cdr:y>0.46653</cdr:y>
    </cdr:to>
    <cdr:sp macro="" textlink="">
      <cdr:nvSpPr>
        <cdr:cNvPr id="31" name="TextBox 1"/>
        <cdr:cNvSpPr txBox="1"/>
      </cdr:nvSpPr>
      <cdr:spPr>
        <a:xfrm xmlns:a="http://schemas.openxmlformats.org/drawingml/2006/main" rot="5400000">
          <a:off x="4426133" y="1621209"/>
          <a:ext cx="101563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0070C0"/>
              </a:solidFill>
            </a:rPr>
            <a:t>Regulatory Lag</a:t>
          </a:r>
          <a:r>
            <a:rPr lang="en-US" sz="1100" baseline="0">
              <a:solidFill>
                <a:srgbClr val="0070C0"/>
              </a:solidFill>
            </a:rPr>
            <a:t> YR 3</a:t>
          </a:r>
        </a:p>
        <a:p xmlns:a="http://schemas.openxmlformats.org/drawingml/2006/main">
          <a:r>
            <a:rPr lang="en-US" sz="1100" baseline="0">
              <a:solidFill>
                <a:srgbClr val="0070C0"/>
              </a:solidFill>
            </a:rPr>
            <a:t>       ($90 million)</a:t>
          </a:r>
          <a:endParaRPr lang="en-US" sz="11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0.38969</cdr:x>
      <cdr:y>0.54811</cdr:y>
    </cdr:from>
    <cdr:to>
      <cdr:x>0.44657</cdr:x>
      <cdr:y>0.79897</cdr:y>
    </cdr:to>
    <cdr:sp macro="" textlink="">
      <cdr:nvSpPr>
        <cdr:cNvPr id="34" name="Right Brace 33"/>
        <cdr:cNvSpPr/>
      </cdr:nvSpPr>
      <cdr:spPr>
        <a:xfrm xmlns:a="http://schemas.openxmlformats.org/drawingml/2006/main">
          <a:off x="2327302" y="3038476"/>
          <a:ext cx="339698" cy="1390650"/>
        </a:xfrm>
        <a:prstGeom xmlns:a="http://schemas.openxmlformats.org/drawingml/2006/main" prst="rightBrace">
          <a:avLst>
            <a:gd name="adj1" fmla="val 8333"/>
            <a:gd name="adj2" fmla="val 50800"/>
          </a:avLst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0.31898</cdr:x>
      <cdr:y>0.75945</cdr:y>
    </cdr:from>
    <cdr:to>
      <cdr:x>0.37161</cdr:x>
      <cdr:y>0.78522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1905000" y="4210051"/>
          <a:ext cx="314325" cy="1428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0.67305</cdr:x>
      <cdr:y>0.67354</cdr:y>
    </cdr:from>
    <cdr:to>
      <cdr:x>0.9681</cdr:x>
      <cdr:y>0.83677</cdr:y>
    </cdr:to>
    <cdr:sp macro="" textlink="">
      <cdr:nvSpPr>
        <cdr:cNvPr id="26" name="TextBox 3"/>
        <cdr:cNvSpPr txBox="1"/>
      </cdr:nvSpPr>
      <cdr:spPr>
        <a:xfrm xmlns:a="http://schemas.openxmlformats.org/drawingml/2006/main">
          <a:off x="4019550" y="3733801"/>
          <a:ext cx="1762125" cy="9048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Note: Only in YR 3 (May 2020)</a:t>
          </a:r>
        </a:p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does Avista </a:t>
          </a:r>
          <a:r>
            <a:rPr lang="en-US" sz="1050" b="1" baseline="0">
              <a:solidFill>
                <a:sysClr val="windowText" lastClr="000000"/>
              </a:solidFill>
            </a:rPr>
            <a:t>begin to recover </a:t>
          </a:r>
        </a:p>
        <a:p xmlns:a="http://schemas.openxmlformats.org/drawingml/2006/main">
          <a:r>
            <a:rPr lang="en-US" sz="1050" b="1" baseline="0">
              <a:solidFill>
                <a:sysClr val="windowText" lastClr="000000"/>
              </a:solidFill>
            </a:rPr>
            <a:t>12.31.17 Rate Base levels. </a:t>
          </a:r>
        </a:p>
        <a:p xmlns:a="http://schemas.openxmlformats.org/drawingml/2006/main">
          <a:r>
            <a:rPr lang="en-US" sz="1050" b="1" baseline="0">
              <a:solidFill>
                <a:sysClr val="windowText" lastClr="000000"/>
              </a:solidFill>
            </a:rPr>
            <a:t>Regulatory lag of 28 mos </a:t>
          </a:r>
        </a:p>
        <a:p xmlns:a="http://schemas.openxmlformats.org/drawingml/2006/main">
          <a:r>
            <a:rPr lang="en-US" sz="1050" b="1" baseline="0">
              <a:solidFill>
                <a:sysClr val="windowText" lastClr="000000"/>
              </a:solidFill>
            </a:rPr>
            <a:t>(or 2 1/3 yrs). </a:t>
          </a:r>
          <a:endParaRPr lang="en-US" sz="105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0.73259</cdr:x>
      <cdr:y>0.43528</cdr:y>
    </cdr:from>
    <cdr:to>
      <cdr:x>0.79697</cdr:x>
      <cdr:y>0.47787</cdr:y>
    </cdr:to>
    <cdr:sp macro="" textlink="">
      <cdr:nvSpPr>
        <cdr:cNvPr id="32" name="TextBox 3"/>
        <cdr:cNvSpPr txBox="1"/>
      </cdr:nvSpPr>
      <cdr:spPr>
        <a:xfrm xmlns:a="http://schemas.openxmlformats.org/drawingml/2006/main">
          <a:off x="4375150" y="2413000"/>
          <a:ext cx="384489" cy="2361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(2)</a:t>
          </a:r>
        </a:p>
      </cdr:txBody>
    </cdr:sp>
  </cdr:relSizeAnchor>
  <cdr:relSizeAnchor xmlns:cdr="http://schemas.openxmlformats.org/drawingml/2006/chartDrawing">
    <cdr:from>
      <cdr:x>0.86443</cdr:x>
      <cdr:y>0.5378</cdr:y>
    </cdr:from>
    <cdr:to>
      <cdr:x>0.86443</cdr:x>
      <cdr:y>0.6701</cdr:y>
    </cdr:to>
    <cdr:cxnSp macro="">
      <cdr:nvCxnSpPr>
        <cdr:cNvPr id="33" name="Straight Arrow Connector 32"/>
        <cdr:cNvCxnSpPr/>
      </cdr:nvCxnSpPr>
      <cdr:spPr>
        <a:xfrm xmlns:a="http://schemas.openxmlformats.org/drawingml/2006/main" flipV="1">
          <a:off x="5162550" y="2981326"/>
          <a:ext cx="0" cy="73342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364435</xdr:colOff>
      <xdr:row>8</xdr:row>
      <xdr:rowOff>115541</xdr:rowOff>
    </xdr:from>
    <xdr:to>
      <xdr:col>10</xdr:col>
      <xdr:colOff>96079</xdr:colOff>
      <xdr:row>37</xdr:row>
      <xdr:rowOff>144117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0.13613</cdr:x>
      <cdr:y>0.57433</cdr:y>
    </cdr:from>
    <cdr:to>
      <cdr:x>0.63068</cdr:x>
      <cdr:y>0.5751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813021" y="3183848"/>
          <a:ext cx="2953525" cy="4274"/>
        </a:xfrm>
        <a:prstGeom xmlns:a="http://schemas.openxmlformats.org/drawingml/2006/main" prst="straightConnector1">
          <a:avLst/>
        </a:prstGeom>
        <a:ln xmlns:a="http://schemas.openxmlformats.org/drawingml/2006/main" w="19050" cmpd="sng">
          <a:solidFill>
            <a:srgbClr val="FF0000">
              <a:alpha val="94000"/>
            </a:srgbClr>
          </a:solidFill>
          <a:prstDash val="dash"/>
          <a:headEnd w="lg" len="lg"/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0.53104</cdr:x>
      <cdr:y>0.12332</cdr:y>
    </cdr:from>
    <cdr:to>
      <cdr:x>0.70205</cdr:x>
      <cdr:y>0.18263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3171443" y="683630"/>
          <a:ext cx="1021302" cy="3287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2</a:t>
          </a:r>
        </a:p>
      </cdr:txBody>
    </cdr:sp>
  </cdr:relSizeAnchor>
  <cdr:relSizeAnchor xmlns:cdr="http://schemas.openxmlformats.org/drawingml/2006/chartDrawing">
    <cdr:from>
      <cdr:x>0.77496</cdr:x>
      <cdr:y>0.12626</cdr:y>
    </cdr:from>
    <cdr:to>
      <cdr:x>0.94597</cdr:x>
      <cdr:y>0.18557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4628206" y="699936"/>
          <a:ext cx="1021302" cy="3287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3</a:t>
          </a:r>
        </a:p>
      </cdr:txBody>
    </cdr:sp>
  </cdr:relSizeAnchor>
  <cdr:relSizeAnchor xmlns:cdr="http://schemas.openxmlformats.org/drawingml/2006/chartDrawing">
    <cdr:from>
      <cdr:x>0.11236</cdr:x>
      <cdr:y>0.57555</cdr:y>
    </cdr:from>
    <cdr:to>
      <cdr:x>0.28652</cdr:x>
      <cdr:y>0.71219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669688" y="3196090"/>
          <a:ext cx="1038023" cy="75877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Base </a:t>
          </a:r>
        </a:p>
        <a:p xmlns:a="http://schemas.openxmlformats.org/drawingml/2006/main">
          <a:r>
            <a:rPr lang="en-US" sz="1200" b="1"/>
            <a:t>Balance </a:t>
          </a:r>
        </a:p>
        <a:p xmlns:a="http://schemas.openxmlformats.org/drawingml/2006/main">
          <a:r>
            <a:rPr lang="en-US" sz="1200" b="1"/>
            <a:t>at 12.31.17</a:t>
          </a:r>
        </a:p>
      </cdr:txBody>
    </cdr:sp>
  </cdr:relSizeAnchor>
  <cdr:relSizeAnchor xmlns:cdr="http://schemas.openxmlformats.org/drawingml/2006/chartDrawing">
    <cdr:from>
      <cdr:x>0.72193</cdr:x>
      <cdr:y>0.71825</cdr:y>
    </cdr:from>
    <cdr:to>
      <cdr:x>0.89305</cdr:x>
      <cdr:y>0.90873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3857625" y="34480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0.18285</cdr:x>
      <cdr:y>0.7161</cdr:y>
    </cdr:from>
    <cdr:to>
      <cdr:x>0.37959</cdr:x>
      <cdr:y>0.76173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092039" y="3969749"/>
          <a:ext cx="1174911" cy="25295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200" b="1"/>
            <a:t>Avista Proposed</a:t>
          </a:r>
        </a:p>
      </cdr:txBody>
    </cdr:sp>
  </cdr:relSizeAnchor>
  <cdr:relSizeAnchor xmlns:cdr="http://schemas.openxmlformats.org/drawingml/2006/chartDrawing">
    <cdr:from>
      <cdr:x>0.4829</cdr:x>
      <cdr:y>0.29405</cdr:y>
    </cdr:from>
    <cdr:to>
      <cdr:x>0.6766</cdr:x>
      <cdr:y>0.34101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883992" y="1630077"/>
          <a:ext cx="1156810" cy="260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Avista</a:t>
          </a:r>
          <a:r>
            <a:rPr lang="en-US" sz="1200" b="1" baseline="0"/>
            <a:t> Planned</a:t>
          </a:r>
          <a:endParaRPr lang="en-US" sz="1200" b="1"/>
        </a:p>
      </cdr:txBody>
    </cdr:sp>
  </cdr:relSizeAnchor>
  <cdr:relSizeAnchor xmlns:cdr="http://schemas.openxmlformats.org/drawingml/2006/chartDrawing">
    <cdr:from>
      <cdr:x>0.66507</cdr:x>
      <cdr:y>0.33333</cdr:y>
    </cdr:from>
    <cdr:to>
      <cdr:x>0.70654</cdr:x>
      <cdr:y>0.36637</cdr:y>
    </cdr:to>
    <cdr:cxnSp macro="">
      <cdr:nvCxnSpPr>
        <cdr:cNvPr id="22" name="Straight Arrow Connector 21"/>
        <cdr:cNvCxnSpPr/>
      </cdr:nvCxnSpPr>
      <cdr:spPr>
        <a:xfrm xmlns:a="http://schemas.openxmlformats.org/drawingml/2006/main">
          <a:off x="3971925" y="1847851"/>
          <a:ext cx="247656" cy="18311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0.88316</cdr:y>
    </cdr:from>
    <cdr:to>
      <cdr:x>0.99522</cdr:x>
      <cdr:y>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0" y="4895851"/>
          <a:ext cx="594360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/>
            <a:t>(1) Net</a:t>
          </a:r>
          <a:r>
            <a:rPr lang="en-US" sz="1000" b="1" baseline="0"/>
            <a:t> Plant after ADFIT at 12.31.2017 of $1.53 billion - 4 months before start of Rate Year 1.</a:t>
          </a:r>
        </a:p>
        <a:p xmlns:a="http://schemas.openxmlformats.org/drawingml/2006/main">
          <a:r>
            <a:rPr lang="en-US" sz="1000" b="1" baseline="0"/>
            <a:t>(2) The rate base regulatory lag under Avista's proposal is approximately $20M to $33M annually, </a:t>
          </a:r>
        </a:p>
        <a:p xmlns:a="http://schemas.openxmlformats.org/drawingml/2006/main">
          <a:r>
            <a:rPr lang="en-US" sz="1000" b="1" baseline="0"/>
            <a:t>(approximately $3.5M - $6.0M annual </a:t>
          </a:r>
          <a:r>
            <a:rPr lang="en-US" sz="1000" b="1" u="sng" baseline="0"/>
            <a:t>lost </a:t>
          </a:r>
          <a:r>
            <a:rPr lang="en-US" sz="1000" b="1" baseline="0"/>
            <a:t>revenue requirement).</a:t>
          </a:r>
          <a:endParaRPr lang="en-US" sz="1000" b="1"/>
        </a:p>
      </cdr:txBody>
    </cdr:sp>
  </cdr:relSizeAnchor>
  <cdr:relSizeAnchor xmlns:cdr="http://schemas.openxmlformats.org/drawingml/2006/chartDrawing">
    <cdr:from>
      <cdr:x>0.11759</cdr:x>
      <cdr:y>0.47889</cdr:y>
    </cdr:from>
    <cdr:to>
      <cdr:x>0.18197</cdr:x>
      <cdr:y>0.534</cdr:y>
    </cdr:to>
    <cdr:sp macro="" textlink="">
      <cdr:nvSpPr>
        <cdr:cNvPr id="24" name="TextBox 3"/>
        <cdr:cNvSpPr txBox="1"/>
      </cdr:nvSpPr>
      <cdr:spPr>
        <a:xfrm xmlns:a="http://schemas.openxmlformats.org/drawingml/2006/main">
          <a:off x="702242" y="2654743"/>
          <a:ext cx="384488" cy="3055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(1)</a:t>
          </a:r>
        </a:p>
      </cdr:txBody>
    </cdr:sp>
  </cdr:relSizeAnchor>
  <cdr:relSizeAnchor xmlns:cdr="http://schemas.openxmlformats.org/drawingml/2006/chartDrawing">
    <cdr:from>
      <cdr:x>0.28833</cdr:x>
      <cdr:y>0.12243</cdr:y>
    </cdr:from>
    <cdr:to>
      <cdr:x>0.45933</cdr:x>
      <cdr:y>0.1808</cdr:y>
    </cdr:to>
    <cdr:sp macro="" textlink="">
      <cdr:nvSpPr>
        <cdr:cNvPr id="25" name="TextBox 2"/>
        <cdr:cNvSpPr txBox="1"/>
      </cdr:nvSpPr>
      <cdr:spPr>
        <a:xfrm xmlns:a="http://schemas.openxmlformats.org/drawingml/2006/main">
          <a:off x="1721983" y="678706"/>
          <a:ext cx="1021242" cy="3235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1</a:t>
          </a:r>
        </a:p>
      </cdr:txBody>
    </cdr:sp>
  </cdr:relSizeAnchor>
  <cdr:relSizeAnchor xmlns:cdr="http://schemas.openxmlformats.org/drawingml/2006/chartDrawing">
    <cdr:from>
      <cdr:x>0.53429</cdr:x>
      <cdr:y>0.71306</cdr:y>
    </cdr:from>
    <cdr:to>
      <cdr:x>0.95853</cdr:x>
      <cdr:y>0.83505</cdr:y>
    </cdr:to>
    <cdr:sp macro="" textlink="">
      <cdr:nvSpPr>
        <cdr:cNvPr id="16" name="TextBox 3"/>
        <cdr:cNvSpPr txBox="1"/>
      </cdr:nvSpPr>
      <cdr:spPr>
        <a:xfrm xmlns:a="http://schemas.openxmlformats.org/drawingml/2006/main">
          <a:off x="3190875" y="3952864"/>
          <a:ext cx="2533650" cy="6762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Note: Only in YR 2 (May 2019) does Avista </a:t>
          </a:r>
        </a:p>
        <a:p xmlns:a="http://schemas.openxmlformats.org/drawingml/2006/main">
          <a:r>
            <a:rPr lang="en-US" sz="1050" b="1" baseline="0">
              <a:solidFill>
                <a:sysClr val="windowText" lastClr="000000"/>
              </a:solidFill>
            </a:rPr>
            <a:t>begin to recover 12.31.17 Rate Base levels.</a:t>
          </a:r>
        </a:p>
        <a:p xmlns:a="http://schemas.openxmlformats.org/drawingml/2006/main">
          <a:r>
            <a:rPr lang="en-US" sz="1050" b="1" baseline="0">
              <a:solidFill>
                <a:sysClr val="windowText" lastClr="000000"/>
              </a:solidFill>
            </a:rPr>
            <a:t>Regulatory lag of 16 mos (or 1 1/3 yrs). </a:t>
          </a:r>
          <a:endParaRPr lang="en-US" sz="105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0.32057</cdr:x>
      <cdr:y>0.59615</cdr:y>
    </cdr:from>
    <cdr:to>
      <cdr:x>0.47368</cdr:x>
      <cdr:y>0.77935</cdr:y>
    </cdr:to>
    <cdr:sp macro="" textlink="">
      <cdr:nvSpPr>
        <cdr:cNvPr id="27" name="TextBox 26"/>
        <cdr:cNvSpPr txBox="1"/>
      </cdr:nvSpPr>
      <cdr:spPr>
        <a:xfrm xmlns:a="http://schemas.openxmlformats.org/drawingml/2006/main" rot="5400000">
          <a:off x="1863919" y="3355401"/>
          <a:ext cx="101557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0000"/>
              </a:solidFill>
            </a:rPr>
            <a:t>Regulatory Lag</a:t>
          </a:r>
          <a:r>
            <a:rPr lang="en-US" sz="1100" baseline="0">
              <a:solidFill>
                <a:srgbClr val="FF0000"/>
              </a:solidFill>
            </a:rPr>
            <a:t> YR 1</a:t>
          </a:r>
        </a:p>
        <a:p xmlns:a="http://schemas.openxmlformats.org/drawingml/2006/main">
          <a:r>
            <a:rPr lang="en-US" sz="1100" baseline="0">
              <a:solidFill>
                <a:srgbClr val="FF0000"/>
              </a:solidFill>
            </a:rPr>
            <a:t>         ($31 million)</a:t>
          </a:r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0.62679</cdr:x>
      <cdr:y>0.44502</cdr:y>
    </cdr:from>
    <cdr:to>
      <cdr:x>0.66986</cdr:x>
      <cdr:y>0.51203</cdr:y>
    </cdr:to>
    <cdr:sp macro="" textlink="">
      <cdr:nvSpPr>
        <cdr:cNvPr id="28" name="Right Brace 27"/>
        <cdr:cNvSpPr/>
      </cdr:nvSpPr>
      <cdr:spPr>
        <a:xfrm xmlns:a="http://schemas.openxmlformats.org/drawingml/2006/main">
          <a:off x="3743329" y="2466976"/>
          <a:ext cx="257171" cy="371475"/>
        </a:xfrm>
        <a:prstGeom xmlns:a="http://schemas.openxmlformats.org/drawingml/2006/main" prst="rightBrace">
          <a:avLst>
            <a:gd name="adj1" fmla="val 8333"/>
            <a:gd name="adj2" fmla="val 50800"/>
          </a:avLst>
        </a:prstGeom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0.57948</cdr:x>
      <cdr:y>0.4541</cdr:y>
    </cdr:from>
    <cdr:to>
      <cdr:x>0.73259</cdr:x>
      <cdr:y>0.6373</cdr:y>
    </cdr:to>
    <cdr:sp macro="" textlink="">
      <cdr:nvSpPr>
        <cdr:cNvPr id="29" name="TextBox 1"/>
        <cdr:cNvSpPr txBox="1"/>
      </cdr:nvSpPr>
      <cdr:spPr>
        <a:xfrm xmlns:a="http://schemas.openxmlformats.org/drawingml/2006/main" rot="5400000">
          <a:off x="3410163" y="2567924"/>
          <a:ext cx="1015578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00B050"/>
              </a:solidFill>
            </a:rPr>
            <a:t>Regulatory Lag</a:t>
          </a:r>
          <a:r>
            <a:rPr lang="en-US" sz="1100" baseline="0">
              <a:solidFill>
                <a:srgbClr val="00B050"/>
              </a:solidFill>
            </a:rPr>
            <a:t> YR 2</a:t>
          </a:r>
        </a:p>
        <a:p xmlns:a="http://schemas.openxmlformats.org/drawingml/2006/main">
          <a:r>
            <a:rPr lang="en-US" sz="1100" baseline="0">
              <a:solidFill>
                <a:srgbClr val="00B050"/>
              </a:solidFill>
            </a:rPr>
            <a:t>         ($20 million)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0.87081</cdr:x>
      <cdr:y>0.27319</cdr:y>
    </cdr:from>
    <cdr:to>
      <cdr:x>0.91707</cdr:x>
      <cdr:y>0.36598</cdr:y>
    </cdr:to>
    <cdr:sp macro="" textlink="">
      <cdr:nvSpPr>
        <cdr:cNvPr id="30" name="Right Brace 29"/>
        <cdr:cNvSpPr/>
      </cdr:nvSpPr>
      <cdr:spPr>
        <a:xfrm xmlns:a="http://schemas.openxmlformats.org/drawingml/2006/main">
          <a:off x="5200658" y="1514460"/>
          <a:ext cx="276217" cy="514366"/>
        </a:xfrm>
        <a:prstGeom xmlns:a="http://schemas.openxmlformats.org/drawingml/2006/main" prst="rightBrace">
          <a:avLst>
            <a:gd name="adj1" fmla="val 8333"/>
            <a:gd name="adj2" fmla="val 52527"/>
          </a:avLst>
        </a:prstGeom>
        <a:ln xmlns:a="http://schemas.openxmlformats.org/drawingml/2006/main">
          <a:solidFill>
            <a:schemeClr val="accent1">
              <a:lumMod val="75000"/>
            </a:schemeClr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0.79745</cdr:x>
      <cdr:y>0.31768</cdr:y>
    </cdr:from>
    <cdr:to>
      <cdr:x>0.95056</cdr:x>
      <cdr:y>0.50089</cdr:y>
    </cdr:to>
    <cdr:sp macro="" textlink="">
      <cdr:nvSpPr>
        <cdr:cNvPr id="31" name="TextBox 1"/>
        <cdr:cNvSpPr txBox="1"/>
      </cdr:nvSpPr>
      <cdr:spPr>
        <a:xfrm xmlns:a="http://schemas.openxmlformats.org/drawingml/2006/main" rot="5400000">
          <a:off x="4711875" y="1811716"/>
          <a:ext cx="101563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0070C0"/>
              </a:solidFill>
            </a:rPr>
            <a:t>Regulatory Lag</a:t>
          </a:r>
          <a:r>
            <a:rPr lang="en-US" sz="1100" baseline="0">
              <a:solidFill>
                <a:srgbClr val="0070C0"/>
              </a:solidFill>
            </a:rPr>
            <a:t> YR 3</a:t>
          </a:r>
        </a:p>
        <a:p xmlns:a="http://schemas.openxmlformats.org/drawingml/2006/main">
          <a:r>
            <a:rPr lang="en-US" sz="1100" baseline="0">
              <a:solidFill>
                <a:srgbClr val="0070C0"/>
              </a:solidFill>
            </a:rPr>
            <a:t>       ($33 million)</a:t>
          </a:r>
          <a:endParaRPr lang="en-US" sz="110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0.3865</cdr:x>
      <cdr:y>0.54639</cdr:y>
    </cdr:from>
    <cdr:to>
      <cdr:x>0.42425</cdr:x>
      <cdr:y>0.64261</cdr:y>
    </cdr:to>
    <cdr:sp macro="" textlink="">
      <cdr:nvSpPr>
        <cdr:cNvPr id="34" name="Right Brace 33"/>
        <cdr:cNvSpPr/>
      </cdr:nvSpPr>
      <cdr:spPr>
        <a:xfrm xmlns:a="http://schemas.openxmlformats.org/drawingml/2006/main">
          <a:off x="2308218" y="3028941"/>
          <a:ext cx="225449" cy="533400"/>
        </a:xfrm>
        <a:prstGeom xmlns:a="http://schemas.openxmlformats.org/drawingml/2006/main" prst="rightBrace">
          <a:avLst>
            <a:gd name="adj1" fmla="val 8333"/>
            <a:gd name="adj2" fmla="val 50800"/>
          </a:avLst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0.31738</cdr:x>
      <cdr:y>0.64777</cdr:y>
    </cdr:from>
    <cdr:to>
      <cdr:x>0.36842</cdr:x>
      <cdr:y>0.71134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1895475" y="3590927"/>
          <a:ext cx="304800" cy="35242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0.61882</cdr:x>
      <cdr:y>0.59107</cdr:y>
    </cdr:from>
    <cdr:to>
      <cdr:x>0.62041</cdr:x>
      <cdr:y>0.7079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 flipV="1">
          <a:off x="3695700" y="3276601"/>
          <a:ext cx="9525" cy="6477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0.77406</cdr:x>
      <cdr:y>0.45074</cdr:y>
    </cdr:from>
    <cdr:to>
      <cdr:x>0.83844</cdr:x>
      <cdr:y>0.49334</cdr:y>
    </cdr:to>
    <cdr:sp macro="" textlink="">
      <cdr:nvSpPr>
        <cdr:cNvPr id="26" name="TextBox 3"/>
        <cdr:cNvSpPr txBox="1"/>
      </cdr:nvSpPr>
      <cdr:spPr>
        <a:xfrm xmlns:a="http://schemas.openxmlformats.org/drawingml/2006/main">
          <a:off x="4622800" y="2498725"/>
          <a:ext cx="384489" cy="2361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(2)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123824</xdr:rowOff>
    </xdr:from>
    <xdr:to>
      <xdr:col>9</xdr:col>
      <xdr:colOff>114301</xdr:colOff>
      <xdr:row>43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771525</xdr:colOff>
      <xdr:row>38</xdr:row>
      <xdr:rowOff>76200</xdr:rowOff>
    </xdr:from>
    <xdr:to>
      <xdr:col>4</xdr:col>
      <xdr:colOff>933450</xdr:colOff>
      <xdr:row>39</xdr:row>
      <xdr:rowOff>47625</xdr:rowOff>
    </xdr:to>
    <xdr:sp macro="" textlink="">
      <xdr:nvSpPr>
        <xdr:cNvPr id="3" name="TextBox 2"/>
        <xdr:cNvSpPr txBox="1"/>
      </xdr:nvSpPr>
      <xdr:spPr>
        <a:xfrm>
          <a:off x="1076325" y="7267575"/>
          <a:ext cx="161925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0.14844</cdr:x>
      <cdr:y>0.55197</cdr:y>
    </cdr:from>
    <cdr:to>
      <cdr:x>0.92691</cdr:x>
      <cdr:y>0.55491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851150" y="2933701"/>
          <a:ext cx="4463799" cy="1562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FF0000">
              <a:alpha val="94000"/>
            </a:srgbClr>
          </a:solidFill>
          <a:prstDash val="dash"/>
          <a:headEnd w="lg" len="lg"/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0.5535</cdr:x>
      <cdr:y>0.1396</cdr:y>
    </cdr:from>
    <cdr:to>
      <cdr:x>0.72451</cdr:x>
      <cdr:y>0.19891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3173783" y="741949"/>
          <a:ext cx="980580" cy="3152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2</a:t>
          </a:r>
        </a:p>
      </cdr:txBody>
    </cdr:sp>
  </cdr:relSizeAnchor>
  <cdr:relSizeAnchor xmlns:cdr="http://schemas.openxmlformats.org/drawingml/2006/chartDrawing">
    <cdr:from>
      <cdr:x>0.81535</cdr:x>
      <cdr:y>0.1419</cdr:y>
    </cdr:from>
    <cdr:to>
      <cdr:x>0.98636</cdr:x>
      <cdr:y>0.20121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4675276" y="754168"/>
          <a:ext cx="980580" cy="3152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3</a:t>
          </a:r>
        </a:p>
      </cdr:txBody>
    </cdr:sp>
  </cdr:relSizeAnchor>
  <cdr:relSizeAnchor xmlns:cdr="http://schemas.openxmlformats.org/drawingml/2006/chartDrawing">
    <cdr:from>
      <cdr:x>0.72193</cdr:x>
      <cdr:y>0.71825</cdr:y>
    </cdr:from>
    <cdr:to>
      <cdr:x>0.89305</cdr:x>
      <cdr:y>0.90873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3857625" y="34480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0.2112</cdr:x>
      <cdr:y>0.77016</cdr:y>
    </cdr:from>
    <cdr:to>
      <cdr:x>0.39203</cdr:x>
      <cdr:y>0.81579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211029" y="4093366"/>
          <a:ext cx="1036869" cy="24252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Staff Proposed</a:t>
          </a:r>
        </a:p>
      </cdr:txBody>
    </cdr:sp>
  </cdr:relSizeAnchor>
  <cdr:relSizeAnchor xmlns:cdr="http://schemas.openxmlformats.org/drawingml/2006/chartDrawing">
    <cdr:from>
      <cdr:x>0.33054</cdr:x>
      <cdr:y>0.63257</cdr:y>
    </cdr:from>
    <cdr:to>
      <cdr:x>0.52424</cdr:x>
      <cdr:y>0.67952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1895352" y="3362104"/>
          <a:ext cx="1110686" cy="24953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Avista</a:t>
          </a:r>
          <a:r>
            <a:rPr lang="en-US" sz="1100" b="1" baseline="0"/>
            <a:t> Rebuttal</a:t>
          </a:r>
          <a:endParaRPr lang="en-US" sz="1100" b="1"/>
        </a:p>
      </cdr:txBody>
    </cdr:sp>
  </cdr:relSizeAnchor>
  <cdr:relSizeAnchor xmlns:cdr="http://schemas.openxmlformats.org/drawingml/2006/chartDrawing">
    <cdr:from>
      <cdr:x>0.57759</cdr:x>
      <cdr:y>0.29713</cdr:y>
    </cdr:from>
    <cdr:to>
      <cdr:x>0.77129</cdr:x>
      <cdr:y>0.34409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3311947" y="1579215"/>
          <a:ext cx="1110685" cy="2495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Avista</a:t>
          </a:r>
          <a:r>
            <a:rPr lang="en-US" sz="1100" b="1" baseline="0"/>
            <a:t> Planned</a:t>
          </a:r>
          <a:endParaRPr lang="en-US" sz="1100" b="1"/>
        </a:p>
      </cdr:txBody>
    </cdr:sp>
  </cdr:relSizeAnchor>
  <cdr:relSizeAnchor xmlns:cdr="http://schemas.openxmlformats.org/drawingml/2006/chartDrawing">
    <cdr:from>
      <cdr:x>0.17713</cdr:x>
      <cdr:y>0.48543</cdr:y>
    </cdr:from>
    <cdr:to>
      <cdr:x>0.24252</cdr:x>
      <cdr:y>0.53521</cdr:y>
    </cdr:to>
    <cdr:sp macro="" textlink="">
      <cdr:nvSpPr>
        <cdr:cNvPr id="24" name="TextBox 3"/>
        <cdr:cNvSpPr txBox="1"/>
      </cdr:nvSpPr>
      <cdr:spPr>
        <a:xfrm xmlns:a="http://schemas.openxmlformats.org/drawingml/2006/main">
          <a:off x="1015683" y="2580031"/>
          <a:ext cx="374966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(1)</a:t>
          </a:r>
        </a:p>
      </cdr:txBody>
    </cdr:sp>
  </cdr:relSizeAnchor>
  <cdr:relSizeAnchor xmlns:cdr="http://schemas.openxmlformats.org/drawingml/2006/chartDrawing">
    <cdr:from>
      <cdr:x>0.32169</cdr:x>
      <cdr:y>0.13987</cdr:y>
    </cdr:from>
    <cdr:to>
      <cdr:x>0.49269</cdr:x>
      <cdr:y>0.19824</cdr:y>
    </cdr:to>
    <cdr:sp macro="" textlink="">
      <cdr:nvSpPr>
        <cdr:cNvPr id="25" name="TextBox 2"/>
        <cdr:cNvSpPr txBox="1"/>
      </cdr:nvSpPr>
      <cdr:spPr>
        <a:xfrm xmlns:a="http://schemas.openxmlformats.org/drawingml/2006/main">
          <a:off x="1844613" y="743415"/>
          <a:ext cx="980523" cy="31023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1</a:t>
          </a:r>
        </a:p>
      </cdr:txBody>
    </cdr:sp>
  </cdr:relSizeAnchor>
  <cdr:relSizeAnchor xmlns:cdr="http://schemas.openxmlformats.org/drawingml/2006/chartDrawing">
    <cdr:from>
      <cdr:x>0</cdr:x>
      <cdr:y>0.88351</cdr:y>
    </cdr:from>
    <cdr:to>
      <cdr:x>1</cdr:x>
      <cdr:y>0.99104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0" y="4695826"/>
          <a:ext cx="5734050" cy="571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(1) Net</a:t>
          </a:r>
          <a:r>
            <a:rPr lang="en-US" sz="1000" b="1" baseline="0"/>
            <a:t> Plant after ADFIT at 12.31.2017 of $1.53 billion - 4 months before start of Rate Year 1.</a:t>
          </a:r>
        </a:p>
        <a:p xmlns:a="http://schemas.openxmlformats.org/drawingml/2006/main">
          <a:r>
            <a:rPr lang="en-US" sz="1000" b="1" baseline="0"/>
            <a:t>(2)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The rate base regulatory lag under Avista's proposal is approximately $20M to $33M annually, </a:t>
          </a:r>
          <a:endParaRPr lang="en-US" sz="1000">
            <a:effectLst/>
          </a:endParaRPr>
        </a:p>
        <a:p xmlns:a="http://schemas.openxmlformats.org/drawingml/2006/main">
          <a:r>
            <a:rPr lang="en-US" sz="1000" b="1" baseline="0">
              <a:effectLst/>
              <a:latin typeface="+mn-lt"/>
              <a:ea typeface="+mn-ea"/>
              <a:cs typeface="+mn-cs"/>
            </a:rPr>
            <a:t>(approximately $3.5M - $6.0M annual </a:t>
          </a:r>
          <a:r>
            <a:rPr lang="en-US" sz="1000" b="1" u="sng" baseline="0">
              <a:effectLst/>
              <a:latin typeface="+mn-lt"/>
              <a:ea typeface="+mn-ea"/>
              <a:cs typeface="+mn-cs"/>
            </a:rPr>
            <a:t>lost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revenue requirement).</a:t>
          </a:r>
          <a:endParaRPr lang="en-US" sz="1000">
            <a:effectLst/>
          </a:endParaRPr>
        </a:p>
      </cdr:txBody>
    </cdr:sp>
  </cdr:relSizeAnchor>
  <cdr:relSizeAnchor xmlns:cdr="http://schemas.openxmlformats.org/drawingml/2006/chartDrawing">
    <cdr:from>
      <cdr:x>0.79125</cdr:x>
      <cdr:y>0.42533</cdr:y>
    </cdr:from>
    <cdr:to>
      <cdr:x>0.85829</cdr:x>
      <cdr:y>0.47419</cdr:y>
    </cdr:to>
    <cdr:sp macro="" textlink="">
      <cdr:nvSpPr>
        <cdr:cNvPr id="32" name="TextBox 3"/>
        <cdr:cNvSpPr txBox="1"/>
      </cdr:nvSpPr>
      <cdr:spPr>
        <a:xfrm xmlns:a="http://schemas.openxmlformats.org/drawingml/2006/main">
          <a:off x="4537065" y="2260598"/>
          <a:ext cx="384410" cy="2596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(2)</a:t>
          </a:r>
        </a:p>
      </cdr:txBody>
    </cdr:sp>
  </cdr:relSizeAnchor>
  <cdr:relSizeAnchor xmlns:cdr="http://schemas.openxmlformats.org/drawingml/2006/chartDrawing">
    <cdr:from>
      <cdr:x>0.64341</cdr:x>
      <cdr:y>0.68698</cdr:y>
    </cdr:from>
    <cdr:to>
      <cdr:x>0.95072</cdr:x>
      <cdr:y>0.86918</cdr:y>
    </cdr:to>
    <cdr:sp macro="" textlink="">
      <cdr:nvSpPr>
        <cdr:cNvPr id="15" name="TextBox 3"/>
        <cdr:cNvSpPr txBox="1"/>
      </cdr:nvSpPr>
      <cdr:spPr>
        <a:xfrm xmlns:a="http://schemas.openxmlformats.org/drawingml/2006/main">
          <a:off x="3689350" y="3651250"/>
          <a:ext cx="1762125" cy="9683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Note: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Avista's rebuttal 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proposal "strikes a balance"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between Staff and Avista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planned levels during the </a:t>
          </a:r>
          <a:endParaRPr lang="en-US" sz="1050">
            <a:effectLst/>
          </a:endParaRP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Three-Year Rate Plan.  </a:t>
          </a:r>
          <a:endParaRPr lang="en-US" sz="105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0.14844</cdr:x>
      <cdr:y>0.55197</cdr:y>
    </cdr:from>
    <cdr:to>
      <cdr:x>0.92691</cdr:x>
      <cdr:y>0.55491</cdr:y>
    </cdr:to>
    <cdr:cxnSp macro="">
      <cdr:nvCxnSpPr>
        <cdr:cNvPr id="2" name="Straight Arrow Connector 2"/>
        <cdr:cNvCxnSpPr/>
      </cdr:nvCxnSpPr>
      <cdr:spPr>
        <a:xfrm xmlns:a="http://schemas.openxmlformats.org/drawingml/2006/main" flipV="1">
          <a:off x="851163" y="2933694"/>
          <a:ext cx="4463786" cy="15625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FF0000">
              <a:alpha val="94000"/>
            </a:srgbClr>
          </a:solidFill>
          <a:prstDash val="dash"/>
          <a:headEnd w="lg" len="lg"/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0.5535</cdr:x>
      <cdr:y>0.1396</cdr:y>
    </cdr:from>
    <cdr:to>
      <cdr:x>0.72451</cdr:x>
      <cdr:y>0.19891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173783" y="741949"/>
          <a:ext cx="980580" cy="3152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2</a:t>
          </a:r>
        </a:p>
      </cdr:txBody>
    </cdr:sp>
  </cdr:relSizeAnchor>
  <cdr:relSizeAnchor xmlns:cdr="http://schemas.openxmlformats.org/drawingml/2006/chartDrawing">
    <cdr:from>
      <cdr:x>0.81535</cdr:x>
      <cdr:y>0.1419</cdr:y>
    </cdr:from>
    <cdr:to>
      <cdr:x>0.98636</cdr:x>
      <cdr:y>0.20121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4675276" y="754168"/>
          <a:ext cx="980580" cy="3152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3</a:t>
          </a:r>
        </a:p>
      </cdr:txBody>
    </cdr:sp>
  </cdr:relSizeAnchor>
  <cdr:relSizeAnchor xmlns:cdr="http://schemas.openxmlformats.org/drawingml/2006/chartDrawing">
    <cdr:from>
      <cdr:x>0.72193</cdr:x>
      <cdr:y>0.71825</cdr:y>
    </cdr:from>
    <cdr:to>
      <cdr:x>0.89305</cdr:x>
      <cdr:y>0.90873</cdr:y>
    </cdr:to>
    <cdr:sp macro="" textlink="">
      <cdr:nvSpPr>
        <cdr:cNvPr id="7" name="TextBox 16"/>
        <cdr:cNvSpPr txBox="1"/>
      </cdr:nvSpPr>
      <cdr:spPr>
        <a:xfrm xmlns:a="http://schemas.openxmlformats.org/drawingml/2006/main">
          <a:off x="3857625" y="34480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0.2112</cdr:x>
      <cdr:y>0.77016</cdr:y>
    </cdr:from>
    <cdr:to>
      <cdr:x>0.39203</cdr:x>
      <cdr:y>0.81579</cdr:y>
    </cdr:to>
    <cdr:sp macro="" textlink="">
      <cdr:nvSpPr>
        <cdr:cNvPr id="8" name="TextBox 17"/>
        <cdr:cNvSpPr txBox="1"/>
      </cdr:nvSpPr>
      <cdr:spPr>
        <a:xfrm xmlns:a="http://schemas.openxmlformats.org/drawingml/2006/main">
          <a:off x="1211029" y="4093366"/>
          <a:ext cx="1036869" cy="24252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Staff Proposed</a:t>
          </a:r>
        </a:p>
      </cdr:txBody>
    </cdr:sp>
  </cdr:relSizeAnchor>
  <cdr:relSizeAnchor xmlns:cdr="http://schemas.openxmlformats.org/drawingml/2006/chartDrawing">
    <cdr:from>
      <cdr:x>0.33054</cdr:x>
      <cdr:y>0.63257</cdr:y>
    </cdr:from>
    <cdr:to>
      <cdr:x>0.52424</cdr:x>
      <cdr:y>0.67952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895352" y="3362104"/>
          <a:ext cx="1110686" cy="24953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Avista</a:t>
          </a:r>
          <a:r>
            <a:rPr lang="en-US" sz="1100" b="1" baseline="0"/>
            <a:t> Rebuttal</a:t>
          </a:r>
          <a:endParaRPr lang="en-US" sz="1100" b="1"/>
        </a:p>
      </cdr:txBody>
    </cdr:sp>
  </cdr:relSizeAnchor>
  <cdr:relSizeAnchor xmlns:cdr="http://schemas.openxmlformats.org/drawingml/2006/chartDrawing">
    <cdr:from>
      <cdr:x>0.57759</cdr:x>
      <cdr:y>0.29713</cdr:y>
    </cdr:from>
    <cdr:to>
      <cdr:x>0.77129</cdr:x>
      <cdr:y>0.34409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311947" y="1579215"/>
          <a:ext cx="1110685" cy="2495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Avista</a:t>
          </a:r>
          <a:r>
            <a:rPr lang="en-US" sz="1100" b="1" baseline="0"/>
            <a:t> Planned</a:t>
          </a:r>
          <a:endParaRPr lang="en-US" sz="1100" b="1"/>
        </a:p>
      </cdr:txBody>
    </cdr:sp>
  </cdr:relSizeAnchor>
  <cdr:relSizeAnchor xmlns:cdr="http://schemas.openxmlformats.org/drawingml/2006/chartDrawing">
    <cdr:from>
      <cdr:x>0.17713</cdr:x>
      <cdr:y>0.48543</cdr:y>
    </cdr:from>
    <cdr:to>
      <cdr:x>0.24252</cdr:x>
      <cdr:y>0.53521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1015683" y="2580031"/>
          <a:ext cx="374966" cy="2645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(1)</a:t>
          </a:r>
        </a:p>
      </cdr:txBody>
    </cdr:sp>
  </cdr:relSizeAnchor>
  <cdr:relSizeAnchor xmlns:cdr="http://schemas.openxmlformats.org/drawingml/2006/chartDrawing">
    <cdr:from>
      <cdr:x>0.32169</cdr:x>
      <cdr:y>0.13987</cdr:y>
    </cdr:from>
    <cdr:to>
      <cdr:x>0.49269</cdr:x>
      <cdr:y>0.19824</cdr:y>
    </cdr:to>
    <cdr:sp macro="" textlink="">
      <cdr:nvSpPr>
        <cdr:cNvPr id="16" name="TextBox 2"/>
        <cdr:cNvSpPr txBox="1"/>
      </cdr:nvSpPr>
      <cdr:spPr>
        <a:xfrm xmlns:a="http://schemas.openxmlformats.org/drawingml/2006/main">
          <a:off x="1844613" y="743415"/>
          <a:ext cx="980523" cy="31023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Year 1</a:t>
          </a:r>
        </a:p>
      </cdr:txBody>
    </cdr:sp>
  </cdr:relSizeAnchor>
  <cdr:relSizeAnchor xmlns:cdr="http://schemas.openxmlformats.org/drawingml/2006/chartDrawing">
    <cdr:from>
      <cdr:x>0</cdr:x>
      <cdr:y>0.88351</cdr:y>
    </cdr:from>
    <cdr:to>
      <cdr:x>1</cdr:x>
      <cdr:y>0.99104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0" y="4695826"/>
          <a:ext cx="5734050" cy="571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/>
            <a:t>(1) Net</a:t>
          </a:r>
          <a:r>
            <a:rPr lang="en-US" sz="1000" b="1" baseline="0"/>
            <a:t> Plant after ADFIT at 12.31.2017 of $1.53 billion - 4 months before start of Rate Year 1.</a:t>
          </a:r>
        </a:p>
        <a:p xmlns:a="http://schemas.openxmlformats.org/drawingml/2006/main">
          <a:r>
            <a:rPr lang="en-US" sz="1000" b="1" baseline="0"/>
            <a:t>(2)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The rate base regulatory lag under Avista's proposal is approximately $20M to $33M annually, </a:t>
          </a:r>
          <a:endParaRPr lang="en-US" sz="1000">
            <a:effectLst/>
          </a:endParaRPr>
        </a:p>
        <a:p xmlns:a="http://schemas.openxmlformats.org/drawingml/2006/main">
          <a:r>
            <a:rPr lang="en-US" sz="1000" b="1" baseline="0">
              <a:effectLst/>
              <a:latin typeface="+mn-lt"/>
              <a:ea typeface="+mn-ea"/>
              <a:cs typeface="+mn-cs"/>
            </a:rPr>
            <a:t>(approximately $3.5M - $6.0M annual </a:t>
          </a:r>
          <a:r>
            <a:rPr lang="en-US" sz="1000" b="1" u="sng" baseline="0">
              <a:effectLst/>
              <a:latin typeface="+mn-lt"/>
              <a:ea typeface="+mn-ea"/>
              <a:cs typeface="+mn-cs"/>
            </a:rPr>
            <a:t>lost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revenue requirement).</a:t>
          </a:r>
          <a:endParaRPr lang="en-US" sz="1000">
            <a:effectLst/>
          </a:endParaRPr>
        </a:p>
      </cdr:txBody>
    </cdr:sp>
  </cdr:relSizeAnchor>
  <cdr:relSizeAnchor xmlns:cdr="http://schemas.openxmlformats.org/drawingml/2006/chartDrawing">
    <cdr:from>
      <cdr:x>0.79125</cdr:x>
      <cdr:y>0.42533</cdr:y>
    </cdr:from>
    <cdr:to>
      <cdr:x>0.85829</cdr:x>
      <cdr:y>0.47419</cdr:y>
    </cdr:to>
    <cdr:sp macro="" textlink="">
      <cdr:nvSpPr>
        <cdr:cNvPr id="22" name="TextBox 3"/>
        <cdr:cNvSpPr txBox="1"/>
      </cdr:nvSpPr>
      <cdr:spPr>
        <a:xfrm xmlns:a="http://schemas.openxmlformats.org/drawingml/2006/main">
          <a:off x="4537065" y="2260598"/>
          <a:ext cx="384410" cy="2596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(2)</a:t>
          </a:r>
        </a:p>
      </cdr:txBody>
    </cdr:sp>
  </cdr:relSizeAnchor>
  <cdr:relSizeAnchor xmlns:cdr="http://schemas.openxmlformats.org/drawingml/2006/chartDrawing">
    <cdr:from>
      <cdr:x>0.64341</cdr:x>
      <cdr:y>0.68698</cdr:y>
    </cdr:from>
    <cdr:to>
      <cdr:x>0.95072</cdr:x>
      <cdr:y>0.86918</cdr:y>
    </cdr:to>
    <cdr:sp macro="" textlink="">
      <cdr:nvSpPr>
        <cdr:cNvPr id="23" name="TextBox 3"/>
        <cdr:cNvSpPr txBox="1"/>
      </cdr:nvSpPr>
      <cdr:spPr>
        <a:xfrm xmlns:a="http://schemas.openxmlformats.org/drawingml/2006/main">
          <a:off x="3689350" y="3651250"/>
          <a:ext cx="1762125" cy="9683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solidFill>
                <a:sysClr val="windowText" lastClr="000000"/>
              </a:solidFill>
            </a:rPr>
            <a:t>Note: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Avista's rebuttal 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proposal "strikes a balance"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between Staff and Avista</a:t>
          </a: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planned levels during the </a:t>
          </a:r>
          <a:endParaRPr lang="en-US" sz="1050">
            <a:effectLst/>
          </a:endParaRPr>
        </a:p>
        <a:p xmlns:a="http://schemas.openxmlformats.org/drawingml/2006/main"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Three-Year Rate Plan.  </a:t>
          </a:r>
          <a:endParaRPr lang="en-US" sz="105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0.14764</cdr:x>
      <cdr:y>0.55066</cdr:y>
    </cdr:from>
    <cdr:to>
      <cdr:x>0.3218</cdr:x>
      <cdr:y>0.6873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846596" y="2926714"/>
          <a:ext cx="998642" cy="72623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Rate Base </a:t>
          </a:r>
        </a:p>
        <a:p xmlns:a="http://schemas.openxmlformats.org/drawingml/2006/main">
          <a:r>
            <a:rPr lang="en-US" sz="1200" b="1"/>
            <a:t>Balance </a:t>
          </a:r>
        </a:p>
        <a:p xmlns:a="http://schemas.openxmlformats.org/drawingml/2006/main">
          <a:r>
            <a:rPr lang="en-US" sz="1200" b="1"/>
            <a:t>at 12.31.17</a:t>
          </a:r>
        </a:p>
      </cdr:txBody>
    </cdr:sp>
  </cdr:relSizeAnchor>
  <cdr:relSizeAnchor xmlns:cdr="http://schemas.openxmlformats.org/drawingml/2006/chartDrawing">
    <cdr:from>
      <cdr:x>0.0598</cdr:x>
      <cdr:y>0.11649</cdr:y>
    </cdr:from>
    <cdr:to>
      <cdr:x>0.15947</cdr:x>
      <cdr:y>0.15771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342900" y="619126"/>
          <a:ext cx="5715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(000s)</a:t>
          </a:r>
        </a:p>
      </cdr:txBody>
    </cdr:sp>
  </cdr:relSizeAnchor>
  <cdr:relSizeAnchor xmlns:cdr="http://schemas.openxmlformats.org/drawingml/2006/chartDrawing">
    <cdr:from>
      <cdr:x>0.13344</cdr:x>
      <cdr:y>0.6135</cdr:y>
    </cdr:from>
    <cdr:to>
      <cdr:x>0.16113</cdr:x>
      <cdr:y>0.64516</cdr:y>
    </cdr:to>
    <cdr:sp macro="" textlink="">
      <cdr:nvSpPr>
        <cdr:cNvPr id="29" name="TextBox 2"/>
        <cdr:cNvSpPr txBox="1"/>
      </cdr:nvSpPr>
      <cdr:spPr>
        <a:xfrm xmlns:a="http://schemas.openxmlformats.org/drawingml/2006/main">
          <a:off x="765176" y="3260726"/>
          <a:ext cx="158750" cy="1682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0.14009</cdr:x>
      <cdr:y>0.76404</cdr:y>
    </cdr:from>
    <cdr:to>
      <cdr:x>0.16777</cdr:x>
      <cdr:y>0.7957</cdr:y>
    </cdr:to>
    <cdr:sp macro="" textlink="">
      <cdr:nvSpPr>
        <cdr:cNvPr id="30" name="TextBox 2"/>
        <cdr:cNvSpPr txBox="1"/>
      </cdr:nvSpPr>
      <cdr:spPr>
        <a:xfrm xmlns:a="http://schemas.openxmlformats.org/drawingml/2006/main">
          <a:off x="803275" y="4060825"/>
          <a:ext cx="158750" cy="1682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2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_%20WA%20Elec%20and%20Gas%20GRC/Rebuttal%20Testimony%20&amp;%20Exhibits/Andrews/Exh%20EMA-13%20K-Factor%20WA%20Electric%20Calcul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2017_%20WA%20Elec%20and%20Gas%20GRC/Rebuttal%20Testimony%20&amp;%20Exhibits/Andrews/Exh%20EMA-14%20K-Factor%20WA%20Gas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Revised Year 2-3 - Table"/>
      <sheetName val="ADJ DETAIL-INPUT-Restate"/>
      <sheetName val="2007-2016 Data"/>
      <sheetName val="CBR Hist"/>
      <sheetName val="Reg Amorts"/>
      <sheetName val="Cost of Capital"/>
      <sheetName val="DEBT CALC"/>
      <sheetName val="ADJ SUMMARY"/>
      <sheetName val="ROO INPUT"/>
      <sheetName val="CF 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Year 2-3 - Table"/>
      <sheetName val="ADJ DETAIL INPUT-Restated CB"/>
      <sheetName val="Cost Trends"/>
      <sheetName val="Acerno_Cache_XXXXX"/>
      <sheetName val="Riders and Gas Cost Revenue"/>
      <sheetName val="Reg Amort and Other RB"/>
      <sheetName val="CF"/>
      <sheetName val="DEBT CALC"/>
      <sheetName val="ROO INPUT"/>
      <sheetName val="Coat of Capital"/>
      <sheetName val="ADJ SUMMARY"/>
      <sheetName val="Table"/>
    </sheetNames>
    <sheetDataSet>
      <sheetData sheetId="0" refreshError="1"/>
      <sheetData sheetId="1" refreshError="1"/>
      <sheetData sheetId="2">
        <row r="174">
          <cell r="T174">
            <v>3.6247919159297544E-2</v>
          </cell>
        </row>
        <row r="177">
          <cell r="T177">
            <v>0.10932902836763629</v>
          </cell>
        </row>
        <row r="179">
          <cell r="T179">
            <v>5.2079177998625686E-2</v>
          </cell>
        </row>
        <row r="181">
          <cell r="T181">
            <v>8.1666630068297622E-2</v>
          </cell>
          <cell r="V181">
            <v>5.021972098159011E-2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31"/>
  <sheetViews>
    <sheetView tabSelected="1" view="pageBreakPreview" zoomScaleNormal="100" zoomScaleSheetLayoutView="100" workbookViewId="0">
      <selection activeCell="B2" sqref="B2"/>
    </sheetView>
  </sheetViews>
  <sheetFormatPr defaultRowHeight="15.75"/>
  <cols>
    <col min="1" max="2" width="9.140625" style="11"/>
    <col min="3" max="3" width="41" style="11" customWidth="1"/>
    <col min="4" max="4" width="12" style="11" customWidth="1"/>
    <col min="5" max="6" width="12.28515625" style="11" bestFit="1" customWidth="1"/>
    <col min="7" max="7" width="4.140625" style="11" customWidth="1"/>
    <col min="8" max="8" width="10.85546875" style="11" bestFit="1" customWidth="1"/>
    <col min="9" max="10" width="10.7109375" style="11" customWidth="1"/>
    <col min="11" max="12" width="9.140625" style="11"/>
    <col min="13" max="13" width="21.140625" style="11" customWidth="1"/>
    <col min="14" max="15" width="9.85546875" style="11" bestFit="1" customWidth="1"/>
    <col min="16" max="16" width="10" style="11" customWidth="1"/>
    <col min="17" max="17" width="3.140625" style="11" customWidth="1"/>
    <col min="18" max="18" width="9.5703125" style="11" customWidth="1"/>
    <col min="19" max="19" width="10.28515625" style="11" customWidth="1"/>
    <col min="20" max="20" width="9.42578125" style="11" customWidth="1"/>
    <col min="21" max="16384" width="9.140625" style="11"/>
  </cols>
  <sheetData>
    <row r="1" spans="3:20" ht="16.5" thickBot="1">
      <c r="C1" s="10" t="s">
        <v>18</v>
      </c>
    </row>
    <row r="2" spans="3:20" ht="18.75">
      <c r="C2" s="388" t="s">
        <v>68</v>
      </c>
      <c r="D2" s="389"/>
      <c r="E2" s="389"/>
      <c r="F2" s="389"/>
      <c r="G2" s="389"/>
      <c r="H2" s="389"/>
      <c r="I2" s="389"/>
      <c r="J2" s="390"/>
    </row>
    <row r="3" spans="3:20" ht="16.5">
      <c r="C3" s="20"/>
      <c r="D3" s="391" t="s">
        <v>9</v>
      </c>
      <c r="E3" s="391"/>
      <c r="F3" s="391"/>
      <c r="G3" s="92"/>
      <c r="H3" s="391" t="s">
        <v>13</v>
      </c>
      <c r="I3" s="391"/>
      <c r="J3" s="392"/>
      <c r="M3" s="28"/>
      <c r="N3" s="28"/>
      <c r="O3" s="28"/>
      <c r="P3" s="28"/>
      <c r="Q3" s="28"/>
      <c r="R3" s="28"/>
      <c r="S3" s="28"/>
      <c r="T3" s="28"/>
    </row>
    <row r="4" spans="3:20" ht="32.25" customHeight="1">
      <c r="C4" s="14"/>
      <c r="D4" s="13" t="s">
        <v>10</v>
      </c>
      <c r="E4" s="13" t="s">
        <v>11</v>
      </c>
      <c r="F4" s="13" t="s">
        <v>12</v>
      </c>
      <c r="G4" s="15"/>
      <c r="H4" s="13" t="s">
        <v>10</v>
      </c>
      <c r="I4" s="13" t="s">
        <v>11</v>
      </c>
      <c r="J4" s="16" t="s">
        <v>12</v>
      </c>
      <c r="M4" s="100"/>
      <c r="N4" s="100"/>
      <c r="O4" s="100"/>
      <c r="P4" s="100"/>
      <c r="Q4" s="100"/>
      <c r="R4" s="100"/>
      <c r="S4" s="100"/>
      <c r="T4" s="100"/>
    </row>
    <row r="5" spans="3:20">
      <c r="C5" s="14" t="s">
        <v>64</v>
      </c>
      <c r="D5" s="17">
        <v>61356</v>
      </c>
      <c r="E5" s="17">
        <v>13983</v>
      </c>
      <c r="F5" s="17">
        <v>14432</v>
      </c>
      <c r="G5" s="15"/>
      <c r="H5" s="17">
        <v>8269</v>
      </c>
      <c r="I5" s="17">
        <v>4220</v>
      </c>
      <c r="J5" s="18">
        <v>4417</v>
      </c>
      <c r="M5" s="28"/>
      <c r="N5" s="28"/>
      <c r="O5" s="28"/>
      <c r="P5" s="28"/>
      <c r="Q5" s="28"/>
      <c r="R5" s="28"/>
      <c r="S5" s="28"/>
      <c r="T5" s="28"/>
    </row>
    <row r="6" spans="3:20">
      <c r="C6" s="14" t="s">
        <v>14</v>
      </c>
      <c r="D6" s="17">
        <v>-1381</v>
      </c>
      <c r="E6" s="17"/>
      <c r="F6" s="17"/>
      <c r="G6" s="15"/>
      <c r="H6" s="17">
        <v>-282</v>
      </c>
      <c r="I6" s="17"/>
      <c r="J6" s="18"/>
      <c r="M6" s="28"/>
      <c r="N6" s="28"/>
      <c r="O6" s="28"/>
      <c r="P6" s="28"/>
      <c r="Q6" s="28"/>
      <c r="R6" s="28"/>
      <c r="S6" s="28"/>
      <c r="T6" s="28"/>
    </row>
    <row r="7" spans="3:20" ht="18.75">
      <c r="C7" s="14" t="s">
        <v>32</v>
      </c>
      <c r="D7" s="12">
        <v>-5588</v>
      </c>
      <c r="E7" s="12"/>
      <c r="F7" s="12"/>
      <c r="G7" s="15"/>
      <c r="H7" s="12">
        <v>-1357</v>
      </c>
      <c r="I7" s="12"/>
      <c r="J7" s="19"/>
      <c r="M7" s="28"/>
      <c r="N7" s="28"/>
      <c r="O7" s="28"/>
      <c r="P7" s="28"/>
      <c r="Q7" s="28"/>
      <c r="R7" s="28"/>
      <c r="S7" s="28"/>
      <c r="T7" s="28"/>
    </row>
    <row r="8" spans="3:20" ht="17.25" thickBot="1">
      <c r="C8" s="88" t="s">
        <v>15</v>
      </c>
      <c r="D8" s="89">
        <f>SUM(D5:D7)</f>
        <v>54387</v>
      </c>
      <c r="E8" s="89">
        <v>13459</v>
      </c>
      <c r="F8" s="89">
        <v>13882</v>
      </c>
      <c r="G8" s="90"/>
      <c r="H8" s="89">
        <f>SUM(H5:H7)</f>
        <v>6630</v>
      </c>
      <c r="I8" s="89">
        <v>3690</v>
      </c>
      <c r="J8" s="91">
        <v>3842</v>
      </c>
      <c r="M8" s="28"/>
      <c r="N8" s="28"/>
      <c r="O8" s="28"/>
      <c r="P8" s="28"/>
      <c r="Q8" s="28"/>
      <c r="R8" s="28"/>
      <c r="S8" s="28"/>
      <c r="T8" s="28"/>
    </row>
    <row r="9" spans="3:20" ht="16.5" thickTop="1">
      <c r="C9" s="93" t="s">
        <v>16</v>
      </c>
      <c r="D9" s="22">
        <v>0.1105</v>
      </c>
      <c r="E9" s="22">
        <v>2.46E-2</v>
      </c>
      <c r="F9" s="22">
        <v>2.4799999999999999E-2</v>
      </c>
      <c r="G9" s="23"/>
      <c r="H9" s="22">
        <v>7.4700000000000003E-2</v>
      </c>
      <c r="I9" s="22">
        <v>3.8699999999999998E-2</v>
      </c>
      <c r="J9" s="24">
        <v>3.8800000000000001E-2</v>
      </c>
      <c r="M9" s="28"/>
      <c r="N9" s="28"/>
      <c r="O9" s="28"/>
      <c r="P9" s="28"/>
      <c r="Q9" s="28"/>
      <c r="R9" s="28"/>
      <c r="S9" s="28"/>
      <c r="T9" s="28"/>
    </row>
    <row r="10" spans="3:20">
      <c r="C10" s="93" t="s">
        <v>17</v>
      </c>
      <c r="D10" s="25">
        <v>0.10630000000000001</v>
      </c>
      <c r="E10" s="25">
        <v>2.3800000000000002E-2</v>
      </c>
      <c r="F10" s="25">
        <v>2.3900000000000001E-2</v>
      </c>
      <c r="G10" s="26"/>
      <c r="H10" s="25">
        <v>4.36E-2</v>
      </c>
      <c r="I10" s="25">
        <v>2.3199999999999998E-2</v>
      </c>
      <c r="J10" s="27">
        <v>2.3699999999999999E-2</v>
      </c>
      <c r="M10" s="28"/>
      <c r="N10" s="28"/>
      <c r="O10" s="28"/>
      <c r="P10" s="28"/>
      <c r="Q10" s="28"/>
      <c r="R10" s="28"/>
      <c r="S10" s="28"/>
      <c r="T10" s="28"/>
    </row>
    <row r="11" spans="3:20">
      <c r="C11" s="393" t="s">
        <v>65</v>
      </c>
      <c r="D11" s="394"/>
      <c r="E11" s="394"/>
      <c r="F11" s="394"/>
      <c r="G11" s="394"/>
      <c r="H11" s="394"/>
      <c r="I11" s="394"/>
      <c r="J11" s="395"/>
    </row>
    <row r="12" spans="3:20" ht="30.75" customHeight="1" thickBot="1">
      <c r="C12" s="380" t="s">
        <v>219</v>
      </c>
      <c r="D12" s="381"/>
      <c r="E12" s="381"/>
      <c r="F12" s="381"/>
      <c r="G12" s="381"/>
      <c r="H12" s="381"/>
      <c r="I12" s="381"/>
      <c r="J12" s="382"/>
    </row>
    <row r="14" spans="3:20">
      <c r="D14" s="21"/>
      <c r="E14" s="21"/>
      <c r="F14" s="21"/>
      <c r="H14" s="21"/>
      <c r="I14" s="21"/>
      <c r="J14" s="21"/>
    </row>
    <row r="15" spans="3:20" ht="16.5" thickBot="1">
      <c r="D15" s="21"/>
      <c r="E15" s="21"/>
      <c r="F15" s="21"/>
      <c r="H15" s="21"/>
      <c r="I15" s="21"/>
      <c r="J15" s="21"/>
      <c r="M15" s="10" t="s">
        <v>34</v>
      </c>
    </row>
    <row r="16" spans="3:20" ht="18.75">
      <c r="M16" s="383" t="s">
        <v>69</v>
      </c>
      <c r="N16" s="384"/>
      <c r="O16" s="384"/>
      <c r="P16" s="384"/>
      <c r="Q16" s="384"/>
      <c r="R16" s="384"/>
      <c r="S16" s="384"/>
      <c r="T16" s="385"/>
    </row>
    <row r="17" spans="4:20" ht="16.5">
      <c r="M17" s="179"/>
      <c r="N17" s="386" t="s">
        <v>9</v>
      </c>
      <c r="O17" s="386"/>
      <c r="P17" s="386"/>
      <c r="Q17" s="90"/>
      <c r="R17" s="386" t="s">
        <v>13</v>
      </c>
      <c r="S17" s="386"/>
      <c r="T17" s="387"/>
    </row>
    <row r="18" spans="4:20" ht="35.25" thickBot="1">
      <c r="M18" s="43"/>
      <c r="N18" s="103" t="s">
        <v>10</v>
      </c>
      <c r="O18" s="103" t="s">
        <v>11</v>
      </c>
      <c r="P18" s="103" t="s">
        <v>12</v>
      </c>
      <c r="Q18" s="15"/>
      <c r="R18" s="103" t="s">
        <v>10</v>
      </c>
      <c r="S18" s="103" t="s">
        <v>11</v>
      </c>
      <c r="T18" s="104" t="s">
        <v>12</v>
      </c>
    </row>
    <row r="19" spans="4:20" ht="16.5" thickBot="1">
      <c r="M19" s="111" t="s">
        <v>35</v>
      </c>
      <c r="N19" s="105">
        <v>61356</v>
      </c>
      <c r="O19" s="105">
        <v>13983</v>
      </c>
      <c r="P19" s="105">
        <v>14432</v>
      </c>
      <c r="Q19" s="15"/>
      <c r="R19" s="105">
        <v>8269</v>
      </c>
      <c r="S19" s="105">
        <v>4220</v>
      </c>
      <c r="T19" s="106">
        <v>4417</v>
      </c>
    </row>
    <row r="20" spans="4:20" ht="16.5" thickBot="1">
      <c r="M20" s="50" t="s">
        <v>1</v>
      </c>
      <c r="N20" s="101">
        <v>54387</v>
      </c>
      <c r="O20" s="101">
        <v>13459</v>
      </c>
      <c r="P20" s="101">
        <v>13882</v>
      </c>
      <c r="Q20" s="15"/>
      <c r="R20" s="101">
        <v>6630</v>
      </c>
      <c r="S20" s="101">
        <v>3690</v>
      </c>
      <c r="T20" s="102">
        <v>3842</v>
      </c>
    </row>
    <row r="21" spans="4:20" ht="19.5" thickBot="1">
      <c r="M21" s="111" t="s">
        <v>55</v>
      </c>
      <c r="N21" s="107">
        <v>10034</v>
      </c>
      <c r="O21" s="108">
        <v>9520</v>
      </c>
      <c r="P21" s="108">
        <v>9740</v>
      </c>
      <c r="Q21" s="15"/>
      <c r="R21" s="107">
        <v>1107</v>
      </c>
      <c r="S21" s="108">
        <v>2698</v>
      </c>
      <c r="T21" s="109">
        <v>2784</v>
      </c>
    </row>
    <row r="22" spans="4:20" ht="16.5" customHeight="1" thickBot="1">
      <c r="M22" s="50" t="s">
        <v>50</v>
      </c>
      <c r="N22" s="150">
        <v>7486</v>
      </c>
      <c r="O22" s="378" t="s">
        <v>54</v>
      </c>
      <c r="P22" s="378"/>
      <c r="Q22" s="15"/>
      <c r="R22" s="150">
        <v>-530</v>
      </c>
      <c r="S22" s="378" t="s">
        <v>54</v>
      </c>
      <c r="T22" s="379"/>
    </row>
    <row r="23" spans="4:20" ht="19.5" thickBot="1">
      <c r="M23" s="50" t="s">
        <v>51</v>
      </c>
      <c r="N23" s="150">
        <v>197</v>
      </c>
      <c r="O23" s="378" t="s">
        <v>54</v>
      </c>
      <c r="P23" s="378"/>
      <c r="Q23" s="15"/>
      <c r="R23" s="150" t="s">
        <v>53</v>
      </c>
      <c r="S23" s="378" t="s">
        <v>54</v>
      </c>
      <c r="T23" s="379"/>
    </row>
    <row r="24" spans="4:20" ht="19.5" thickBot="1">
      <c r="M24" s="50" t="s">
        <v>52</v>
      </c>
      <c r="N24" s="150" t="s">
        <v>53</v>
      </c>
      <c r="O24" s="378" t="s">
        <v>54</v>
      </c>
      <c r="P24" s="378"/>
      <c r="Q24" s="110"/>
      <c r="R24" s="150">
        <v>1592</v>
      </c>
      <c r="S24" s="378" t="s">
        <v>54</v>
      </c>
      <c r="T24" s="379"/>
    </row>
    <row r="25" spans="4:20" ht="16.5" thickBot="1">
      <c r="M25" s="380" t="s">
        <v>36</v>
      </c>
      <c r="N25" s="381"/>
      <c r="O25" s="381"/>
      <c r="P25" s="381"/>
      <c r="Q25" s="381"/>
      <c r="R25" s="381"/>
      <c r="S25" s="381"/>
      <c r="T25" s="382"/>
    </row>
    <row r="26" spans="4:20" ht="16.5" thickBot="1">
      <c r="M26" s="380" t="s">
        <v>57</v>
      </c>
      <c r="N26" s="381"/>
      <c r="O26" s="381"/>
      <c r="P26" s="381"/>
      <c r="Q26" s="381"/>
      <c r="R26" s="381"/>
      <c r="S26" s="381"/>
      <c r="T26" s="382"/>
    </row>
    <row r="27" spans="4:20" ht="16.5" thickBot="1">
      <c r="M27" s="375" t="s">
        <v>56</v>
      </c>
      <c r="N27" s="376"/>
      <c r="O27" s="376"/>
      <c r="P27" s="376"/>
      <c r="Q27" s="376"/>
      <c r="R27" s="376"/>
      <c r="S27" s="376"/>
      <c r="T27" s="377"/>
    </row>
    <row r="29" spans="4:20">
      <c r="D29" s="97"/>
      <c r="E29" s="97"/>
      <c r="F29" s="97"/>
    </row>
    <row r="30" spans="4:20">
      <c r="D30" s="98"/>
      <c r="E30" s="99"/>
      <c r="F30" s="98"/>
    </row>
    <row r="31" spans="4:20">
      <c r="D31" s="97"/>
      <c r="E31" s="97"/>
      <c r="F31" s="97"/>
    </row>
  </sheetData>
  <mergeCells count="17">
    <mergeCell ref="C2:J2"/>
    <mergeCell ref="D3:F3"/>
    <mergeCell ref="H3:J3"/>
    <mergeCell ref="C11:J11"/>
    <mergeCell ref="C12:J12"/>
    <mergeCell ref="M27:T27"/>
    <mergeCell ref="O24:P24"/>
    <mergeCell ref="S24:T24"/>
    <mergeCell ref="M26:T26"/>
    <mergeCell ref="M16:T16"/>
    <mergeCell ref="N17:P17"/>
    <mergeCell ref="R17:T17"/>
    <mergeCell ref="O22:P22"/>
    <mergeCell ref="O23:P23"/>
    <mergeCell ref="S22:T22"/>
    <mergeCell ref="S23:T23"/>
    <mergeCell ref="M25:T25"/>
  </mergeCells>
  <pageMargins left="0.7" right="0.7" top="0.75" bottom="0.75" header="0.3" footer="0.3"/>
  <pageSetup scale="86" fitToWidth="2" orientation="landscape" r:id="rId1"/>
  <colBreaks count="1" manualBreakCount="1">
    <brk id="11" max="1048575" man="1"/>
  </colBreaks>
  <ignoredErrors>
    <ignoredError sqref="O22:O24 S22:S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zoomScale="115" zoomScaleNormal="115" workbookViewId="0">
      <selection activeCell="K29" sqref="K29"/>
    </sheetView>
  </sheetViews>
  <sheetFormatPr defaultRowHeight="12.75"/>
  <cols>
    <col min="1" max="1" width="9.140625" style="181"/>
    <col min="2" max="2" width="4.42578125" style="181" customWidth="1"/>
    <col min="3" max="3" width="39.28515625" style="181" customWidth="1"/>
    <col min="4" max="4" width="13.85546875" style="181" customWidth="1"/>
    <col min="5" max="5" width="18" style="181" customWidth="1"/>
    <col min="6" max="6" width="23" style="181" customWidth="1"/>
    <col min="7" max="16384" width="9.140625" style="181"/>
  </cols>
  <sheetData>
    <row r="1" spans="3:6" ht="12" customHeight="1"/>
    <row r="2" spans="3:6" ht="21.75" hidden="1" customHeight="1"/>
    <row r="3" spans="3:6" ht="27.75" hidden="1" customHeight="1"/>
    <row r="4" spans="3:6" ht="27.75" hidden="1" customHeight="1">
      <c r="D4" s="182"/>
      <c r="E4" s="182"/>
      <c r="F4" s="183"/>
    </row>
    <row r="5" spans="3:6" ht="27.75" hidden="1" customHeight="1">
      <c r="C5" s="184" t="s">
        <v>76</v>
      </c>
      <c r="D5" s="185" t="s">
        <v>77</v>
      </c>
      <c r="E5" s="186" t="s">
        <v>78</v>
      </c>
      <c r="F5" s="183"/>
    </row>
    <row r="6" spans="3:6" ht="27.75" hidden="1" customHeight="1">
      <c r="C6" s="187" t="s">
        <v>79</v>
      </c>
      <c r="D6" s="188" t="s">
        <v>80</v>
      </c>
      <c r="E6" s="189" t="s">
        <v>81</v>
      </c>
    </row>
    <row r="7" spans="3:6" ht="27.75" hidden="1" customHeight="1">
      <c r="C7" s="190" t="s">
        <v>82</v>
      </c>
      <c r="D7" s="191">
        <f>'[7]Cost Trends'!T174</f>
        <v>3.6247919159297544E-2</v>
      </c>
      <c r="E7" s="192" t="e">
        <f>D7*#REF!</f>
        <v>#REF!</v>
      </c>
    </row>
    <row r="8" spans="3:6" ht="27.75" hidden="1" customHeight="1">
      <c r="C8" s="190" t="s">
        <v>83</v>
      </c>
      <c r="D8" s="191">
        <f>'[7]Cost Trends'!T177</f>
        <v>0.10932902836763629</v>
      </c>
      <c r="E8" s="192" t="e">
        <f>D8*#REF!</f>
        <v>#REF!</v>
      </c>
    </row>
    <row r="9" spans="3:6" ht="27.75" hidden="1" customHeight="1">
      <c r="C9" s="190" t="s">
        <v>84</v>
      </c>
      <c r="D9" s="191">
        <f>'[7]Cost Trends'!T179</f>
        <v>5.2079177998625686E-2</v>
      </c>
      <c r="E9" s="192" t="e">
        <f>D9*#REF!</f>
        <v>#REF!</v>
      </c>
    </row>
    <row r="10" spans="3:6" ht="27.75" hidden="1" customHeight="1">
      <c r="C10" s="193" t="s">
        <v>85</v>
      </c>
      <c r="D10" s="191">
        <f>'[7]Cost Trends'!T181</f>
        <v>8.1666630068297622E-2</v>
      </c>
      <c r="E10" s="192" t="e">
        <f>D10*#REF!</f>
        <v>#REF!</v>
      </c>
    </row>
    <row r="11" spans="3:6" ht="27.75" hidden="1" customHeight="1">
      <c r="C11" s="193" t="s">
        <v>86</v>
      </c>
      <c r="D11" s="194"/>
      <c r="E11" s="195">
        <v>-8.3999999999999995E-3</v>
      </c>
    </row>
    <row r="12" spans="3:6" ht="27.75" hidden="1" customHeight="1" thickBot="1">
      <c r="C12" s="196" t="s">
        <v>87</v>
      </c>
      <c r="D12" s="197"/>
      <c r="E12" s="198" t="e">
        <f>SUM(E7:E11)-0.0001</f>
        <v>#REF!</v>
      </c>
    </row>
    <row r="13" spans="3:6" ht="27.75" hidden="1" customHeight="1" thickBot="1">
      <c r="C13" s="431" t="s">
        <v>88</v>
      </c>
      <c r="D13" s="432"/>
      <c r="E13" s="433"/>
    </row>
    <row r="14" spans="3:6" ht="27.75" hidden="1" customHeight="1" thickBot="1">
      <c r="C14" s="434" t="s">
        <v>89</v>
      </c>
      <c r="D14" s="432"/>
      <c r="E14" s="433"/>
    </row>
    <row r="15" spans="3:6" ht="23.25" customHeight="1">
      <c r="C15" s="199" t="s">
        <v>90</v>
      </c>
      <c r="D15" s="200"/>
      <c r="E15" s="200"/>
    </row>
    <row r="16" spans="3:6" ht="22.5" customHeight="1" thickBot="1">
      <c r="C16" s="181" t="s">
        <v>170</v>
      </c>
    </row>
    <row r="17" spans="2:6" ht="21.75" customHeight="1">
      <c r="B17" s="201"/>
      <c r="C17" s="304" t="s">
        <v>91</v>
      </c>
      <c r="D17" s="302" t="s">
        <v>77</v>
      </c>
      <c r="E17" s="302" t="s">
        <v>92</v>
      </c>
      <c r="F17" s="303" t="s">
        <v>78</v>
      </c>
    </row>
    <row r="18" spans="2:6" ht="29.25" customHeight="1">
      <c r="B18" s="202" t="s">
        <v>93</v>
      </c>
      <c r="C18" s="284" t="s">
        <v>79</v>
      </c>
      <c r="D18" s="285" t="s">
        <v>94</v>
      </c>
      <c r="E18" s="285" t="s">
        <v>95</v>
      </c>
      <c r="F18" s="286" t="s">
        <v>96</v>
      </c>
    </row>
    <row r="19" spans="2:6">
      <c r="B19" s="203">
        <v>1</v>
      </c>
      <c r="C19" s="287" t="s">
        <v>97</v>
      </c>
      <c r="D19" s="288">
        <v>2.3599999999999999E-2</v>
      </c>
      <c r="E19" s="288">
        <v>0.3573623040489835</v>
      </c>
      <c r="F19" s="289">
        <f>E19*D19</f>
        <v>8.4337503755560102E-3</v>
      </c>
    </row>
    <row r="20" spans="2:6">
      <c r="B20" s="204">
        <v>2</v>
      </c>
      <c r="C20" s="290" t="s">
        <v>98</v>
      </c>
      <c r="D20" s="291">
        <v>9.1300000000000006E-2</v>
      </c>
      <c r="E20" s="291">
        <v>0.20051949770646785</v>
      </c>
      <c r="F20" s="292">
        <f>E20*D20</f>
        <v>1.8307430140600517E-2</v>
      </c>
    </row>
    <row r="21" spans="2:6">
      <c r="B21" s="204">
        <v>3</v>
      </c>
      <c r="C21" s="290" t="s">
        <v>84</v>
      </c>
      <c r="D21" s="291">
        <v>4.53E-2</v>
      </c>
      <c r="E21" s="291">
        <v>9.81597699268488E-2</v>
      </c>
      <c r="F21" s="292">
        <f>E21*D21</f>
        <v>4.4466375776862502E-3</v>
      </c>
    </row>
    <row r="22" spans="2:6">
      <c r="B22" s="203">
        <v>4</v>
      </c>
      <c r="C22" s="293" t="s">
        <v>99</v>
      </c>
      <c r="D22" s="288">
        <v>3.04E-2</v>
      </c>
      <c r="E22" s="294">
        <v>0.3439584283176999</v>
      </c>
      <c r="F22" s="289">
        <f>E22*D22</f>
        <v>1.0456336220858077E-2</v>
      </c>
    </row>
    <row r="23" spans="2:6">
      <c r="B23" s="203">
        <v>5</v>
      </c>
      <c r="C23" s="293" t="s">
        <v>100</v>
      </c>
      <c r="D23" s="295"/>
      <c r="E23" s="296">
        <f>SUM(E19:E22)</f>
        <v>1</v>
      </c>
      <c r="F23" s="297">
        <v>-1.0200000000000001E-2</v>
      </c>
    </row>
    <row r="24" spans="2:6" ht="13.5" thickBot="1">
      <c r="B24" s="205"/>
      <c r="C24" s="298" t="s">
        <v>101</v>
      </c>
      <c r="D24" s="197"/>
      <c r="E24" s="197"/>
      <c r="F24" s="299">
        <f>SUM(F19:F23)</f>
        <v>3.1444154314700851E-2</v>
      </c>
    </row>
    <row r="25" spans="2:6" ht="7.5" customHeight="1" thickBot="1">
      <c r="B25" s="206"/>
      <c r="C25" s="207"/>
      <c r="D25" s="207"/>
      <c r="E25" s="207"/>
      <c r="F25" s="207"/>
    </row>
    <row r="26" spans="2:6" ht="20.25" customHeight="1">
      <c r="B26" s="208"/>
      <c r="C26" s="304" t="s">
        <v>102</v>
      </c>
      <c r="D26" s="302" t="s">
        <v>77</v>
      </c>
      <c r="E26" s="302" t="s">
        <v>92</v>
      </c>
      <c r="F26" s="303" t="s">
        <v>78</v>
      </c>
    </row>
    <row r="27" spans="2:6" ht="25.5">
      <c r="B27" s="202" t="s">
        <v>93</v>
      </c>
      <c r="C27" s="284" t="s">
        <v>79</v>
      </c>
      <c r="D27" s="285" t="s">
        <v>103</v>
      </c>
      <c r="E27" s="285" t="s">
        <v>95</v>
      </c>
      <c r="F27" s="286" t="s">
        <v>96</v>
      </c>
    </row>
    <row r="28" spans="2:6">
      <c r="B28" s="203">
        <v>1</v>
      </c>
      <c r="C28" s="287" t="s">
        <v>104</v>
      </c>
      <c r="D28" s="288">
        <v>2.3599999999999999E-2</v>
      </c>
      <c r="E28" s="288">
        <f>E19</f>
        <v>0.3573623040489835</v>
      </c>
      <c r="F28" s="289">
        <f>E28*D28</f>
        <v>8.4337503755560102E-3</v>
      </c>
    </row>
    <row r="29" spans="2:6">
      <c r="B29" s="204">
        <v>2</v>
      </c>
      <c r="C29" s="290" t="s">
        <v>98</v>
      </c>
      <c r="D29" s="291">
        <v>4.7E-2</v>
      </c>
      <c r="E29" s="291">
        <f t="shared" ref="E29:E31" si="0">E20</f>
        <v>0.20051949770646785</v>
      </c>
      <c r="F29" s="292">
        <f>E29*D29</f>
        <v>9.4244163922039895E-3</v>
      </c>
    </row>
    <row r="30" spans="2:6">
      <c r="B30" s="204">
        <v>3</v>
      </c>
      <c r="C30" s="290" t="s">
        <v>84</v>
      </c>
      <c r="D30" s="291">
        <v>5.1299999999999998E-2</v>
      </c>
      <c r="E30" s="291">
        <f t="shared" si="0"/>
        <v>9.81597699268488E-2</v>
      </c>
      <c r="F30" s="292">
        <f>E30*D30</f>
        <v>5.0355961972473433E-3</v>
      </c>
    </row>
    <row r="31" spans="2:6">
      <c r="B31" s="203">
        <v>4</v>
      </c>
      <c r="C31" s="293" t="s">
        <v>99</v>
      </c>
      <c r="D31" s="288">
        <v>3.04E-2</v>
      </c>
      <c r="E31" s="288">
        <f t="shared" si="0"/>
        <v>0.3439584283176999</v>
      </c>
      <c r="F31" s="289">
        <f>E31*D31</f>
        <v>1.0456336220858077E-2</v>
      </c>
    </row>
    <row r="32" spans="2:6">
      <c r="B32" s="203">
        <v>5</v>
      </c>
      <c r="C32" s="293" t="s">
        <v>100</v>
      </c>
      <c r="D32" s="295"/>
      <c r="E32" s="296">
        <f>SUM(E28:E31)</f>
        <v>1</v>
      </c>
      <c r="F32" s="297">
        <f>F23</f>
        <v>-1.0200000000000001E-2</v>
      </c>
    </row>
    <row r="33" spans="2:6" ht="13.5" thickBot="1">
      <c r="B33" s="209"/>
      <c r="C33" s="298" t="s">
        <v>101</v>
      </c>
      <c r="D33" s="197"/>
      <c r="E33" s="197"/>
      <c r="F33" s="299">
        <f>SUM(F28:F32)</f>
        <v>2.3150099185865421E-2</v>
      </c>
    </row>
    <row r="34" spans="2:6">
      <c r="B34" s="435" t="s">
        <v>105</v>
      </c>
      <c r="C34" s="435"/>
      <c r="D34" s="435"/>
      <c r="E34" s="435"/>
      <c r="F34" s="435"/>
    </row>
    <row r="35" spans="2:6">
      <c r="B35" s="436" t="s">
        <v>106</v>
      </c>
      <c r="C35" s="436"/>
      <c r="D35" s="436"/>
      <c r="E35" s="436"/>
      <c r="F35" s="436"/>
    </row>
  </sheetData>
  <mergeCells count="4">
    <mergeCell ref="C13:E13"/>
    <mergeCell ref="C14:E14"/>
    <mergeCell ref="B34:F34"/>
    <mergeCell ref="B35:F35"/>
  </mergeCells>
  <pageMargins left="0.7" right="0.7" top="0.75" bottom="0.75" header="0.3" footer="0.3"/>
  <pageSetup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zoomScale="115" zoomScaleNormal="115" workbookViewId="0">
      <selection activeCell="G38" sqref="G38"/>
    </sheetView>
  </sheetViews>
  <sheetFormatPr defaultRowHeight="12.75"/>
  <cols>
    <col min="1" max="1" width="9.140625" style="181"/>
    <col min="2" max="2" width="4.42578125" style="181" customWidth="1"/>
    <col min="3" max="3" width="39.42578125" style="181" customWidth="1"/>
    <col min="4" max="4" width="13.85546875" style="181" customWidth="1"/>
    <col min="5" max="5" width="18" style="181" customWidth="1"/>
    <col min="6" max="6" width="23" style="181" customWidth="1"/>
    <col min="7" max="16384" width="9.140625" style="181"/>
  </cols>
  <sheetData>
    <row r="1" spans="3:6" ht="12" customHeight="1"/>
    <row r="2" spans="3:6" ht="21.75" hidden="1" customHeight="1"/>
    <row r="3" spans="3:6" ht="27.75" hidden="1" customHeight="1"/>
    <row r="4" spans="3:6" ht="27.75" hidden="1" customHeight="1">
      <c r="D4" s="182"/>
      <c r="E4" s="182"/>
      <c r="F4" s="183"/>
    </row>
    <row r="5" spans="3:6" ht="27.75" hidden="1" customHeight="1">
      <c r="C5" s="184" t="s">
        <v>76</v>
      </c>
      <c r="D5" s="185" t="s">
        <v>77</v>
      </c>
      <c r="E5" s="186" t="s">
        <v>78</v>
      </c>
      <c r="F5" s="183"/>
    </row>
    <row r="6" spans="3:6" ht="27.75" hidden="1" customHeight="1">
      <c r="C6" s="187" t="s">
        <v>79</v>
      </c>
      <c r="D6" s="188" t="s">
        <v>80</v>
      </c>
      <c r="E6" s="189" t="s">
        <v>81</v>
      </c>
    </row>
    <row r="7" spans="3:6" ht="27.75" hidden="1" customHeight="1">
      <c r="C7" s="190" t="s">
        <v>82</v>
      </c>
      <c r="D7" s="191">
        <f>'[7]Cost Trends'!T174</f>
        <v>3.6247919159297544E-2</v>
      </c>
      <c r="E7" s="192" t="e">
        <f>D7*#REF!</f>
        <v>#REF!</v>
      </c>
    </row>
    <row r="8" spans="3:6" ht="27.75" hidden="1" customHeight="1">
      <c r="C8" s="190" t="s">
        <v>83</v>
      </c>
      <c r="D8" s="191">
        <f>'[7]Cost Trends'!T177</f>
        <v>0.10932902836763629</v>
      </c>
      <c r="E8" s="192" t="e">
        <f>D8*#REF!</f>
        <v>#REF!</v>
      </c>
    </row>
    <row r="9" spans="3:6" ht="27.75" hidden="1" customHeight="1">
      <c r="C9" s="190" t="s">
        <v>84</v>
      </c>
      <c r="D9" s="191">
        <f>'[7]Cost Trends'!T179</f>
        <v>5.2079177998625686E-2</v>
      </c>
      <c r="E9" s="192" t="e">
        <f>D9*#REF!</f>
        <v>#REF!</v>
      </c>
    </row>
    <row r="10" spans="3:6" ht="27.75" hidden="1" customHeight="1">
      <c r="C10" s="193" t="s">
        <v>85</v>
      </c>
      <c r="D10" s="191">
        <f>'[7]Cost Trends'!T181</f>
        <v>8.1666630068297622E-2</v>
      </c>
      <c r="E10" s="192" t="e">
        <f>D10*#REF!</f>
        <v>#REF!</v>
      </c>
    </row>
    <row r="11" spans="3:6" ht="27.75" hidden="1" customHeight="1">
      <c r="C11" s="193" t="s">
        <v>86</v>
      </c>
      <c r="D11" s="194"/>
      <c r="E11" s="195">
        <v>-8.3999999999999995E-3</v>
      </c>
    </row>
    <row r="12" spans="3:6" ht="27.75" hidden="1" customHeight="1" thickBot="1">
      <c r="C12" s="196" t="s">
        <v>87</v>
      </c>
      <c r="D12" s="197"/>
      <c r="E12" s="198" t="e">
        <f>SUM(E7:E11)-0.0001</f>
        <v>#REF!</v>
      </c>
    </row>
    <row r="13" spans="3:6" ht="27.75" hidden="1" customHeight="1" thickBot="1">
      <c r="C13" s="431" t="s">
        <v>88</v>
      </c>
      <c r="D13" s="432"/>
      <c r="E13" s="433"/>
    </row>
    <row r="14" spans="3:6" ht="27.75" hidden="1" customHeight="1" thickBot="1">
      <c r="C14" s="434" t="s">
        <v>89</v>
      </c>
      <c r="D14" s="432"/>
      <c r="E14" s="433"/>
    </row>
    <row r="15" spans="3:6" ht="23.25" customHeight="1">
      <c r="C15" s="199" t="s">
        <v>90</v>
      </c>
      <c r="D15" s="200"/>
      <c r="E15" s="200"/>
    </row>
    <row r="16" spans="3:6" ht="22.5" customHeight="1" thickBot="1">
      <c r="C16" s="181" t="s">
        <v>118</v>
      </c>
    </row>
    <row r="17" spans="2:6" ht="22.5" customHeight="1">
      <c r="B17" s="300"/>
      <c r="C17" s="304" t="s">
        <v>91</v>
      </c>
      <c r="D17" s="302" t="s">
        <v>77</v>
      </c>
      <c r="E17" s="302" t="s">
        <v>92</v>
      </c>
      <c r="F17" s="303" t="s">
        <v>78</v>
      </c>
    </row>
    <row r="18" spans="2:6" ht="25.5">
      <c r="B18" s="202" t="s">
        <v>93</v>
      </c>
      <c r="C18" s="284" t="s">
        <v>79</v>
      </c>
      <c r="D18" s="285" t="s">
        <v>94</v>
      </c>
      <c r="E18" s="285" t="s">
        <v>95</v>
      </c>
      <c r="F18" s="286" t="s">
        <v>96</v>
      </c>
    </row>
    <row r="19" spans="2:6">
      <c r="B19" s="203">
        <v>1</v>
      </c>
      <c r="C19" s="287" t="s">
        <v>97</v>
      </c>
      <c r="D19" s="288">
        <v>2.0299999999999999E-2</v>
      </c>
      <c r="E19" s="288">
        <v>0.41396025738936298</v>
      </c>
      <c r="F19" s="289">
        <f>E19*D19</f>
        <v>8.4033932250040678E-3</v>
      </c>
    </row>
    <row r="20" spans="2:6">
      <c r="B20" s="204">
        <v>2</v>
      </c>
      <c r="C20" s="290" t="s">
        <v>98</v>
      </c>
      <c r="D20" s="291">
        <f>'[7]Cost Trends'!T177</f>
        <v>0.10932902836763629</v>
      </c>
      <c r="E20" s="291">
        <v>0.2012887661117565</v>
      </c>
      <c r="F20" s="292">
        <f>E20*D20</f>
        <v>2.2006705220318733E-2</v>
      </c>
    </row>
    <row r="21" spans="2:6">
      <c r="B21" s="204">
        <v>3</v>
      </c>
      <c r="C21" s="290" t="s">
        <v>84</v>
      </c>
      <c r="D21" s="291">
        <f>'[7]Cost Trends'!T179</f>
        <v>5.2079177998625686E-2</v>
      </c>
      <c r="E21" s="291">
        <v>7.3278566163539172E-2</v>
      </c>
      <c r="F21" s="292">
        <f>E21*D21</f>
        <v>3.8162874907150257E-3</v>
      </c>
    </row>
    <row r="22" spans="2:6">
      <c r="B22" s="203">
        <v>4</v>
      </c>
      <c r="C22" s="293" t="s">
        <v>99</v>
      </c>
      <c r="D22" s="288">
        <f>'[7]Cost Trends'!V181</f>
        <v>5.021972098159011E-2</v>
      </c>
      <c r="E22" s="294">
        <v>0.31147241033534123</v>
      </c>
      <c r="F22" s="289">
        <f>E22*D22</f>
        <v>1.564205754050418E-2</v>
      </c>
    </row>
    <row r="23" spans="2:6">
      <c r="B23" s="203">
        <v>5</v>
      </c>
      <c r="C23" s="293" t="s">
        <v>100</v>
      </c>
      <c r="D23" s="295"/>
      <c r="E23" s="296">
        <f>SUM(E19:E22)</f>
        <v>0.99999999999999978</v>
      </c>
      <c r="F23" s="297">
        <f>E11</f>
        <v>-8.3999999999999995E-3</v>
      </c>
    </row>
    <row r="24" spans="2:6" ht="13.5" thickBot="1">
      <c r="B24" s="205"/>
      <c r="C24" s="298" t="s">
        <v>101</v>
      </c>
      <c r="D24" s="197"/>
      <c r="E24" s="197"/>
      <c r="F24" s="299">
        <f>SUM(F19:F23)-0.0001</f>
        <v>4.1368443476542012E-2</v>
      </c>
    </row>
    <row r="25" spans="2:6" ht="7.5" customHeight="1" thickBot="1">
      <c r="B25" s="206"/>
      <c r="C25" s="301"/>
      <c r="D25" s="301"/>
      <c r="E25" s="301"/>
      <c r="F25" s="301"/>
    </row>
    <row r="26" spans="2:6" ht="18" customHeight="1">
      <c r="B26" s="208"/>
      <c r="C26" s="304" t="s">
        <v>102</v>
      </c>
      <c r="D26" s="302" t="s">
        <v>77</v>
      </c>
      <c r="E26" s="302" t="s">
        <v>92</v>
      </c>
      <c r="F26" s="303" t="s">
        <v>78</v>
      </c>
    </row>
    <row r="27" spans="2:6" ht="25.5">
      <c r="B27" s="202" t="s">
        <v>93</v>
      </c>
      <c r="C27" s="284" t="s">
        <v>79</v>
      </c>
      <c r="D27" s="285" t="s">
        <v>103</v>
      </c>
      <c r="E27" s="285" t="s">
        <v>95</v>
      </c>
      <c r="F27" s="286" t="s">
        <v>96</v>
      </c>
    </row>
    <row r="28" spans="2:6">
      <c r="B28" s="203">
        <v>1</v>
      </c>
      <c r="C28" s="287" t="s">
        <v>104</v>
      </c>
      <c r="D28" s="288">
        <v>2.0299999999999999E-2</v>
      </c>
      <c r="E28" s="288">
        <f>E19</f>
        <v>0.41396025738936298</v>
      </c>
      <c r="F28" s="289">
        <f>E28*D28</f>
        <v>8.4033932250040678E-3</v>
      </c>
    </row>
    <row r="29" spans="2:6">
      <c r="B29" s="204">
        <v>2</v>
      </c>
      <c r="C29" s="290" t="s">
        <v>98</v>
      </c>
      <c r="D29" s="291">
        <v>6.1699999999999998E-2</v>
      </c>
      <c r="E29" s="291">
        <f t="shared" ref="E29:E31" si="0">E20</f>
        <v>0.2012887661117565</v>
      </c>
      <c r="F29" s="292">
        <f>E29*D29</f>
        <v>1.2419516869095376E-2</v>
      </c>
    </row>
    <row r="30" spans="2:6">
      <c r="B30" s="204">
        <v>3</v>
      </c>
      <c r="C30" s="290" t="s">
        <v>84</v>
      </c>
      <c r="D30" s="291">
        <v>5.4100000000000002E-2</v>
      </c>
      <c r="E30" s="291">
        <f t="shared" si="0"/>
        <v>7.3278566163539172E-2</v>
      </c>
      <c r="F30" s="292">
        <f>E30*D30</f>
        <v>3.964370429447469E-3</v>
      </c>
    </row>
    <row r="31" spans="2:6">
      <c r="B31" s="203">
        <v>4</v>
      </c>
      <c r="C31" s="293" t="s">
        <v>99</v>
      </c>
      <c r="D31" s="288">
        <v>5.0200000000000002E-2</v>
      </c>
      <c r="E31" s="288">
        <f t="shared" si="0"/>
        <v>0.31147241033534123</v>
      </c>
      <c r="F31" s="289">
        <f>E31*D31</f>
        <v>1.5635914998834131E-2</v>
      </c>
    </row>
    <row r="32" spans="2:6">
      <c r="B32" s="203">
        <v>5</v>
      </c>
      <c r="C32" s="293" t="s">
        <v>100</v>
      </c>
      <c r="D32" s="295"/>
      <c r="E32" s="296">
        <f>SUM(E28:E31)</f>
        <v>0.99999999999999978</v>
      </c>
      <c r="F32" s="297">
        <f>F23</f>
        <v>-8.3999999999999995E-3</v>
      </c>
    </row>
    <row r="33" spans="2:6" ht="13.5" thickBot="1">
      <c r="B33" s="209"/>
      <c r="C33" s="298" t="s">
        <v>101</v>
      </c>
      <c r="D33" s="197"/>
      <c r="E33" s="197"/>
      <c r="F33" s="299">
        <f>SUM(F28:F32)</f>
        <v>3.2023195522381045E-2</v>
      </c>
    </row>
    <row r="34" spans="2:6">
      <c r="B34" s="435" t="s">
        <v>105</v>
      </c>
      <c r="C34" s="435"/>
      <c r="D34" s="435"/>
      <c r="E34" s="435"/>
      <c r="F34" s="435"/>
    </row>
    <row r="35" spans="2:6">
      <c r="B35" s="436" t="s">
        <v>106</v>
      </c>
      <c r="C35" s="436"/>
      <c r="D35" s="436"/>
      <c r="E35" s="436"/>
      <c r="F35" s="436"/>
    </row>
  </sheetData>
  <mergeCells count="4">
    <mergeCell ref="C13:E13"/>
    <mergeCell ref="C14:E14"/>
    <mergeCell ref="B34:F34"/>
    <mergeCell ref="B35:F35"/>
  </mergeCells>
  <pageMargins left="0.7" right="0.7" top="0.75" bottom="0.75" header="0.3" footer="0.3"/>
  <pageSetup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I32" sqref="I32"/>
    </sheetView>
  </sheetViews>
  <sheetFormatPr defaultRowHeight="15"/>
  <sheetData>
    <row r="2" spans="2:5">
      <c r="B2" t="s">
        <v>107</v>
      </c>
      <c r="C2" t="s">
        <v>108</v>
      </c>
    </row>
    <row r="3" spans="2:5" ht="15.75">
      <c r="B3" s="210">
        <v>2007</v>
      </c>
      <c r="C3" s="211">
        <v>198</v>
      </c>
      <c r="D3" s="136"/>
      <c r="E3" s="136"/>
    </row>
    <row r="4" spans="2:5" ht="15.75">
      <c r="B4" s="210">
        <v>2008</v>
      </c>
      <c r="C4" s="211">
        <v>205</v>
      </c>
      <c r="D4" s="136"/>
      <c r="E4" s="136"/>
    </row>
    <row r="5" spans="2:5" ht="15.75">
      <c r="B5" s="210">
        <v>2009</v>
      </c>
      <c r="C5" s="211">
        <v>200</v>
      </c>
      <c r="D5" s="136"/>
      <c r="E5" s="136"/>
    </row>
    <row r="6" spans="2:5" ht="15.75">
      <c r="B6" s="210">
        <v>2010</v>
      </c>
      <c r="C6" s="211">
        <v>207</v>
      </c>
      <c r="D6" s="136"/>
      <c r="E6" s="136"/>
    </row>
    <row r="7" spans="2:5" ht="15.75">
      <c r="B7" s="212">
        <v>2011</v>
      </c>
      <c r="C7" s="211">
        <v>247</v>
      </c>
      <c r="D7" s="136"/>
      <c r="E7" s="136"/>
    </row>
    <row r="8" spans="2:5" ht="15.75">
      <c r="B8" s="212">
        <v>2012</v>
      </c>
      <c r="C8" s="211">
        <v>262</v>
      </c>
      <c r="D8" s="136"/>
      <c r="E8" s="136"/>
    </row>
    <row r="9" spans="2:5" ht="15.75">
      <c r="B9" s="212">
        <v>2013</v>
      </c>
      <c r="C9" s="211">
        <v>296</v>
      </c>
      <c r="D9" s="136"/>
      <c r="E9" s="136"/>
    </row>
    <row r="10" spans="2:5" ht="15.75">
      <c r="B10" s="212">
        <v>2014</v>
      </c>
      <c r="C10" s="211">
        <v>352</v>
      </c>
      <c r="D10" s="136"/>
      <c r="E10" s="136"/>
    </row>
    <row r="11" spans="2:5" ht="15.75">
      <c r="B11" s="212">
        <v>2015</v>
      </c>
      <c r="C11" s="211">
        <v>415</v>
      </c>
      <c r="D11" s="136"/>
      <c r="E11" s="136"/>
    </row>
    <row r="12" spans="2:5" ht="15.75">
      <c r="B12" s="212">
        <v>2016</v>
      </c>
      <c r="C12" s="211">
        <v>375</v>
      </c>
      <c r="D12" s="136"/>
      <c r="E12" s="136"/>
    </row>
    <row r="13" spans="2:5" ht="15.75">
      <c r="B13" s="212">
        <v>2017</v>
      </c>
      <c r="C13" s="211">
        <v>405</v>
      </c>
      <c r="D13" s="136"/>
      <c r="E13" s="136"/>
    </row>
    <row r="14" spans="2:5" ht="15.75">
      <c r="B14" s="212">
        <v>2018</v>
      </c>
      <c r="C14" s="211">
        <v>405</v>
      </c>
    </row>
    <row r="15" spans="2:5" ht="15.75">
      <c r="B15" s="212">
        <v>2019</v>
      </c>
      <c r="C15" s="211">
        <v>405</v>
      </c>
    </row>
    <row r="16" spans="2:5" ht="15.75">
      <c r="B16" s="212">
        <v>2020</v>
      </c>
      <c r="C16" s="211">
        <v>405</v>
      </c>
    </row>
    <row r="17" spans="2:3" ht="15.75">
      <c r="B17" s="212">
        <v>2021</v>
      </c>
      <c r="C17" s="211">
        <v>405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G30" sqref="G30"/>
    </sheetView>
  </sheetViews>
  <sheetFormatPr defaultRowHeight="15.75"/>
  <cols>
    <col min="1" max="1" width="6" style="234" bestFit="1" customWidth="1"/>
    <col min="2" max="2" width="14.42578125" style="235" customWidth="1"/>
    <col min="3" max="3" width="14.7109375" style="235" customWidth="1"/>
    <col min="4" max="4" width="39.140625" style="235" customWidth="1"/>
    <col min="5" max="5" width="40.28515625" style="236" customWidth="1"/>
    <col min="6" max="256" width="9.140625" style="234"/>
    <col min="257" max="257" width="6" style="234" bestFit="1" customWidth="1"/>
    <col min="258" max="258" width="14.42578125" style="234" customWidth="1"/>
    <col min="259" max="259" width="14.7109375" style="234" customWidth="1"/>
    <col min="260" max="260" width="33.140625" style="234" customWidth="1"/>
    <col min="261" max="261" width="46" style="234" customWidth="1"/>
    <col min="262" max="512" width="9.140625" style="234"/>
    <col min="513" max="513" width="6" style="234" bestFit="1" customWidth="1"/>
    <col min="514" max="514" width="14.42578125" style="234" customWidth="1"/>
    <col min="515" max="515" width="14.7109375" style="234" customWidth="1"/>
    <col min="516" max="516" width="33.140625" style="234" customWidth="1"/>
    <col min="517" max="517" width="46" style="234" customWidth="1"/>
    <col min="518" max="768" width="9.140625" style="234"/>
    <col min="769" max="769" width="6" style="234" bestFit="1" customWidth="1"/>
    <col min="770" max="770" width="14.42578125" style="234" customWidth="1"/>
    <col min="771" max="771" width="14.7109375" style="234" customWidth="1"/>
    <col min="772" max="772" width="33.140625" style="234" customWidth="1"/>
    <col min="773" max="773" width="46" style="234" customWidth="1"/>
    <col min="774" max="1024" width="9.140625" style="234"/>
    <col min="1025" max="1025" width="6" style="234" bestFit="1" customWidth="1"/>
    <col min="1026" max="1026" width="14.42578125" style="234" customWidth="1"/>
    <col min="1027" max="1027" width="14.7109375" style="234" customWidth="1"/>
    <col min="1028" max="1028" width="33.140625" style="234" customWidth="1"/>
    <col min="1029" max="1029" width="46" style="234" customWidth="1"/>
    <col min="1030" max="1280" width="9.140625" style="234"/>
    <col min="1281" max="1281" width="6" style="234" bestFit="1" customWidth="1"/>
    <col min="1282" max="1282" width="14.42578125" style="234" customWidth="1"/>
    <col min="1283" max="1283" width="14.7109375" style="234" customWidth="1"/>
    <col min="1284" max="1284" width="33.140625" style="234" customWidth="1"/>
    <col min="1285" max="1285" width="46" style="234" customWidth="1"/>
    <col min="1286" max="1536" width="9.140625" style="234"/>
    <col min="1537" max="1537" width="6" style="234" bestFit="1" customWidth="1"/>
    <col min="1538" max="1538" width="14.42578125" style="234" customWidth="1"/>
    <col min="1539" max="1539" width="14.7109375" style="234" customWidth="1"/>
    <col min="1540" max="1540" width="33.140625" style="234" customWidth="1"/>
    <col min="1541" max="1541" width="46" style="234" customWidth="1"/>
    <col min="1542" max="1792" width="9.140625" style="234"/>
    <col min="1793" max="1793" width="6" style="234" bestFit="1" customWidth="1"/>
    <col min="1794" max="1794" width="14.42578125" style="234" customWidth="1"/>
    <col min="1795" max="1795" width="14.7109375" style="234" customWidth="1"/>
    <col min="1796" max="1796" width="33.140625" style="234" customWidth="1"/>
    <col min="1797" max="1797" width="46" style="234" customWidth="1"/>
    <col min="1798" max="2048" width="9.140625" style="234"/>
    <col min="2049" max="2049" width="6" style="234" bestFit="1" customWidth="1"/>
    <col min="2050" max="2050" width="14.42578125" style="234" customWidth="1"/>
    <col min="2051" max="2051" width="14.7109375" style="234" customWidth="1"/>
    <col min="2052" max="2052" width="33.140625" style="234" customWidth="1"/>
    <col min="2053" max="2053" width="46" style="234" customWidth="1"/>
    <col min="2054" max="2304" width="9.140625" style="234"/>
    <col min="2305" max="2305" width="6" style="234" bestFit="1" customWidth="1"/>
    <col min="2306" max="2306" width="14.42578125" style="234" customWidth="1"/>
    <col min="2307" max="2307" width="14.7109375" style="234" customWidth="1"/>
    <col min="2308" max="2308" width="33.140625" style="234" customWidth="1"/>
    <col min="2309" max="2309" width="46" style="234" customWidth="1"/>
    <col min="2310" max="2560" width="9.140625" style="234"/>
    <col min="2561" max="2561" width="6" style="234" bestFit="1" customWidth="1"/>
    <col min="2562" max="2562" width="14.42578125" style="234" customWidth="1"/>
    <col min="2563" max="2563" width="14.7109375" style="234" customWidth="1"/>
    <col min="2564" max="2564" width="33.140625" style="234" customWidth="1"/>
    <col min="2565" max="2565" width="46" style="234" customWidth="1"/>
    <col min="2566" max="2816" width="9.140625" style="234"/>
    <col min="2817" max="2817" width="6" style="234" bestFit="1" customWidth="1"/>
    <col min="2818" max="2818" width="14.42578125" style="234" customWidth="1"/>
    <col min="2819" max="2819" width="14.7109375" style="234" customWidth="1"/>
    <col min="2820" max="2820" width="33.140625" style="234" customWidth="1"/>
    <col min="2821" max="2821" width="46" style="234" customWidth="1"/>
    <col min="2822" max="3072" width="9.140625" style="234"/>
    <col min="3073" max="3073" width="6" style="234" bestFit="1" customWidth="1"/>
    <col min="3074" max="3074" width="14.42578125" style="234" customWidth="1"/>
    <col min="3075" max="3075" width="14.7109375" style="234" customWidth="1"/>
    <col min="3076" max="3076" width="33.140625" style="234" customWidth="1"/>
    <col min="3077" max="3077" width="46" style="234" customWidth="1"/>
    <col min="3078" max="3328" width="9.140625" style="234"/>
    <col min="3329" max="3329" width="6" style="234" bestFit="1" customWidth="1"/>
    <col min="3330" max="3330" width="14.42578125" style="234" customWidth="1"/>
    <col min="3331" max="3331" width="14.7109375" style="234" customWidth="1"/>
    <col min="3332" max="3332" width="33.140625" style="234" customWidth="1"/>
    <col min="3333" max="3333" width="46" style="234" customWidth="1"/>
    <col min="3334" max="3584" width="9.140625" style="234"/>
    <col min="3585" max="3585" width="6" style="234" bestFit="1" customWidth="1"/>
    <col min="3586" max="3586" width="14.42578125" style="234" customWidth="1"/>
    <col min="3587" max="3587" width="14.7109375" style="234" customWidth="1"/>
    <col min="3588" max="3588" width="33.140625" style="234" customWidth="1"/>
    <col min="3589" max="3589" width="46" style="234" customWidth="1"/>
    <col min="3590" max="3840" width="9.140625" style="234"/>
    <col min="3841" max="3841" width="6" style="234" bestFit="1" customWidth="1"/>
    <col min="3842" max="3842" width="14.42578125" style="234" customWidth="1"/>
    <col min="3843" max="3843" width="14.7109375" style="234" customWidth="1"/>
    <col min="3844" max="3844" width="33.140625" style="234" customWidth="1"/>
    <col min="3845" max="3845" width="46" style="234" customWidth="1"/>
    <col min="3846" max="4096" width="9.140625" style="234"/>
    <col min="4097" max="4097" width="6" style="234" bestFit="1" customWidth="1"/>
    <col min="4098" max="4098" width="14.42578125" style="234" customWidth="1"/>
    <col min="4099" max="4099" width="14.7109375" style="234" customWidth="1"/>
    <col min="4100" max="4100" width="33.140625" style="234" customWidth="1"/>
    <col min="4101" max="4101" width="46" style="234" customWidth="1"/>
    <col min="4102" max="4352" width="9.140625" style="234"/>
    <col min="4353" max="4353" width="6" style="234" bestFit="1" customWidth="1"/>
    <col min="4354" max="4354" width="14.42578125" style="234" customWidth="1"/>
    <col min="4355" max="4355" width="14.7109375" style="234" customWidth="1"/>
    <col min="4356" max="4356" width="33.140625" style="234" customWidth="1"/>
    <col min="4357" max="4357" width="46" style="234" customWidth="1"/>
    <col min="4358" max="4608" width="9.140625" style="234"/>
    <col min="4609" max="4609" width="6" style="234" bestFit="1" customWidth="1"/>
    <col min="4610" max="4610" width="14.42578125" style="234" customWidth="1"/>
    <col min="4611" max="4611" width="14.7109375" style="234" customWidth="1"/>
    <col min="4612" max="4612" width="33.140625" style="234" customWidth="1"/>
    <col min="4613" max="4613" width="46" style="234" customWidth="1"/>
    <col min="4614" max="4864" width="9.140625" style="234"/>
    <col min="4865" max="4865" width="6" style="234" bestFit="1" customWidth="1"/>
    <col min="4866" max="4866" width="14.42578125" style="234" customWidth="1"/>
    <col min="4867" max="4867" width="14.7109375" style="234" customWidth="1"/>
    <col min="4868" max="4868" width="33.140625" style="234" customWidth="1"/>
    <col min="4869" max="4869" width="46" style="234" customWidth="1"/>
    <col min="4870" max="5120" width="9.140625" style="234"/>
    <col min="5121" max="5121" width="6" style="234" bestFit="1" customWidth="1"/>
    <col min="5122" max="5122" width="14.42578125" style="234" customWidth="1"/>
    <col min="5123" max="5123" width="14.7109375" style="234" customWidth="1"/>
    <col min="5124" max="5124" width="33.140625" style="234" customWidth="1"/>
    <col min="5125" max="5125" width="46" style="234" customWidth="1"/>
    <col min="5126" max="5376" width="9.140625" style="234"/>
    <col min="5377" max="5377" width="6" style="234" bestFit="1" customWidth="1"/>
    <col min="5378" max="5378" width="14.42578125" style="234" customWidth="1"/>
    <col min="5379" max="5379" width="14.7109375" style="234" customWidth="1"/>
    <col min="5380" max="5380" width="33.140625" style="234" customWidth="1"/>
    <col min="5381" max="5381" width="46" style="234" customWidth="1"/>
    <col min="5382" max="5632" width="9.140625" style="234"/>
    <col min="5633" max="5633" width="6" style="234" bestFit="1" customWidth="1"/>
    <col min="5634" max="5634" width="14.42578125" style="234" customWidth="1"/>
    <col min="5635" max="5635" width="14.7109375" style="234" customWidth="1"/>
    <col min="5636" max="5636" width="33.140625" style="234" customWidth="1"/>
    <col min="5637" max="5637" width="46" style="234" customWidth="1"/>
    <col min="5638" max="5888" width="9.140625" style="234"/>
    <col min="5889" max="5889" width="6" style="234" bestFit="1" customWidth="1"/>
    <col min="5890" max="5890" width="14.42578125" style="234" customWidth="1"/>
    <col min="5891" max="5891" width="14.7109375" style="234" customWidth="1"/>
    <col min="5892" max="5892" width="33.140625" style="234" customWidth="1"/>
    <col min="5893" max="5893" width="46" style="234" customWidth="1"/>
    <col min="5894" max="6144" width="9.140625" style="234"/>
    <col min="6145" max="6145" width="6" style="234" bestFit="1" customWidth="1"/>
    <col min="6146" max="6146" width="14.42578125" style="234" customWidth="1"/>
    <col min="6147" max="6147" width="14.7109375" style="234" customWidth="1"/>
    <col min="6148" max="6148" width="33.140625" style="234" customWidth="1"/>
    <col min="6149" max="6149" width="46" style="234" customWidth="1"/>
    <col min="6150" max="6400" width="9.140625" style="234"/>
    <col min="6401" max="6401" width="6" style="234" bestFit="1" customWidth="1"/>
    <col min="6402" max="6402" width="14.42578125" style="234" customWidth="1"/>
    <col min="6403" max="6403" width="14.7109375" style="234" customWidth="1"/>
    <col min="6404" max="6404" width="33.140625" style="234" customWidth="1"/>
    <col min="6405" max="6405" width="46" style="234" customWidth="1"/>
    <col min="6406" max="6656" width="9.140625" style="234"/>
    <col min="6657" max="6657" width="6" style="234" bestFit="1" customWidth="1"/>
    <col min="6658" max="6658" width="14.42578125" style="234" customWidth="1"/>
    <col min="6659" max="6659" width="14.7109375" style="234" customWidth="1"/>
    <col min="6660" max="6660" width="33.140625" style="234" customWidth="1"/>
    <col min="6661" max="6661" width="46" style="234" customWidth="1"/>
    <col min="6662" max="6912" width="9.140625" style="234"/>
    <col min="6913" max="6913" width="6" style="234" bestFit="1" customWidth="1"/>
    <col min="6914" max="6914" width="14.42578125" style="234" customWidth="1"/>
    <col min="6915" max="6915" width="14.7109375" style="234" customWidth="1"/>
    <col min="6916" max="6916" width="33.140625" style="234" customWidth="1"/>
    <col min="6917" max="6917" width="46" style="234" customWidth="1"/>
    <col min="6918" max="7168" width="9.140625" style="234"/>
    <col min="7169" max="7169" width="6" style="234" bestFit="1" customWidth="1"/>
    <col min="7170" max="7170" width="14.42578125" style="234" customWidth="1"/>
    <col min="7171" max="7171" width="14.7109375" style="234" customWidth="1"/>
    <col min="7172" max="7172" width="33.140625" style="234" customWidth="1"/>
    <col min="7173" max="7173" width="46" style="234" customWidth="1"/>
    <col min="7174" max="7424" width="9.140625" style="234"/>
    <col min="7425" max="7425" width="6" style="234" bestFit="1" customWidth="1"/>
    <col min="7426" max="7426" width="14.42578125" style="234" customWidth="1"/>
    <col min="7427" max="7427" width="14.7109375" style="234" customWidth="1"/>
    <col min="7428" max="7428" width="33.140625" style="234" customWidth="1"/>
    <col min="7429" max="7429" width="46" style="234" customWidth="1"/>
    <col min="7430" max="7680" width="9.140625" style="234"/>
    <col min="7681" max="7681" width="6" style="234" bestFit="1" customWidth="1"/>
    <col min="7682" max="7682" width="14.42578125" style="234" customWidth="1"/>
    <col min="7683" max="7683" width="14.7109375" style="234" customWidth="1"/>
    <col min="7684" max="7684" width="33.140625" style="234" customWidth="1"/>
    <col min="7685" max="7685" width="46" style="234" customWidth="1"/>
    <col min="7686" max="7936" width="9.140625" style="234"/>
    <col min="7937" max="7937" width="6" style="234" bestFit="1" customWidth="1"/>
    <col min="7938" max="7938" width="14.42578125" style="234" customWidth="1"/>
    <col min="7939" max="7939" width="14.7109375" style="234" customWidth="1"/>
    <col min="7940" max="7940" width="33.140625" style="234" customWidth="1"/>
    <col min="7941" max="7941" width="46" style="234" customWidth="1"/>
    <col min="7942" max="8192" width="9.140625" style="234"/>
    <col min="8193" max="8193" width="6" style="234" bestFit="1" customWidth="1"/>
    <col min="8194" max="8194" width="14.42578125" style="234" customWidth="1"/>
    <col min="8195" max="8195" width="14.7109375" style="234" customWidth="1"/>
    <col min="8196" max="8196" width="33.140625" style="234" customWidth="1"/>
    <col min="8197" max="8197" width="46" style="234" customWidth="1"/>
    <col min="8198" max="8448" width="9.140625" style="234"/>
    <col min="8449" max="8449" width="6" style="234" bestFit="1" customWidth="1"/>
    <col min="8450" max="8450" width="14.42578125" style="234" customWidth="1"/>
    <col min="8451" max="8451" width="14.7109375" style="234" customWidth="1"/>
    <col min="8452" max="8452" width="33.140625" style="234" customWidth="1"/>
    <col min="8453" max="8453" width="46" style="234" customWidth="1"/>
    <col min="8454" max="8704" width="9.140625" style="234"/>
    <col min="8705" max="8705" width="6" style="234" bestFit="1" customWidth="1"/>
    <col min="8706" max="8706" width="14.42578125" style="234" customWidth="1"/>
    <col min="8707" max="8707" width="14.7109375" style="234" customWidth="1"/>
    <col min="8708" max="8708" width="33.140625" style="234" customWidth="1"/>
    <col min="8709" max="8709" width="46" style="234" customWidth="1"/>
    <col min="8710" max="8960" width="9.140625" style="234"/>
    <col min="8961" max="8961" width="6" style="234" bestFit="1" customWidth="1"/>
    <col min="8962" max="8962" width="14.42578125" style="234" customWidth="1"/>
    <col min="8963" max="8963" width="14.7109375" style="234" customWidth="1"/>
    <col min="8964" max="8964" width="33.140625" style="234" customWidth="1"/>
    <col min="8965" max="8965" width="46" style="234" customWidth="1"/>
    <col min="8966" max="9216" width="9.140625" style="234"/>
    <col min="9217" max="9217" width="6" style="234" bestFit="1" customWidth="1"/>
    <col min="9218" max="9218" width="14.42578125" style="234" customWidth="1"/>
    <col min="9219" max="9219" width="14.7109375" style="234" customWidth="1"/>
    <col min="9220" max="9220" width="33.140625" style="234" customWidth="1"/>
    <col min="9221" max="9221" width="46" style="234" customWidth="1"/>
    <col min="9222" max="9472" width="9.140625" style="234"/>
    <col min="9473" max="9473" width="6" style="234" bestFit="1" customWidth="1"/>
    <col min="9474" max="9474" width="14.42578125" style="234" customWidth="1"/>
    <col min="9475" max="9475" width="14.7109375" style="234" customWidth="1"/>
    <col min="9476" max="9476" width="33.140625" style="234" customWidth="1"/>
    <col min="9477" max="9477" width="46" style="234" customWidth="1"/>
    <col min="9478" max="9728" width="9.140625" style="234"/>
    <col min="9729" max="9729" width="6" style="234" bestFit="1" customWidth="1"/>
    <col min="9730" max="9730" width="14.42578125" style="234" customWidth="1"/>
    <col min="9731" max="9731" width="14.7109375" style="234" customWidth="1"/>
    <col min="9732" max="9732" width="33.140625" style="234" customWidth="1"/>
    <col min="9733" max="9733" width="46" style="234" customWidth="1"/>
    <col min="9734" max="9984" width="9.140625" style="234"/>
    <col min="9985" max="9985" width="6" style="234" bestFit="1" customWidth="1"/>
    <col min="9986" max="9986" width="14.42578125" style="234" customWidth="1"/>
    <col min="9987" max="9987" width="14.7109375" style="234" customWidth="1"/>
    <col min="9988" max="9988" width="33.140625" style="234" customWidth="1"/>
    <col min="9989" max="9989" width="46" style="234" customWidth="1"/>
    <col min="9990" max="10240" width="9.140625" style="234"/>
    <col min="10241" max="10241" width="6" style="234" bestFit="1" customWidth="1"/>
    <col min="10242" max="10242" width="14.42578125" style="234" customWidth="1"/>
    <col min="10243" max="10243" width="14.7109375" style="234" customWidth="1"/>
    <col min="10244" max="10244" width="33.140625" style="234" customWidth="1"/>
    <col min="10245" max="10245" width="46" style="234" customWidth="1"/>
    <col min="10246" max="10496" width="9.140625" style="234"/>
    <col min="10497" max="10497" width="6" style="234" bestFit="1" customWidth="1"/>
    <col min="10498" max="10498" width="14.42578125" style="234" customWidth="1"/>
    <col min="10499" max="10499" width="14.7109375" style="234" customWidth="1"/>
    <col min="10500" max="10500" width="33.140625" style="234" customWidth="1"/>
    <col min="10501" max="10501" width="46" style="234" customWidth="1"/>
    <col min="10502" max="10752" width="9.140625" style="234"/>
    <col min="10753" max="10753" width="6" style="234" bestFit="1" customWidth="1"/>
    <col min="10754" max="10754" width="14.42578125" style="234" customWidth="1"/>
    <col min="10755" max="10755" width="14.7109375" style="234" customWidth="1"/>
    <col min="10756" max="10756" width="33.140625" style="234" customWidth="1"/>
    <col min="10757" max="10757" width="46" style="234" customWidth="1"/>
    <col min="10758" max="11008" width="9.140625" style="234"/>
    <col min="11009" max="11009" width="6" style="234" bestFit="1" customWidth="1"/>
    <col min="11010" max="11010" width="14.42578125" style="234" customWidth="1"/>
    <col min="11011" max="11011" width="14.7109375" style="234" customWidth="1"/>
    <col min="11012" max="11012" width="33.140625" style="234" customWidth="1"/>
    <col min="11013" max="11013" width="46" style="234" customWidth="1"/>
    <col min="11014" max="11264" width="9.140625" style="234"/>
    <col min="11265" max="11265" width="6" style="234" bestFit="1" customWidth="1"/>
    <col min="11266" max="11266" width="14.42578125" style="234" customWidth="1"/>
    <col min="11267" max="11267" width="14.7109375" style="234" customWidth="1"/>
    <col min="11268" max="11268" width="33.140625" style="234" customWidth="1"/>
    <col min="11269" max="11269" width="46" style="234" customWidth="1"/>
    <col min="11270" max="11520" width="9.140625" style="234"/>
    <col min="11521" max="11521" width="6" style="234" bestFit="1" customWidth="1"/>
    <col min="11522" max="11522" width="14.42578125" style="234" customWidth="1"/>
    <col min="11523" max="11523" width="14.7109375" style="234" customWidth="1"/>
    <col min="11524" max="11524" width="33.140625" style="234" customWidth="1"/>
    <col min="11525" max="11525" width="46" style="234" customWidth="1"/>
    <col min="11526" max="11776" width="9.140625" style="234"/>
    <col min="11777" max="11777" width="6" style="234" bestFit="1" customWidth="1"/>
    <col min="11778" max="11778" width="14.42578125" style="234" customWidth="1"/>
    <col min="11779" max="11779" width="14.7109375" style="234" customWidth="1"/>
    <col min="11780" max="11780" width="33.140625" style="234" customWidth="1"/>
    <col min="11781" max="11781" width="46" style="234" customWidth="1"/>
    <col min="11782" max="12032" width="9.140625" style="234"/>
    <col min="12033" max="12033" width="6" style="234" bestFit="1" customWidth="1"/>
    <col min="12034" max="12034" width="14.42578125" style="234" customWidth="1"/>
    <col min="12035" max="12035" width="14.7109375" style="234" customWidth="1"/>
    <col min="12036" max="12036" width="33.140625" style="234" customWidth="1"/>
    <col min="12037" max="12037" width="46" style="234" customWidth="1"/>
    <col min="12038" max="12288" width="9.140625" style="234"/>
    <col min="12289" max="12289" width="6" style="234" bestFit="1" customWidth="1"/>
    <col min="12290" max="12290" width="14.42578125" style="234" customWidth="1"/>
    <col min="12291" max="12291" width="14.7109375" style="234" customWidth="1"/>
    <col min="12292" max="12292" width="33.140625" style="234" customWidth="1"/>
    <col min="12293" max="12293" width="46" style="234" customWidth="1"/>
    <col min="12294" max="12544" width="9.140625" style="234"/>
    <col min="12545" max="12545" width="6" style="234" bestFit="1" customWidth="1"/>
    <col min="12546" max="12546" width="14.42578125" style="234" customWidth="1"/>
    <col min="12547" max="12547" width="14.7109375" style="234" customWidth="1"/>
    <col min="12548" max="12548" width="33.140625" style="234" customWidth="1"/>
    <col min="12549" max="12549" width="46" style="234" customWidth="1"/>
    <col min="12550" max="12800" width="9.140625" style="234"/>
    <col min="12801" max="12801" width="6" style="234" bestFit="1" customWidth="1"/>
    <col min="12802" max="12802" width="14.42578125" style="234" customWidth="1"/>
    <col min="12803" max="12803" width="14.7109375" style="234" customWidth="1"/>
    <col min="12804" max="12804" width="33.140625" style="234" customWidth="1"/>
    <col min="12805" max="12805" width="46" style="234" customWidth="1"/>
    <col min="12806" max="13056" width="9.140625" style="234"/>
    <col min="13057" max="13057" width="6" style="234" bestFit="1" customWidth="1"/>
    <col min="13058" max="13058" width="14.42578125" style="234" customWidth="1"/>
    <col min="13059" max="13059" width="14.7109375" style="234" customWidth="1"/>
    <col min="13060" max="13060" width="33.140625" style="234" customWidth="1"/>
    <col min="13061" max="13061" width="46" style="234" customWidth="1"/>
    <col min="13062" max="13312" width="9.140625" style="234"/>
    <col min="13313" max="13313" width="6" style="234" bestFit="1" customWidth="1"/>
    <col min="13314" max="13314" width="14.42578125" style="234" customWidth="1"/>
    <col min="13315" max="13315" width="14.7109375" style="234" customWidth="1"/>
    <col min="13316" max="13316" width="33.140625" style="234" customWidth="1"/>
    <col min="13317" max="13317" width="46" style="234" customWidth="1"/>
    <col min="13318" max="13568" width="9.140625" style="234"/>
    <col min="13569" max="13569" width="6" style="234" bestFit="1" customWidth="1"/>
    <col min="13570" max="13570" width="14.42578125" style="234" customWidth="1"/>
    <col min="13571" max="13571" width="14.7109375" style="234" customWidth="1"/>
    <col min="13572" max="13572" width="33.140625" style="234" customWidth="1"/>
    <col min="13573" max="13573" width="46" style="234" customWidth="1"/>
    <col min="13574" max="13824" width="9.140625" style="234"/>
    <col min="13825" max="13825" width="6" style="234" bestFit="1" customWidth="1"/>
    <col min="13826" max="13826" width="14.42578125" style="234" customWidth="1"/>
    <col min="13827" max="13827" width="14.7109375" style="234" customWidth="1"/>
    <col min="13828" max="13828" width="33.140625" style="234" customWidth="1"/>
    <col min="13829" max="13829" width="46" style="234" customWidth="1"/>
    <col min="13830" max="14080" width="9.140625" style="234"/>
    <col min="14081" max="14081" width="6" style="234" bestFit="1" customWidth="1"/>
    <col min="14082" max="14082" width="14.42578125" style="234" customWidth="1"/>
    <col min="14083" max="14083" width="14.7109375" style="234" customWidth="1"/>
    <col min="14084" max="14084" width="33.140625" style="234" customWidth="1"/>
    <col min="14085" max="14085" width="46" style="234" customWidth="1"/>
    <col min="14086" max="14336" width="9.140625" style="234"/>
    <col min="14337" max="14337" width="6" style="234" bestFit="1" customWidth="1"/>
    <col min="14338" max="14338" width="14.42578125" style="234" customWidth="1"/>
    <col min="14339" max="14339" width="14.7109375" style="234" customWidth="1"/>
    <col min="14340" max="14340" width="33.140625" style="234" customWidth="1"/>
    <col min="14341" max="14341" width="46" style="234" customWidth="1"/>
    <col min="14342" max="14592" width="9.140625" style="234"/>
    <col min="14593" max="14593" width="6" style="234" bestFit="1" customWidth="1"/>
    <col min="14594" max="14594" width="14.42578125" style="234" customWidth="1"/>
    <col min="14595" max="14595" width="14.7109375" style="234" customWidth="1"/>
    <col min="14596" max="14596" width="33.140625" style="234" customWidth="1"/>
    <col min="14597" max="14597" width="46" style="234" customWidth="1"/>
    <col min="14598" max="14848" width="9.140625" style="234"/>
    <col min="14849" max="14849" width="6" style="234" bestFit="1" customWidth="1"/>
    <col min="14850" max="14850" width="14.42578125" style="234" customWidth="1"/>
    <col min="14851" max="14851" width="14.7109375" style="234" customWidth="1"/>
    <col min="14852" max="14852" width="33.140625" style="234" customWidth="1"/>
    <col min="14853" max="14853" width="46" style="234" customWidth="1"/>
    <col min="14854" max="15104" width="9.140625" style="234"/>
    <col min="15105" max="15105" width="6" style="234" bestFit="1" customWidth="1"/>
    <col min="15106" max="15106" width="14.42578125" style="234" customWidth="1"/>
    <col min="15107" max="15107" width="14.7109375" style="234" customWidth="1"/>
    <col min="15108" max="15108" width="33.140625" style="234" customWidth="1"/>
    <col min="15109" max="15109" width="46" style="234" customWidth="1"/>
    <col min="15110" max="15360" width="9.140625" style="234"/>
    <col min="15361" max="15361" width="6" style="234" bestFit="1" customWidth="1"/>
    <col min="15362" max="15362" width="14.42578125" style="234" customWidth="1"/>
    <col min="15363" max="15363" width="14.7109375" style="234" customWidth="1"/>
    <col min="15364" max="15364" width="33.140625" style="234" customWidth="1"/>
    <col min="15365" max="15365" width="46" style="234" customWidth="1"/>
    <col min="15366" max="15616" width="9.140625" style="234"/>
    <col min="15617" max="15617" width="6" style="234" bestFit="1" customWidth="1"/>
    <col min="15618" max="15618" width="14.42578125" style="234" customWidth="1"/>
    <col min="15619" max="15619" width="14.7109375" style="234" customWidth="1"/>
    <col min="15620" max="15620" width="33.140625" style="234" customWidth="1"/>
    <col min="15621" max="15621" width="46" style="234" customWidth="1"/>
    <col min="15622" max="15872" width="9.140625" style="234"/>
    <col min="15873" max="15873" width="6" style="234" bestFit="1" customWidth="1"/>
    <col min="15874" max="15874" width="14.42578125" style="234" customWidth="1"/>
    <col min="15875" max="15875" width="14.7109375" style="234" customWidth="1"/>
    <col min="15876" max="15876" width="33.140625" style="234" customWidth="1"/>
    <col min="15877" max="15877" width="46" style="234" customWidth="1"/>
    <col min="15878" max="16128" width="9.140625" style="234"/>
    <col min="16129" max="16129" width="6" style="234" bestFit="1" customWidth="1"/>
    <col min="16130" max="16130" width="14.42578125" style="234" customWidth="1"/>
    <col min="16131" max="16131" width="14.7109375" style="234" customWidth="1"/>
    <col min="16132" max="16132" width="33.140625" style="234" customWidth="1"/>
    <col min="16133" max="16133" width="46" style="234" customWidth="1"/>
    <col min="16134" max="16384" width="9.140625" style="234"/>
  </cols>
  <sheetData>
    <row r="1" spans="1:5" ht="16.5" thickBot="1">
      <c r="B1" s="235" t="s">
        <v>162</v>
      </c>
    </row>
    <row r="2" spans="1:5">
      <c r="A2" s="237"/>
      <c r="B2" s="437" t="s">
        <v>119</v>
      </c>
      <c r="C2" s="438"/>
      <c r="D2" s="438"/>
      <c r="E2" s="439"/>
    </row>
    <row r="3" spans="1:5" ht="16.5" thickBot="1">
      <c r="A3" s="238"/>
      <c r="B3" s="440" t="s">
        <v>120</v>
      </c>
      <c r="C3" s="441"/>
      <c r="D3" s="441"/>
      <c r="E3" s="442"/>
    </row>
    <row r="4" spans="1:5" ht="32.25" thickBot="1">
      <c r="A4" s="238" t="s">
        <v>121</v>
      </c>
      <c r="B4" s="247" t="s">
        <v>122</v>
      </c>
      <c r="C4" s="248" t="s">
        <v>123</v>
      </c>
      <c r="D4" s="248" t="s">
        <v>124</v>
      </c>
      <c r="E4" s="249" t="s">
        <v>125</v>
      </c>
    </row>
    <row r="5" spans="1:5">
      <c r="A5" s="237" t="s">
        <v>126</v>
      </c>
      <c r="B5" s="250">
        <v>2.0199999999999996</v>
      </c>
      <c r="C5" s="251">
        <v>2.0199999999999996</v>
      </c>
      <c r="D5" s="252" t="s">
        <v>127</v>
      </c>
      <c r="E5" s="253" t="s">
        <v>0</v>
      </c>
    </row>
    <row r="6" spans="1:5" ht="16.5" thickBot="1">
      <c r="A6" s="239"/>
      <c r="B6" s="240"/>
      <c r="C6" s="241">
        <v>3.0599999999999987</v>
      </c>
      <c r="D6" s="242" t="s">
        <v>134</v>
      </c>
      <c r="E6" s="243" t="s">
        <v>141</v>
      </c>
    </row>
    <row r="7" spans="1:5">
      <c r="A7" s="237" t="s">
        <v>128</v>
      </c>
      <c r="B7" s="250">
        <v>2.0299999999999994</v>
      </c>
      <c r="C7" s="251">
        <v>2.0299999999999994</v>
      </c>
      <c r="D7" s="252" t="s">
        <v>142</v>
      </c>
      <c r="E7" s="253" t="s">
        <v>0</v>
      </c>
    </row>
    <row r="8" spans="1:5" ht="16.5" thickBot="1">
      <c r="A8" s="239"/>
      <c r="B8" s="240" t="s">
        <v>143</v>
      </c>
      <c r="C8" s="241" t="s">
        <v>143</v>
      </c>
      <c r="D8" s="242" t="s">
        <v>144</v>
      </c>
      <c r="E8" s="243" t="s">
        <v>0</v>
      </c>
    </row>
    <row r="9" spans="1:5">
      <c r="A9" s="237" t="s">
        <v>129</v>
      </c>
      <c r="B9" s="250">
        <v>2.1499999999999968</v>
      </c>
      <c r="C9" s="251">
        <v>2.14</v>
      </c>
      <c r="D9" s="252" t="s">
        <v>130</v>
      </c>
      <c r="E9" s="253" t="s">
        <v>0</v>
      </c>
    </row>
    <row r="10" spans="1:5" ht="16.5" thickBot="1">
      <c r="A10" s="239"/>
      <c r="B10" s="240">
        <v>3.0499999999999989</v>
      </c>
      <c r="C10" s="241">
        <v>3.0499999999999989</v>
      </c>
      <c r="D10" s="242" t="s">
        <v>132</v>
      </c>
      <c r="E10" s="243" t="s">
        <v>0</v>
      </c>
    </row>
    <row r="11" spans="1:5" ht="16.5" thickBot="1">
      <c r="A11" s="254" t="s">
        <v>131</v>
      </c>
      <c r="B11" s="255">
        <v>3.1199999999999974</v>
      </c>
      <c r="C11" s="256">
        <v>3.1199999999999974</v>
      </c>
      <c r="D11" s="257" t="s">
        <v>137</v>
      </c>
      <c r="E11" s="262" t="s">
        <v>138</v>
      </c>
    </row>
    <row r="12" spans="1:5" ht="16.5" thickBot="1">
      <c r="A12" s="239" t="s">
        <v>133</v>
      </c>
      <c r="B12" s="258">
        <v>3.1499999999999968</v>
      </c>
      <c r="C12" s="259">
        <v>3.14</v>
      </c>
      <c r="D12" s="260" t="s">
        <v>140</v>
      </c>
      <c r="E12" s="261" t="s">
        <v>138</v>
      </c>
    </row>
    <row r="13" spans="1:5">
      <c r="A13" s="244"/>
      <c r="B13" s="245"/>
      <c r="C13" s="245"/>
      <c r="D13" s="245"/>
      <c r="E13" s="246"/>
    </row>
    <row r="14" spans="1:5" ht="16.5" thickBot="1">
      <c r="B14" s="235" t="s">
        <v>171</v>
      </c>
    </row>
    <row r="15" spans="1:5">
      <c r="A15" s="237"/>
      <c r="B15" s="437" t="s">
        <v>119</v>
      </c>
      <c r="C15" s="438"/>
      <c r="D15" s="438"/>
      <c r="E15" s="439"/>
    </row>
    <row r="16" spans="1:5" ht="16.5" thickBot="1">
      <c r="A16" s="238"/>
      <c r="B16" s="440" t="s">
        <v>145</v>
      </c>
      <c r="C16" s="441"/>
      <c r="D16" s="441"/>
      <c r="E16" s="442"/>
    </row>
    <row r="17" spans="1:5" ht="48" thickBot="1">
      <c r="A17" s="238" t="s">
        <v>121</v>
      </c>
      <c r="B17" s="263" t="s">
        <v>146</v>
      </c>
      <c r="C17" s="264" t="s">
        <v>147</v>
      </c>
      <c r="D17" s="265" t="s">
        <v>124</v>
      </c>
      <c r="E17" s="266" t="s">
        <v>125</v>
      </c>
    </row>
    <row r="18" spans="1:5" ht="16.5" thickBot="1">
      <c r="A18" s="267" t="s">
        <v>126</v>
      </c>
      <c r="B18" s="268">
        <v>1.03</v>
      </c>
      <c r="C18" s="268">
        <v>1.03</v>
      </c>
      <c r="D18" s="269" t="s">
        <v>23</v>
      </c>
      <c r="E18" s="270" t="s">
        <v>0</v>
      </c>
    </row>
    <row r="19" spans="1:5" ht="16.5" thickBot="1">
      <c r="A19" s="267" t="s">
        <v>128</v>
      </c>
      <c r="B19" s="268">
        <v>2.1699999999999964</v>
      </c>
      <c r="C19" s="268">
        <v>2.15</v>
      </c>
      <c r="D19" s="269" t="s">
        <v>148</v>
      </c>
      <c r="E19" s="270" t="s">
        <v>149</v>
      </c>
    </row>
    <row r="20" spans="1:5" ht="16.5" thickBot="1">
      <c r="A20" s="267" t="s">
        <v>129</v>
      </c>
      <c r="B20" s="268">
        <v>2.19</v>
      </c>
      <c r="C20" s="268">
        <v>2.16</v>
      </c>
      <c r="D20" s="269" t="s">
        <v>150</v>
      </c>
      <c r="E20" s="270" t="s">
        <v>151</v>
      </c>
    </row>
    <row r="21" spans="1:5" ht="16.5" thickBot="1">
      <c r="A21" s="267" t="s">
        <v>131</v>
      </c>
      <c r="B21" s="268">
        <v>3.0199999999999996</v>
      </c>
      <c r="C21" s="268">
        <v>3.0199999999999996</v>
      </c>
      <c r="D21" s="269" t="s">
        <v>152</v>
      </c>
      <c r="E21" s="270" t="s">
        <v>153</v>
      </c>
    </row>
    <row r="22" spans="1:5" ht="16.5" thickBot="1">
      <c r="A22" s="267" t="s">
        <v>133</v>
      </c>
      <c r="B22" s="268">
        <v>3.0599999999999987</v>
      </c>
      <c r="C22" s="268"/>
      <c r="D22" s="269" t="s">
        <v>154</v>
      </c>
      <c r="E22" s="270" t="s">
        <v>135</v>
      </c>
    </row>
    <row r="23" spans="1:5" ht="16.5" thickBot="1">
      <c r="A23" s="267" t="s">
        <v>136</v>
      </c>
      <c r="B23" s="268">
        <v>3.0999999999999979</v>
      </c>
      <c r="C23" s="268">
        <v>3.0999999999999979</v>
      </c>
      <c r="D23" s="269" t="s">
        <v>155</v>
      </c>
      <c r="E23" s="270" t="s">
        <v>149</v>
      </c>
    </row>
    <row r="24" spans="1:5" ht="16.5" thickBot="1">
      <c r="A24" s="267" t="s">
        <v>139</v>
      </c>
      <c r="B24" s="268">
        <v>3.1099999999999977</v>
      </c>
      <c r="C24" s="268">
        <v>3.1099999999999977</v>
      </c>
      <c r="D24" s="269" t="s">
        <v>156</v>
      </c>
      <c r="E24" s="270" t="s">
        <v>0</v>
      </c>
    </row>
    <row r="25" spans="1:5" ht="16.5" thickBot="1">
      <c r="A25" s="267" t="s">
        <v>157</v>
      </c>
      <c r="B25" s="268" t="s">
        <v>158</v>
      </c>
      <c r="C25" s="268"/>
      <c r="D25" s="269" t="s">
        <v>163</v>
      </c>
      <c r="E25" s="270" t="s">
        <v>159</v>
      </c>
    </row>
    <row r="26" spans="1:5" ht="16.5" thickBot="1">
      <c r="A26" s="267" t="s">
        <v>160</v>
      </c>
      <c r="B26" s="268">
        <v>4</v>
      </c>
      <c r="C26" s="268"/>
      <c r="D26" s="269" t="s">
        <v>161</v>
      </c>
      <c r="E26" s="270" t="s">
        <v>138</v>
      </c>
    </row>
  </sheetData>
  <mergeCells count="4">
    <mergeCell ref="B2:E2"/>
    <mergeCell ref="B3:E3"/>
    <mergeCell ref="B15:E15"/>
    <mergeCell ref="B16:E16"/>
  </mergeCells>
  <pageMargins left="0.7" right="0.7" top="0.75" bottom="0.75" header="0.3" footer="0.3"/>
  <pageSetup scale="78" orientation="portrait" r:id="rId1"/>
  <headerFooter scaleWithDoc="0">
    <oddHeader>&amp;RExh. EMA-15</oddHeader>
    <oddFooter>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zoomScaleNormal="100" workbookViewId="0">
      <selection activeCell="B2" sqref="B2:G16"/>
    </sheetView>
  </sheetViews>
  <sheetFormatPr defaultRowHeight="15"/>
  <cols>
    <col min="1" max="1" width="9.140625" style="339"/>
    <col min="2" max="2" width="10.140625" style="316" customWidth="1"/>
    <col min="3" max="3" width="56.28515625" style="316" customWidth="1"/>
    <col min="4" max="4" width="10.42578125" style="316" bestFit="1" customWidth="1"/>
    <col min="5" max="5" width="2.7109375" style="317" customWidth="1"/>
    <col min="6" max="6" width="10.85546875" style="316" customWidth="1"/>
    <col min="7" max="7" width="1.7109375" style="316" customWidth="1"/>
    <col min="8" max="8" width="9.140625" style="316"/>
    <col min="9" max="16384" width="9.140625" style="339"/>
  </cols>
  <sheetData>
    <row r="1" spans="2:7" s="316" customFormat="1" ht="15.75" thickBot="1">
      <c r="E1" s="317"/>
    </row>
    <row r="2" spans="2:7" s="316" customFormat="1">
      <c r="B2" s="318"/>
      <c r="C2" s="443" t="s">
        <v>186</v>
      </c>
      <c r="D2" s="443"/>
      <c r="E2" s="443"/>
      <c r="F2" s="443"/>
      <c r="G2" s="319"/>
    </row>
    <row r="3" spans="2:7" s="316" customFormat="1" ht="14.25" customHeight="1">
      <c r="B3" s="320"/>
      <c r="C3" s="317"/>
      <c r="D3" s="322" t="s">
        <v>9</v>
      </c>
      <c r="E3" s="322"/>
      <c r="F3" s="322" t="s">
        <v>13</v>
      </c>
      <c r="G3" s="321"/>
    </row>
    <row r="4" spans="2:7" s="316" customFormat="1" hidden="1">
      <c r="B4" s="320"/>
      <c r="C4" s="317" t="s">
        <v>175</v>
      </c>
      <c r="D4" s="323">
        <f>65480278/1000000</f>
        <v>65.480277999999998</v>
      </c>
      <c r="E4" s="323"/>
      <c r="F4" s="323">
        <f>15664179/1000000</f>
        <v>15.664179000000001</v>
      </c>
      <c r="G4" s="321"/>
    </row>
    <row r="5" spans="2:7" s="316" customFormat="1" hidden="1">
      <c r="B5" s="320"/>
      <c r="C5" s="317"/>
      <c r="D5" s="324"/>
      <c r="E5" s="324"/>
      <c r="F5" s="324"/>
      <c r="G5" s="321"/>
    </row>
    <row r="6" spans="2:7" s="316" customFormat="1" hidden="1">
      <c r="B6" s="320"/>
      <c r="C6" s="317" t="s">
        <v>176</v>
      </c>
      <c r="D6" s="325">
        <f>-3006281/1000000</f>
        <v>-3.006281</v>
      </c>
      <c r="E6" s="324"/>
      <c r="F6" s="325">
        <f>-864236/1000000</f>
        <v>-0.864236</v>
      </c>
      <c r="G6" s="321"/>
    </row>
    <row r="7" spans="2:7" s="316" customFormat="1" hidden="1">
      <c r="B7" s="320"/>
      <c r="C7" s="317"/>
      <c r="D7" s="324"/>
      <c r="E7" s="324"/>
      <c r="F7" s="324"/>
      <c r="G7" s="321"/>
    </row>
    <row r="8" spans="2:7" s="316" customFormat="1">
      <c r="B8" s="320"/>
      <c r="C8" s="326" t="s">
        <v>177</v>
      </c>
      <c r="D8" s="327">
        <v>62.5</v>
      </c>
      <c r="E8" s="327"/>
      <c r="F8" s="327">
        <v>14.8</v>
      </c>
      <c r="G8" s="321"/>
    </row>
    <row r="9" spans="2:7" s="316" customFormat="1">
      <c r="B9" s="343"/>
      <c r="C9" s="317" t="s">
        <v>178</v>
      </c>
      <c r="D9" s="344">
        <v>-5</v>
      </c>
      <c r="E9" s="328"/>
      <c r="F9" s="329">
        <v>-1.1000000000000001</v>
      </c>
      <c r="G9" s="321"/>
    </row>
    <row r="10" spans="2:7" s="316" customFormat="1">
      <c r="B10" s="320"/>
      <c r="C10" s="341" t="s">
        <v>179</v>
      </c>
      <c r="D10" s="345">
        <f>SUM(D8:D9)</f>
        <v>57.5</v>
      </c>
      <c r="E10" s="345"/>
      <c r="F10" s="345">
        <f>SUM(F8:F9)</f>
        <v>13.700000000000001</v>
      </c>
      <c r="G10" s="321"/>
    </row>
    <row r="11" spans="2:7" s="316" customFormat="1" ht="18.75" customHeight="1">
      <c r="B11" s="348" t="s">
        <v>191</v>
      </c>
      <c r="C11" s="347" t="s">
        <v>188</v>
      </c>
      <c r="D11" s="340"/>
      <c r="E11" s="340"/>
      <c r="F11" s="340"/>
      <c r="G11" s="321"/>
    </row>
    <row r="12" spans="2:7" s="316" customFormat="1" ht="13.9" customHeight="1">
      <c r="B12" s="342" t="s">
        <v>189</v>
      </c>
      <c r="C12" s="331" t="s">
        <v>180</v>
      </c>
      <c r="D12" s="328">
        <f>-2054539/1000000</f>
        <v>-2.0545390000000001</v>
      </c>
      <c r="E12" s="328"/>
      <c r="F12" s="328">
        <f>-405297/1000000</f>
        <v>-0.40529700000000002</v>
      </c>
      <c r="G12" s="321"/>
    </row>
    <row r="13" spans="2:7" s="316" customFormat="1">
      <c r="B13" s="342" t="s">
        <v>190</v>
      </c>
      <c r="C13" s="332" t="s">
        <v>181</v>
      </c>
      <c r="D13" s="328">
        <f>2749076/1000000</f>
        <v>2.7490760000000001</v>
      </c>
      <c r="E13" s="328"/>
      <c r="F13" s="328">
        <f>-1766857/1000000</f>
        <v>-1.7668569999999999</v>
      </c>
      <c r="G13" s="321"/>
    </row>
    <row r="14" spans="2:7" s="316" customFormat="1">
      <c r="B14" s="320"/>
      <c r="C14" s="317" t="s">
        <v>182</v>
      </c>
      <c r="D14" s="333">
        <f>SUM(D12:D13)</f>
        <v>0.69453699999999996</v>
      </c>
      <c r="E14" s="328"/>
      <c r="F14" s="333">
        <f>SUM(F12:F13)</f>
        <v>-2.1721539999999999</v>
      </c>
      <c r="G14" s="321"/>
    </row>
    <row r="15" spans="2:7" s="316" customFormat="1" ht="15.75" thickBot="1">
      <c r="B15" s="320"/>
      <c r="C15" s="326" t="s">
        <v>187</v>
      </c>
      <c r="D15" s="346">
        <f>SUM(D10,D14)</f>
        <v>58.194536999999997</v>
      </c>
      <c r="E15" s="330"/>
      <c r="F15" s="346">
        <f>SUM(F10,F14)</f>
        <v>11.527846</v>
      </c>
      <c r="G15" s="321"/>
    </row>
    <row r="16" spans="2:7" s="316" customFormat="1" ht="3.75" customHeight="1" thickBot="1">
      <c r="B16" s="334"/>
      <c r="C16" s="335"/>
      <c r="D16" s="336"/>
      <c r="E16" s="336"/>
      <c r="F16" s="336"/>
      <c r="G16" s="337"/>
    </row>
    <row r="17" spans="3:6" s="316" customFormat="1">
      <c r="D17" s="338"/>
      <c r="E17" s="324"/>
      <c r="F17" s="338"/>
    </row>
    <row r="18" spans="3:6" s="316" customFormat="1">
      <c r="C18" s="316" t="s">
        <v>183</v>
      </c>
      <c r="D18" s="338">
        <f>SUM(D6,D9,D14)</f>
        <v>-7.3117439999999991</v>
      </c>
      <c r="E18" s="324"/>
      <c r="F18" s="338">
        <f>SUM(F6,F9,F14)</f>
        <v>-4.1363900000000005</v>
      </c>
    </row>
    <row r="19" spans="3:6" s="316" customFormat="1">
      <c r="D19" s="338"/>
      <c r="E19" s="324"/>
      <c r="F19" s="338"/>
    </row>
    <row r="20" spans="3:6" s="316" customFormat="1">
      <c r="C20" s="316" t="s">
        <v>184</v>
      </c>
      <c r="D20" s="338">
        <f>-7278000/1000000</f>
        <v>-7.2779999999999996</v>
      </c>
      <c r="E20" s="324"/>
      <c r="F20" s="338">
        <f>-4182000/1000000</f>
        <v>-4.1820000000000004</v>
      </c>
    </row>
    <row r="21" spans="3:6" s="316" customFormat="1">
      <c r="D21" s="338"/>
      <c r="E21" s="324"/>
      <c r="F21" s="338"/>
    </row>
    <row r="22" spans="3:6" s="316" customFormat="1">
      <c r="C22" s="316" t="s">
        <v>185</v>
      </c>
      <c r="D22" s="338">
        <f>D20-D18</f>
        <v>3.3743999999999552E-2</v>
      </c>
      <c r="E22" s="324"/>
      <c r="F22" s="338">
        <f>F20-F18</f>
        <v>-4.5609999999999928E-2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topLeftCell="A23" zoomScale="130" zoomScaleNormal="130" workbookViewId="0">
      <selection activeCell="D50" sqref="D50"/>
    </sheetView>
  </sheetViews>
  <sheetFormatPr defaultRowHeight="15"/>
  <cols>
    <col min="1" max="1" width="8.7109375" customWidth="1"/>
    <col min="2" max="2" width="8.7109375" style="349" customWidth="1"/>
    <col min="3" max="3" width="8.42578125" customWidth="1"/>
    <col min="4" max="4" width="31.140625" bestFit="1" customWidth="1"/>
    <col min="5" max="5" width="12.28515625" style="1" customWidth="1"/>
    <col min="6" max="6" width="7" hidden="1" customWidth="1"/>
    <col min="7" max="7" width="9.5703125" hidden="1" customWidth="1"/>
    <col min="8" max="8" width="9.7109375" hidden="1" customWidth="1"/>
    <col min="9" max="9" width="1.140625" hidden="1" customWidth="1"/>
    <col min="10" max="10" width="6.85546875" hidden="1" customWidth="1"/>
    <col min="11" max="11" width="5.7109375" hidden="1" customWidth="1"/>
    <col min="12" max="12" width="7.140625" hidden="1" customWidth="1"/>
    <col min="13" max="13" width="5.85546875" hidden="1" customWidth="1"/>
    <col min="14" max="14" width="6.5703125" hidden="1" customWidth="1"/>
    <col min="15" max="15" width="0.7109375" hidden="1" customWidth="1"/>
    <col min="16" max="16" width="6.85546875" hidden="1" customWidth="1"/>
    <col min="17" max="17" width="5.7109375" hidden="1" customWidth="1"/>
    <col min="18" max="18" width="7.140625" hidden="1" customWidth="1"/>
    <col min="19" max="19" width="5.85546875" hidden="1" customWidth="1"/>
    <col min="20" max="20" width="6.5703125" hidden="1" customWidth="1"/>
    <col min="21" max="21" width="1.28515625" customWidth="1"/>
    <col min="22" max="22" width="12.28515625" customWidth="1"/>
    <col min="23" max="23" width="11" customWidth="1"/>
    <col min="24" max="24" width="7.7109375" customWidth="1"/>
    <col min="25" max="25" width="6.85546875" customWidth="1"/>
    <col min="26" max="27" width="9" customWidth="1"/>
  </cols>
  <sheetData>
    <row r="1" spans="2:26" ht="15.75" thickBot="1"/>
    <row r="2" spans="2:26">
      <c r="B2" s="350"/>
      <c r="C2" s="351"/>
      <c r="D2" s="351"/>
      <c r="E2" s="352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</row>
    <row r="3" spans="2:26">
      <c r="B3" s="444" t="s">
        <v>192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6"/>
    </row>
    <row r="4" spans="2:26" ht="17.25">
      <c r="B4" s="307" t="s">
        <v>193</v>
      </c>
      <c r="C4" s="307" t="s">
        <v>194</v>
      </c>
      <c r="D4" s="307" t="s">
        <v>195</v>
      </c>
      <c r="E4" s="353" t="s">
        <v>196</v>
      </c>
      <c r="F4" s="307" t="s">
        <v>9</v>
      </c>
      <c r="G4" s="307" t="s">
        <v>197</v>
      </c>
      <c r="H4" s="307" t="s">
        <v>198</v>
      </c>
      <c r="I4" s="307"/>
      <c r="J4" s="307" t="s">
        <v>199</v>
      </c>
      <c r="K4" s="307" t="s">
        <v>200</v>
      </c>
      <c r="L4" s="307" t="s">
        <v>201</v>
      </c>
      <c r="M4" s="307" t="s">
        <v>202</v>
      </c>
      <c r="N4" s="307" t="s">
        <v>203</v>
      </c>
      <c r="O4" s="307"/>
      <c r="P4" s="307" t="s">
        <v>199</v>
      </c>
      <c r="Q4" s="307" t="s">
        <v>200</v>
      </c>
      <c r="R4" s="307" t="s">
        <v>201</v>
      </c>
      <c r="S4" s="307" t="s">
        <v>202</v>
      </c>
      <c r="T4" s="307" t="s">
        <v>203</v>
      </c>
      <c r="U4" s="306"/>
      <c r="V4" s="354" t="s">
        <v>199</v>
      </c>
      <c r="W4" s="354" t="s">
        <v>200</v>
      </c>
      <c r="X4" s="354" t="s">
        <v>201</v>
      </c>
      <c r="Y4" s="354" t="s">
        <v>202</v>
      </c>
      <c r="Z4" s="354" t="s">
        <v>203</v>
      </c>
    </row>
    <row r="5" spans="2:26">
      <c r="B5" s="355">
        <v>1</v>
      </c>
      <c r="C5" s="306" t="s">
        <v>204</v>
      </c>
      <c r="D5" s="306" t="s">
        <v>205</v>
      </c>
      <c r="E5" s="308">
        <v>7725519.4162500007</v>
      </c>
      <c r="F5" s="308">
        <v>1</v>
      </c>
      <c r="G5" s="308"/>
      <c r="H5" s="308"/>
      <c r="I5" s="308"/>
      <c r="J5" s="308">
        <v>0.6573</v>
      </c>
      <c r="K5" s="308">
        <v>0.3427</v>
      </c>
      <c r="L5" s="308"/>
      <c r="M5" s="308"/>
      <c r="N5" s="308"/>
      <c r="O5" s="308"/>
      <c r="P5" s="308">
        <v>0.6573</v>
      </c>
      <c r="Q5" s="308">
        <v>0.3427</v>
      </c>
      <c r="R5" s="308">
        <v>0</v>
      </c>
      <c r="S5" s="308">
        <v>0</v>
      </c>
      <c r="T5" s="308">
        <v>0</v>
      </c>
      <c r="U5" s="308"/>
      <c r="V5" s="308">
        <f>E5*P5</f>
        <v>5077983.912301125</v>
      </c>
      <c r="W5" s="308">
        <f>E5*Q5</f>
        <v>2647535.5039488752</v>
      </c>
      <c r="X5" s="308">
        <f>E5*R5</f>
        <v>0</v>
      </c>
      <c r="Y5" s="308">
        <f>E5*S5</f>
        <v>0</v>
      </c>
      <c r="Z5" s="308">
        <f>E5*T5</f>
        <v>0</v>
      </c>
    </row>
    <row r="6" spans="2:26">
      <c r="B6" s="355">
        <v>2</v>
      </c>
      <c r="C6" s="306" t="s">
        <v>206</v>
      </c>
      <c r="D6" s="306" t="s">
        <v>207</v>
      </c>
      <c r="E6" s="309">
        <v>1764471.9524999999</v>
      </c>
      <c r="F6" s="306">
        <v>1</v>
      </c>
      <c r="G6" s="306"/>
      <c r="H6" s="306"/>
      <c r="I6" s="306"/>
      <c r="J6" s="306">
        <v>0.6573</v>
      </c>
      <c r="K6" s="306">
        <v>0.3427</v>
      </c>
      <c r="L6" s="306"/>
      <c r="M6" s="306"/>
      <c r="N6" s="306"/>
      <c r="O6" s="306"/>
      <c r="P6" s="306">
        <v>0.6573</v>
      </c>
      <c r="Q6" s="306">
        <v>0.3427</v>
      </c>
      <c r="R6" s="306">
        <v>0</v>
      </c>
      <c r="S6" s="306">
        <v>0</v>
      </c>
      <c r="T6" s="306">
        <v>0</v>
      </c>
      <c r="U6" s="306"/>
      <c r="V6" s="309">
        <f t="shared" ref="V6:V9" si="0">E6*P6</f>
        <v>1159787.41437825</v>
      </c>
      <c r="W6" s="309">
        <f t="shared" ref="W6:W9" si="1">E6*Q6</f>
        <v>604684.53812175</v>
      </c>
      <c r="X6" s="309">
        <f t="shared" ref="X6:X9" si="2">E6*R6</f>
        <v>0</v>
      </c>
      <c r="Y6" s="309">
        <f t="shared" ref="Y6:Y9" si="3">E6*S6</f>
        <v>0</v>
      </c>
      <c r="Z6" s="309">
        <f t="shared" ref="Z6:Z9" si="4">E6*T6</f>
        <v>0</v>
      </c>
    </row>
    <row r="7" spans="2:26">
      <c r="B7" s="355">
        <v>3</v>
      </c>
      <c r="C7" s="306" t="s">
        <v>208</v>
      </c>
      <c r="D7" s="306" t="s">
        <v>209</v>
      </c>
      <c r="E7" s="309">
        <v>2454722.75</v>
      </c>
      <c r="F7" s="306">
        <v>1</v>
      </c>
      <c r="G7" s="306"/>
      <c r="H7" s="306"/>
      <c r="I7" s="306"/>
      <c r="J7" s="306">
        <v>0.6573</v>
      </c>
      <c r="K7" s="306">
        <v>0.3427</v>
      </c>
      <c r="L7" s="306"/>
      <c r="M7" s="306"/>
      <c r="N7" s="306"/>
      <c r="O7" s="306"/>
      <c r="P7" s="306">
        <v>0.6573</v>
      </c>
      <c r="Q7" s="306">
        <v>0.3427</v>
      </c>
      <c r="R7" s="306">
        <v>0</v>
      </c>
      <c r="S7" s="306">
        <v>0</v>
      </c>
      <c r="T7" s="306">
        <v>0</v>
      </c>
      <c r="U7" s="306"/>
      <c r="V7" s="309">
        <f t="shared" si="0"/>
        <v>1613489.263575</v>
      </c>
      <c r="W7" s="309">
        <f t="shared" si="1"/>
        <v>841233.48642500001</v>
      </c>
      <c r="X7" s="309">
        <f t="shared" si="2"/>
        <v>0</v>
      </c>
      <c r="Y7" s="309">
        <f t="shared" si="3"/>
        <v>0</v>
      </c>
      <c r="Z7" s="309">
        <f t="shared" si="4"/>
        <v>0</v>
      </c>
    </row>
    <row r="8" spans="2:26">
      <c r="B8" s="355">
        <v>4</v>
      </c>
      <c r="C8" s="306" t="s">
        <v>210</v>
      </c>
      <c r="D8" s="306" t="s">
        <v>211</v>
      </c>
      <c r="E8" s="309">
        <v>-8447879.25</v>
      </c>
      <c r="F8" s="306">
        <v>1</v>
      </c>
      <c r="G8" s="306"/>
      <c r="H8" s="306"/>
      <c r="I8" s="306"/>
      <c r="J8" s="306">
        <v>0.6573</v>
      </c>
      <c r="K8" s="306">
        <v>0.3427</v>
      </c>
      <c r="L8" s="306"/>
      <c r="M8" s="306"/>
      <c r="N8" s="306"/>
      <c r="O8" s="306"/>
      <c r="P8" s="306">
        <v>0.6573</v>
      </c>
      <c r="Q8" s="306">
        <v>0.3427</v>
      </c>
      <c r="R8" s="306">
        <v>0</v>
      </c>
      <c r="S8" s="306">
        <v>0</v>
      </c>
      <c r="T8" s="306">
        <v>0</v>
      </c>
      <c r="U8" s="306"/>
      <c r="V8" s="309">
        <f t="shared" si="0"/>
        <v>-5552791.0310249999</v>
      </c>
      <c r="W8" s="309">
        <f t="shared" si="1"/>
        <v>-2895088.2189750001</v>
      </c>
      <c r="X8" s="309">
        <f t="shared" si="2"/>
        <v>0</v>
      </c>
      <c r="Y8" s="309">
        <f t="shared" si="3"/>
        <v>0</v>
      </c>
      <c r="Z8" s="309">
        <f t="shared" si="4"/>
        <v>0</v>
      </c>
    </row>
    <row r="9" spans="2:26">
      <c r="B9" s="355">
        <v>5</v>
      </c>
      <c r="C9" s="306" t="s">
        <v>212</v>
      </c>
      <c r="D9" s="306" t="s">
        <v>213</v>
      </c>
      <c r="E9" s="309">
        <v>-15704996.93</v>
      </c>
      <c r="F9" s="306"/>
      <c r="G9" s="306">
        <v>0.69633999999999996</v>
      </c>
      <c r="H9" s="306">
        <v>0.30365999999999999</v>
      </c>
      <c r="I9" s="306"/>
      <c r="J9" s="306"/>
      <c r="K9" s="306"/>
      <c r="L9" s="306">
        <v>0.70286999999999999</v>
      </c>
      <c r="M9" s="306">
        <v>0.29713000000000001</v>
      </c>
      <c r="N9" s="306">
        <v>1</v>
      </c>
      <c r="O9" s="306"/>
      <c r="P9" s="306">
        <v>0</v>
      </c>
      <c r="Q9" s="306">
        <v>0</v>
      </c>
      <c r="R9" s="306">
        <v>0.48943649579999998</v>
      </c>
      <c r="S9" s="306">
        <v>0.2069035042</v>
      </c>
      <c r="T9" s="306">
        <v>0.30365999999999999</v>
      </c>
      <c r="U9" s="306"/>
      <c r="V9" s="309">
        <f t="shared" si="0"/>
        <v>0</v>
      </c>
      <c r="W9" s="309">
        <f t="shared" si="1"/>
        <v>0</v>
      </c>
      <c r="X9" s="309">
        <f t="shared" si="2"/>
        <v>-7686598.663968957</v>
      </c>
      <c r="Y9" s="309">
        <f t="shared" si="3"/>
        <v>-3249418.8982672421</v>
      </c>
      <c r="Z9" s="309">
        <f t="shared" si="4"/>
        <v>-4768979.3677637996</v>
      </c>
    </row>
    <row r="10" spans="2:26" ht="15.75" thickBot="1">
      <c r="B10" s="355">
        <v>6</v>
      </c>
      <c r="C10" s="306"/>
      <c r="D10" s="306" t="s">
        <v>214</v>
      </c>
      <c r="E10" s="356">
        <f>SUM(E5:E9)</f>
        <v>-12208162.061249999</v>
      </c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56">
        <f t="shared" ref="V10:Z10" si="5">SUM(V5:V9)</f>
        <v>2298469.5592293749</v>
      </c>
      <c r="W10" s="356">
        <f t="shared" si="5"/>
        <v>1198365.3095206255</v>
      </c>
      <c r="X10" s="356">
        <f t="shared" si="5"/>
        <v>-7686598.663968957</v>
      </c>
      <c r="Y10" s="356">
        <f t="shared" si="5"/>
        <v>-3249418.8982672421</v>
      </c>
      <c r="Z10" s="356">
        <f t="shared" si="5"/>
        <v>-4768979.3677637996</v>
      </c>
    </row>
    <row r="11" spans="2:26">
      <c r="B11" s="355"/>
      <c r="C11" s="306"/>
      <c r="D11" s="306"/>
      <c r="E11" s="309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</row>
    <row r="12" spans="2:26">
      <c r="B12" s="355"/>
      <c r="C12" s="306"/>
      <c r="D12" s="306"/>
      <c r="E12" s="309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</row>
    <row r="13" spans="2:26">
      <c r="B13" s="444" t="s">
        <v>215</v>
      </c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6"/>
    </row>
    <row r="14" spans="2:26">
      <c r="B14" s="355">
        <v>7</v>
      </c>
      <c r="C14" s="306" t="s">
        <v>204</v>
      </c>
      <c r="D14" s="306" t="s">
        <v>205</v>
      </c>
      <c r="E14" s="308">
        <v>7725519.4162500007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 t="e">
        <f>$E$14*V23</f>
        <v>#REF!</v>
      </c>
      <c r="W14" s="308" t="e">
        <f t="shared" ref="W14:Z14" si="6">$E$14*W23</f>
        <v>#REF!</v>
      </c>
      <c r="X14" s="308" t="e">
        <f t="shared" si="6"/>
        <v>#REF!</v>
      </c>
      <c r="Y14" s="308" t="e">
        <f t="shared" si="6"/>
        <v>#REF!</v>
      </c>
      <c r="Z14" s="308" t="e">
        <f t="shared" si="6"/>
        <v>#REF!</v>
      </c>
    </row>
    <row r="15" spans="2:26">
      <c r="B15" s="355">
        <v>8</v>
      </c>
      <c r="C15" s="306" t="s">
        <v>206</v>
      </c>
      <c r="D15" s="306" t="s">
        <v>207</v>
      </c>
      <c r="E15" s="309">
        <v>1764471.9524999999</v>
      </c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9" t="e">
        <f>$E$15*V23</f>
        <v>#REF!</v>
      </c>
      <c r="W15" s="309" t="e">
        <f t="shared" ref="W15:Z15" si="7">$E$15*W23</f>
        <v>#REF!</v>
      </c>
      <c r="X15" s="309" t="e">
        <f t="shared" si="7"/>
        <v>#REF!</v>
      </c>
      <c r="Y15" s="309" t="e">
        <f t="shared" si="7"/>
        <v>#REF!</v>
      </c>
      <c r="Z15" s="309" t="e">
        <f t="shared" si="7"/>
        <v>#REF!</v>
      </c>
    </row>
    <row r="16" spans="2:26">
      <c r="B16" s="355">
        <v>9</v>
      </c>
      <c r="C16" s="306" t="s">
        <v>208</v>
      </c>
      <c r="D16" s="306" t="s">
        <v>209</v>
      </c>
      <c r="E16" s="309">
        <v>2454722.75</v>
      </c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9" t="e">
        <f>$E$16*V23</f>
        <v>#REF!</v>
      </c>
      <c r="W16" s="309" t="e">
        <f t="shared" ref="W16:Z16" si="8">$E$16*W23</f>
        <v>#REF!</v>
      </c>
      <c r="X16" s="309" t="e">
        <f t="shared" si="8"/>
        <v>#REF!</v>
      </c>
      <c r="Y16" s="309" t="e">
        <f t="shared" si="8"/>
        <v>#REF!</v>
      </c>
      <c r="Z16" s="309" t="e">
        <f t="shared" si="8"/>
        <v>#REF!</v>
      </c>
    </row>
    <row r="17" spans="2:26">
      <c r="B17" s="355">
        <v>10</v>
      </c>
      <c r="C17" s="306" t="s">
        <v>210</v>
      </c>
      <c r="D17" s="306" t="s">
        <v>211</v>
      </c>
      <c r="E17" s="309">
        <v>-8447879.25</v>
      </c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9" t="e">
        <f>$E$17*V23</f>
        <v>#REF!</v>
      </c>
      <c r="W17" s="309" t="e">
        <f t="shared" ref="W17:Z17" si="9">$E$17*W23</f>
        <v>#REF!</v>
      </c>
      <c r="X17" s="309" t="e">
        <f t="shared" si="9"/>
        <v>#REF!</v>
      </c>
      <c r="Y17" s="309" t="e">
        <f t="shared" si="9"/>
        <v>#REF!</v>
      </c>
      <c r="Z17" s="309" t="e">
        <f t="shared" si="9"/>
        <v>#REF!</v>
      </c>
    </row>
    <row r="18" spans="2:26">
      <c r="B18" s="355">
        <v>11</v>
      </c>
      <c r="C18" s="306" t="s">
        <v>212</v>
      </c>
      <c r="D18" s="306" t="s">
        <v>213</v>
      </c>
      <c r="E18" s="309">
        <v>-15704996.93</v>
      </c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9" t="e">
        <f>$E$18*V23</f>
        <v>#REF!</v>
      </c>
      <c r="W18" s="309" t="e">
        <f t="shared" ref="W18:Z18" si="10">$E$18*W23</f>
        <v>#REF!</v>
      </c>
      <c r="X18" s="309" t="e">
        <f t="shared" si="10"/>
        <v>#REF!</v>
      </c>
      <c r="Y18" s="309" t="e">
        <f t="shared" si="10"/>
        <v>#REF!</v>
      </c>
      <c r="Z18" s="309" t="e">
        <f t="shared" si="10"/>
        <v>#REF!</v>
      </c>
    </row>
    <row r="19" spans="2:26" ht="15.75" thickBot="1">
      <c r="B19" s="355">
        <v>12</v>
      </c>
      <c r="C19" s="306"/>
      <c r="D19" s="306" t="s">
        <v>216</v>
      </c>
      <c r="E19" s="356">
        <f>SUM(E14:E18)</f>
        <v>-12208162.061249999</v>
      </c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56" t="e">
        <f>SUM(V14:V18)</f>
        <v>#REF!</v>
      </c>
      <c r="W19" s="356" t="e">
        <f t="shared" ref="W19:Z19" si="11">SUM(W14:W18)</f>
        <v>#REF!</v>
      </c>
      <c r="X19" s="356" t="e">
        <f t="shared" si="11"/>
        <v>#REF!</v>
      </c>
      <c r="Y19" s="356" t="e">
        <f t="shared" si="11"/>
        <v>#REF!</v>
      </c>
      <c r="Z19" s="356" t="e">
        <f t="shared" si="11"/>
        <v>#REF!</v>
      </c>
    </row>
    <row r="20" spans="2:26" ht="15.75" thickBot="1">
      <c r="B20" s="357"/>
      <c r="C20" s="313"/>
      <c r="D20" s="313"/>
      <c r="E20" s="314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</row>
    <row r="21" spans="2:26">
      <c r="B21" s="358"/>
      <c r="C21" s="305"/>
      <c r="D21" s="305"/>
      <c r="E21" s="31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</row>
    <row r="22" spans="2:26">
      <c r="V22" s="1">
        <f>1444926292-65480278</f>
        <v>1379446014</v>
      </c>
      <c r="W22" s="1">
        <f>739438742-31480775</f>
        <v>707957967</v>
      </c>
      <c r="X22" s="1">
        <f>287786161-15664179</f>
        <v>272121982</v>
      </c>
      <c r="Y22" s="1">
        <f>138431729-6218216</f>
        <v>132213513</v>
      </c>
      <c r="Z22" s="359">
        <f>212463569-2800772</f>
        <v>209662797</v>
      </c>
    </row>
    <row r="23" spans="2:26">
      <c r="V23" s="360" t="e">
        <f>V22/#REF!</f>
        <v>#REF!</v>
      </c>
      <c r="W23" s="360" t="e">
        <f>W22/#REF!</f>
        <v>#REF!</v>
      </c>
      <c r="X23" s="360" t="e">
        <f>X22/#REF!</f>
        <v>#REF!</v>
      </c>
      <c r="Y23" s="360" t="e">
        <f>Y22/#REF!</f>
        <v>#REF!</v>
      </c>
      <c r="Z23" s="360" t="e">
        <f>Z22/#REF!</f>
        <v>#REF!</v>
      </c>
    </row>
    <row r="25" spans="2:26" ht="15.75" thickBot="1"/>
    <row r="26" spans="2:26">
      <c r="B26" s="447" t="s">
        <v>217</v>
      </c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9"/>
    </row>
    <row r="27" spans="2:26" ht="17.25">
      <c r="B27" s="364" t="s">
        <v>193</v>
      </c>
      <c r="C27" s="307" t="s">
        <v>194</v>
      </c>
      <c r="D27" s="361" t="s">
        <v>195</v>
      </c>
      <c r="E27" s="353" t="s">
        <v>196</v>
      </c>
      <c r="F27" s="307" t="s">
        <v>9</v>
      </c>
      <c r="G27" s="307" t="s">
        <v>197</v>
      </c>
      <c r="H27" s="307" t="s">
        <v>198</v>
      </c>
      <c r="I27" s="307"/>
      <c r="J27" s="307" t="s">
        <v>199</v>
      </c>
      <c r="K27" s="307" t="s">
        <v>200</v>
      </c>
      <c r="L27" s="307" t="s">
        <v>201</v>
      </c>
      <c r="M27" s="307" t="s">
        <v>202</v>
      </c>
      <c r="N27" s="307" t="s">
        <v>203</v>
      </c>
      <c r="O27" s="307"/>
      <c r="P27" s="307" t="s">
        <v>199</v>
      </c>
      <c r="Q27" s="307" t="s">
        <v>200</v>
      </c>
      <c r="R27" s="307" t="s">
        <v>201</v>
      </c>
      <c r="S27" s="307" t="s">
        <v>202</v>
      </c>
      <c r="T27" s="307" t="s">
        <v>203</v>
      </c>
      <c r="U27" s="306"/>
      <c r="V27" s="354" t="s">
        <v>199</v>
      </c>
      <c r="W27" s="354" t="s">
        <v>200</v>
      </c>
      <c r="X27" s="354" t="s">
        <v>201</v>
      </c>
      <c r="Y27" s="354" t="s">
        <v>202</v>
      </c>
      <c r="Z27" s="365" t="s">
        <v>203</v>
      </c>
    </row>
    <row r="28" spans="2:26">
      <c r="B28" s="366">
        <v>1</v>
      </c>
      <c r="C28" s="306" t="s">
        <v>204</v>
      </c>
      <c r="D28" s="306" t="s">
        <v>205</v>
      </c>
      <c r="E28" s="310">
        <v>7.7255194162500009</v>
      </c>
      <c r="F28" s="310">
        <v>1</v>
      </c>
      <c r="G28" s="310"/>
      <c r="H28" s="310"/>
      <c r="I28" s="310"/>
      <c r="J28" s="310">
        <v>0.6573</v>
      </c>
      <c r="K28" s="310">
        <v>0.3427</v>
      </c>
      <c r="L28" s="310"/>
      <c r="M28" s="310"/>
      <c r="N28" s="310"/>
      <c r="O28" s="310"/>
      <c r="P28" s="310">
        <v>0.6573</v>
      </c>
      <c r="Q28" s="310">
        <v>0.3427</v>
      </c>
      <c r="R28" s="310">
        <v>0</v>
      </c>
      <c r="S28" s="310">
        <v>0</v>
      </c>
      <c r="T28" s="310">
        <v>0</v>
      </c>
      <c r="U28" s="310"/>
      <c r="V28" s="310">
        <v>5.0779839123011259</v>
      </c>
      <c r="W28" s="310">
        <v>2.6475355039488755</v>
      </c>
      <c r="X28" s="310">
        <v>0</v>
      </c>
      <c r="Y28" s="310">
        <v>0</v>
      </c>
      <c r="Z28" s="367">
        <v>0</v>
      </c>
    </row>
    <row r="29" spans="2:26">
      <c r="B29" s="366">
        <v>2</v>
      </c>
      <c r="C29" s="306" t="s">
        <v>206</v>
      </c>
      <c r="D29" s="306" t="s">
        <v>207</v>
      </c>
      <c r="E29" s="311">
        <v>1.7644719524999999</v>
      </c>
      <c r="F29" s="311">
        <v>1</v>
      </c>
      <c r="G29" s="311"/>
      <c r="H29" s="311"/>
      <c r="I29" s="311"/>
      <c r="J29" s="311">
        <v>0.6573</v>
      </c>
      <c r="K29" s="311">
        <v>0.3427</v>
      </c>
      <c r="L29" s="311"/>
      <c r="M29" s="311"/>
      <c r="N29" s="311"/>
      <c r="O29" s="311"/>
      <c r="P29" s="311">
        <v>0.6573</v>
      </c>
      <c r="Q29" s="311">
        <v>0.3427</v>
      </c>
      <c r="R29" s="311">
        <v>0</v>
      </c>
      <c r="S29" s="311">
        <v>0</v>
      </c>
      <c r="T29" s="311">
        <v>0</v>
      </c>
      <c r="U29" s="311"/>
      <c r="V29" s="311">
        <v>1.1597874143782498</v>
      </c>
      <c r="W29" s="311">
        <v>0.60468453812174994</v>
      </c>
      <c r="X29" s="311">
        <v>0</v>
      </c>
      <c r="Y29" s="311">
        <v>0</v>
      </c>
      <c r="Z29" s="368">
        <v>0</v>
      </c>
    </row>
    <row r="30" spans="2:26">
      <c r="B30" s="366">
        <v>3</v>
      </c>
      <c r="C30" s="306" t="s">
        <v>208</v>
      </c>
      <c r="D30" s="306" t="s">
        <v>209</v>
      </c>
      <c r="E30" s="311">
        <v>2.4547227500000002</v>
      </c>
      <c r="F30" s="311">
        <v>1</v>
      </c>
      <c r="G30" s="311"/>
      <c r="H30" s="311"/>
      <c r="I30" s="311"/>
      <c r="J30" s="311">
        <v>0.6573</v>
      </c>
      <c r="K30" s="311">
        <v>0.3427</v>
      </c>
      <c r="L30" s="311"/>
      <c r="M30" s="311"/>
      <c r="N30" s="311"/>
      <c r="O30" s="311"/>
      <c r="P30" s="311">
        <v>0.6573</v>
      </c>
      <c r="Q30" s="311">
        <v>0.3427</v>
      </c>
      <c r="R30" s="311">
        <v>0</v>
      </c>
      <c r="S30" s="311">
        <v>0</v>
      </c>
      <c r="T30" s="311">
        <v>0</v>
      </c>
      <c r="U30" s="311"/>
      <c r="V30" s="311">
        <v>1.613489263575</v>
      </c>
      <c r="W30" s="311">
        <v>0.84123348642500007</v>
      </c>
      <c r="X30" s="311">
        <v>0</v>
      </c>
      <c r="Y30" s="311">
        <v>0</v>
      </c>
      <c r="Z30" s="368">
        <v>0</v>
      </c>
    </row>
    <row r="31" spans="2:26">
      <c r="B31" s="366">
        <v>4</v>
      </c>
      <c r="C31" s="306" t="s">
        <v>210</v>
      </c>
      <c r="D31" s="306" t="s">
        <v>211</v>
      </c>
      <c r="E31" s="311">
        <v>-8.4478792499999997</v>
      </c>
      <c r="F31" s="311">
        <v>1</v>
      </c>
      <c r="G31" s="311"/>
      <c r="H31" s="311"/>
      <c r="I31" s="311"/>
      <c r="J31" s="311">
        <v>0.6573</v>
      </c>
      <c r="K31" s="311">
        <v>0.3427</v>
      </c>
      <c r="L31" s="311"/>
      <c r="M31" s="311"/>
      <c r="N31" s="311"/>
      <c r="O31" s="311"/>
      <c r="P31" s="311">
        <v>0.6573</v>
      </c>
      <c r="Q31" s="311">
        <v>0.3427</v>
      </c>
      <c r="R31" s="311">
        <v>0</v>
      </c>
      <c r="S31" s="311">
        <v>0</v>
      </c>
      <c r="T31" s="311">
        <v>0</v>
      </c>
      <c r="U31" s="311"/>
      <c r="V31" s="311">
        <v>-5.5527910310249995</v>
      </c>
      <c r="W31" s="311">
        <v>-2.8950882189749998</v>
      </c>
      <c r="X31" s="311">
        <v>0</v>
      </c>
      <c r="Y31" s="311">
        <v>0</v>
      </c>
      <c r="Z31" s="368">
        <v>0</v>
      </c>
    </row>
    <row r="32" spans="2:26">
      <c r="B32" s="366">
        <v>5</v>
      </c>
      <c r="C32" s="306" t="s">
        <v>212</v>
      </c>
      <c r="D32" s="306" t="s">
        <v>213</v>
      </c>
      <c r="E32" s="311">
        <v>-15.70499693</v>
      </c>
      <c r="F32" s="311"/>
      <c r="G32" s="311">
        <v>0.69633999999999996</v>
      </c>
      <c r="H32" s="311">
        <v>0.30365999999999999</v>
      </c>
      <c r="I32" s="311"/>
      <c r="J32" s="311"/>
      <c r="K32" s="311"/>
      <c r="L32" s="311">
        <v>0.70286999999999999</v>
      </c>
      <c r="M32" s="311">
        <v>0.29713000000000001</v>
      </c>
      <c r="N32" s="311">
        <v>1</v>
      </c>
      <c r="O32" s="311"/>
      <c r="P32" s="311">
        <v>0</v>
      </c>
      <c r="Q32" s="311">
        <v>0</v>
      </c>
      <c r="R32" s="311">
        <v>0.48943649579999998</v>
      </c>
      <c r="S32" s="311">
        <v>0.2069035042</v>
      </c>
      <c r="T32" s="311">
        <v>0.30365999999999999</v>
      </c>
      <c r="U32" s="311"/>
      <c r="V32" s="311">
        <v>0</v>
      </c>
      <c r="W32" s="311">
        <v>0</v>
      </c>
      <c r="X32" s="311">
        <v>-7.6865986639689581</v>
      </c>
      <c r="Y32" s="311">
        <v>-3.2494188982672423</v>
      </c>
      <c r="Z32" s="368">
        <v>-4.7689793677637997</v>
      </c>
    </row>
    <row r="33" spans="2:26" ht="15.75" thickBot="1">
      <c r="B33" s="366">
        <v>6</v>
      </c>
      <c r="C33" s="306"/>
      <c r="D33" s="306" t="s">
        <v>214</v>
      </c>
      <c r="E33" s="362">
        <f>SUM(E28:E32)</f>
        <v>-12.208162061249999</v>
      </c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62">
        <f t="shared" ref="V33:Z33" si="12">SUM(V28:V32)</f>
        <v>2.2984695592293756</v>
      </c>
      <c r="W33" s="362">
        <f t="shared" si="12"/>
        <v>1.1983653095206255</v>
      </c>
      <c r="X33" s="362">
        <f t="shared" si="12"/>
        <v>-7.6865986639689581</v>
      </c>
      <c r="Y33" s="362">
        <f t="shared" si="12"/>
        <v>-3.2494188982672423</v>
      </c>
      <c r="Z33" s="369">
        <f t="shared" si="12"/>
        <v>-4.7689793677637997</v>
      </c>
    </row>
    <row r="34" spans="2:26" ht="6.75" customHeight="1">
      <c r="B34" s="366"/>
      <c r="C34" s="306"/>
      <c r="D34" s="306"/>
      <c r="E34" s="363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63"/>
      <c r="W34" s="363"/>
      <c r="X34" s="363"/>
      <c r="Y34" s="363"/>
      <c r="Z34" s="370"/>
    </row>
    <row r="35" spans="2:26">
      <c r="B35" s="450" t="s">
        <v>218</v>
      </c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  <c r="Z35" s="452"/>
    </row>
    <row r="36" spans="2:26" ht="17.25">
      <c r="B36" s="364" t="s">
        <v>193</v>
      </c>
      <c r="C36" s="307" t="s">
        <v>194</v>
      </c>
      <c r="D36" s="361" t="s">
        <v>195</v>
      </c>
      <c r="E36" s="353" t="s">
        <v>196</v>
      </c>
      <c r="F36" s="307" t="s">
        <v>9</v>
      </c>
      <c r="G36" s="307" t="s">
        <v>197</v>
      </c>
      <c r="H36" s="307" t="s">
        <v>198</v>
      </c>
      <c r="I36" s="307"/>
      <c r="J36" s="307" t="s">
        <v>199</v>
      </c>
      <c r="K36" s="307" t="s">
        <v>200</v>
      </c>
      <c r="L36" s="307" t="s">
        <v>201</v>
      </c>
      <c r="M36" s="307" t="s">
        <v>202</v>
      </c>
      <c r="N36" s="307" t="s">
        <v>203</v>
      </c>
      <c r="O36" s="307"/>
      <c r="P36" s="307" t="s">
        <v>199</v>
      </c>
      <c r="Q36" s="307" t="s">
        <v>200</v>
      </c>
      <c r="R36" s="307" t="s">
        <v>201</v>
      </c>
      <c r="S36" s="307" t="s">
        <v>202</v>
      </c>
      <c r="T36" s="307" t="s">
        <v>203</v>
      </c>
      <c r="U36" s="306"/>
      <c r="V36" s="354" t="s">
        <v>199</v>
      </c>
      <c r="W36" s="354" t="s">
        <v>200</v>
      </c>
      <c r="X36" s="354" t="s">
        <v>201</v>
      </c>
      <c r="Y36" s="354" t="s">
        <v>202</v>
      </c>
      <c r="Z36" s="365" t="s">
        <v>203</v>
      </c>
    </row>
    <row r="37" spans="2:26">
      <c r="B37" s="366">
        <v>7</v>
      </c>
      <c r="C37" s="306" t="s">
        <v>204</v>
      </c>
      <c r="D37" s="306" t="s">
        <v>205</v>
      </c>
      <c r="E37" s="310">
        <v>7.7255194162500009</v>
      </c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>
        <v>3.944964832279783</v>
      </c>
      <c r="W37" s="310">
        <v>2.0246310868293911</v>
      </c>
      <c r="X37" s="310">
        <v>0.77821939980629951</v>
      </c>
      <c r="Y37" s="310">
        <v>0.37810661225134828</v>
      </c>
      <c r="Z37" s="367">
        <v>0.59959748508317867</v>
      </c>
    </row>
    <row r="38" spans="2:26">
      <c r="B38" s="366">
        <v>8</v>
      </c>
      <c r="C38" s="306" t="s">
        <v>206</v>
      </c>
      <c r="D38" s="306" t="s">
        <v>207</v>
      </c>
      <c r="E38" s="311">
        <v>1.7644719524999999</v>
      </c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>
        <v>0.90101123628206936</v>
      </c>
      <c r="W38" s="311">
        <v>0.46241612691514183</v>
      </c>
      <c r="X38" s="311">
        <v>0.17774161578848641</v>
      </c>
      <c r="Y38" s="311">
        <v>8.635775491923342E-2</v>
      </c>
      <c r="Z38" s="368">
        <v>0.13694521859506897</v>
      </c>
    </row>
    <row r="39" spans="2:26">
      <c r="B39" s="366">
        <v>9</v>
      </c>
      <c r="C39" s="306" t="s">
        <v>208</v>
      </c>
      <c r="D39" s="306" t="s">
        <v>209</v>
      </c>
      <c r="E39" s="311">
        <v>2.4547227500000002</v>
      </c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>
        <v>1.2534814036423292</v>
      </c>
      <c r="W39" s="311">
        <v>0.64331052987110937</v>
      </c>
      <c r="X39" s="311">
        <v>0.24727306505471741</v>
      </c>
      <c r="Y39" s="311">
        <v>0.1201403883687784</v>
      </c>
      <c r="Z39" s="368">
        <v>0.19051736306306566</v>
      </c>
    </row>
    <row r="40" spans="2:26">
      <c r="B40" s="366">
        <v>10</v>
      </c>
      <c r="C40" s="306" t="s">
        <v>210</v>
      </c>
      <c r="D40" s="306" t="s">
        <v>211</v>
      </c>
      <c r="E40" s="311">
        <v>-8.4478792499999997</v>
      </c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>
        <v>-4.3138311811755141</v>
      </c>
      <c r="W40" s="311">
        <v>-2.2139403224273089</v>
      </c>
      <c r="X40" s="311">
        <v>-0.85098530795775096</v>
      </c>
      <c r="Y40" s="311">
        <v>-0.41346074377953451</v>
      </c>
      <c r="Z40" s="368">
        <v>-0.65566169465989133</v>
      </c>
    </row>
    <row r="41" spans="2:26">
      <c r="B41" s="366">
        <v>11</v>
      </c>
      <c r="C41" s="306" t="s">
        <v>212</v>
      </c>
      <c r="D41" s="306" t="s">
        <v>213</v>
      </c>
      <c r="E41" s="311">
        <v>-15.70499693</v>
      </c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>
        <v>-8.0196110114736463</v>
      </c>
      <c r="W41" s="311">
        <v>-4.1158171107765416</v>
      </c>
      <c r="X41" s="311">
        <v>-1.5820209135862808</v>
      </c>
      <c r="Y41" s="311">
        <v>-0.76864258112272454</v>
      </c>
      <c r="Z41" s="368">
        <v>-1.2189053130408072</v>
      </c>
    </row>
    <row r="42" spans="2:26" ht="15.75" thickBot="1">
      <c r="B42" s="371">
        <v>12</v>
      </c>
      <c r="C42" s="313"/>
      <c r="D42" s="313" t="s">
        <v>216</v>
      </c>
      <c r="E42" s="362">
        <f>SUM(E37:E41)</f>
        <v>-12.208162061249999</v>
      </c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62">
        <f>SUM(V37:V41)</f>
        <v>-6.2339847204449788</v>
      </c>
      <c r="W42" s="362">
        <f t="shared" ref="W42:Z42" si="13">SUM(W37:W41)</f>
        <v>-3.1993996895882084</v>
      </c>
      <c r="X42" s="362">
        <f t="shared" si="13"/>
        <v>-1.2297721408945284</v>
      </c>
      <c r="Y42" s="362">
        <f t="shared" si="13"/>
        <v>-0.59749856936289891</v>
      </c>
      <c r="Z42" s="369">
        <f t="shared" si="13"/>
        <v>-0.94750694095938515</v>
      </c>
    </row>
  </sheetData>
  <mergeCells count="4">
    <mergeCell ref="B3:Z3"/>
    <mergeCell ref="B13:Z13"/>
    <mergeCell ref="B26:Z26"/>
    <mergeCell ref="B35:Z35"/>
  </mergeCells>
  <pageMargins left="0.7" right="0.7" top="0.75" bottom="0.75" header="0.3" footer="0.3"/>
  <pageSetup orientation="portrait" r:id="rId1"/>
  <ignoredErrors>
    <ignoredError sqref="C28:C32 C37:C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6"/>
  <sheetViews>
    <sheetView topLeftCell="A10" workbookViewId="0">
      <selection activeCell="E15" sqref="E15"/>
    </sheetView>
  </sheetViews>
  <sheetFormatPr defaultRowHeight="15.75"/>
  <cols>
    <col min="1" max="2" width="9.140625" style="11"/>
    <col min="3" max="3" width="22.28515625" style="11" customWidth="1"/>
    <col min="4" max="4" width="18.28515625" style="11" customWidth="1"/>
    <col min="5" max="5" width="18.7109375" style="11" customWidth="1"/>
    <col min="6" max="8" width="9.140625" style="11"/>
    <col min="9" max="10" width="21.28515625" style="11" customWidth="1"/>
    <col min="11" max="12" width="9.140625" style="11"/>
    <col min="13" max="13" width="19.85546875" style="11" customWidth="1"/>
    <col min="14" max="16384" width="9.140625" style="11"/>
  </cols>
  <sheetData>
    <row r="3" spans="3:13" ht="16.5" thickBot="1"/>
    <row r="4" spans="3:13" ht="16.5" thickBot="1">
      <c r="C4" s="396" t="s">
        <v>166</v>
      </c>
      <c r="D4" s="397"/>
      <c r="E4" s="398"/>
    </row>
    <row r="5" spans="3:13" ht="31.5">
      <c r="C5" s="272"/>
      <c r="D5" s="273" t="s">
        <v>164</v>
      </c>
      <c r="E5" s="274" t="s">
        <v>167</v>
      </c>
    </row>
    <row r="6" spans="3:13">
      <c r="C6" s="275" t="s">
        <v>0</v>
      </c>
      <c r="D6" s="276">
        <v>8.1000000000000003E-2</v>
      </c>
      <c r="E6" s="277">
        <v>0.08</v>
      </c>
    </row>
    <row r="7" spans="3:13">
      <c r="C7" s="275" t="s">
        <v>50</v>
      </c>
      <c r="D7" s="276">
        <v>7.8E-2</v>
      </c>
      <c r="E7" s="277">
        <v>8.1000000000000003E-2</v>
      </c>
    </row>
    <row r="8" spans="3:13">
      <c r="C8" s="275" t="s">
        <v>165</v>
      </c>
      <c r="D8" s="276">
        <v>7.1999999999999995E-2</v>
      </c>
      <c r="E8" s="277">
        <v>7.4999999999999997E-2</v>
      </c>
    </row>
    <row r="9" spans="3:13" ht="5.25" customHeight="1" thickBot="1">
      <c r="C9" s="278"/>
      <c r="D9" s="51"/>
      <c r="E9" s="67"/>
    </row>
    <row r="10" spans="3:13" ht="16.5" thickBot="1"/>
    <row r="11" spans="3:13" ht="16.5" thickBot="1">
      <c r="I11" s="396" t="s">
        <v>166</v>
      </c>
      <c r="J11" s="397"/>
      <c r="L11" s="396" t="s">
        <v>166</v>
      </c>
      <c r="M11" s="397"/>
    </row>
    <row r="12" spans="3:13">
      <c r="I12" s="272"/>
      <c r="J12" s="273" t="s">
        <v>9</v>
      </c>
      <c r="L12" s="272"/>
      <c r="M12" s="274" t="s">
        <v>13</v>
      </c>
    </row>
    <row r="13" spans="3:13">
      <c r="I13" s="275" t="s">
        <v>0</v>
      </c>
      <c r="J13" s="276">
        <v>8.1000000000000003E-2</v>
      </c>
      <c r="L13" s="275" t="s">
        <v>0</v>
      </c>
      <c r="M13" s="277">
        <v>0.08</v>
      </c>
    </row>
    <row r="14" spans="3:13">
      <c r="I14" s="275" t="s">
        <v>50</v>
      </c>
      <c r="J14" s="276">
        <v>7.8E-2</v>
      </c>
      <c r="L14" s="275" t="s">
        <v>50</v>
      </c>
      <c r="M14" s="277">
        <v>8.1000000000000003E-2</v>
      </c>
    </row>
    <row r="15" spans="3:13">
      <c r="I15" s="275" t="s">
        <v>51</v>
      </c>
      <c r="J15" s="276">
        <v>7.1999999999999995E-2</v>
      </c>
      <c r="L15" s="275" t="s">
        <v>52</v>
      </c>
      <c r="M15" s="277">
        <v>7.4999999999999997E-2</v>
      </c>
    </row>
    <row r="16" spans="3:13" ht="16.5" thickBot="1">
      <c r="I16" s="278"/>
      <c r="J16" s="51"/>
      <c r="L16" s="278"/>
      <c r="M16" s="51"/>
    </row>
  </sheetData>
  <mergeCells count="3">
    <mergeCell ref="C4:E4"/>
    <mergeCell ref="I11:J11"/>
    <mergeCell ref="L11:M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zoomScaleNormal="100" zoomScaleSheetLayoutView="100" workbookViewId="0">
      <selection activeCell="C2" sqref="C2:K2"/>
    </sheetView>
  </sheetViews>
  <sheetFormatPr defaultRowHeight="15.75"/>
  <cols>
    <col min="1" max="1" width="9.140625" style="11"/>
    <col min="2" max="2" width="5.140625" style="40" bestFit="1" customWidth="1"/>
    <col min="3" max="3" width="3.140625" style="11" customWidth="1"/>
    <col min="4" max="4" width="26" style="11" customWidth="1"/>
    <col min="5" max="5" width="9.140625" style="38" customWidth="1"/>
    <col min="6" max="6" width="9.28515625" style="38" customWidth="1"/>
    <col min="7" max="7" width="1.85546875" style="38" customWidth="1"/>
    <col min="8" max="8" width="11.7109375" style="11" customWidth="1"/>
    <col min="9" max="9" width="1.7109375" style="11" customWidth="1"/>
    <col min="10" max="10" width="13.28515625" style="11" customWidth="1"/>
    <col min="11" max="11" width="29.85546875" style="11" customWidth="1"/>
    <col min="12" max="13" width="10.7109375" style="11" customWidth="1"/>
    <col min="14" max="16384" width="9.140625" style="11"/>
  </cols>
  <sheetData>
    <row r="1" spans="2:18" ht="16.5" thickBot="1">
      <c r="B1" s="96" t="s">
        <v>71</v>
      </c>
      <c r="C1" s="10"/>
      <c r="D1" s="10"/>
      <c r="E1" s="39"/>
    </row>
    <row r="2" spans="2:18" ht="28.5" customHeight="1">
      <c r="B2" s="87" t="s">
        <v>29</v>
      </c>
      <c r="C2" s="400" t="s">
        <v>70</v>
      </c>
      <c r="D2" s="401"/>
      <c r="E2" s="401"/>
      <c r="F2" s="401"/>
      <c r="G2" s="401"/>
      <c r="H2" s="401"/>
      <c r="I2" s="401"/>
      <c r="J2" s="401"/>
      <c r="K2" s="402"/>
      <c r="L2" s="32"/>
      <c r="M2" s="32"/>
      <c r="N2" s="28"/>
      <c r="O2" s="28"/>
    </row>
    <row r="3" spans="2:18">
      <c r="B3" s="41"/>
      <c r="C3" s="43"/>
      <c r="D3" s="44"/>
      <c r="E3" s="180"/>
      <c r="F3" s="53"/>
      <c r="G3" s="53"/>
      <c r="H3" s="52" t="s">
        <v>9</v>
      </c>
      <c r="I3" s="53"/>
      <c r="J3" s="54" t="s">
        <v>13</v>
      </c>
      <c r="K3" s="68"/>
      <c r="L3" s="32"/>
      <c r="M3" s="32"/>
      <c r="N3" s="28"/>
      <c r="O3" s="28"/>
    </row>
    <row r="4" spans="2:18">
      <c r="B4" s="86">
        <v>1</v>
      </c>
      <c r="C4" s="45" t="s">
        <v>19</v>
      </c>
      <c r="D4" s="46"/>
      <c r="E4" s="73"/>
      <c r="F4" s="56"/>
      <c r="G4" s="56"/>
      <c r="H4" s="55">
        <v>10034</v>
      </c>
      <c r="I4" s="56"/>
      <c r="J4" s="57">
        <v>1107</v>
      </c>
      <c r="K4" s="69"/>
      <c r="L4" s="29"/>
      <c r="M4" s="29"/>
      <c r="N4" s="28"/>
      <c r="O4" s="28"/>
      <c r="P4" s="28"/>
      <c r="Q4" s="28"/>
      <c r="R4" s="28"/>
    </row>
    <row r="5" spans="2:18" ht="31.5">
      <c r="B5" s="86">
        <v>2</v>
      </c>
      <c r="C5" s="85" t="s">
        <v>20</v>
      </c>
      <c r="D5" s="46"/>
      <c r="E5" s="73"/>
      <c r="F5" s="74"/>
      <c r="G5" s="74"/>
      <c r="H5" s="58">
        <v>16609</v>
      </c>
      <c r="I5" s="58"/>
      <c r="J5" s="59">
        <v>0</v>
      </c>
      <c r="K5" s="35" t="s">
        <v>27</v>
      </c>
      <c r="L5" s="17"/>
      <c r="M5" s="17"/>
      <c r="N5" s="28"/>
      <c r="O5" s="28"/>
      <c r="P5" s="28"/>
      <c r="Q5" s="28"/>
      <c r="R5" s="28"/>
    </row>
    <row r="6" spans="2:18">
      <c r="B6" s="86"/>
      <c r="C6" s="85" t="s">
        <v>28</v>
      </c>
      <c r="D6" s="46"/>
      <c r="E6" s="73"/>
      <c r="F6" s="74"/>
      <c r="G6" s="74"/>
      <c r="H6" s="58">
        <f>SUM(E8:E10)</f>
        <v>1690</v>
      </c>
      <c r="I6" s="58"/>
      <c r="J6" s="60">
        <v>234</v>
      </c>
      <c r="K6" s="399" t="s">
        <v>38</v>
      </c>
      <c r="L6" s="17"/>
      <c r="M6" s="17"/>
      <c r="N6" s="28"/>
      <c r="O6" s="28"/>
      <c r="P6" s="28"/>
      <c r="Q6" s="28"/>
      <c r="R6" s="28"/>
    </row>
    <row r="7" spans="2:18">
      <c r="B7" s="86"/>
      <c r="C7" s="47"/>
      <c r="D7" s="46"/>
      <c r="E7" s="79" t="s">
        <v>9</v>
      </c>
      <c r="F7" s="80" t="s">
        <v>30</v>
      </c>
      <c r="G7" s="75"/>
      <c r="H7" s="58"/>
      <c r="I7" s="58"/>
      <c r="J7" s="58"/>
      <c r="K7" s="399"/>
      <c r="L7" s="17"/>
      <c r="M7" s="17"/>
      <c r="N7" s="28"/>
      <c r="O7" s="28"/>
      <c r="P7" s="28"/>
      <c r="Q7" s="28"/>
      <c r="R7" s="28"/>
    </row>
    <row r="8" spans="2:18">
      <c r="B8" s="86">
        <v>3</v>
      </c>
      <c r="C8" s="48"/>
      <c r="D8" s="83" t="s">
        <v>23</v>
      </c>
      <c r="E8" s="81">
        <v>-75</v>
      </c>
      <c r="F8" s="81">
        <v>234</v>
      </c>
      <c r="G8" s="74"/>
      <c r="H8" s="72"/>
      <c r="I8" s="58"/>
      <c r="K8" s="399"/>
      <c r="L8" s="17"/>
      <c r="M8" s="17"/>
      <c r="N8" s="28"/>
      <c r="O8" s="28"/>
      <c r="P8" s="28"/>
      <c r="Q8" s="28"/>
      <c r="R8" s="28"/>
    </row>
    <row r="9" spans="2:18" ht="18" customHeight="1">
      <c r="B9" s="86">
        <v>4</v>
      </c>
      <c r="C9" s="48"/>
      <c r="D9" s="84" t="s">
        <v>31</v>
      </c>
      <c r="E9" s="81">
        <v>694</v>
      </c>
      <c r="F9" s="82">
        <v>0</v>
      </c>
      <c r="G9" s="70"/>
      <c r="H9" s="72"/>
      <c r="I9" s="70">
        <v>0</v>
      </c>
      <c r="J9" s="59"/>
      <c r="K9" s="399"/>
      <c r="L9" s="17"/>
      <c r="M9" s="17"/>
      <c r="N9" s="28"/>
      <c r="O9" s="28"/>
      <c r="P9" s="28"/>
      <c r="Q9" s="28"/>
      <c r="R9" s="28"/>
    </row>
    <row r="10" spans="2:18" ht="17.25" customHeight="1">
      <c r="B10" s="86">
        <v>5</v>
      </c>
      <c r="C10" s="48"/>
      <c r="D10" s="83" t="s">
        <v>37</v>
      </c>
      <c r="E10" s="81">
        <v>1071</v>
      </c>
      <c r="F10" s="82">
        <v>0</v>
      </c>
      <c r="G10" s="70"/>
      <c r="H10" s="72"/>
      <c r="I10" s="70">
        <v>0</v>
      </c>
      <c r="J10" s="59"/>
      <c r="K10" s="399"/>
      <c r="L10" s="17"/>
      <c r="M10" s="17"/>
      <c r="N10" s="28"/>
      <c r="O10" s="28"/>
      <c r="P10" s="28"/>
      <c r="Q10" s="28"/>
      <c r="R10" s="28"/>
    </row>
    <row r="11" spans="2:18" ht="31.5">
      <c r="B11" s="86">
        <v>6</v>
      </c>
      <c r="C11" s="85" t="s">
        <v>21</v>
      </c>
      <c r="D11" s="279"/>
      <c r="E11" s="77"/>
      <c r="F11" s="74"/>
      <c r="G11" s="74"/>
      <c r="H11" s="58">
        <v>12632</v>
      </c>
      <c r="I11" s="58"/>
      <c r="J11" s="60">
        <f>782+1771-6</f>
        <v>2547</v>
      </c>
      <c r="K11" s="271" t="s">
        <v>25</v>
      </c>
      <c r="L11" s="17"/>
      <c r="M11" s="17"/>
      <c r="N11" s="28"/>
      <c r="O11" s="28"/>
      <c r="P11" s="28"/>
      <c r="Q11" s="28"/>
      <c r="R11" s="28"/>
    </row>
    <row r="12" spans="2:18" ht="31.5">
      <c r="B12" s="86">
        <v>7</v>
      </c>
      <c r="C12" s="85" t="s">
        <v>22</v>
      </c>
      <c r="D12" s="49"/>
      <c r="E12" s="73"/>
      <c r="F12" s="76"/>
      <c r="G12" s="76"/>
      <c r="H12" s="61">
        <v>13422</v>
      </c>
      <c r="I12" s="62"/>
      <c r="J12" s="63">
        <f>2910-168</f>
        <v>2742</v>
      </c>
      <c r="K12" s="36" t="s">
        <v>26</v>
      </c>
      <c r="L12" s="30"/>
      <c r="M12" s="30"/>
      <c r="N12" s="28"/>
      <c r="O12" s="28"/>
      <c r="P12" s="28"/>
      <c r="Q12" s="28"/>
      <c r="R12" s="28"/>
    </row>
    <row r="13" spans="2:18" ht="16.5" thickBot="1">
      <c r="B13" s="86">
        <v>8</v>
      </c>
      <c r="C13" s="47" t="s">
        <v>1</v>
      </c>
      <c r="D13" s="49"/>
      <c r="E13" s="73"/>
      <c r="F13" s="77"/>
      <c r="G13" s="77"/>
      <c r="H13" s="64">
        <f>SUM(H4:H12)</f>
        <v>54387</v>
      </c>
      <c r="I13" s="65"/>
      <c r="J13" s="66">
        <f>SUM(J4:J12)</f>
        <v>6630</v>
      </c>
      <c r="K13" s="37"/>
      <c r="L13" s="31"/>
      <c r="M13" s="31"/>
      <c r="N13" s="28"/>
      <c r="O13" s="28"/>
      <c r="P13" s="28"/>
      <c r="Q13" s="28"/>
      <c r="R13" s="28"/>
    </row>
    <row r="14" spans="2:18" ht="6.75" customHeight="1" thickTop="1" thickBot="1">
      <c r="B14" s="41"/>
      <c r="C14" s="50"/>
      <c r="D14" s="51"/>
      <c r="E14" s="78"/>
      <c r="F14" s="78"/>
      <c r="G14" s="78"/>
      <c r="H14" s="51"/>
      <c r="I14" s="51"/>
      <c r="J14" s="67"/>
      <c r="K14" s="71"/>
      <c r="L14" s="28"/>
      <c r="M14" s="28"/>
      <c r="N14" s="28"/>
      <c r="O14" s="28"/>
      <c r="P14" s="28"/>
      <c r="Q14" s="28"/>
      <c r="R14" s="28"/>
    </row>
    <row r="15" spans="2:18" ht="28.5" customHeight="1" thickBot="1">
      <c r="B15" s="42"/>
      <c r="C15" s="403" t="s">
        <v>24</v>
      </c>
      <c r="D15" s="404"/>
      <c r="E15" s="404"/>
      <c r="F15" s="404"/>
      <c r="G15" s="404"/>
      <c r="H15" s="404"/>
      <c r="I15" s="404"/>
      <c r="J15" s="404"/>
      <c r="K15" s="405"/>
      <c r="L15" s="30"/>
      <c r="M15" s="30"/>
      <c r="N15" s="28"/>
      <c r="O15" s="28"/>
      <c r="P15" s="28"/>
      <c r="Q15" s="28"/>
      <c r="R15" s="28"/>
    </row>
    <row r="16" spans="2:18">
      <c r="C16" s="28"/>
      <c r="D16" s="28"/>
      <c r="E16" s="33"/>
      <c r="F16" s="34"/>
      <c r="G16" s="34"/>
      <c r="H16" s="30"/>
      <c r="I16" s="30"/>
      <c r="J16" s="30"/>
      <c r="K16" s="30"/>
      <c r="L16" s="30"/>
      <c r="M16" s="30"/>
      <c r="N16" s="28"/>
      <c r="O16" s="28"/>
      <c r="P16" s="28"/>
      <c r="Q16" s="28"/>
      <c r="R16" s="28"/>
    </row>
    <row r="17" spans="3:18">
      <c r="C17" s="28"/>
      <c r="D17" s="28"/>
      <c r="E17" s="33"/>
      <c r="F17" s="33"/>
      <c r="G17" s="3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3:18">
      <c r="C18" s="28"/>
      <c r="D18" s="28"/>
      <c r="E18" s="33"/>
      <c r="F18" s="33"/>
      <c r="G18" s="3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3:18">
      <c r="C19" s="28"/>
      <c r="D19" s="28"/>
      <c r="E19" s="33"/>
      <c r="F19" s="33"/>
      <c r="G19" s="3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3:18">
      <c r="C20" s="28"/>
      <c r="D20" s="28"/>
      <c r="E20" s="33"/>
      <c r="F20" s="33"/>
      <c r="G20" s="3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3:18">
      <c r="C21" s="28"/>
      <c r="D21" s="28"/>
      <c r="E21" s="33"/>
      <c r="F21" s="33"/>
      <c r="G21" s="3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3:18">
      <c r="C22" s="28"/>
      <c r="D22" s="28"/>
      <c r="E22" s="33"/>
      <c r="F22" s="33"/>
      <c r="G22" s="3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3:18">
      <c r="C23" s="28"/>
      <c r="D23" s="28"/>
      <c r="E23" s="33"/>
      <c r="F23" s="33"/>
      <c r="G23" s="3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3:18">
      <c r="C24" s="28"/>
      <c r="D24" s="28"/>
      <c r="E24" s="33"/>
      <c r="F24" s="33"/>
      <c r="G24" s="3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3:18">
      <c r="C25" s="28"/>
      <c r="D25" s="28"/>
      <c r="E25" s="33"/>
      <c r="F25" s="33"/>
      <c r="G25" s="3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3:18">
      <c r="C26" s="28"/>
      <c r="D26" s="28"/>
      <c r="E26" s="33"/>
      <c r="F26" s="33"/>
      <c r="G26" s="33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</sheetData>
  <mergeCells count="3">
    <mergeCell ref="K6:K10"/>
    <mergeCell ref="C2:K2"/>
    <mergeCell ref="C15:K1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27"/>
  <sheetViews>
    <sheetView topLeftCell="D4" workbookViewId="0">
      <selection activeCell="F23" sqref="F23"/>
    </sheetView>
  </sheetViews>
  <sheetFormatPr defaultRowHeight="15.75"/>
  <cols>
    <col min="1" max="1" width="1.5703125" style="112" customWidth="1"/>
    <col min="2" max="2" width="9.140625" style="112" hidden="1" customWidth="1"/>
    <col min="3" max="3" width="9.140625" style="112"/>
    <col min="4" max="4" width="15.7109375" style="112" bestFit="1" customWidth="1"/>
    <col min="5" max="5" width="19.140625" style="112" customWidth="1"/>
    <col min="6" max="6" width="16.140625" style="112" customWidth="1"/>
    <col min="7" max="7" width="21.42578125" style="112" customWidth="1"/>
    <col min="8" max="8" width="22.5703125" style="112" customWidth="1"/>
    <col min="9" max="9" width="22.7109375" style="112" customWidth="1"/>
    <col min="10" max="11" width="9.140625" style="112"/>
    <col min="12" max="12" width="14.140625" style="112" customWidth="1"/>
    <col min="13" max="14" width="12.85546875" style="112" customWidth="1"/>
    <col min="15" max="15" width="13.5703125" style="112" customWidth="1"/>
    <col min="16" max="16" width="13.7109375" style="112" customWidth="1"/>
    <col min="17" max="16384" width="9.140625" style="112"/>
  </cols>
  <sheetData>
    <row r="4" spans="4:15" ht="16.5" thickBot="1">
      <c r="D4" s="112" t="s">
        <v>72</v>
      </c>
    </row>
    <row r="5" spans="4:15" ht="15.75" customHeight="1">
      <c r="D5" s="406" t="s">
        <v>67</v>
      </c>
      <c r="E5" s="407"/>
      <c r="F5" s="407"/>
      <c r="G5" s="407"/>
      <c r="H5" s="407"/>
      <c r="I5" s="408"/>
    </row>
    <row r="6" spans="4:15">
      <c r="D6" s="113"/>
      <c r="E6" s="117" t="s">
        <v>47</v>
      </c>
      <c r="F6" s="119" t="s">
        <v>39</v>
      </c>
      <c r="G6" s="119" t="s">
        <v>40</v>
      </c>
      <c r="H6" s="119" t="s">
        <v>41</v>
      </c>
      <c r="I6" s="118" t="s">
        <v>42</v>
      </c>
    </row>
    <row r="7" spans="4:15">
      <c r="D7" s="113"/>
      <c r="E7" s="116"/>
      <c r="F7" s="120" t="s">
        <v>5</v>
      </c>
      <c r="G7" s="120" t="s">
        <v>3</v>
      </c>
      <c r="H7" s="114" t="s">
        <v>6</v>
      </c>
      <c r="I7" s="115" t="s">
        <v>7</v>
      </c>
    </row>
    <row r="8" spans="4:15" ht="21.75" customHeight="1">
      <c r="D8" s="128" t="s">
        <v>9</v>
      </c>
      <c r="E8" s="125">
        <v>1410595</v>
      </c>
      <c r="F8" s="125">
        <v>1530469</v>
      </c>
      <c r="G8" s="126">
        <v>1539337</v>
      </c>
      <c r="H8" s="126">
        <v>1574348</v>
      </c>
      <c r="I8" s="127">
        <v>1634379</v>
      </c>
    </row>
    <row r="9" spans="4:15" ht="21" customHeight="1" thickBot="1">
      <c r="D9" s="121" t="s">
        <v>13</v>
      </c>
      <c r="E9" s="122">
        <v>280772</v>
      </c>
      <c r="F9" s="122">
        <v>294398</v>
      </c>
      <c r="G9" s="123">
        <v>300122</v>
      </c>
      <c r="H9" s="123">
        <v>315188.12440000003</v>
      </c>
      <c r="I9" s="124">
        <v>331010.56824488007</v>
      </c>
    </row>
    <row r="10" spans="4:15" ht="16.5" thickBot="1">
      <c r="D10" s="129" t="s">
        <v>46</v>
      </c>
      <c r="E10" s="130" t="s">
        <v>43</v>
      </c>
      <c r="F10" s="130" t="s">
        <v>44</v>
      </c>
      <c r="G10" s="130" t="s">
        <v>45</v>
      </c>
      <c r="H10" s="130" t="s">
        <v>45</v>
      </c>
      <c r="I10" s="131" t="s">
        <v>45</v>
      </c>
    </row>
    <row r="12" spans="4:15" ht="16.5" thickBot="1">
      <c r="L12" s="112" t="s">
        <v>73</v>
      </c>
    </row>
    <row r="13" spans="4:15">
      <c r="L13" s="409" t="s">
        <v>74</v>
      </c>
      <c r="M13" s="410"/>
      <c r="N13" s="410"/>
      <c r="O13" s="411"/>
    </row>
    <row r="14" spans="4:15" ht="47.25">
      <c r="L14" s="171"/>
      <c r="M14" s="172" t="s">
        <v>4</v>
      </c>
      <c r="N14" s="177" t="s">
        <v>5</v>
      </c>
      <c r="O14" s="173" t="s">
        <v>172</v>
      </c>
    </row>
    <row r="15" spans="4:15">
      <c r="L15" s="171"/>
      <c r="M15" s="174" t="s">
        <v>62</v>
      </c>
      <c r="N15" s="178" t="s">
        <v>62</v>
      </c>
      <c r="O15" s="175" t="s">
        <v>63</v>
      </c>
    </row>
    <row r="16" spans="4:15">
      <c r="L16" s="156" t="s">
        <v>9</v>
      </c>
      <c r="M16" s="125">
        <v>1445375</v>
      </c>
      <c r="N16" s="280">
        <v>1530469</v>
      </c>
      <c r="O16" s="127">
        <v>1539337</v>
      </c>
    </row>
    <row r="17" spans="12:16" ht="16.5" thickBot="1">
      <c r="L17" s="176" t="s">
        <v>13</v>
      </c>
      <c r="M17" s="122">
        <v>277091</v>
      </c>
      <c r="N17" s="281">
        <v>294398</v>
      </c>
      <c r="O17" s="124">
        <v>300122</v>
      </c>
    </row>
    <row r="19" spans="12:16" ht="16.5" thickBot="1">
      <c r="L19" s="112" t="s">
        <v>168</v>
      </c>
    </row>
    <row r="20" spans="12:16" ht="16.5" thickBot="1">
      <c r="L20" s="412" t="s">
        <v>75</v>
      </c>
      <c r="M20" s="413"/>
      <c r="N20" s="413"/>
      <c r="O20" s="413"/>
      <c r="P20" s="414"/>
    </row>
    <row r="21" spans="12:16">
      <c r="L21" s="155"/>
      <c r="M21" s="151" t="s">
        <v>61</v>
      </c>
      <c r="N21" s="410" t="s">
        <v>60</v>
      </c>
      <c r="O21" s="410"/>
      <c r="P21" s="411"/>
    </row>
    <row r="22" spans="12:16">
      <c r="L22" s="156"/>
      <c r="M22" s="152"/>
      <c r="N22" s="166" t="s">
        <v>3</v>
      </c>
      <c r="O22" s="157" t="s">
        <v>6</v>
      </c>
      <c r="P22" s="158" t="s">
        <v>7</v>
      </c>
    </row>
    <row r="23" spans="12:16" ht="18">
      <c r="L23" s="156"/>
      <c r="M23" s="153">
        <v>43100</v>
      </c>
      <c r="N23" s="167">
        <v>43221</v>
      </c>
      <c r="O23" s="159" t="s">
        <v>58</v>
      </c>
      <c r="P23" s="160" t="s">
        <v>59</v>
      </c>
    </row>
    <row r="24" spans="12:16">
      <c r="L24" s="156" t="s">
        <v>9</v>
      </c>
      <c r="M24" s="169">
        <v>1530469</v>
      </c>
      <c r="N24" s="168">
        <v>1454074</v>
      </c>
      <c r="O24" s="164">
        <v>1498277.8496000001</v>
      </c>
      <c r="P24" s="165">
        <v>1543825.49622784</v>
      </c>
    </row>
    <row r="25" spans="12:16" ht="16.5" thickBot="1">
      <c r="L25" s="161" t="s">
        <v>13</v>
      </c>
      <c r="M25" s="170">
        <v>294398</v>
      </c>
      <c r="N25" s="162">
        <v>284963</v>
      </c>
      <c r="O25" s="162">
        <v>299268.14260000002</v>
      </c>
      <c r="P25" s="163">
        <v>314291.40335852001</v>
      </c>
    </row>
    <row r="26" spans="12:16">
      <c r="L26" s="415" t="s">
        <v>66</v>
      </c>
      <c r="M26" s="416"/>
      <c r="N26" s="416"/>
      <c r="O26" s="416"/>
      <c r="P26" s="417"/>
    </row>
    <row r="27" spans="12:16" ht="16.5" thickBot="1">
      <c r="L27" s="418"/>
      <c r="M27" s="419"/>
      <c r="N27" s="419"/>
      <c r="O27" s="419"/>
      <c r="P27" s="420"/>
    </row>
  </sheetData>
  <mergeCells count="5">
    <mergeCell ref="D5:I5"/>
    <mergeCell ref="L13:O13"/>
    <mergeCell ref="L20:P20"/>
    <mergeCell ref="N21:P21"/>
    <mergeCell ref="L26:P27"/>
  </mergeCells>
  <pageMargins left="0.7" right="0.7" top="0.75" bottom="0.75" header="0.3" footer="0.3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9"/>
  <sheetViews>
    <sheetView topLeftCell="A4" workbookViewId="0">
      <selection activeCell="K11" sqref="K11"/>
    </sheetView>
  </sheetViews>
  <sheetFormatPr defaultRowHeight="15.75"/>
  <cols>
    <col min="1" max="1" width="9.140625" style="112"/>
    <col min="2" max="2" width="17.42578125" style="112" customWidth="1"/>
    <col min="3" max="4" width="12.85546875" style="112" customWidth="1"/>
    <col min="5" max="5" width="13.5703125" style="112" customWidth="1"/>
    <col min="6" max="6" width="13.7109375" style="112" customWidth="1"/>
    <col min="7" max="16384" width="9.140625" style="112"/>
  </cols>
  <sheetData>
    <row r="3" spans="1:7" ht="16.5" thickBot="1">
      <c r="B3" s="112" t="s">
        <v>168</v>
      </c>
    </row>
    <row r="4" spans="1:7">
      <c r="B4" s="412" t="s">
        <v>75</v>
      </c>
      <c r="C4" s="413"/>
      <c r="D4" s="413"/>
      <c r="E4" s="413"/>
      <c r="F4" s="414"/>
    </row>
    <row r="5" spans="1:7" ht="31.5">
      <c r="B5" s="156"/>
      <c r="C5" s="282" t="s">
        <v>173</v>
      </c>
      <c r="D5" s="283" t="s">
        <v>3</v>
      </c>
      <c r="E5" s="283" t="s">
        <v>6</v>
      </c>
      <c r="F5" s="283" t="s">
        <v>7</v>
      </c>
    </row>
    <row r="6" spans="1:7">
      <c r="B6" s="156" t="s">
        <v>174</v>
      </c>
      <c r="C6" s="169">
        <v>1530</v>
      </c>
      <c r="D6" s="169">
        <v>1530</v>
      </c>
      <c r="E6" s="169">
        <v>1530</v>
      </c>
      <c r="F6" s="169">
        <v>1530</v>
      </c>
    </row>
    <row r="7" spans="1:7">
      <c r="B7" s="156" t="s">
        <v>0</v>
      </c>
      <c r="C7" s="168">
        <v>1454</v>
      </c>
      <c r="D7" s="168">
        <v>1454</v>
      </c>
      <c r="E7" s="164">
        <v>1498</v>
      </c>
      <c r="F7" s="165">
        <v>1544</v>
      </c>
    </row>
    <row r="16" spans="1:7">
      <c r="A16" s="372"/>
      <c r="B16" s="372"/>
      <c r="C16" s="372"/>
      <c r="D16" s="372"/>
      <c r="E16" s="372"/>
      <c r="F16" s="372"/>
      <c r="G16" s="372"/>
    </row>
    <row r="17" spans="1:7">
      <c r="A17" s="372"/>
      <c r="B17" s="372"/>
      <c r="C17" s="372"/>
      <c r="D17" s="372"/>
      <c r="E17" s="372"/>
      <c r="F17" s="372"/>
      <c r="G17" s="372"/>
    </row>
    <row r="18" spans="1:7">
      <c r="A18" s="372"/>
      <c r="B18" s="373"/>
      <c r="C18" s="374"/>
      <c r="D18" s="374"/>
      <c r="E18" s="374"/>
      <c r="F18" s="374"/>
      <c r="G18" s="372"/>
    </row>
    <row r="19" spans="1:7">
      <c r="A19" s="372"/>
      <c r="B19" s="372"/>
      <c r="C19" s="372"/>
      <c r="D19" s="372"/>
      <c r="E19" s="372"/>
      <c r="F19" s="372"/>
      <c r="G19" s="372"/>
    </row>
  </sheetData>
  <mergeCells count="1">
    <mergeCell ref="B4:F4"/>
  </mergeCells>
  <pageMargins left="0.7" right="0.7" top="0.75" bottom="0.75" header="0.3" footer="0.3"/>
  <pageSetup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N23" sqref="N23"/>
    </sheetView>
  </sheetViews>
  <sheetFormatPr defaultRowHeight="15"/>
  <cols>
    <col min="1" max="1" width="4.5703125" customWidth="1"/>
    <col min="2" max="4" width="9.140625" hidden="1" customWidth="1"/>
    <col min="5" max="5" width="14.5703125" bestFit="1" customWidth="1"/>
    <col min="6" max="6" width="14.28515625" customWidth="1"/>
    <col min="7" max="9" width="17.5703125" customWidth="1"/>
    <col min="10" max="10" width="12" customWidth="1"/>
    <col min="18" max="21" width="10.5703125" bestFit="1" customWidth="1"/>
  </cols>
  <sheetData>
    <row r="2" spans="5:9">
      <c r="G2" t="s">
        <v>8</v>
      </c>
    </row>
    <row r="3" spans="5:9">
      <c r="E3" t="s">
        <v>9</v>
      </c>
      <c r="F3" s="95" t="s">
        <v>5</v>
      </c>
      <c r="G3" s="94">
        <v>43221</v>
      </c>
      <c r="H3" s="94">
        <v>43586</v>
      </c>
      <c r="I3" s="94">
        <v>43952</v>
      </c>
    </row>
    <row r="4" spans="5:9">
      <c r="E4" t="s">
        <v>0</v>
      </c>
      <c r="F4" s="4">
        <v>1454074</v>
      </c>
      <c r="G4" s="2">
        <f>F4</f>
        <v>1454074</v>
      </c>
      <c r="H4" s="8">
        <v>1498277.8496000001</v>
      </c>
      <c r="I4" s="6">
        <v>1543825.49622784</v>
      </c>
    </row>
    <row r="5" spans="5:9">
      <c r="E5" t="s">
        <v>2</v>
      </c>
      <c r="F5" s="5">
        <v>1530469</v>
      </c>
      <c r="G5" s="1">
        <v>1539337</v>
      </c>
      <c r="H5" s="1">
        <v>1574348</v>
      </c>
      <c r="I5" s="1">
        <v>1634379</v>
      </c>
    </row>
    <row r="6" spans="5:9">
      <c r="F6" s="4"/>
      <c r="G6" s="1"/>
      <c r="H6" s="1"/>
      <c r="I6" s="1"/>
    </row>
    <row r="7" spans="5:9">
      <c r="E7" s="146"/>
      <c r="F7" s="147"/>
      <c r="G7" s="147"/>
      <c r="H7" s="147"/>
      <c r="I7" s="147"/>
    </row>
    <row r="8" spans="5:9">
      <c r="E8" s="146" t="s">
        <v>49</v>
      </c>
      <c r="F8" s="148"/>
      <c r="G8" s="148"/>
      <c r="H8" s="148"/>
      <c r="I8" s="148"/>
    </row>
    <row r="9" spans="5:9">
      <c r="E9" s="146"/>
      <c r="F9" s="147"/>
      <c r="G9" s="147"/>
      <c r="H9" s="147"/>
      <c r="I9" s="147"/>
    </row>
    <row r="10" spans="5:9">
      <c r="E10" s="146"/>
      <c r="F10" s="147"/>
      <c r="G10" s="147"/>
      <c r="H10" s="147"/>
      <c r="I10" s="147"/>
    </row>
    <row r="11" spans="5:9">
      <c r="E11" s="146"/>
      <c r="F11" s="147"/>
      <c r="G11" s="147"/>
      <c r="H11" s="147"/>
      <c r="I11" s="147"/>
    </row>
    <row r="12" spans="5:9">
      <c r="E12" s="146"/>
      <c r="F12" s="147"/>
      <c r="G12" s="146"/>
      <c r="H12" s="146"/>
      <c r="I12" s="146"/>
    </row>
    <row r="13" spans="5:9">
      <c r="E13" s="146"/>
      <c r="F13" s="146"/>
      <c r="G13" s="146"/>
      <c r="H13" s="146"/>
      <c r="I13" s="146"/>
    </row>
    <row r="15" spans="5:9">
      <c r="F15" t="s">
        <v>48</v>
      </c>
    </row>
  </sheetData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2" zoomScale="115" zoomScaleNormal="115" workbookViewId="0">
      <selection activeCell="O31" sqref="O31"/>
    </sheetView>
  </sheetViews>
  <sheetFormatPr defaultRowHeight="15"/>
  <cols>
    <col min="1" max="1" width="4.5703125" customWidth="1"/>
    <col min="2" max="4" width="9.140625" hidden="1" customWidth="1"/>
    <col min="5" max="5" width="14.5703125" bestFit="1" customWidth="1"/>
    <col min="6" max="6" width="14.28515625" customWidth="1"/>
    <col min="7" max="9" width="17.5703125" customWidth="1"/>
    <col min="10" max="10" width="12" customWidth="1"/>
  </cols>
  <sheetData>
    <row r="1" spans="1:9" hidden="1"/>
    <row r="2" spans="1:9" hidden="1"/>
    <row r="3" spans="1:9" ht="15.75" thickBot="1"/>
    <row r="4" spans="1:9">
      <c r="A4" s="132"/>
      <c r="B4" s="133"/>
      <c r="C4" s="133"/>
      <c r="D4" s="133"/>
      <c r="E4" s="133"/>
      <c r="F4" s="133"/>
      <c r="G4" s="133" t="s">
        <v>8</v>
      </c>
      <c r="H4" s="133"/>
      <c r="I4" s="134"/>
    </row>
    <row r="5" spans="1:9">
      <c r="A5" s="135"/>
      <c r="B5" s="136"/>
      <c r="C5" s="136"/>
      <c r="D5" s="136"/>
      <c r="E5" s="136" t="s">
        <v>9</v>
      </c>
      <c r="F5" s="95" t="s">
        <v>5</v>
      </c>
      <c r="G5" s="94">
        <v>43221</v>
      </c>
      <c r="H5" s="94">
        <v>43586</v>
      </c>
      <c r="I5" s="137">
        <v>43952</v>
      </c>
    </row>
    <row r="6" spans="1:9">
      <c r="A6" s="135"/>
      <c r="B6" s="136"/>
      <c r="C6" s="136"/>
      <c r="D6" s="136"/>
      <c r="E6" s="136" t="s">
        <v>1</v>
      </c>
      <c r="F6" s="7">
        <v>1507919</v>
      </c>
      <c r="G6" s="138">
        <v>1507919</v>
      </c>
      <c r="H6" s="139">
        <v>1553759.7375999999</v>
      </c>
      <c r="I6" s="140">
        <v>1600994.03362304</v>
      </c>
    </row>
    <row r="7" spans="1:9">
      <c r="A7" s="135"/>
      <c r="B7" s="136"/>
      <c r="C7" s="136"/>
      <c r="D7" s="136"/>
      <c r="E7" s="136" t="s">
        <v>2</v>
      </c>
      <c r="F7" s="5">
        <v>1530469</v>
      </c>
      <c r="G7" s="139">
        <v>1539337</v>
      </c>
      <c r="H7" s="139">
        <v>1574348</v>
      </c>
      <c r="I7" s="140">
        <v>1634379</v>
      </c>
    </row>
    <row r="8" spans="1:9" ht="15.75" thickBot="1">
      <c r="A8" s="141"/>
      <c r="B8" s="142"/>
      <c r="C8" s="142"/>
      <c r="D8" s="142"/>
      <c r="E8" s="142"/>
      <c r="F8" s="143"/>
      <c r="G8" s="144"/>
      <c r="H8" s="144"/>
      <c r="I8" s="145"/>
    </row>
    <row r="9" spans="1:9">
      <c r="E9" s="146"/>
      <c r="F9" s="147"/>
      <c r="G9" s="147"/>
      <c r="H9" s="147"/>
      <c r="I9" s="147"/>
    </row>
    <row r="10" spans="1:9">
      <c r="E10" s="146"/>
      <c r="F10" s="148"/>
      <c r="G10" s="148"/>
      <c r="H10" s="148"/>
      <c r="I10" s="148"/>
    </row>
    <row r="11" spans="1:9">
      <c r="E11" s="146"/>
      <c r="F11" s="147"/>
      <c r="G11" s="147"/>
      <c r="H11" s="147"/>
      <c r="I11" s="147"/>
    </row>
    <row r="12" spans="1:9">
      <c r="E12" s="146"/>
      <c r="F12" s="147"/>
      <c r="G12" s="147"/>
      <c r="H12" s="147"/>
      <c r="I12" s="147"/>
    </row>
    <row r="13" spans="1:9">
      <c r="E13" s="146"/>
      <c r="F13" s="147"/>
      <c r="G13" s="147"/>
      <c r="H13" s="147"/>
      <c r="I13" s="147"/>
    </row>
    <row r="14" spans="1:9">
      <c r="E14" s="146"/>
      <c r="F14" s="147"/>
      <c r="G14" s="146"/>
      <c r="H14" s="146"/>
      <c r="I14" s="146"/>
    </row>
    <row r="15" spans="1:9">
      <c r="E15" s="146"/>
      <c r="F15" s="146"/>
      <c r="G15" s="146"/>
      <c r="H15" s="146"/>
      <c r="I15" s="146"/>
    </row>
    <row r="16" spans="1:9">
      <c r="E16" s="146"/>
      <c r="F16" s="146"/>
      <c r="G16" s="146"/>
      <c r="H16" s="146"/>
      <c r="I16" s="146"/>
    </row>
    <row r="17" spans="5:9">
      <c r="E17" s="146"/>
      <c r="F17" s="146"/>
      <c r="G17" s="146"/>
      <c r="H17" s="146"/>
      <c r="I17" s="146"/>
    </row>
  </sheetData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17"/>
  <sheetViews>
    <sheetView topLeftCell="A22" workbookViewId="0">
      <selection activeCell="P40" sqref="P40"/>
    </sheetView>
  </sheetViews>
  <sheetFormatPr defaultRowHeight="15"/>
  <cols>
    <col min="1" max="1" width="4.5703125" customWidth="1"/>
    <col min="2" max="4" width="9.140625" hidden="1" customWidth="1"/>
    <col min="5" max="5" width="14.5703125" bestFit="1" customWidth="1"/>
    <col min="6" max="6" width="14.28515625" customWidth="1"/>
    <col min="7" max="9" width="17.5703125" customWidth="1"/>
    <col min="10" max="10" width="12" customWidth="1"/>
    <col min="13" max="14" width="13.5703125" customWidth="1"/>
    <col min="15" max="15" width="13.28515625" customWidth="1"/>
    <col min="16" max="16" width="11.5703125" bestFit="1" customWidth="1"/>
    <col min="17" max="17" width="12.28515625" customWidth="1"/>
    <col min="18" max="18" width="10.5703125" bestFit="1" customWidth="1"/>
  </cols>
  <sheetData>
    <row r="5" spans="5:17">
      <c r="G5" t="s">
        <v>8</v>
      </c>
    </row>
    <row r="6" spans="5:17">
      <c r="F6" s="95" t="s">
        <v>5</v>
      </c>
      <c r="G6" s="94">
        <v>43221</v>
      </c>
      <c r="H6" s="94">
        <v>43586</v>
      </c>
      <c r="I6" s="94">
        <v>43952</v>
      </c>
    </row>
    <row r="7" spans="5:17">
      <c r="E7" t="s">
        <v>0</v>
      </c>
      <c r="F7" s="4">
        <v>1454074</v>
      </c>
      <c r="G7" s="2">
        <f>F7</f>
        <v>1454074</v>
      </c>
      <c r="H7" s="8">
        <v>1498277.8496000001</v>
      </c>
      <c r="I7" s="6">
        <v>1543825.49622784</v>
      </c>
    </row>
    <row r="8" spans="5:17" ht="15" customHeight="1">
      <c r="E8" t="s">
        <v>1</v>
      </c>
      <c r="F8" s="7">
        <v>1507919</v>
      </c>
      <c r="G8" s="2">
        <v>1507919</v>
      </c>
      <c r="H8" s="1">
        <v>1553759.7375999999</v>
      </c>
      <c r="I8" s="1">
        <v>1600994.03362304</v>
      </c>
    </row>
    <row r="9" spans="5:17">
      <c r="E9" t="s">
        <v>2</v>
      </c>
      <c r="F9" s="5">
        <v>1530469</v>
      </c>
      <c r="G9" s="1">
        <v>1539337</v>
      </c>
      <c r="H9" s="1">
        <v>1574348</v>
      </c>
      <c r="I9" s="1">
        <v>1634379</v>
      </c>
    </row>
    <row r="10" spans="5:17" ht="11.25" customHeight="1">
      <c r="F10" s="4"/>
      <c r="G10" s="1"/>
      <c r="H10" s="1"/>
      <c r="I10" s="1"/>
      <c r="M10" s="154"/>
      <c r="N10" s="154"/>
      <c r="O10" s="154"/>
      <c r="P10" s="154"/>
      <c r="Q10" s="154"/>
    </row>
    <row r="11" spans="5:17">
      <c r="F11" s="4"/>
      <c r="G11" s="1"/>
      <c r="H11" s="1"/>
      <c r="I11" s="1"/>
      <c r="M11" s="136"/>
      <c r="N11" s="136"/>
      <c r="O11" s="136"/>
      <c r="P11" s="136"/>
      <c r="Q11" s="136"/>
    </row>
    <row r="12" spans="5:17">
      <c r="F12" s="95" t="s">
        <v>33</v>
      </c>
      <c r="G12" s="94">
        <v>43221</v>
      </c>
      <c r="H12" s="94">
        <v>43586</v>
      </c>
      <c r="I12" s="94">
        <v>43952</v>
      </c>
      <c r="O12" s="149"/>
    </row>
    <row r="13" spans="5:17">
      <c r="E13" t="s">
        <v>0</v>
      </c>
      <c r="F13" s="4">
        <v>284963</v>
      </c>
      <c r="G13" s="1">
        <v>284963</v>
      </c>
      <c r="H13" s="6">
        <v>299268.14260000002</v>
      </c>
      <c r="I13" s="1">
        <v>314291.40335852001</v>
      </c>
    </row>
    <row r="14" spans="5:17">
      <c r="E14" t="s">
        <v>1</v>
      </c>
      <c r="F14" s="7">
        <v>293579</v>
      </c>
      <c r="G14" s="1">
        <v>293579</v>
      </c>
      <c r="H14" s="8">
        <v>308316.66580000002</v>
      </c>
      <c r="I14" s="1">
        <v>323794.16242316004</v>
      </c>
    </row>
    <row r="15" spans="5:17">
      <c r="E15" t="s">
        <v>2</v>
      </c>
      <c r="F15" s="5">
        <v>294398</v>
      </c>
      <c r="G15" s="1">
        <v>300122</v>
      </c>
      <c r="H15" s="8">
        <v>315188.12440000003</v>
      </c>
      <c r="I15" s="1">
        <v>331010.56824488007</v>
      </c>
    </row>
    <row r="16" spans="5:17">
      <c r="F16" s="4"/>
      <c r="H16" s="9"/>
    </row>
    <row r="17" spans="6:6">
      <c r="F17" s="3"/>
    </row>
  </sheetData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2"/>
  <sheetViews>
    <sheetView workbookViewId="0">
      <selection activeCell="B4" sqref="B4:D4"/>
    </sheetView>
  </sheetViews>
  <sheetFormatPr defaultRowHeight="15"/>
  <cols>
    <col min="2" max="2" width="21.28515625" customWidth="1"/>
    <col min="3" max="3" width="17.7109375" customWidth="1"/>
    <col min="4" max="4" width="18.5703125" customWidth="1"/>
    <col min="5" max="5" width="16.85546875" customWidth="1"/>
    <col min="6" max="6" width="15.5703125" customWidth="1"/>
  </cols>
  <sheetData>
    <row r="3" spans="2:6" ht="15.75" thickBot="1">
      <c r="B3" t="s">
        <v>169</v>
      </c>
    </row>
    <row r="4" spans="2:6" ht="15.75" thickBot="1">
      <c r="B4" s="421" t="s">
        <v>112</v>
      </c>
      <c r="C4" s="422"/>
      <c r="D4" s="423"/>
      <c r="E4" s="429" t="s">
        <v>114</v>
      </c>
      <c r="F4" s="430"/>
    </row>
    <row r="5" spans="2:6" ht="60.75" customHeight="1">
      <c r="B5" s="229" t="s">
        <v>111</v>
      </c>
      <c r="C5" s="232" t="s">
        <v>113</v>
      </c>
      <c r="D5" s="233" t="s">
        <v>115</v>
      </c>
      <c r="E5" s="228" t="s">
        <v>116</v>
      </c>
      <c r="F5" s="219" t="s">
        <v>117</v>
      </c>
    </row>
    <row r="6" spans="2:6">
      <c r="B6" s="424" t="s">
        <v>9</v>
      </c>
      <c r="C6" s="425"/>
      <c r="D6" s="426"/>
      <c r="E6" s="427" t="s">
        <v>9</v>
      </c>
      <c r="F6" s="428"/>
    </row>
    <row r="7" spans="2:6">
      <c r="B7" s="214" t="s">
        <v>109</v>
      </c>
      <c r="C7" s="215">
        <v>69691</v>
      </c>
      <c r="D7" s="216">
        <v>62544</v>
      </c>
      <c r="E7" s="220">
        <v>53029</v>
      </c>
      <c r="F7" s="221">
        <v>45841</v>
      </c>
    </row>
    <row r="8" spans="2:6">
      <c r="B8" s="224" t="s">
        <v>110</v>
      </c>
      <c r="C8" s="225">
        <v>11639</v>
      </c>
      <c r="D8" s="230">
        <v>11610</v>
      </c>
      <c r="E8" s="226">
        <v>10055</v>
      </c>
      <c r="F8" s="227">
        <v>8671</v>
      </c>
    </row>
    <row r="9" spans="2:6">
      <c r="B9" s="424" t="s">
        <v>13</v>
      </c>
      <c r="C9" s="425"/>
      <c r="D9" s="426"/>
      <c r="E9" s="427" t="s">
        <v>13</v>
      </c>
      <c r="F9" s="428"/>
    </row>
    <row r="10" spans="2:6">
      <c r="B10" s="214" t="s">
        <v>109</v>
      </c>
      <c r="C10" s="215">
        <v>14160</v>
      </c>
      <c r="D10" s="216">
        <v>16488</v>
      </c>
      <c r="E10" s="220">
        <v>14189</v>
      </c>
      <c r="F10" s="221">
        <v>12453</v>
      </c>
    </row>
    <row r="11" spans="2:6" ht="15.75" thickBot="1">
      <c r="B11" s="231" t="s">
        <v>110</v>
      </c>
      <c r="C11" s="217">
        <v>2315</v>
      </c>
      <c r="D11" s="218">
        <v>3170</v>
      </c>
      <c r="E11" s="222">
        <v>2787</v>
      </c>
      <c r="F11" s="223">
        <v>2441</v>
      </c>
    </row>
    <row r="12" spans="2:6">
      <c r="B12" s="213"/>
      <c r="C12" s="213"/>
      <c r="D12" s="213"/>
      <c r="E12" s="213"/>
      <c r="F12" s="213"/>
    </row>
  </sheetData>
  <mergeCells count="6">
    <mergeCell ref="B4:D4"/>
    <mergeCell ref="B6:D6"/>
    <mergeCell ref="B9:D9"/>
    <mergeCell ref="E6:F6"/>
    <mergeCell ref="E9:F9"/>
    <mergeCell ref="E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F3371E9-FF48-4FE5-A5C1-4E8F4AE3615E}"/>
</file>

<file path=customXml/itemProps2.xml><?xml version="1.0" encoding="utf-8"?>
<ds:datastoreItem xmlns:ds="http://schemas.openxmlformats.org/officeDocument/2006/customXml" ds:itemID="{7556E2EE-B8E3-41E3-B19B-B6C4F5B49ED4}"/>
</file>

<file path=customXml/itemProps3.xml><?xml version="1.0" encoding="utf-8"?>
<ds:datastoreItem xmlns:ds="http://schemas.openxmlformats.org/officeDocument/2006/customXml" ds:itemID="{D30A879F-78D3-4C5B-8F71-530BFEBAE43A}"/>
</file>

<file path=customXml/itemProps4.xml><?xml version="1.0" encoding="utf-8"?>
<ds:datastoreItem xmlns:ds="http://schemas.openxmlformats.org/officeDocument/2006/customXml" ds:itemID="{CCFAA658-09B6-47FF-BD64-290EB13D1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Rebuttal vs Filed-Tbl 1 and 2</vt:lpstr>
      <vt:lpstr>Table 3-Ill 3</vt:lpstr>
      <vt:lpstr>Staff vs Avista-Tbl 4</vt:lpstr>
      <vt:lpstr>Table No. 5-7</vt:lpstr>
      <vt:lpstr>Illustration-1</vt:lpstr>
      <vt:lpstr>Chart 1- Staff Elec</vt:lpstr>
      <vt:lpstr>Chart 2 - Avista Reb Elec</vt:lpstr>
      <vt:lpstr>Chart 3 - 3 year rate bas Ele</vt:lpstr>
      <vt:lpstr>Table 8</vt:lpstr>
      <vt:lpstr>Table 9-E</vt:lpstr>
      <vt:lpstr>Table 10-G</vt:lpstr>
      <vt:lpstr>Illustration 2</vt:lpstr>
      <vt:lpstr>Uncont-Contested Tbls 11-12</vt:lpstr>
      <vt:lpstr>Table 13</vt:lpstr>
      <vt:lpstr>Table 14</vt:lpstr>
      <vt:lpstr>'Rebuttal vs Filed-Tbl 1 and 2'!Print_Area</vt:lpstr>
      <vt:lpstr>'Uncont-Contested Tbls 11-12'!Print_Area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Liz Andrews</cp:lastModifiedBy>
  <cp:lastPrinted>2017-11-19T20:48:13Z</cp:lastPrinted>
  <dcterms:created xsi:type="dcterms:W3CDTF">2017-11-07T00:18:54Z</dcterms:created>
  <dcterms:modified xsi:type="dcterms:W3CDTF">2017-11-30T19:30:23Z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