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1250" yWindow="270" windowWidth="15200" windowHeight="8090"/>
  </bookViews>
  <sheets>
    <sheet name="Elec 03-31-15" sheetId="48" r:id="rId1"/>
    <sheet name="Gas 03-31-15" sheetId="47" r:id="rId2"/>
    <sheet name="03.31.15 UST" sheetId="46" r:id="rId3"/>
    <sheet name="Elec JE Template" sheetId="23" state="hidden" r:id="rId4"/>
    <sheet name=" Elec 09-30-13 (2)" sheetId="29" state="hidden" r:id="rId5"/>
    <sheet name=" Gas 9-30-13" sheetId="26" state="hidden" r:id="rId6"/>
    <sheet name="Gas JE Template" sheetId="24" state="hidden" r:id="rId7"/>
    <sheet name="Sheet1" sheetId="27" r:id="rId8"/>
  </sheets>
  <definedNames>
    <definedName name="_xlnm.Print_Area" localSheetId="4">' Elec 09-30-13 (2)'!$A$1:$T$88</definedName>
    <definedName name="_xlnm.Print_Area" localSheetId="5">' Gas 9-30-13'!$A$1:$S$90</definedName>
    <definedName name="_xlnm.Print_Area" localSheetId="2">'03.31.15 UST'!$A$1:$D$32</definedName>
    <definedName name="_xlnm.Print_Area" localSheetId="0">'Elec 03-31-15'!$A$1:$U$95</definedName>
    <definedName name="_xlnm.Print_Area" localSheetId="3">'Elec JE Template'!$A$1:$D$33</definedName>
    <definedName name="_xlnm.Print_Area" localSheetId="1">'Gas 03-31-15'!$A$1:$S$98</definedName>
    <definedName name="_xlnm.Print_Area" localSheetId="6">'Gas JE Template'!$A$1:$D$28</definedName>
    <definedName name="_xlnm.Print_Titles" localSheetId="4">' Elec 09-30-13 (2)'!$1:$4</definedName>
    <definedName name="_xlnm.Print_Titles" localSheetId="5">' Gas 9-30-13'!$1:$3</definedName>
    <definedName name="_xlnm.Print_Titles" localSheetId="0">'Elec 03-31-15'!$1:$4</definedName>
    <definedName name="_xlnm.Print_Titles" localSheetId="1">'Gas 03-31-15'!$1:$3</definedName>
    <definedName name="re" localSheetId="4" hidden="1">{#N/A,#N/A,FALSE,"Pg 6b CustCount_Gas";#N/A,#N/A,FALSE,"QA";#N/A,#N/A,FALSE,"Report";#N/A,#N/A,FALSE,"forecast"}</definedName>
    <definedName name="re" localSheetId="0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Therm_upload" localSheetId="4">#REF!</definedName>
    <definedName name="Therm_upload" localSheetId="5">#REF!</definedName>
    <definedName name="Therm_upload" localSheetId="2">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XXXX" localSheetId="4" hidden="1">{#N/A,#N/A,FALSE,"2002 Small Tool OH";#N/A,#N/A,FALSE,"QA"}</definedName>
    <definedName name="XXXX" localSheetId="0" hidden="1">{#N/A,#N/A,FALSE,"2002 Small Tool OH";#N/A,#N/A,FALSE,"QA"}</definedName>
    <definedName name="XXXX" hidden="1">{#N/A,#N/A,FALSE,"2002 Small Tool OH";#N/A,#N/A,FALSE,"QA"}</definedName>
    <definedName name="Z_076EDBFF_CF87_4A08_A452_04AEF41EFBF4_.wvu.PrintArea" localSheetId="2" hidden="1">'03.31.15 UST'!$A$1:$D$32</definedName>
    <definedName name="Z_26ED99BA_758A_4BD8_9111_A618CCCFB6D5_.wvu.PrintArea" localSheetId="2" hidden="1">'03.31.15 UST'!$A$1:$D$32</definedName>
    <definedName name="Z_2A8E2259_D63C_4AFE_B513_93BD099E332B_.wvu.PrintArea" localSheetId="2" hidden="1">'03.31.15 UST'!$A$1:$D$32</definedName>
    <definedName name="Z_350C24E7_0680_4090_9B30_2DE6CEDBB7B4_.wvu.PrintArea" localSheetId="2" hidden="1">'03.31.15 UST'!$A$1:$D$32</definedName>
    <definedName name="Z_5398F47A_927B_4323_8756_CA4D6BFF7AE7_.wvu.PrintArea" localSheetId="2" hidden="1">'03.31.15 UST'!$A$1:$D$32</definedName>
    <definedName name="Z_688B62AB_26DC_497A_AE34_C4F4A3024E62_.wvu.PrintArea" localSheetId="2" hidden="1">'03.31.15 UST'!$A$1:$D$32</definedName>
  </definedNames>
  <calcPr calcId="152511"/>
</workbook>
</file>

<file path=xl/calcChain.xml><?xml version="1.0" encoding="utf-8"?>
<calcChain xmlns="http://schemas.openxmlformats.org/spreadsheetml/2006/main">
  <c r="K33" i="48" l="1"/>
  <c r="K34" i="48"/>
  <c r="I76" i="48" l="1"/>
  <c r="T76" i="48"/>
  <c r="L74" i="48"/>
  <c r="K27" i="47"/>
  <c r="K24" i="47"/>
  <c r="K23" i="47"/>
  <c r="H81" i="47"/>
  <c r="H78" i="47"/>
  <c r="H83" i="47" s="1"/>
  <c r="K25" i="47" l="1"/>
  <c r="K19" i="47"/>
  <c r="K18" i="47"/>
  <c r="K70" i="48"/>
  <c r="L25" i="48"/>
  <c r="K76" i="48" l="1"/>
  <c r="J28" i="47"/>
  <c r="R74" i="48" l="1"/>
  <c r="L72" i="48" l="1"/>
  <c r="P72" i="48" s="1"/>
  <c r="R72" i="48" s="1"/>
  <c r="I21" i="48"/>
  <c r="I17" i="48"/>
  <c r="J17" i="48"/>
  <c r="K17" i="48"/>
  <c r="L5" i="48"/>
  <c r="N3" i="48"/>
  <c r="I11" i="48"/>
  <c r="K12" i="47"/>
  <c r="K11" i="47"/>
  <c r="K8" i="47"/>
  <c r="K7" i="47"/>
  <c r="K9" i="47" s="1"/>
  <c r="K37" i="47"/>
  <c r="O7" i="47" l="1"/>
  <c r="Q7" i="47" s="1"/>
  <c r="M8" i="47"/>
  <c r="Q8" i="47" s="1"/>
  <c r="K95" i="48" l="1"/>
  <c r="K92" i="48"/>
  <c r="N76" i="48"/>
  <c r="L68" i="48"/>
  <c r="P68" i="48" s="1"/>
  <c r="R68" i="48" s="1"/>
  <c r="T64" i="48"/>
  <c r="P64" i="48"/>
  <c r="K64" i="48"/>
  <c r="L63" i="48"/>
  <c r="L64" i="48" s="1"/>
  <c r="T61" i="48"/>
  <c r="P61" i="48"/>
  <c r="K61" i="48"/>
  <c r="I61" i="48"/>
  <c r="L60" i="48"/>
  <c r="L61" i="48" s="1"/>
  <c r="T57" i="48"/>
  <c r="K57" i="48"/>
  <c r="I57" i="48"/>
  <c r="I80" i="48" s="1"/>
  <c r="L56" i="48"/>
  <c r="N56" i="48" s="1"/>
  <c r="L55" i="48"/>
  <c r="L57" i="48" s="1"/>
  <c r="T53" i="48"/>
  <c r="I53" i="48"/>
  <c r="L52" i="48"/>
  <c r="N52" i="48" s="1"/>
  <c r="R52" i="48" s="1"/>
  <c r="T48" i="48"/>
  <c r="K48" i="48"/>
  <c r="I48" i="48"/>
  <c r="L47" i="48"/>
  <c r="N47" i="48" s="1"/>
  <c r="R47" i="48" s="1"/>
  <c r="L46" i="48"/>
  <c r="T43" i="48"/>
  <c r="K43" i="48"/>
  <c r="I43" i="48"/>
  <c r="L42" i="48"/>
  <c r="N42" i="48" s="1"/>
  <c r="P41" i="48"/>
  <c r="L41" i="48"/>
  <c r="T39" i="48"/>
  <c r="K39" i="48"/>
  <c r="I39" i="48"/>
  <c r="L38" i="48"/>
  <c r="N38" i="48" s="1"/>
  <c r="L37" i="48"/>
  <c r="L39" i="48" s="1"/>
  <c r="T35" i="48"/>
  <c r="K35" i="48"/>
  <c r="I35" i="48"/>
  <c r="L34" i="48"/>
  <c r="L33" i="48"/>
  <c r="P33" i="48" s="1"/>
  <c r="T31" i="48"/>
  <c r="K31" i="48"/>
  <c r="I31" i="48"/>
  <c r="L30" i="48"/>
  <c r="N30" i="48" s="1"/>
  <c r="L29" i="48"/>
  <c r="P29" i="48" s="1"/>
  <c r="T27" i="48"/>
  <c r="I27" i="48"/>
  <c r="L26" i="48"/>
  <c r="N26" i="48" s="1"/>
  <c r="P25" i="48"/>
  <c r="K27" i="48"/>
  <c r="T21" i="48"/>
  <c r="K21" i="48"/>
  <c r="L20" i="48"/>
  <c r="N20" i="48" s="1"/>
  <c r="L19" i="48"/>
  <c r="P19" i="48" s="1"/>
  <c r="T17" i="48"/>
  <c r="L16" i="48"/>
  <c r="N16" i="48" s="1"/>
  <c r="R16" i="48" s="1"/>
  <c r="L15" i="48"/>
  <c r="L17" i="48" s="1"/>
  <c r="L13" i="48"/>
  <c r="T11" i="48"/>
  <c r="K11" i="48"/>
  <c r="L10" i="48"/>
  <c r="N10" i="48" s="1"/>
  <c r="L9" i="48"/>
  <c r="P9" i="48" s="1"/>
  <c r="T7" i="48"/>
  <c r="K7" i="48"/>
  <c r="I7" i="48"/>
  <c r="I23" i="48" s="1"/>
  <c r="L6" i="48"/>
  <c r="N6" i="48" s="1"/>
  <c r="T3" i="48"/>
  <c r="J87" i="47"/>
  <c r="H87" i="47"/>
  <c r="J86" i="47"/>
  <c r="I83" i="47"/>
  <c r="R81" i="47"/>
  <c r="P81" i="47"/>
  <c r="N81" i="47"/>
  <c r="L81" i="47"/>
  <c r="L83" i="47" s="1"/>
  <c r="R78" i="47"/>
  <c r="P78" i="47"/>
  <c r="N78" i="47"/>
  <c r="N83" i="47" s="1"/>
  <c r="J78" i="47"/>
  <c r="K75" i="47"/>
  <c r="M75" i="47" s="1"/>
  <c r="Q75" i="47" s="1"/>
  <c r="K74" i="47"/>
  <c r="M74" i="47" s="1"/>
  <c r="Q74" i="47" s="1"/>
  <c r="K73" i="47"/>
  <c r="M73" i="47" s="1"/>
  <c r="Q73" i="47" s="1"/>
  <c r="K72" i="47"/>
  <c r="M72" i="47" s="1"/>
  <c r="Q72" i="47" s="1"/>
  <c r="K71" i="47"/>
  <c r="M71" i="47" s="1"/>
  <c r="Q71" i="47" s="1"/>
  <c r="S69" i="47"/>
  <c r="M69" i="47"/>
  <c r="J69" i="47"/>
  <c r="Q68" i="47"/>
  <c r="K68" i="47"/>
  <c r="K67" i="47"/>
  <c r="K69" i="47" s="1"/>
  <c r="S65" i="47"/>
  <c r="J65" i="47"/>
  <c r="K64" i="47"/>
  <c r="K63" i="47"/>
  <c r="K65" i="47" s="1"/>
  <c r="K59" i="47"/>
  <c r="S58" i="47"/>
  <c r="J58" i="47"/>
  <c r="K57" i="47"/>
  <c r="M57" i="47" s="1"/>
  <c r="K56" i="47"/>
  <c r="S54" i="47"/>
  <c r="J54" i="47"/>
  <c r="K53" i="47"/>
  <c r="M53" i="47" s="1"/>
  <c r="Q53" i="47" s="1"/>
  <c r="K52" i="47"/>
  <c r="M52" i="47" s="1"/>
  <c r="K51" i="47"/>
  <c r="S49" i="47"/>
  <c r="J49" i="47"/>
  <c r="K48" i="47"/>
  <c r="M48" i="47" s="1"/>
  <c r="Q48" i="47" s="1"/>
  <c r="K47" i="47"/>
  <c r="M47" i="47" s="1"/>
  <c r="K46" i="47"/>
  <c r="O46" i="47" s="1"/>
  <c r="S44" i="47"/>
  <c r="K43" i="47"/>
  <c r="M43" i="47" s="1"/>
  <c r="J44" i="47"/>
  <c r="S40" i="47"/>
  <c r="K39" i="47"/>
  <c r="M39" i="47" s="1"/>
  <c r="Q39" i="47" s="1"/>
  <c r="K38" i="47"/>
  <c r="M38" i="47" s="1"/>
  <c r="Q38" i="47" s="1"/>
  <c r="S35" i="47"/>
  <c r="J35" i="47"/>
  <c r="K34" i="47"/>
  <c r="M34" i="47" s="1"/>
  <c r="K33" i="47"/>
  <c r="S31" i="47"/>
  <c r="J31" i="47"/>
  <c r="K30" i="47"/>
  <c r="M30" i="47" s="1"/>
  <c r="Q30" i="47" s="1"/>
  <c r="K29" i="47"/>
  <c r="M29" i="47" s="1"/>
  <c r="Q29" i="47" s="1"/>
  <c r="K28" i="47"/>
  <c r="S25" i="47"/>
  <c r="M24" i="47"/>
  <c r="J25" i="47"/>
  <c r="S21" i="47"/>
  <c r="J21" i="47"/>
  <c r="K20" i="47"/>
  <c r="M19" i="47"/>
  <c r="S16" i="47"/>
  <c r="J16" i="47"/>
  <c r="K15" i="47"/>
  <c r="M15" i="47" s="1"/>
  <c r="Q15" i="47" s="1"/>
  <c r="K14" i="47"/>
  <c r="K13" i="47"/>
  <c r="M13" i="47" s="1"/>
  <c r="Q13" i="47" s="1"/>
  <c r="M12" i="47"/>
  <c r="S9" i="47"/>
  <c r="J9" i="47"/>
  <c r="S3" i="47"/>
  <c r="M3" i="47"/>
  <c r="D26" i="46"/>
  <c r="P83" i="47" l="1"/>
  <c r="S78" i="47"/>
  <c r="N60" i="48"/>
  <c r="I66" i="48"/>
  <c r="I94" i="48" s="1"/>
  <c r="P37" i="48"/>
  <c r="R37" i="48" s="1"/>
  <c r="K23" i="48"/>
  <c r="T23" i="48"/>
  <c r="M28" i="47"/>
  <c r="M31" i="47" s="1"/>
  <c r="K31" i="47"/>
  <c r="K78" i="47"/>
  <c r="S81" i="47"/>
  <c r="M64" i="47"/>
  <c r="Q64" i="47" s="1"/>
  <c r="Q78" i="47" s="1"/>
  <c r="M20" i="47"/>
  <c r="Q20" i="47" s="1"/>
  <c r="K21" i="47"/>
  <c r="K35" i="47"/>
  <c r="R83" i="47"/>
  <c r="K58" i="47"/>
  <c r="Q61" i="47"/>
  <c r="N34" i="48"/>
  <c r="R34" i="48" s="1"/>
  <c r="L35" i="48"/>
  <c r="K80" i="48"/>
  <c r="N53" i="48"/>
  <c r="L48" i="48"/>
  <c r="P46" i="48"/>
  <c r="R46" i="48" s="1"/>
  <c r="R48" i="48" s="1"/>
  <c r="L43" i="48"/>
  <c r="L21" i="48"/>
  <c r="N17" i="48"/>
  <c r="I93" i="48"/>
  <c r="K16" i="47"/>
  <c r="O11" i="47"/>
  <c r="Q11" i="47" s="1"/>
  <c r="M25" i="47"/>
  <c r="Q24" i="47"/>
  <c r="O49" i="47"/>
  <c r="Q46" i="47"/>
  <c r="M49" i="47"/>
  <c r="Q47" i="47"/>
  <c r="M35" i="47"/>
  <c r="Q34" i="47"/>
  <c r="M44" i="47"/>
  <c r="Q43" i="47"/>
  <c r="K49" i="47"/>
  <c r="O33" i="47"/>
  <c r="O35" i="47" s="1"/>
  <c r="K54" i="47"/>
  <c r="O27" i="47"/>
  <c r="O63" i="47"/>
  <c r="O65" i="47" s="1"/>
  <c r="K87" i="47"/>
  <c r="P31" i="48"/>
  <c r="R29" i="48"/>
  <c r="P11" i="48"/>
  <c r="R9" i="48"/>
  <c r="N21" i="48"/>
  <c r="R20" i="48"/>
  <c r="N31" i="48"/>
  <c r="R30" i="48"/>
  <c r="R38" i="48"/>
  <c r="N39" i="48"/>
  <c r="N57" i="48"/>
  <c r="R56" i="48"/>
  <c r="L11" i="48"/>
  <c r="T80" i="48"/>
  <c r="P27" i="48"/>
  <c r="R25" i="48"/>
  <c r="L27" i="48"/>
  <c r="N43" i="48"/>
  <c r="R42" i="48"/>
  <c r="N48" i="48"/>
  <c r="N7" i="48"/>
  <c r="R6" i="48"/>
  <c r="N27" i="48"/>
  <c r="R26" i="48"/>
  <c r="P43" i="48"/>
  <c r="R41" i="48"/>
  <c r="L51" i="48"/>
  <c r="K53" i="48"/>
  <c r="K66" i="48" s="1"/>
  <c r="K67" i="48" s="1"/>
  <c r="K78" i="48" s="1"/>
  <c r="P15" i="48"/>
  <c r="L7" i="48"/>
  <c r="R10" i="48"/>
  <c r="N11" i="48"/>
  <c r="P21" i="48"/>
  <c r="R19" i="48"/>
  <c r="T66" i="48"/>
  <c r="P35" i="48"/>
  <c r="R33" i="48"/>
  <c r="P39" i="48"/>
  <c r="N61" i="48"/>
  <c r="R60" i="48"/>
  <c r="R61" i="48" s="1"/>
  <c r="L31" i="48"/>
  <c r="P5" i="48"/>
  <c r="R5" i="48" s="1"/>
  <c r="P13" i="48"/>
  <c r="P55" i="48"/>
  <c r="N63" i="48"/>
  <c r="L70" i="48"/>
  <c r="P70" i="48" s="1"/>
  <c r="R70" i="48" s="1"/>
  <c r="R76" i="48" s="1"/>
  <c r="Q19" i="47"/>
  <c r="M9" i="47"/>
  <c r="M40" i="47"/>
  <c r="Q52" i="47"/>
  <c r="M54" i="47"/>
  <c r="M58" i="47"/>
  <c r="Q57" i="47"/>
  <c r="Q77" i="47"/>
  <c r="Q33" i="47"/>
  <c r="Q35" i="47" s="1"/>
  <c r="J40" i="47"/>
  <c r="J81" i="47" s="1"/>
  <c r="O18" i="47"/>
  <c r="H88" i="47"/>
  <c r="H89" i="47" s="1"/>
  <c r="S83" i="47"/>
  <c r="M16" i="47"/>
  <c r="Q12" i="47"/>
  <c r="O56" i="47"/>
  <c r="O67" i="47"/>
  <c r="K42" i="47"/>
  <c r="O51" i="47"/>
  <c r="P48" i="48" l="1"/>
  <c r="T67" i="48"/>
  <c r="T78" i="48" s="1"/>
  <c r="M21" i="47"/>
  <c r="M65" i="47"/>
  <c r="M78" i="47" s="1"/>
  <c r="Q28" i="47"/>
  <c r="Q80" i="47"/>
  <c r="M81" i="47"/>
  <c r="N35" i="48"/>
  <c r="I67" i="48"/>
  <c r="I78" i="48" s="1"/>
  <c r="N80" i="48"/>
  <c r="R11" i="48"/>
  <c r="L80" i="48"/>
  <c r="I95" i="48"/>
  <c r="R21" i="48"/>
  <c r="R7" i="48"/>
  <c r="Q49" i="47"/>
  <c r="Q63" i="47"/>
  <c r="Q65" i="47" s="1"/>
  <c r="O16" i="47"/>
  <c r="O31" i="47"/>
  <c r="Q27" i="47"/>
  <c r="P7" i="48"/>
  <c r="L23" i="48"/>
  <c r="L93" i="48"/>
  <c r="R35" i="48"/>
  <c r="P76" i="48"/>
  <c r="P57" i="48"/>
  <c r="R55" i="48"/>
  <c r="R57" i="48" s="1"/>
  <c r="P17" i="48"/>
  <c r="R15" i="48"/>
  <c r="R17" i="48" s="1"/>
  <c r="R43" i="48"/>
  <c r="L76" i="48"/>
  <c r="R63" i="48"/>
  <c r="R64" i="48" s="1"/>
  <c r="N64" i="48"/>
  <c r="L53" i="48"/>
  <c r="L66" i="48" s="1"/>
  <c r="L94" i="48" s="1"/>
  <c r="P51" i="48"/>
  <c r="R27" i="48"/>
  <c r="R13" i="48"/>
  <c r="R39" i="48"/>
  <c r="N23" i="48"/>
  <c r="R31" i="48"/>
  <c r="J83" i="47"/>
  <c r="J88" i="47"/>
  <c r="J89" i="47" s="1"/>
  <c r="O42" i="47"/>
  <c r="K44" i="47"/>
  <c r="Q56" i="47"/>
  <c r="O58" i="47"/>
  <c r="O23" i="47"/>
  <c r="Q18" i="47"/>
  <c r="O21" i="47"/>
  <c r="Q51" i="47"/>
  <c r="O54" i="47"/>
  <c r="K40" i="47"/>
  <c r="K81" i="47" s="1"/>
  <c r="O37" i="47"/>
  <c r="Q16" i="47"/>
  <c r="Q67" i="47"/>
  <c r="Q69" i="47" s="1"/>
  <c r="O69" i="47"/>
  <c r="O9" i="47"/>
  <c r="M83" i="47" l="1"/>
  <c r="N66" i="48"/>
  <c r="N67" i="48" s="1"/>
  <c r="L83" i="48"/>
  <c r="L67" i="48"/>
  <c r="L78" i="48" s="1"/>
  <c r="P80" i="48"/>
  <c r="R23" i="48"/>
  <c r="Q31" i="47"/>
  <c r="R80" i="48"/>
  <c r="L95" i="48"/>
  <c r="R51" i="48"/>
  <c r="P53" i="48"/>
  <c r="P66" i="48" s="1"/>
  <c r="P23" i="48"/>
  <c r="Q58" i="47"/>
  <c r="Q54" i="47"/>
  <c r="O25" i="47"/>
  <c r="Q23" i="47"/>
  <c r="O44" i="47"/>
  <c r="Q42" i="47"/>
  <c r="Q21" i="47"/>
  <c r="Q9" i="47"/>
  <c r="Q37" i="47"/>
  <c r="O40" i="47"/>
  <c r="Q76" i="47"/>
  <c r="Q60" i="47" l="1"/>
  <c r="Q79" i="47" s="1"/>
  <c r="O81" i="47"/>
  <c r="O83" i="47" s="1"/>
  <c r="R53" i="48"/>
  <c r="R66" i="48" s="1"/>
  <c r="N78" i="48"/>
  <c r="P67" i="48"/>
  <c r="P78" i="48" s="1"/>
  <c r="Q25" i="47"/>
  <c r="Q40" i="47"/>
  <c r="K88" i="47"/>
  <c r="K89" i="47" s="1"/>
  <c r="K83" i="47"/>
  <c r="Q44" i="47"/>
  <c r="Q81" i="47" l="1"/>
  <c r="Q83" i="47" s="1"/>
  <c r="R67" i="48"/>
  <c r="R83" i="48"/>
  <c r="R78" i="48" l="1"/>
  <c r="M75" i="29" l="1"/>
  <c r="J75" i="29"/>
  <c r="H75" i="29"/>
  <c r="S73" i="29"/>
  <c r="Q73" i="29"/>
  <c r="K73" i="29"/>
  <c r="K71" i="29"/>
  <c r="O71" i="29" s="1"/>
  <c r="Q71" i="29" s="1"/>
  <c r="S69" i="29"/>
  <c r="K69" i="29"/>
  <c r="O69" i="29" s="1"/>
  <c r="Q69" i="29" s="1"/>
  <c r="K67" i="29"/>
  <c r="O67" i="29" s="1"/>
  <c r="S61" i="29"/>
  <c r="J61" i="29"/>
  <c r="H61" i="29"/>
  <c r="K60" i="29"/>
  <c r="M60" i="29" s="1"/>
  <c r="K59" i="29"/>
  <c r="K61" i="29" s="1"/>
  <c r="S57" i="29"/>
  <c r="J57" i="29"/>
  <c r="H57" i="29"/>
  <c r="K56" i="29"/>
  <c r="M56" i="29" s="1"/>
  <c r="K55" i="29"/>
  <c r="O55" i="29" s="1"/>
  <c r="S53" i="29"/>
  <c r="O53" i="29"/>
  <c r="J53" i="29"/>
  <c r="H53" i="29"/>
  <c r="K52" i="29"/>
  <c r="K53" i="29" s="1"/>
  <c r="S50" i="29"/>
  <c r="J50" i="29"/>
  <c r="H50" i="29"/>
  <c r="K49" i="29"/>
  <c r="M49" i="29" s="1"/>
  <c r="K48" i="29"/>
  <c r="K50" i="29" s="1"/>
  <c r="S46" i="29"/>
  <c r="O46" i="29"/>
  <c r="J46" i="29"/>
  <c r="H46" i="29"/>
  <c r="K45" i="29"/>
  <c r="K46" i="29" s="1"/>
  <c r="S43" i="29"/>
  <c r="J43" i="29"/>
  <c r="H43" i="29"/>
  <c r="M42" i="29"/>
  <c r="M43" i="29" s="1"/>
  <c r="K42" i="29"/>
  <c r="K41" i="29"/>
  <c r="O41" i="29" s="1"/>
  <c r="S39" i="29"/>
  <c r="J39" i="29"/>
  <c r="H39" i="29"/>
  <c r="K38" i="29"/>
  <c r="M38" i="29" s="1"/>
  <c r="O37" i="29"/>
  <c r="O39" i="29" s="1"/>
  <c r="K37" i="29"/>
  <c r="K39" i="29" s="1"/>
  <c r="S35" i="29"/>
  <c r="J35" i="29"/>
  <c r="H35" i="29"/>
  <c r="K34" i="29"/>
  <c r="M34" i="29" s="1"/>
  <c r="K33" i="29"/>
  <c r="O33" i="29" s="1"/>
  <c r="S31" i="29"/>
  <c r="J31" i="29"/>
  <c r="J63" i="29" s="1"/>
  <c r="H31" i="29"/>
  <c r="K30" i="29"/>
  <c r="M30" i="29" s="1"/>
  <c r="K29" i="29"/>
  <c r="O29" i="29" s="1"/>
  <c r="S27" i="29"/>
  <c r="S63" i="29" s="1"/>
  <c r="J27" i="29"/>
  <c r="H27" i="29"/>
  <c r="K26" i="29"/>
  <c r="M26" i="29" s="1"/>
  <c r="M27" i="29" s="1"/>
  <c r="K25" i="29"/>
  <c r="O25" i="29" s="1"/>
  <c r="S21" i="29"/>
  <c r="H21" i="29"/>
  <c r="K20" i="29"/>
  <c r="M20" i="29" s="1"/>
  <c r="J19" i="29"/>
  <c r="J21" i="29" s="1"/>
  <c r="S17" i="29"/>
  <c r="J17" i="29"/>
  <c r="H17" i="29"/>
  <c r="K16" i="29"/>
  <c r="M16" i="29" s="1"/>
  <c r="K15" i="29"/>
  <c r="K13" i="29"/>
  <c r="O13" i="29" s="1"/>
  <c r="Q13" i="29" s="1"/>
  <c r="S11" i="29"/>
  <c r="J11" i="29"/>
  <c r="H11" i="29"/>
  <c r="K10" i="29"/>
  <c r="M10" i="29" s="1"/>
  <c r="O9" i="29"/>
  <c r="O11" i="29" s="1"/>
  <c r="K9" i="29"/>
  <c r="S7" i="29"/>
  <c r="J7" i="29"/>
  <c r="H7" i="29"/>
  <c r="K6" i="29"/>
  <c r="M6" i="29" s="1"/>
  <c r="Q6" i="29" s="1"/>
  <c r="K5" i="29"/>
  <c r="K7" i="29" s="1"/>
  <c r="S3" i="29"/>
  <c r="M3" i="29"/>
  <c r="S75" i="29" l="1"/>
  <c r="S23" i="29"/>
  <c r="W77" i="29" s="1"/>
  <c r="K17" i="29"/>
  <c r="O48" i="29"/>
  <c r="O50" i="29" s="1"/>
  <c r="O59" i="29"/>
  <c r="O61" i="29" s="1"/>
  <c r="K11" i="29"/>
  <c r="O15" i="29"/>
  <c r="O17" i="29" s="1"/>
  <c r="H63" i="29"/>
  <c r="H65" i="29" s="1"/>
  <c r="H77" i="29" s="1"/>
  <c r="H23" i="29"/>
  <c r="O31" i="29"/>
  <c r="Q29" i="29"/>
  <c r="Q31" i="29" s="1"/>
  <c r="M39" i="29"/>
  <c r="Q38" i="29"/>
  <c r="O43" i="29"/>
  <c r="Q41" i="29"/>
  <c r="M31" i="29"/>
  <c r="Q30" i="29"/>
  <c r="O35" i="29"/>
  <c r="Q33" i="29"/>
  <c r="M50" i="29"/>
  <c r="Q49" i="29"/>
  <c r="M61" i="29"/>
  <c r="Q60" i="29"/>
  <c r="Q67" i="29"/>
  <c r="Q75" i="29" s="1"/>
  <c r="O75" i="29"/>
  <c r="AA75" i="29" s="1"/>
  <c r="Q16" i="29"/>
  <c r="M17" i="29"/>
  <c r="O27" i="29"/>
  <c r="Q25" i="29"/>
  <c r="M35" i="29"/>
  <c r="Q34" i="29"/>
  <c r="O57" i="29"/>
  <c r="Q55" i="29"/>
  <c r="Y75" i="29"/>
  <c r="J23" i="29"/>
  <c r="J65" i="29" s="1"/>
  <c r="J77" i="29" s="1"/>
  <c r="K79" i="29" s="1"/>
  <c r="M11" i="29"/>
  <c r="Q10" i="29"/>
  <c r="M21" i="29"/>
  <c r="Q20" i="29"/>
  <c r="S65" i="29"/>
  <c r="S77" i="29" s="1"/>
  <c r="M57" i="29"/>
  <c r="Q56" i="29"/>
  <c r="K27" i="29"/>
  <c r="K43" i="29"/>
  <c r="K75" i="29"/>
  <c r="O5" i="29"/>
  <c r="Q9" i="29"/>
  <c r="Q11" i="29" s="1"/>
  <c r="K19" i="29"/>
  <c r="Q37" i="29"/>
  <c r="Q39" i="29" s="1"/>
  <c r="Q42" i="29"/>
  <c r="Q48" i="29"/>
  <c r="Q50" i="29" s="1"/>
  <c r="M52" i="29"/>
  <c r="Q59" i="29"/>
  <c r="Q61" i="29" s="1"/>
  <c r="U75" i="29"/>
  <c r="M7" i="29"/>
  <c r="M45" i="29"/>
  <c r="K57" i="29"/>
  <c r="W75" i="29"/>
  <c r="Q15" i="29"/>
  <c r="Q17" i="29" s="1"/>
  <c r="Q26" i="29"/>
  <c r="K31" i="29"/>
  <c r="K35" i="29"/>
  <c r="Q43" i="29" l="1"/>
  <c r="Q57" i="29"/>
  <c r="Q27" i="29"/>
  <c r="M23" i="29"/>
  <c r="O7" i="29"/>
  <c r="Y7" i="29" s="1"/>
  <c r="Q5" i="29"/>
  <c r="Q7" i="29" s="1"/>
  <c r="K63" i="29"/>
  <c r="O63" i="29"/>
  <c r="AB75" i="29"/>
  <c r="M46" i="29"/>
  <c r="Q45" i="29"/>
  <c r="Q46" i="29" s="1"/>
  <c r="M53" i="29"/>
  <c r="Q52" i="29"/>
  <c r="Q53" i="29" s="1"/>
  <c r="O19" i="29"/>
  <c r="K21" i="29"/>
  <c r="K23" i="29" s="1"/>
  <c r="Q35" i="29"/>
  <c r="K60" i="26"/>
  <c r="J66" i="26"/>
  <c r="L66" i="26"/>
  <c r="M66" i="26"/>
  <c r="S66" i="26"/>
  <c r="H66" i="26"/>
  <c r="J62" i="26"/>
  <c r="L62" i="26"/>
  <c r="S62" i="26"/>
  <c r="S75" i="26" s="1"/>
  <c r="H62" i="26"/>
  <c r="H75" i="26" s="1"/>
  <c r="D14" i="24"/>
  <c r="E15" i="24"/>
  <c r="E14" i="24" s="1"/>
  <c r="Q63" i="29" l="1"/>
  <c r="M63" i="29"/>
  <c r="Y63" i="29" s="1"/>
  <c r="W7" i="29"/>
  <c r="K65" i="29"/>
  <c r="K77" i="29" s="1"/>
  <c r="O21" i="29"/>
  <c r="O23" i="29" s="1"/>
  <c r="AA23" i="29" s="1"/>
  <c r="Q19" i="29"/>
  <c r="Q21" i="29" s="1"/>
  <c r="Q23" i="29" s="1"/>
  <c r="J75" i="26"/>
  <c r="A2" i="24"/>
  <c r="AA61" i="29" l="1"/>
  <c r="Q65" i="29"/>
  <c r="AA63" i="29"/>
  <c r="AB63" i="29" s="1"/>
  <c r="M65" i="29"/>
  <c r="AA65" i="29" s="1"/>
  <c r="AB65" i="29" s="1"/>
  <c r="W63" i="29"/>
  <c r="Y23" i="29"/>
  <c r="O65" i="29"/>
  <c r="O77" i="29" s="1"/>
  <c r="Q77" i="29"/>
  <c r="W23" i="29"/>
  <c r="C15" i="24"/>
  <c r="M77" i="29" l="1"/>
  <c r="Q79" i="29"/>
  <c r="Y77" i="29"/>
  <c r="U77" i="29"/>
  <c r="AA77" i="29"/>
  <c r="AB77" i="29"/>
  <c r="I79" i="26"/>
  <c r="K72" i="26"/>
  <c r="K71" i="26"/>
  <c r="K70" i="26"/>
  <c r="K69" i="26"/>
  <c r="K68" i="26"/>
  <c r="Q65" i="26"/>
  <c r="K65" i="26"/>
  <c r="K64" i="26"/>
  <c r="K61" i="26"/>
  <c r="R57" i="26"/>
  <c r="K66" i="26" l="1"/>
  <c r="K62" i="26"/>
  <c r="S51" i="26"/>
  <c r="H51" i="26"/>
  <c r="K50" i="26"/>
  <c r="K49" i="26"/>
  <c r="D24" i="24"/>
  <c r="S46" i="26"/>
  <c r="H46" i="26"/>
  <c r="K45" i="26"/>
  <c r="D22" i="24"/>
  <c r="E22" i="24" s="1"/>
  <c r="S42" i="26"/>
  <c r="K75" i="26" l="1"/>
  <c r="C25" i="24"/>
  <c r="E24" i="24"/>
  <c r="J51" i="26"/>
  <c r="C23" i="24"/>
  <c r="E23" i="24" s="1"/>
  <c r="J46" i="26"/>
  <c r="H42" i="26"/>
  <c r="K41" i="26"/>
  <c r="D20" i="24"/>
  <c r="S38" i="26"/>
  <c r="H38" i="26"/>
  <c r="K37" i="26"/>
  <c r="K36" i="26"/>
  <c r="D18" i="24"/>
  <c r="S32" i="26"/>
  <c r="K31" i="26"/>
  <c r="D16" i="24"/>
  <c r="H30" i="26"/>
  <c r="H32" i="26" s="1"/>
  <c r="S28" i="26"/>
  <c r="C21" i="24" l="1"/>
  <c r="E21" i="24" s="1"/>
  <c r="E20" i="24"/>
  <c r="K40" i="26"/>
  <c r="O40" i="26" s="1"/>
  <c r="O42" i="26" s="1"/>
  <c r="C17" i="24"/>
  <c r="E17" i="24" s="1"/>
  <c r="E16" i="24"/>
  <c r="K30" i="26"/>
  <c r="E18" i="24"/>
  <c r="C19" i="24"/>
  <c r="E19" i="24" s="1"/>
  <c r="K35" i="26"/>
  <c r="J28" i="26"/>
  <c r="H28" i="26"/>
  <c r="K27" i="26"/>
  <c r="Q40" i="26" l="1"/>
  <c r="K32" i="26"/>
  <c r="J32" i="26" s="1"/>
  <c r="O30" i="26"/>
  <c r="M27" i="26"/>
  <c r="K38" i="26"/>
  <c r="J38" i="26" s="1"/>
  <c r="O35" i="26"/>
  <c r="K26" i="26"/>
  <c r="M26" i="26" s="1"/>
  <c r="K25" i="26"/>
  <c r="M25" i="26" s="1"/>
  <c r="O32" i="26" l="1"/>
  <c r="Q30" i="26"/>
  <c r="M28" i="26"/>
  <c r="Q27" i="26"/>
  <c r="O38" i="26"/>
  <c r="Q35" i="26"/>
  <c r="K24" i="26"/>
  <c r="S22" i="26"/>
  <c r="H22" i="26"/>
  <c r="K21" i="26"/>
  <c r="D12" i="24"/>
  <c r="S18" i="26"/>
  <c r="H18" i="26"/>
  <c r="K17" i="26"/>
  <c r="D10" i="24"/>
  <c r="S14" i="26"/>
  <c r="H14" i="26"/>
  <c r="K13" i="26"/>
  <c r="K12" i="26"/>
  <c r="D8" i="24"/>
  <c r="S9" i="26"/>
  <c r="H9" i="26"/>
  <c r="K11" i="26" l="1"/>
  <c r="O11" i="26" s="1"/>
  <c r="O14" i="26" s="1"/>
  <c r="C11" i="24"/>
  <c r="E11" i="24" s="1"/>
  <c r="E10" i="24"/>
  <c r="E8" i="24"/>
  <c r="C9" i="24"/>
  <c r="E9" i="24" s="1"/>
  <c r="K16" i="26"/>
  <c r="H57" i="26"/>
  <c r="H79" i="26" s="1"/>
  <c r="C13" i="24"/>
  <c r="E13" i="24" s="1"/>
  <c r="E12" i="24"/>
  <c r="J22" i="26"/>
  <c r="K28" i="26"/>
  <c r="O24" i="26"/>
  <c r="Q24" i="26" s="1"/>
  <c r="K8" i="26"/>
  <c r="D6" i="24"/>
  <c r="E6" i="24" s="1"/>
  <c r="S3" i="26"/>
  <c r="M3" i="26" s="1"/>
  <c r="C32" i="23"/>
  <c r="E31" i="23"/>
  <c r="D11" i="23"/>
  <c r="C12" i="23" s="1"/>
  <c r="E11" i="23" s="1"/>
  <c r="D7" i="23"/>
  <c r="E7" i="23" s="1"/>
  <c r="Q11" i="26" l="1"/>
  <c r="K7" i="26"/>
  <c r="O7" i="26" s="1"/>
  <c r="Q7" i="26" s="1"/>
  <c r="K18" i="26"/>
  <c r="J18" i="26" s="1"/>
  <c r="O16" i="26"/>
  <c r="D26" i="24"/>
  <c r="C8" i="23"/>
  <c r="O18" i="26" l="1"/>
  <c r="Q16" i="26"/>
  <c r="E8" i="23"/>
  <c r="C7" i="24" l="1"/>
  <c r="C26" i="24" s="1"/>
  <c r="E25" i="24"/>
  <c r="D29" i="23"/>
  <c r="C30" i="23" s="1"/>
  <c r="E30" i="23" s="1"/>
  <c r="D9" i="23"/>
  <c r="C10" i="23" s="1"/>
  <c r="E10" i="23" s="1"/>
  <c r="D13" i="23"/>
  <c r="C14" i="23" s="1"/>
  <c r="E14" i="23" s="1"/>
  <c r="D15" i="23"/>
  <c r="C16" i="23" s="1"/>
  <c r="E16" i="23" s="1"/>
  <c r="D17" i="23"/>
  <c r="C18" i="23" s="1"/>
  <c r="D19" i="23"/>
  <c r="C20" i="23" s="1"/>
  <c r="E20" i="23" s="1"/>
  <c r="D21" i="23"/>
  <c r="C22" i="23" s="1"/>
  <c r="E22" i="23" s="1"/>
  <c r="D23" i="23"/>
  <c r="C24" i="23" s="1"/>
  <c r="E24" i="23" s="1"/>
  <c r="D25" i="23"/>
  <c r="C26" i="23" s="1"/>
  <c r="E26" i="23" s="1"/>
  <c r="D27" i="23"/>
  <c r="C28" i="23" s="1"/>
  <c r="E28" i="23" s="1"/>
  <c r="E32" i="23"/>
  <c r="E12" i="23"/>
  <c r="E19" i="23" l="1"/>
  <c r="E23" i="23"/>
  <c r="E15" i="23"/>
  <c r="E17" i="23"/>
  <c r="E29" i="23"/>
  <c r="E13" i="23"/>
  <c r="E25" i="23"/>
  <c r="E9" i="23"/>
  <c r="E21" i="23"/>
  <c r="E7" i="24"/>
  <c r="E26" i="24" s="1"/>
  <c r="F26" i="24" s="1"/>
  <c r="E27" i="23"/>
  <c r="D33" i="23"/>
  <c r="E18" i="23"/>
  <c r="M36" i="26"/>
  <c r="Q36" i="26" s="1"/>
  <c r="Q25" i="26"/>
  <c r="Q26" i="26"/>
  <c r="O28" i="26"/>
  <c r="K44" i="26"/>
  <c r="O44" i="26" s="1"/>
  <c r="M45" i="26"/>
  <c r="Q45" i="26" s="1"/>
  <c r="M31" i="26"/>
  <c r="M32" i="26" s="1"/>
  <c r="K20" i="26"/>
  <c r="O20" i="26" s="1"/>
  <c r="Q20" i="26" s="1"/>
  <c r="M21" i="26"/>
  <c r="Q21" i="26" s="1"/>
  <c r="M46" i="26" l="1"/>
  <c r="E33" i="23"/>
  <c r="F33" i="23" s="1"/>
  <c r="G34" i="23" s="1"/>
  <c r="Q31" i="26"/>
  <c r="Q32" i="26" s="1"/>
  <c r="K46" i="26"/>
  <c r="K22" i="26"/>
  <c r="C33" i="23"/>
  <c r="Q22" i="26"/>
  <c r="O22" i="26"/>
  <c r="M22" i="26"/>
  <c r="Q28" i="26"/>
  <c r="Q44" i="26"/>
  <c r="O46" i="26"/>
  <c r="Q46" i="26" l="1"/>
  <c r="K48" i="26"/>
  <c r="O48" i="26" s="1"/>
  <c r="M49" i="26"/>
  <c r="Q49" i="26" s="1"/>
  <c r="M50" i="26"/>
  <c r="Q50" i="26" s="1"/>
  <c r="M41" i="26"/>
  <c r="Q41" i="26" s="1"/>
  <c r="Q42" i="26" s="1"/>
  <c r="M37" i="26"/>
  <c r="Q37" i="26" s="1"/>
  <c r="Q38" i="26" s="1"/>
  <c r="M17" i="26"/>
  <c r="Q17" i="26" s="1"/>
  <c r="M12" i="26"/>
  <c r="Q12" i="26" s="1"/>
  <c r="M13" i="26"/>
  <c r="Q13" i="26" s="1"/>
  <c r="M8" i="26"/>
  <c r="Q8" i="26" s="1"/>
  <c r="Q9" i="26" s="1"/>
  <c r="O60" i="26"/>
  <c r="M61" i="26"/>
  <c r="O64" i="26"/>
  <c r="M68" i="26"/>
  <c r="Q68" i="26" s="1"/>
  <c r="M69" i="26"/>
  <c r="Q69" i="26" s="1"/>
  <c r="M70" i="26"/>
  <c r="Q70" i="26" s="1"/>
  <c r="M71" i="26"/>
  <c r="Q71" i="26" s="1"/>
  <c r="M38" i="26"/>
  <c r="M72" i="26"/>
  <c r="O9" i="26"/>
  <c r="K42" i="26"/>
  <c r="K14" i="26"/>
  <c r="K9" i="26"/>
  <c r="J42" i="26"/>
  <c r="J14" i="26"/>
  <c r="J9" i="26"/>
  <c r="Q72" i="26"/>
  <c r="M18" i="26" l="1"/>
  <c r="M51" i="26"/>
  <c r="M42" i="26"/>
  <c r="M14" i="26"/>
  <c r="M57" i="26" s="1"/>
  <c r="M9" i="26"/>
  <c r="K51" i="26"/>
  <c r="K57" i="26" s="1"/>
  <c r="K79" i="26" s="1"/>
  <c r="Q64" i="26"/>
  <c r="Q66" i="26" s="1"/>
  <c r="O66" i="26"/>
  <c r="Q60" i="26"/>
  <c r="O62" i="26"/>
  <c r="Q61" i="26"/>
  <c r="M62" i="26"/>
  <c r="M75" i="26" s="1"/>
  <c r="Q14" i="26"/>
  <c r="Q48" i="26"/>
  <c r="Q51" i="26" s="1"/>
  <c r="O51" i="26"/>
  <c r="O57" i="26" s="1"/>
  <c r="Q74" i="26"/>
  <c r="Q56" i="26"/>
  <c r="J57" i="26"/>
  <c r="J79" i="26" s="1"/>
  <c r="Q55" i="26"/>
  <c r="Q18" i="26"/>
  <c r="O75" i="26" l="1"/>
  <c r="Q73" i="26"/>
  <c r="Q76" i="26" s="1"/>
  <c r="M79" i="26"/>
  <c r="Q57" i="26"/>
  <c r="AA53" i="26" s="1"/>
  <c r="Q62" i="26"/>
  <c r="O79" i="26"/>
  <c r="AA57" i="26"/>
  <c r="Q77" i="26"/>
  <c r="AB57" i="26" l="1"/>
  <c r="Q75" i="26"/>
  <c r="Q79" i="26" s="1"/>
  <c r="AA79" i="26"/>
  <c r="AB79" i="26" l="1"/>
  <c r="S53" i="26" l="1"/>
  <c r="S57" i="26" s="1"/>
  <c r="S79" i="26" s="1"/>
  <c r="AA80" i="26" l="1"/>
</calcChain>
</file>

<file path=xl/sharedStrings.xml><?xml version="1.0" encoding="utf-8"?>
<sst xmlns="http://schemas.openxmlformats.org/spreadsheetml/2006/main" count="714" uniqueCount="331">
  <si>
    <t xml:space="preserve"> </t>
  </si>
  <si>
    <t>TOTAL - GAS UNDERGROUND STORAGE TANKS</t>
  </si>
  <si>
    <t>Future</t>
  </si>
  <si>
    <t>Through</t>
  </si>
  <si>
    <t>September 1998 - forward</t>
  </si>
  <si>
    <t>Site Description</t>
  </si>
  <si>
    <t>Account Balance</t>
  </si>
  <si>
    <t xml:space="preserve">FORMER MANUFACTURED GAS SITES: </t>
  </si>
  <si>
    <t>GAS UNDERGROUND STORAGE TANKS AND OTHER SITES</t>
  </si>
  <si>
    <t>NORTH OPERATING BASE</t>
  </si>
  <si>
    <t>(A)</t>
  </si>
  <si>
    <t>(B)</t>
  </si>
  <si>
    <t>(C)</t>
  </si>
  <si>
    <t>(D)</t>
  </si>
  <si>
    <t>(E)</t>
  </si>
  <si>
    <t>(F)</t>
  </si>
  <si>
    <t>(G)</t>
  </si>
  <si>
    <t>SWARR STATION</t>
  </si>
  <si>
    <t>Activity</t>
  </si>
  <si>
    <t>(a)</t>
  </si>
  <si>
    <t>(b)</t>
  </si>
  <si>
    <t>SOUTH SEATTLE GATE STATION</t>
  </si>
  <si>
    <t>MANUFACTURED GAS SITES</t>
  </si>
  <si>
    <t>TOTAL - GAS STORAGE TANKS AND</t>
  </si>
  <si>
    <t>(d)</t>
  </si>
  <si>
    <t>NORTH TACOMA GATE STATION</t>
  </si>
  <si>
    <t>NORTH SEATTLE GATE STATION</t>
  </si>
  <si>
    <t>COVINGTON GATE STATION</t>
  </si>
  <si>
    <t>(e)</t>
  </si>
  <si>
    <t>UST - ESTIMATED FUTURE COSTS</t>
  </si>
  <si>
    <t>Unallocated Insurance and Third Party Recoveries</t>
  </si>
  <si>
    <t>Subtotal Tacoma Gas Company</t>
  </si>
  <si>
    <t>Subtotal Thea Foss Waterway</t>
  </si>
  <si>
    <t>Subtotal Chehalis Washington</t>
  </si>
  <si>
    <t>Subtotal Quendall Terminal</t>
  </si>
  <si>
    <t>Subtotal Tacoma Tide Flats</t>
  </si>
  <si>
    <t>Subtotal Bay Station</t>
  </si>
  <si>
    <t>Subtotal Olympia Columbia Street MGP</t>
  </si>
  <si>
    <t>Subtotal Verbeek Autowrecking</t>
  </si>
  <si>
    <t>Footnotes:</t>
  </si>
  <si>
    <t>Tacoma Gas Company (Upload Source Control) (Future Cost Est.)</t>
  </si>
  <si>
    <t>Thea Foss Waterway (Future Cost Est.)</t>
  </si>
  <si>
    <t>Everett Washington (Future Cost Est.)</t>
  </si>
  <si>
    <t>Chehalis Washington (Future Cost Est.)</t>
  </si>
  <si>
    <t>Gas Works Park (Future Cost Est.)</t>
  </si>
  <si>
    <t>Quendall Terminal (Future Cost Est.)</t>
  </si>
  <si>
    <t>Tacoma Tar Pits (Future Cost Est.)</t>
  </si>
  <si>
    <t>Bay Station (Future Cost Est.)</t>
  </si>
  <si>
    <t>Olympia Columbia Street MGP (Future Cost Est.)</t>
  </si>
  <si>
    <t>Verbeek Autowrecking (Future Cost Est.)</t>
  </si>
  <si>
    <t>Tacoma Gas Company (Upload Source Control) (Remediation Costs)</t>
  </si>
  <si>
    <t>Thea Foss Waterway (Remediation Costs)</t>
  </si>
  <si>
    <t>Thea Foss Waterway (Legal Costs)</t>
  </si>
  <si>
    <t>Everett Washington (Remediation Costs)</t>
  </si>
  <si>
    <t>Quendall Terminal (Remediation Costs)</t>
  </si>
  <si>
    <t>Pre June 1999 Tacoma Tar Pits (Remediation Costs)</t>
  </si>
  <si>
    <t>Post-June 1999 Tacoma Tar Pits (Remediation Costs)</t>
  </si>
  <si>
    <t>Bay Station (Remediation Costs)</t>
  </si>
  <si>
    <t>Olympia Columbia Street MGP (Remediation Costs)</t>
  </si>
  <si>
    <t>Verbeek Autowrecking (Remediation Costs)</t>
  </si>
  <si>
    <t>Subtotal Everett Washington</t>
  </si>
  <si>
    <t>Chehalis Washington (Remediation Costs)</t>
  </si>
  <si>
    <t>SAP Order</t>
  </si>
  <si>
    <t>SAP Account</t>
  </si>
  <si>
    <t>SWARR STATION (Future Cost Est.)</t>
  </si>
  <si>
    <t>NORTH OPERATING BASE (Future Cost Est.)</t>
  </si>
  <si>
    <t>Total Estimate</t>
  </si>
  <si>
    <t>Estimate Subtotal</t>
  </si>
  <si>
    <t>Legal &amp; Pre-Costs Subtotal</t>
  </si>
  <si>
    <t>E5</t>
  </si>
  <si>
    <t>E6</t>
  </si>
  <si>
    <t>E7</t>
  </si>
  <si>
    <t>E8</t>
  </si>
  <si>
    <t>E1</t>
  </si>
  <si>
    <t>E2</t>
  </si>
  <si>
    <t>E3</t>
  </si>
  <si>
    <t>E4</t>
  </si>
  <si>
    <t>JE166</t>
  </si>
  <si>
    <t>(g)</t>
  </si>
  <si>
    <t>SAP</t>
  </si>
  <si>
    <t>Quarterly</t>
  </si>
  <si>
    <t>Actual Costs</t>
  </si>
  <si>
    <t>Estimates</t>
  </si>
  <si>
    <t>Total</t>
  </si>
  <si>
    <t>(c) = (a) + (b)</t>
  </si>
  <si>
    <t>(f) = (d) + (e)</t>
  </si>
  <si>
    <t>Recoveries</t>
  </si>
  <si>
    <t xml:space="preserve">Future </t>
  </si>
  <si>
    <t>Cost</t>
  </si>
  <si>
    <t>difference should be zero</t>
  </si>
  <si>
    <t>Total Net of Recoveries</t>
  </si>
  <si>
    <t xml:space="preserve">SAP  </t>
  </si>
  <si>
    <t>September 2000 - forward</t>
  </si>
  <si>
    <t xml:space="preserve">Cost </t>
  </si>
  <si>
    <t xml:space="preserve">(a) </t>
  </si>
  <si>
    <t>18232221</t>
  </si>
  <si>
    <t>Env Rem - White River/Buckley Phase II Burn Pile and Wood Debris (Future Cost Est.)</t>
  </si>
  <si>
    <t>18232251</t>
  </si>
  <si>
    <t>Env Rem - White River/Buckley Phase II Burn Pile and Wood Debris</t>
  </si>
  <si>
    <t>Subtotal White River/Buckley Phase II Burn Pile and Wood Debris Site</t>
  </si>
  <si>
    <t>18232261</t>
  </si>
  <si>
    <t>Env Rem - Lower Duwamish Waterway (Future Cost Est.)</t>
  </si>
  <si>
    <t>18232271</t>
  </si>
  <si>
    <t xml:space="preserve">Env Rem - Lower Duwamish Waterway  </t>
  </si>
  <si>
    <t>Subtotal Lower Duwamish Waterway Site</t>
  </si>
  <si>
    <t>18230311</t>
  </si>
  <si>
    <t>Env Rem - Whidbey Service Center UST (Future Cost Est.)</t>
  </si>
  <si>
    <t>18230321</t>
  </si>
  <si>
    <t>Env Rem - Tenino Service Center UST (Future Cost Est.)</t>
  </si>
  <si>
    <t>18230041</t>
  </si>
  <si>
    <t>18233091</t>
  </si>
  <si>
    <t xml:space="preserve">Env Rem - Tenino Service Center UST </t>
  </si>
  <si>
    <t>Subtotal Tenino Service Center UST</t>
  </si>
  <si>
    <t>18233061</t>
  </si>
  <si>
    <t>Env Rem - Poulsbo Service Center UST (Future Cost Est.)</t>
  </si>
  <si>
    <t>Subtotal 182.3</t>
  </si>
  <si>
    <t>18608011</t>
  </si>
  <si>
    <t>Env Rem - Lower Baker Power Plant (Future Cost Est.)</t>
  </si>
  <si>
    <t>18601120</t>
  </si>
  <si>
    <t>18608001</t>
  </si>
  <si>
    <t xml:space="preserve">Env Rem - Lower Baker Power Plant </t>
  </si>
  <si>
    <t>Subtotal Lower Baker Power Plant Site</t>
  </si>
  <si>
    <t>18608031</t>
  </si>
  <si>
    <t>Env Rem - Snoqualmie Hydro Generation (Power Plant) Future Cost Est.)</t>
  </si>
  <si>
    <t>18601121</t>
  </si>
  <si>
    <t>18608021</t>
  </si>
  <si>
    <t xml:space="preserve">Env Rem - Snoqualmie Hydro Generation (Power Plant) </t>
  </si>
  <si>
    <t>Subtotal Snoqualmie Hydro Generation Site</t>
  </si>
  <si>
    <t>18608051</t>
  </si>
  <si>
    <t>18601122</t>
  </si>
  <si>
    <t>18608041</t>
  </si>
  <si>
    <t>18608111</t>
  </si>
  <si>
    <t>Env Rem - Electron Flume  (Future Cost Est.)</t>
  </si>
  <si>
    <t>18601125</t>
  </si>
  <si>
    <t>18608081</t>
  </si>
  <si>
    <t xml:space="preserve">Env Rem - Electron Flume </t>
  </si>
  <si>
    <t xml:space="preserve">Subtotal Electron Flume Site </t>
  </si>
  <si>
    <t>18608151</t>
  </si>
  <si>
    <t>Env Rem - Talbot Hill Substation and Switchyard (Future Cost Est.)</t>
  </si>
  <si>
    <t>18601128</t>
  </si>
  <si>
    <t>18608141</t>
  </si>
  <si>
    <t xml:space="preserve">Env Rem - Talbot Hill Substation and Switchyard </t>
  </si>
  <si>
    <t>Subtotal Talbot Hill Substation &amp; Switchyard Site</t>
  </si>
  <si>
    <t>18608171</t>
  </si>
  <si>
    <t xml:space="preserve">Env Rem - Everett Asarco </t>
  </si>
  <si>
    <t>Subtotal Everett Asarco Site</t>
  </si>
  <si>
    <t>18608181</t>
  </si>
  <si>
    <t>Env Rem - Sammamish Substation (Future Cost Est.)</t>
  </si>
  <si>
    <t>18608191</t>
  </si>
  <si>
    <t>Env Rem - Sammamish Substation</t>
  </si>
  <si>
    <t>Subtotal Sammamish Substation Site</t>
  </si>
  <si>
    <t>18608211</t>
  </si>
  <si>
    <t xml:space="preserve">Env Rem - Pt. Robinson Cable Station </t>
  </si>
  <si>
    <t>Subtotal Pt. Robinson Cable Station</t>
  </si>
  <si>
    <t>18608221</t>
  </si>
  <si>
    <t>Env Rem - City of Olympia v PSE (Future Cost Est.)</t>
  </si>
  <si>
    <t>18601161</t>
  </si>
  <si>
    <t>18608231</t>
  </si>
  <si>
    <t>Env Rem - City of Olympia v PSE</t>
  </si>
  <si>
    <t>Subtotal City of Olympia v PSE</t>
  </si>
  <si>
    <t>18608241</t>
  </si>
  <si>
    <t>Env Rem - Whitehorn UST Remediation (Future Cost Est.)</t>
  </si>
  <si>
    <t>18601171</t>
  </si>
  <si>
    <t>18608251</t>
  </si>
  <si>
    <t>Env Rem - Whitehorn UST Remediation</t>
  </si>
  <si>
    <t>Subtotal Whitehorn UST</t>
  </si>
  <si>
    <t>Subtotal 186</t>
  </si>
  <si>
    <t xml:space="preserve">Total Asset </t>
  </si>
  <si>
    <t>22840081</t>
  </si>
  <si>
    <t>Env Rem - Puyallup Garage Site</t>
  </si>
  <si>
    <t>22840131</t>
  </si>
  <si>
    <t>Env Rem - Crystal Mountain Generator Station Site</t>
  </si>
  <si>
    <t>22840031</t>
  </si>
  <si>
    <t xml:space="preserve">Env Rem - Olympia Service Center UST </t>
  </si>
  <si>
    <t>22841001</t>
  </si>
  <si>
    <t>Accum Misc Oper Provi – Unallocated Def Elec Env Rem Recoveries</t>
  </si>
  <si>
    <t>Total Liabilities</t>
  </si>
  <si>
    <t>Grand Total</t>
  </si>
  <si>
    <t>The total estimated costs for the Crystal Mountain Site of $15,083,472.68 include PSE Insurance Recoveries of $11,938,563,  Future Cost Estimate of $500,000 and Expensed amount of $2,644,909.68 through report date.</t>
  </si>
  <si>
    <t>Per  DOCKET UE-070724, transfer the deferred costs from Account 182.3 Other Regulatory Assets  to Account 186 Other Misc Deferred Debits.  Oct. JE#100036250.</t>
  </si>
  <si>
    <t>Per  DOCKET UE-072060, transfer the deferred costs from Account 182.3 Other Regulatory Assets  to Account 186 Other Misc Deferred Debits.  Oct. JE#100036250.</t>
  </si>
  <si>
    <t>Per  DOCKET UE-081016, transfer the deferred costs from Account 182.3 Other Regulatory Assets  to Account 186 Other Misc Deferred Debits.  Oct. JE#100036250.</t>
  </si>
  <si>
    <t>Charges in the amount of $1,223,710.82 were posted to the wrong order 18230335 during the previous period.  They should have gone to 18230009., per Nov. JE#100039042.</t>
  </si>
  <si>
    <t>To close out Factoria Service Center Underground Fuel Tank Environmental Site Account balance against Account 22841001.</t>
  </si>
  <si>
    <t>Represents allocated proceeds from the insurance recoveries.</t>
  </si>
  <si>
    <t>Env Rem - Bellingham South State Street MGP (former Blvd Park) (Future Cost Est.)</t>
  </si>
  <si>
    <t>Env Rem - Bellingham South State Street MGP (former Blvd Park)</t>
  </si>
  <si>
    <t>Subtotal Bellingham South State Street MGP (former Blvd Park) Site</t>
  </si>
  <si>
    <t>Verbeek Autowrecking (Reimbursement of Remed Cost from 3rd Party)</t>
  </si>
  <si>
    <t>Env Rem - Poulsbo Service Center UST</t>
  </si>
  <si>
    <t>Subtotal Poulsbo Service Center UST</t>
  </si>
  <si>
    <t>22840021</t>
  </si>
  <si>
    <t>22840051</t>
  </si>
  <si>
    <t>22840061</t>
  </si>
  <si>
    <t>22840111</t>
  </si>
  <si>
    <t>22840161</t>
  </si>
  <si>
    <t>22840171</t>
  </si>
  <si>
    <t>22840181</t>
  </si>
  <si>
    <t>22840191</t>
  </si>
  <si>
    <t>22840221</t>
  </si>
  <si>
    <t>22840231</t>
  </si>
  <si>
    <t>22840281</t>
  </si>
  <si>
    <t>22840301</t>
  </si>
  <si>
    <t>22840311</t>
  </si>
  <si>
    <t>Debit</t>
  </si>
  <si>
    <t>Credit</t>
  </si>
  <si>
    <t>TOTAL</t>
  </si>
  <si>
    <t>Accr Env Rem - White River/Buckley Phase II Burn Pile and Wood Debris</t>
  </si>
  <si>
    <t xml:space="preserve">Accr Env Rem - Lower Duwamish Waterway </t>
  </si>
  <si>
    <t xml:space="preserve">Accr Env Rem - Whidbey Service Center UST </t>
  </si>
  <si>
    <t xml:space="preserve">Accr Env Rem - Tenino Service Center UST </t>
  </si>
  <si>
    <t xml:space="preserve">Accr Env Rem - Poulsbo Service Center UST </t>
  </si>
  <si>
    <t xml:space="preserve">Accr Env Rem - Lower Baker Power Plant </t>
  </si>
  <si>
    <t xml:space="preserve">Accr Env Rem - Snoqualmie Hydro Generation (Power Plant) </t>
  </si>
  <si>
    <t xml:space="preserve">Accr Env Rem - Bellingham South State Street MGP (former Blvd Park) </t>
  </si>
  <si>
    <t xml:space="preserve">Accr Env Rem - Electron Flume  </t>
  </si>
  <si>
    <t xml:space="preserve">Accr Env Rem - Talbot Hill Substation and Switchyard </t>
  </si>
  <si>
    <t xml:space="preserve">Accr Env Rem - Sammamish Substation </t>
  </si>
  <si>
    <t xml:space="preserve">Accr Env Rem - City of Olympia v PSE </t>
  </si>
  <si>
    <t xml:space="preserve">Accr Env Rem - Whitehorn UST Remediation </t>
  </si>
  <si>
    <t>Electric Remediation JE</t>
  </si>
  <si>
    <t>Gas Remediation JE</t>
  </si>
  <si>
    <t xml:space="preserve">Accr Env Rem Tacoma Gas Company (Upload Source Control) </t>
  </si>
  <si>
    <t xml:space="preserve">Accr Env Rem Thea Foss Waterway </t>
  </si>
  <si>
    <t xml:space="preserve">Accr Env Rem Everett Washington </t>
  </si>
  <si>
    <t xml:space="preserve">Accr Env Rem Chehalis Washington </t>
  </si>
  <si>
    <t xml:space="preserve">Accr Env Rem Gas Works Park </t>
  </si>
  <si>
    <t>Accr Env Rem Quendall Terminal</t>
  </si>
  <si>
    <t xml:space="preserve">Accr Env Rem Tacoma Tar Pits </t>
  </si>
  <si>
    <t xml:space="preserve">Accr Env Rem Bay Station </t>
  </si>
  <si>
    <t xml:space="preserve">Accr Env Rem Olympia Columbia Street MGP </t>
  </si>
  <si>
    <t xml:space="preserve">Accr Env Rem Verbeek Autowrecking </t>
  </si>
  <si>
    <t>To record activity in remediation accounts</t>
  </si>
  <si>
    <t>(A) Represents sites where no additional remedial actions are planned. Currently anticipating entering into insurance recoveries discussion in 2014.</t>
  </si>
  <si>
    <t>(B) Order 18607203 was re-opened in the 3rd Qt of 2010 for posting legal cost related to THEA FOSS WATERWAY.</t>
  </si>
  <si>
    <t>JE394</t>
  </si>
  <si>
    <t xml:space="preserve">TOTAL - MANUFACTURED GAS SITES </t>
  </si>
  <si>
    <t>JE TEMPLATE</t>
  </si>
  <si>
    <t>Pre-Costs Subtotal</t>
  </si>
  <si>
    <t>Pre-Nov 2012 Lake Union Sediments (Remediation Costs)</t>
  </si>
  <si>
    <t>Pre-Nov 2012 Gas Works Park (Remediation Costs)</t>
  </si>
  <si>
    <t>Subtotal Gas Works Park &amp; Lake Union</t>
  </si>
  <si>
    <t>Post - Nov 2012 Gas Works Park  (Remediation Costs)</t>
  </si>
  <si>
    <t>Gas Works Park  (Future Cost Est.)</t>
  </si>
  <si>
    <t>E9</t>
  </si>
  <si>
    <t xml:space="preserve">      Investigation and Feasibility Studies (RI/FS) for the Gas Works site, for the period of 12/15/2012 - 6/14/13 ($185,450.59).</t>
  </si>
  <si>
    <t xml:space="preserve">(C) Includes the reimbursement from Seattle Public Utilities for site-wide costs that PSE incurred to support the development of the Remedial </t>
  </si>
  <si>
    <t>Thea Foss Waterway (WADOT Settlement)</t>
  </si>
  <si>
    <t>Everett Washington (WADOT Settlement)</t>
  </si>
  <si>
    <t>Olympia Columbia Street MGP (WADOT Settlement)</t>
  </si>
  <si>
    <t>(D) Represents the legal dispute settlement between WADOT, Pacific and PSE on 10/22/2013.</t>
  </si>
  <si>
    <t>PUGET SOUND ENERGY UST REMEDIAL COST ESTIMATES (Page 1 of 2)</t>
  </si>
  <si>
    <t>PSE
Facility/Location</t>
  </si>
  <si>
    <t>Proposed Remedial Action</t>
  </si>
  <si>
    <t>Estimated Cost of Proposed Remedial Action ($)</t>
  </si>
  <si>
    <t>Whidbey Service Center
Oak Harbor, WA</t>
  </si>
  <si>
    <t>USTs and majority of contaminated soil removed in 1999. Small volume of contaminated soil remains beneath building</t>
  </si>
  <si>
    <t>A. VCP Program and GW Monitoring (New Wells)
B. Soil excavation when building(s) is removed</t>
  </si>
  <si>
    <t>Tenino Service Center
Tenino, WA</t>
  </si>
  <si>
    <t>USTs and majority of contaminated soil removed in 1991. Remaining small volume of contaminated soil removed Q4 2009.</t>
  </si>
  <si>
    <t>A.  Groundwater monitoring completed in 2012.  Well abandonment to be completed in the future.
B.  Remedial excavation completed in Q4 2009.</t>
  </si>
  <si>
    <t>Poulsbo Service Center
Poulsbo, WA</t>
  </si>
  <si>
    <t xml:space="preserve">6,000 gal. Gas &amp; Diesel USTs      </t>
  </si>
  <si>
    <t>A.  Natural Attenuation
B.  Soil excavation when building is removed.</t>
  </si>
  <si>
    <t>Olympia Service Center
(Post-EPRI Diesel Remediation)
Olympia, WA</t>
  </si>
  <si>
    <t>A.  Natural Attenuation and GW Monitoring (Existing Wells)
B.  Soil excavation when building(s) is removed</t>
  </si>
  <si>
    <t>North Operating Base
Seattle, WA</t>
  </si>
  <si>
    <t>USTs removed in 1999.  Diesel-
contaminated soil remains
beneath fuel island.</t>
  </si>
  <si>
    <t>A. Site Characterization and GW Monitoring (New Wells)
B. Soil excavation when fuel island is removed</t>
  </si>
  <si>
    <t>Whitehorn Combustion Turbine</t>
  </si>
  <si>
    <t>Leaking false start USTs discovered. Contaminated soil and groundwater is present.</t>
  </si>
  <si>
    <t>A. Site Characterization and Groundwater Monitoring  
B. Three false start tanks removed and one decommissioned in-place in 2012.  Accessible contaminated soil was removed.  Contaminated soil remains adjacent to buildings at two locations. Soil excavation to be completed if buildings are removed in the future.</t>
  </si>
  <si>
    <t xml:space="preserve">Notes shown on Page 2 of 2 </t>
  </si>
  <si>
    <t>PUGET SOUND ENERGY UST REMEDIAL COST ESTIMATES (Page 2 of 2)</t>
  </si>
  <si>
    <t>Site Status</t>
  </si>
  <si>
    <t>Green Mtn. Micro Wave
Bremerton, WA</t>
  </si>
  <si>
    <t>One UST</t>
  </si>
  <si>
    <t>None</t>
  </si>
  <si>
    <t>Rattlesnake Mtn. Micro Wave
Issaquah, WA</t>
  </si>
  <si>
    <t xml:space="preserve">Baker River Lower
Concrete, WA </t>
  </si>
  <si>
    <t xml:space="preserve">2,500 gal. Gas and Diesel USTs </t>
  </si>
  <si>
    <t>Baker River Upper
Concrete, WA</t>
  </si>
  <si>
    <t>1,000 gal. Gas and Diesel USTs</t>
  </si>
  <si>
    <t>Bellingham Service Center
Bellingham, WA</t>
  </si>
  <si>
    <t xml:space="preserve">10,000 gal. Gas and Diesel USTs </t>
  </si>
  <si>
    <t>Factoria Service Center         Bellevue, WA</t>
  </si>
  <si>
    <t>10,000 gal. Gas and Diesel USTs</t>
  </si>
  <si>
    <t>Kittitas Service Center
Thorp, WA</t>
  </si>
  <si>
    <t>5,000 gal. Gas and Diesel USTs</t>
  </si>
  <si>
    <t>Cost Estimate Totals:</t>
  </si>
  <si>
    <t>A. Groundwater Monitoring, Site Characterization, Natural Attenuation Only (No Remediation)
B. Remediation Only (No Monitoring)
A. &amp; B. Groundwater Monitoring Followed by Remediation</t>
  </si>
  <si>
    <t xml:space="preserve">Notes         </t>
  </si>
  <si>
    <r>
      <t>1</t>
    </r>
    <r>
      <rPr>
        <sz val="9"/>
        <rFont val="Arial"/>
        <family val="2"/>
      </rPr>
      <t xml:space="preserve"> Unless noted, remedial costs do not include demolition of facilities and buildings to access contaminated soil.  </t>
    </r>
  </si>
  <si>
    <r>
      <t>2</t>
    </r>
    <r>
      <rPr>
        <sz val="9"/>
        <rFont val="Arial"/>
        <family val="2"/>
      </rPr>
      <t xml:space="preserve"> Unless noted, groundwater monitoring estimate assumes three years of monitoring/sampling.</t>
    </r>
  </si>
  <si>
    <r>
      <t>3</t>
    </r>
    <r>
      <rPr>
        <sz val="9"/>
        <rFont val="Arial"/>
        <family val="2"/>
      </rPr>
      <t xml:space="preserve"> All estimated costs should be considered conceptual.  They are not based on a detailed scope of service or design.</t>
    </r>
  </si>
  <si>
    <t>Thea Foss Recovery</t>
  </si>
  <si>
    <t>D</t>
  </si>
  <si>
    <t>Downtowner Property (Future Cost Est.)</t>
  </si>
  <si>
    <t>Downtowner Property (Remediation Costs)</t>
  </si>
  <si>
    <t>Subtotal Downtowner Property</t>
  </si>
  <si>
    <t>Total 1823</t>
  </si>
  <si>
    <t>Total 186</t>
  </si>
  <si>
    <t>Total All</t>
  </si>
  <si>
    <t>Liability Account</t>
  </si>
  <si>
    <t>Liability</t>
  </si>
  <si>
    <t>Elec. UNDERGROUND STORAGE TANKS AND OTHER SITES</t>
  </si>
  <si>
    <t>Subtotal UST sites</t>
  </si>
  <si>
    <t>Quarterly Activity</t>
  </si>
  <si>
    <t>Total future Cost/Liability</t>
  </si>
  <si>
    <t>Project completed - Not included on Qtrly Memo</t>
  </si>
  <si>
    <t>A</t>
  </si>
  <si>
    <t>B</t>
  </si>
  <si>
    <t>C</t>
  </si>
  <si>
    <t>E</t>
  </si>
  <si>
    <t>F</t>
  </si>
  <si>
    <t>G</t>
  </si>
  <si>
    <t>H</t>
  </si>
  <si>
    <t>I</t>
  </si>
  <si>
    <t>J</t>
  </si>
  <si>
    <t>Env Rem - City of Olympia v PSE Plum Street Station  (Future Cost Est.)</t>
  </si>
  <si>
    <t xml:space="preserve">Env Rem - City of Olympia v PSE Plum Street Station </t>
  </si>
  <si>
    <t>Subtotal City of Olympia v PSE Plum Street Station</t>
  </si>
  <si>
    <t>K</t>
  </si>
  <si>
    <t>L</t>
  </si>
  <si>
    <t>Project completed - Not included on Qtrly Memo, but included to UST excel file</t>
  </si>
  <si>
    <t>UST</t>
  </si>
  <si>
    <t>Diesel UST removed.  Contaminated soil and ground water remains after EPRI air sparging program. Gas Spill Nov 99</t>
  </si>
  <si>
    <t>Quarterly Invoice pmts</t>
  </si>
  <si>
    <t>MANUFACTURED GAS SITES (182.3 and 186.0)</t>
  </si>
  <si>
    <t>Total 186.0</t>
  </si>
  <si>
    <t>(Updated March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</si>
</sst>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0.00_)"/>
    <numFmt numFmtId="167" formatCode="_-* #,##0.00\ _D_M_-;\-* #,##0.00\ _D_M_-;_-* &quot;-&quot;??\ _D_M_-;_-@_-"/>
    <numFmt numFmtId="168" formatCode="[$-409]mmmm\ d\,\ yyyy;@"/>
    <numFmt numFmtId="169" formatCode="mm/dd/yy"/>
    <numFmt numFmtId="170" formatCode="0;[Red]0"/>
  </numFmts>
  <fonts count="63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8"/>
      <name val="Courier"/>
      <family val="3"/>
    </font>
    <font>
      <sz val="8"/>
      <name val="Arial"/>
      <family val="2"/>
    </font>
    <font>
      <b/>
      <i/>
      <sz val="16"/>
      <name val="Helv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color indexed="14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1"/>
      <color indexed="8"/>
      <name val="Times New Roman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48"/>
      <name val="Arial"/>
      <family val="2"/>
    </font>
    <font>
      <sz val="10"/>
      <color rgb="FFFF0000"/>
      <name val="Arial"/>
      <family val="2"/>
    </font>
    <font>
      <b/>
      <sz val="8"/>
      <color indexed="14"/>
      <name val="Arial"/>
      <family val="2"/>
    </font>
    <font>
      <sz val="10"/>
      <name val="Courier"/>
      <family val="3"/>
    </font>
    <font>
      <b/>
      <sz val="10"/>
      <color rgb="FF7030A0"/>
      <name val="Arial"/>
      <family val="2"/>
    </font>
    <font>
      <b/>
      <sz val="12"/>
      <name val="Courier"/>
      <family val="3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2"/>
      <color indexed="12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8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5">
    <xf numFmtId="39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4" fillId="27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165" fontId="3" fillId="0" borderId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38" fontId="9" fillId="33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10" fontId="9" fillId="34" borderId="6" applyNumberFormat="0" applyBorder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166" fontId="10" fillId="0" borderId="0"/>
    <xf numFmtId="0" fontId="3" fillId="0" borderId="0"/>
    <xf numFmtId="39" fontId="28" fillId="0" borderId="0"/>
    <xf numFmtId="0" fontId="3" fillId="0" borderId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10" fontId="3" fillId="0" borderId="0" applyFont="0" applyFill="0" applyBorder="0" applyAlignment="0" applyProtection="0"/>
    <xf numFmtId="4" fontId="30" fillId="35" borderId="10" applyNumberFormat="0" applyProtection="0">
      <alignment vertical="center"/>
    </xf>
    <xf numFmtId="4" fontId="31" fillId="35" borderId="10" applyNumberFormat="0" applyProtection="0">
      <alignment vertical="center"/>
    </xf>
    <xf numFmtId="4" fontId="30" fillId="35" borderId="10" applyNumberFormat="0" applyProtection="0">
      <alignment horizontal="left" vertical="center" indent="1"/>
    </xf>
    <xf numFmtId="0" fontId="30" fillId="35" borderId="10" applyNumberFormat="0" applyProtection="0">
      <alignment horizontal="left" vertical="top" indent="1"/>
    </xf>
    <xf numFmtId="4" fontId="30" fillId="2" borderId="0" applyNumberFormat="0" applyProtection="0">
      <alignment horizontal="left" vertical="center" indent="1"/>
    </xf>
    <xf numFmtId="4" fontId="12" fillId="7" borderId="10" applyNumberFormat="0" applyProtection="0">
      <alignment horizontal="right" vertical="center"/>
    </xf>
    <xf numFmtId="4" fontId="12" fillId="3" borderId="10" applyNumberFormat="0" applyProtection="0">
      <alignment horizontal="right" vertical="center"/>
    </xf>
    <xf numFmtId="4" fontId="12" fillId="36" borderId="10" applyNumberFormat="0" applyProtection="0">
      <alignment horizontal="right" vertical="center"/>
    </xf>
    <xf numFmtId="4" fontId="12" fillId="37" borderId="10" applyNumberFormat="0" applyProtection="0">
      <alignment horizontal="right" vertical="center"/>
    </xf>
    <xf numFmtId="4" fontId="12" fillId="38" borderId="10" applyNumberFormat="0" applyProtection="0">
      <alignment horizontal="right" vertical="center"/>
    </xf>
    <xf numFmtId="4" fontId="12" fillId="39" borderId="10" applyNumberFormat="0" applyProtection="0">
      <alignment horizontal="right" vertical="center"/>
    </xf>
    <xf numFmtId="4" fontId="12" fillId="9" borderId="10" applyNumberFormat="0" applyProtection="0">
      <alignment horizontal="right" vertical="center"/>
    </xf>
    <xf numFmtId="4" fontId="12" fillId="40" borderId="10" applyNumberFormat="0" applyProtection="0">
      <alignment horizontal="right" vertical="center"/>
    </xf>
    <xf numFmtId="4" fontId="12" fillId="41" borderId="10" applyNumberFormat="0" applyProtection="0">
      <alignment horizontal="right" vertical="center"/>
    </xf>
    <xf numFmtId="4" fontId="30" fillId="42" borderId="11" applyNumberFormat="0" applyProtection="0">
      <alignment horizontal="left" vertical="center" indent="1"/>
    </xf>
    <xf numFmtId="4" fontId="12" fillId="43" borderId="0" applyNumberFormat="0" applyProtection="0">
      <alignment horizontal="left" vertical="center" indent="1"/>
    </xf>
    <xf numFmtId="4" fontId="32" fillId="8" borderId="0" applyNumberFormat="0" applyProtection="0">
      <alignment horizontal="left" vertical="center" indent="1"/>
    </xf>
    <xf numFmtId="4" fontId="12" fillId="2" borderId="10" applyNumberFormat="0" applyProtection="0">
      <alignment horizontal="right" vertical="center"/>
    </xf>
    <xf numFmtId="4" fontId="33" fillId="43" borderId="0" applyNumberFormat="0" applyProtection="0">
      <alignment horizontal="left" vertical="center" indent="1"/>
    </xf>
    <xf numFmtId="4" fontId="33" fillId="2" borderId="0" applyNumberFormat="0" applyProtection="0">
      <alignment horizontal="left" vertical="center" indent="1"/>
    </xf>
    <xf numFmtId="0" fontId="3" fillId="8" borderId="10" applyNumberFormat="0" applyProtection="0">
      <alignment horizontal="left" vertical="center" indent="1"/>
    </xf>
    <xf numFmtId="0" fontId="3" fillId="8" borderId="10" applyNumberFormat="0" applyProtection="0">
      <alignment horizontal="left" vertical="top" indent="1"/>
    </xf>
    <xf numFmtId="0" fontId="3" fillId="2" borderId="10" applyNumberFormat="0" applyProtection="0">
      <alignment horizontal="left" vertical="center" indent="1"/>
    </xf>
    <xf numFmtId="0" fontId="3" fillId="2" borderId="10" applyNumberFormat="0" applyProtection="0">
      <alignment horizontal="left" vertical="top" indent="1"/>
    </xf>
    <xf numFmtId="0" fontId="3" fillId="6" borderId="10" applyNumberFormat="0" applyProtection="0">
      <alignment horizontal="left" vertical="center" indent="1"/>
    </xf>
    <xf numFmtId="0" fontId="3" fillId="6" borderId="10" applyNumberFormat="0" applyProtection="0">
      <alignment horizontal="left" vertical="top" indent="1"/>
    </xf>
    <xf numFmtId="0" fontId="3" fillId="43" borderId="10" applyNumberFormat="0" applyProtection="0">
      <alignment horizontal="left" vertical="center" indent="1"/>
    </xf>
    <xf numFmtId="0" fontId="3" fillId="43" borderId="10" applyNumberFormat="0" applyProtection="0">
      <alignment horizontal="left" vertical="top" indent="1"/>
    </xf>
    <xf numFmtId="0" fontId="3" fillId="5" borderId="6" applyNumberFormat="0">
      <protection locked="0"/>
    </xf>
    <xf numFmtId="4" fontId="12" fillId="4" borderId="10" applyNumberFormat="0" applyProtection="0">
      <alignment vertical="center"/>
    </xf>
    <xf numFmtId="4" fontId="34" fillId="4" borderId="10" applyNumberFormat="0" applyProtection="0">
      <alignment vertical="center"/>
    </xf>
    <xf numFmtId="4" fontId="12" fillId="4" borderId="10" applyNumberFormat="0" applyProtection="0">
      <alignment horizontal="left" vertical="center" indent="1"/>
    </xf>
    <xf numFmtId="0" fontId="12" fillId="4" borderId="10" applyNumberFormat="0" applyProtection="0">
      <alignment horizontal="left" vertical="top" indent="1"/>
    </xf>
    <xf numFmtId="4" fontId="12" fillId="43" borderId="10" applyNumberFormat="0" applyProtection="0">
      <alignment horizontal="right" vertical="center"/>
    </xf>
    <xf numFmtId="4" fontId="34" fillId="43" borderId="10" applyNumberFormat="0" applyProtection="0">
      <alignment horizontal="right" vertical="center"/>
    </xf>
    <xf numFmtId="4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top" indent="1"/>
    </xf>
    <xf numFmtId="4" fontId="35" fillId="44" borderId="0" applyNumberFormat="0" applyProtection="0">
      <alignment horizontal="left" vertical="center" indent="1"/>
    </xf>
    <xf numFmtId="4" fontId="36" fillId="43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" fillId="0" borderId="0"/>
    <xf numFmtId="39" fontId="28" fillId="0" borderId="0"/>
    <xf numFmtId="4" fontId="12" fillId="43" borderId="0" applyNumberFormat="0" applyProtection="0">
      <alignment horizontal="left" vertical="center" indent="1"/>
    </xf>
    <xf numFmtId="4" fontId="12" fillId="2" borderId="0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39" fontId="2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6" fillId="18" borderId="0" applyNumberFormat="0" applyBorder="0" applyAlignment="0" applyProtection="0"/>
    <xf numFmtId="0" fontId="17" fillId="28" borderId="1" applyNumberFormat="0" applyAlignment="0" applyProtection="0"/>
    <xf numFmtId="0" fontId="18" fillId="19" borderId="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27" borderId="1" applyNumberFormat="0" applyAlignment="0" applyProtection="0"/>
    <xf numFmtId="0" fontId="26" fillId="0" borderId="7" applyNumberFormat="0" applyFill="0" applyAlignment="0" applyProtection="0"/>
    <xf numFmtId="0" fontId="27" fillId="27" borderId="0" applyNumberFormat="0" applyBorder="0" applyAlignment="0" applyProtection="0"/>
    <xf numFmtId="0" fontId="3" fillId="26" borderId="8" applyNumberFormat="0" applyFont="0" applyAlignment="0" applyProtection="0"/>
    <xf numFmtId="0" fontId="29" fillId="28" borderId="9" applyNumberFormat="0" applyAlignment="0" applyProtection="0"/>
    <xf numFmtId="0" fontId="37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8" fillId="0" borderId="0" applyNumberFormat="0" applyFill="0" applyBorder="0" applyAlignment="0" applyProtection="0"/>
    <xf numFmtId="39" fontId="28" fillId="0" borderId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24" borderId="0" applyNumberFormat="0" applyBorder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39" fontId="28" fillId="0" borderId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5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25" fillId="27" borderId="1" applyNumberFormat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39" fontId="28" fillId="0" borderId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25" fillId="27" borderId="1" applyNumberFormat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2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39" fontId="28" fillId="0" borderId="0"/>
    <xf numFmtId="0" fontId="14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</cellStyleXfs>
  <cellXfs count="697">
    <xf numFmtId="39" fontId="0" fillId="0" borderId="0" xfId="0"/>
    <xf numFmtId="39" fontId="4" fillId="0" borderId="0" xfId="0" applyFont="1" applyFill="1"/>
    <xf numFmtId="43" fontId="4" fillId="0" borderId="0" xfId="46" applyFont="1" applyFill="1"/>
    <xf numFmtId="43" fontId="3" fillId="0" borderId="0" xfId="46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43" fontId="4" fillId="0" borderId="0" xfId="46" applyFont="1" applyFill="1" applyBorder="1"/>
    <xf numFmtId="39" fontId="4" fillId="0" borderId="0" xfId="0" applyFont="1" applyFill="1" applyBorder="1"/>
    <xf numFmtId="39" fontId="4" fillId="0" borderId="0" xfId="0" applyFont="1" applyFill="1" applyBorder="1" applyAlignment="1">
      <alignment horizontal="center"/>
    </xf>
    <xf numFmtId="164" fontId="4" fillId="0" borderId="0" xfId="46" applyNumberFormat="1" applyFont="1" applyFill="1" applyBorder="1" applyAlignment="1" applyProtection="1">
      <alignment horizontal="center"/>
    </xf>
    <xf numFmtId="0" fontId="4" fillId="0" borderId="0" xfId="46" applyNumberFormat="1" applyFont="1" applyFill="1" applyBorder="1" applyAlignment="1" applyProtection="1">
      <alignment horizontal="center"/>
    </xf>
    <xf numFmtId="164" fontId="4" fillId="0" borderId="0" xfId="46" applyNumberFormat="1" applyFont="1" applyFill="1" applyBorder="1"/>
    <xf numFmtId="164" fontId="4" fillId="0" borderId="0" xfId="46" applyNumberFormat="1" applyFont="1" applyFill="1" applyBorder="1" applyAlignment="1">
      <alignment horizontal="center"/>
    </xf>
    <xf numFmtId="0" fontId="4" fillId="0" borderId="0" xfId="46" applyNumberFormat="1" applyFont="1" applyFill="1" applyBorder="1" applyAlignment="1">
      <alignment horizontal="center"/>
    </xf>
    <xf numFmtId="39" fontId="5" fillId="0" borderId="0" xfId="0" applyFont="1" applyFill="1" applyAlignment="1">
      <alignment horizontal="center"/>
    </xf>
    <xf numFmtId="39" fontId="5" fillId="0" borderId="0" xfId="0" applyFont="1" applyFill="1" applyBorder="1" applyAlignment="1">
      <alignment horizontal="center"/>
    </xf>
    <xf numFmtId="43" fontId="5" fillId="0" borderId="0" xfId="46" applyFont="1" applyFill="1" applyBorder="1" applyAlignment="1">
      <alignment horizontal="center"/>
    </xf>
    <xf numFmtId="0" fontId="5" fillId="0" borderId="0" xfId="46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39" fontId="5" fillId="0" borderId="0" xfId="0" applyFont="1" applyFill="1"/>
    <xf numFmtId="43" fontId="5" fillId="0" borderId="0" xfId="46" applyFont="1" applyFill="1"/>
    <xf numFmtId="39" fontId="5" fillId="0" borderId="0" xfId="0" quotePrefix="1" applyFont="1" applyFill="1" applyBorder="1" applyAlignment="1" applyProtection="1">
      <alignment horizontal="center"/>
    </xf>
    <xf numFmtId="0" fontId="5" fillId="0" borderId="0" xfId="46" applyNumberFormat="1" applyFont="1" applyFill="1" applyBorder="1" applyAlignment="1" applyProtection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5" fillId="0" borderId="14" xfId="46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>
      <alignment horizontal="center"/>
    </xf>
    <xf numFmtId="39" fontId="5" fillId="0" borderId="14" xfId="0" applyFont="1" applyFill="1" applyBorder="1"/>
    <xf numFmtId="43" fontId="5" fillId="0" borderId="0" xfId="46" applyFont="1" applyFill="1" applyBorder="1" applyAlignment="1" applyProtection="1">
      <alignment horizontal="center"/>
    </xf>
    <xf numFmtId="39" fontId="4" fillId="0" borderId="14" xfId="0" applyFont="1" applyFill="1" applyBorder="1"/>
    <xf numFmtId="39" fontId="4" fillId="0" borderId="0" xfId="0" applyFont="1" applyFill="1" applyAlignment="1">
      <alignment horizontal="center"/>
    </xf>
    <xf numFmtId="43" fontId="5" fillId="0" borderId="0" xfId="46" applyFont="1" applyFill="1" applyAlignment="1">
      <alignment horizontal="left"/>
    </xf>
    <xf numFmtId="43" fontId="4" fillId="0" borderId="0" xfId="46" applyFont="1" applyFill="1" applyBorder="1" applyAlignment="1" applyProtection="1">
      <alignment horizontal="left"/>
    </xf>
    <xf numFmtId="43" fontId="7" fillId="0" borderId="0" xfId="46" applyFont="1" applyFill="1" applyBorder="1" applyAlignment="1" applyProtection="1">
      <alignment horizontal="left"/>
    </xf>
    <xf numFmtId="7" fontId="4" fillId="0" borderId="0" xfId="0" applyNumberFormat="1" applyFont="1" applyFill="1" applyBorder="1" applyProtection="1"/>
    <xf numFmtId="39" fontId="4" fillId="0" borderId="0" xfId="0" applyFont="1" applyFill="1" applyAlignment="1" applyProtection="1">
      <alignment horizontal="left"/>
    </xf>
    <xf numFmtId="43" fontId="4" fillId="0" borderId="0" xfId="46" applyFont="1" applyFill="1" applyAlignment="1" applyProtection="1">
      <alignment horizontal="left"/>
    </xf>
    <xf numFmtId="39" fontId="4" fillId="0" borderId="0" xfId="0" applyFont="1" applyFill="1" applyBorder="1" applyAlignment="1" applyProtection="1">
      <alignment horizontal="left"/>
    </xf>
    <xf numFmtId="39" fontId="4" fillId="0" borderId="0" xfId="0" applyFont="1" applyFill="1" applyBorder="1" applyProtection="1"/>
    <xf numFmtId="43" fontId="7" fillId="0" borderId="0" xfId="46" applyFont="1" applyFill="1" applyAlignment="1" applyProtection="1">
      <alignment horizontal="left"/>
    </xf>
    <xf numFmtId="44" fontId="4" fillId="0" borderId="0" xfId="50" applyFont="1" applyFill="1" applyBorder="1"/>
    <xf numFmtId="43" fontId="5" fillId="0" borderId="0" xfId="46" applyFont="1" applyFill="1" applyBorder="1" applyAlignment="1" applyProtection="1">
      <alignment horizontal="left"/>
    </xf>
    <xf numFmtId="39" fontId="4" fillId="0" borderId="0" xfId="0" applyFont="1" applyFill="1" applyBorder="1" applyAlignment="1" applyProtection="1"/>
    <xf numFmtId="164" fontId="4" fillId="0" borderId="0" xfId="46" quotePrefix="1" applyNumberFormat="1" applyFont="1" applyFill="1" applyBorder="1" applyAlignment="1">
      <alignment horizontal="center"/>
    </xf>
    <xf numFmtId="39" fontId="4" fillId="0" borderId="0" xfId="0" quotePrefix="1" applyFont="1" applyFill="1" applyAlignment="1" applyProtection="1">
      <alignment horizontal="left"/>
    </xf>
    <xf numFmtId="43" fontId="4" fillId="0" borderId="0" xfId="46" quotePrefix="1" applyFont="1" applyFill="1" applyAlignment="1" applyProtection="1">
      <alignment horizontal="left"/>
    </xf>
    <xf numFmtId="43" fontId="4" fillId="0" borderId="0" xfId="46" quotePrefix="1" applyFont="1" applyFill="1" applyBorder="1" applyAlignment="1" applyProtection="1"/>
    <xf numFmtId="44" fontId="5" fillId="0" borderId="0" xfId="50" applyFont="1" applyFill="1"/>
    <xf numFmtId="0" fontId="5" fillId="0" borderId="0" xfId="50" applyNumberFormat="1" applyFont="1" applyFill="1" applyAlignment="1">
      <alignment horizontal="center"/>
    </xf>
    <xf numFmtId="43" fontId="5" fillId="0" borderId="0" xfId="46" applyFont="1" applyFill="1" applyAlignment="1">
      <alignment horizontal="center"/>
    </xf>
    <xf numFmtId="0" fontId="4" fillId="0" borderId="0" xfId="46" applyNumberFormat="1" applyFont="1" applyFill="1" applyBorder="1" applyAlignment="1" applyProtection="1">
      <alignment horizontal="justify"/>
    </xf>
    <xf numFmtId="0" fontId="4" fillId="0" borderId="0" xfId="46" applyNumberFormat="1" applyFont="1" applyFill="1" applyBorder="1" applyAlignment="1">
      <alignment horizontal="justify"/>
    </xf>
    <xf numFmtId="43" fontId="5" fillId="0" borderId="0" xfId="46" applyFont="1" applyFill="1" applyBorder="1" applyAlignment="1">
      <alignment horizontal="justify"/>
    </xf>
    <xf numFmtId="43" fontId="5" fillId="0" borderId="0" xfId="46" applyFont="1" applyFill="1" applyAlignment="1">
      <alignment horizontal="justify"/>
    </xf>
    <xf numFmtId="43" fontId="4" fillId="0" borderId="0" xfId="46" applyFont="1" applyFill="1" applyBorder="1" applyAlignment="1" applyProtection="1">
      <alignment horizontal="justify"/>
    </xf>
    <xf numFmtId="43" fontId="4" fillId="0" borderId="0" xfId="46" applyFont="1" applyFill="1" applyAlignment="1" applyProtection="1">
      <alignment horizontal="justify"/>
    </xf>
    <xf numFmtId="43" fontId="4" fillId="0" borderId="0" xfId="46" applyFont="1" applyFill="1" applyAlignment="1">
      <alignment horizontal="justify"/>
    </xf>
    <xf numFmtId="43" fontId="7" fillId="0" borderId="0" xfId="46" applyFont="1" applyFill="1" applyBorder="1" applyAlignment="1" applyProtection="1">
      <alignment horizontal="justify"/>
    </xf>
    <xf numFmtId="43" fontId="5" fillId="0" borderId="0" xfId="46" applyFont="1" applyFill="1" applyBorder="1" applyAlignment="1" applyProtection="1">
      <alignment horizontal="justify"/>
    </xf>
    <xf numFmtId="44" fontId="5" fillId="0" borderId="0" xfId="46" applyNumberFormat="1" applyFont="1" applyFill="1" applyBorder="1" applyAlignment="1">
      <alignment horizontal="justify"/>
    </xf>
    <xf numFmtId="0" fontId="4" fillId="0" borderId="0" xfId="46" quotePrefix="1" applyNumberFormat="1" applyFont="1" applyFill="1" applyBorder="1" applyAlignment="1">
      <alignment horizontal="justify"/>
    </xf>
    <xf numFmtId="14" fontId="5" fillId="0" borderId="13" xfId="46" applyNumberFormat="1" applyFont="1" applyFill="1" applyBorder="1" applyAlignment="1" applyProtection="1">
      <alignment horizontal="center"/>
    </xf>
    <xf numFmtId="14" fontId="5" fillId="0" borderId="0" xfId="46" quotePrefix="1" applyNumberFormat="1" applyFont="1" applyFill="1" applyBorder="1" applyAlignment="1" applyProtection="1">
      <alignment horizontal="center"/>
    </xf>
    <xf numFmtId="43" fontId="4" fillId="0" borderId="0" xfId="46" applyFont="1" applyFill="1" applyBorder="1" applyAlignment="1">
      <alignment horizontal="justify"/>
    </xf>
    <xf numFmtId="43" fontId="5" fillId="0" borderId="16" xfId="46" applyFont="1" applyFill="1" applyBorder="1" applyAlignment="1" applyProtection="1">
      <alignment horizontal="justify"/>
    </xf>
    <xf numFmtId="39" fontId="4" fillId="0" borderId="0" xfId="0" applyFont="1" applyFill="1" applyAlignment="1">
      <alignment wrapText="1"/>
    </xf>
    <xf numFmtId="39" fontId="4" fillId="0" borderId="0" xfId="0" applyFont="1" applyFill="1" applyBorder="1" applyAlignment="1">
      <alignment wrapText="1"/>
    </xf>
    <xf numFmtId="39" fontId="5" fillId="0" borderId="0" xfId="0" applyFont="1" applyFill="1" applyBorder="1" applyAlignment="1">
      <alignment horizontal="center" wrapText="1"/>
    </xf>
    <xf numFmtId="39" fontId="5" fillId="0" borderId="0" xfId="0" applyFont="1" applyFill="1" applyAlignment="1">
      <alignment wrapText="1"/>
    </xf>
    <xf numFmtId="39" fontId="5" fillId="0" borderId="0" xfId="0" applyFont="1" applyFill="1" applyBorder="1" applyAlignment="1" applyProtection="1">
      <alignment horizontal="center" wrapText="1"/>
    </xf>
    <xf numFmtId="39" fontId="5" fillId="0" borderId="0" xfId="0" applyFont="1" applyFill="1" applyAlignment="1">
      <alignment horizontal="left" wrapText="1"/>
    </xf>
    <xf numFmtId="39" fontId="4" fillId="0" borderId="0" xfId="0" applyFont="1" applyFill="1" applyAlignment="1" applyProtection="1">
      <alignment horizontal="left" wrapText="1"/>
    </xf>
    <xf numFmtId="39" fontId="4" fillId="0" borderId="0" xfId="0" applyFont="1" applyFill="1" applyBorder="1" applyAlignment="1" applyProtection="1">
      <alignment horizontal="left" wrapText="1"/>
    </xf>
    <xf numFmtId="39" fontId="5" fillId="0" borderId="0" xfId="0" applyFont="1" applyFill="1" applyBorder="1" applyAlignment="1" applyProtection="1">
      <alignment horizontal="left" wrapText="1"/>
    </xf>
    <xf numFmtId="0" fontId="4" fillId="0" borderId="0" xfId="46" applyNumberFormat="1" applyFont="1" applyFill="1" applyBorder="1" applyAlignment="1" applyProtection="1"/>
    <xf numFmtId="0" fontId="5" fillId="0" borderId="0" xfId="0" applyNumberFormat="1" applyFont="1" applyFill="1" applyAlignment="1"/>
    <xf numFmtId="43" fontId="4" fillId="0" borderId="14" xfId="46" applyFont="1" applyFill="1" applyBorder="1" applyAlignment="1" applyProtection="1">
      <alignment horizontal="justify"/>
    </xf>
    <xf numFmtId="37" fontId="4" fillId="0" borderId="0" xfId="0" applyNumberFormat="1" applyFont="1" applyFill="1"/>
    <xf numFmtId="0" fontId="4" fillId="0" borderId="0" xfId="46" applyNumberFormat="1" applyFont="1" applyFill="1" applyBorder="1" applyAlignment="1" applyProtection="1">
      <alignment wrapText="1"/>
    </xf>
    <xf numFmtId="14" fontId="5" fillId="0" borderId="0" xfId="46" applyNumberFormat="1" applyFont="1" applyFill="1" applyBorder="1" applyAlignment="1" applyProtection="1">
      <alignment horizontal="center"/>
    </xf>
    <xf numFmtId="14" fontId="30" fillId="0" borderId="0" xfId="68" applyNumberFormat="1" applyFont="1" applyFill="1" applyBorder="1" applyAlignment="1">
      <alignment horizontal="center"/>
    </xf>
    <xf numFmtId="1" fontId="5" fillId="0" borderId="0" xfId="46" applyNumberFormat="1" applyFont="1" applyFill="1" applyBorder="1" applyAlignment="1" applyProtection="1">
      <alignment horizontal="center"/>
    </xf>
    <xf numFmtId="1" fontId="5" fillId="0" borderId="13" xfId="46" applyNumberFormat="1" applyFont="1" applyFill="1" applyBorder="1" applyAlignment="1" applyProtection="1">
      <alignment horizontal="center"/>
    </xf>
    <xf numFmtId="39" fontId="5" fillId="0" borderId="0" xfId="0" applyFont="1" applyFill="1" applyBorder="1"/>
    <xf numFmtId="39" fontId="6" fillId="0" borderId="0" xfId="67" applyNumberFormat="1" applyFont="1" applyFill="1"/>
    <xf numFmtId="39" fontId="6" fillId="0" borderId="0" xfId="0" applyFont="1" applyFill="1" applyBorder="1" applyAlignment="1">
      <alignment vertical="center"/>
    </xf>
    <xf numFmtId="44" fontId="6" fillId="0" borderId="0" xfId="50" applyFont="1" applyFill="1" applyBorder="1"/>
    <xf numFmtId="0" fontId="5" fillId="0" borderId="0" xfId="46" applyNumberFormat="1" applyFont="1" applyFill="1" applyBorder="1" applyAlignment="1" applyProtection="1"/>
    <xf numFmtId="39" fontId="6" fillId="0" borderId="16" xfId="0" applyFont="1" applyFill="1" applyBorder="1" applyAlignment="1" applyProtection="1">
      <alignment wrapText="1"/>
    </xf>
    <xf numFmtId="44" fontId="6" fillId="0" borderId="16" xfId="50" applyFont="1" applyFill="1" applyBorder="1" applyAlignment="1" applyProtection="1">
      <alignment horizontal="justify"/>
    </xf>
    <xf numFmtId="39" fontId="11" fillId="0" borderId="0" xfId="0" applyFont="1" applyFill="1" applyBorder="1"/>
    <xf numFmtId="39" fontId="6" fillId="0" borderId="0" xfId="0" applyFont="1" applyFill="1" applyBorder="1" applyAlignment="1" applyProtection="1">
      <alignment horizontal="left" wrapText="1"/>
    </xf>
    <xf numFmtId="43" fontId="6" fillId="0" borderId="0" xfId="46" applyFont="1" applyFill="1" applyBorder="1" applyAlignment="1" applyProtection="1">
      <alignment horizontal="justify"/>
    </xf>
    <xf numFmtId="43" fontId="6" fillId="0" borderId="0" xfId="46" applyFont="1" applyFill="1" applyBorder="1" applyAlignment="1" applyProtection="1">
      <alignment horizontal="left"/>
    </xf>
    <xf numFmtId="39" fontId="11" fillId="0" borderId="0" xfId="0" applyFont="1" applyFill="1" applyBorder="1" applyProtection="1"/>
    <xf numFmtId="39" fontId="6" fillId="0" borderId="0" xfId="0" applyFont="1" applyFill="1" applyBorder="1"/>
    <xf numFmtId="39" fontId="4" fillId="0" borderId="0" xfId="0" applyFont="1" applyFill="1" applyAlignment="1" applyProtection="1">
      <alignment wrapText="1"/>
    </xf>
    <xf numFmtId="39" fontId="5" fillId="0" borderId="13" xfId="68" applyFont="1" applyFill="1" applyBorder="1" applyAlignment="1" applyProtection="1">
      <alignment horizontal="center"/>
    </xf>
    <xf numFmtId="14" fontId="5" fillId="0" borderId="13" xfId="68" applyNumberFormat="1" applyFont="1" applyFill="1" applyBorder="1" applyAlignment="1">
      <alignment horizontal="center"/>
    </xf>
    <xf numFmtId="39" fontId="5" fillId="0" borderId="0" xfId="68" applyFont="1" applyFill="1" applyBorder="1" applyAlignment="1" applyProtection="1">
      <alignment horizontal="center"/>
    </xf>
    <xf numFmtId="39" fontId="5" fillId="0" borderId="0" xfId="68" applyFont="1" applyFill="1" applyBorder="1"/>
    <xf numFmtId="39" fontId="30" fillId="0" borderId="0" xfId="68" applyFont="1" applyFill="1" applyBorder="1" applyAlignment="1">
      <alignment horizontal="center"/>
    </xf>
    <xf numFmtId="39" fontId="5" fillId="0" borderId="0" xfId="0" quotePrefix="1" applyFont="1" applyFill="1" applyBorder="1" applyAlignment="1" applyProtection="1">
      <alignment horizontal="left" wrapText="1"/>
    </xf>
    <xf numFmtId="44" fontId="6" fillId="0" borderId="18" xfId="50" applyFont="1" applyFill="1" applyBorder="1" applyAlignment="1" applyProtection="1">
      <alignment horizontal="justify"/>
    </xf>
    <xf numFmtId="39" fontId="11" fillId="0" borderId="0" xfId="0" applyFont="1" applyFill="1"/>
    <xf numFmtId="44" fontId="6" fillId="0" borderId="18" xfId="46" applyNumberFormat="1" applyFont="1" applyFill="1" applyBorder="1" applyAlignment="1">
      <alignment horizontal="left"/>
    </xf>
    <xf numFmtId="44" fontId="6" fillId="0" borderId="18" xfId="50" applyFont="1" applyFill="1" applyBorder="1" applyAlignment="1" applyProtection="1">
      <alignment horizontal="left"/>
    </xf>
    <xf numFmtId="44" fontId="6" fillId="0" borderId="18" xfId="46" applyNumberFormat="1" applyFont="1" applyFill="1" applyBorder="1" applyAlignment="1">
      <alignment horizontal="justify"/>
    </xf>
    <xf numFmtId="0" fontId="6" fillId="0" borderId="0" xfId="0" applyNumberFormat="1" applyFont="1" applyFill="1" applyAlignment="1"/>
    <xf numFmtId="39" fontId="5" fillId="0" borderId="0" xfId="0" applyFont="1" applyFill="1" applyAlignment="1" applyProtection="1">
      <alignment horizontal="left" wrapText="1"/>
    </xf>
    <xf numFmtId="39" fontId="5" fillId="0" borderId="0" xfId="0" applyFont="1" applyFill="1" applyAlignment="1" applyProtection="1">
      <alignment wrapText="1"/>
    </xf>
    <xf numFmtId="39" fontId="5" fillId="0" borderId="0" xfId="0" applyFont="1" applyFill="1" applyBorder="1" applyAlignment="1">
      <alignment wrapText="1"/>
    </xf>
    <xf numFmtId="43" fontId="5" fillId="0" borderId="16" xfId="46" applyFont="1" applyFill="1" applyBorder="1" applyAlignment="1" applyProtection="1">
      <alignment horizontal="left"/>
    </xf>
    <xf numFmtId="39" fontId="5" fillId="0" borderId="16" xfId="0" applyFont="1" applyFill="1" applyBorder="1" applyProtection="1"/>
    <xf numFmtId="39" fontId="5" fillId="0" borderId="16" xfId="0" applyFont="1" applyFill="1" applyBorder="1"/>
    <xf numFmtId="39" fontId="11" fillId="0" borderId="18" xfId="0" quotePrefix="1" applyFont="1" applyFill="1" applyBorder="1"/>
    <xf numFmtId="39" fontId="11" fillId="0" borderId="18" xfId="0" applyFont="1" applyFill="1" applyBorder="1"/>
    <xf numFmtId="43" fontId="4" fillId="0" borderId="14" xfId="46" applyFont="1" applyFill="1" applyBorder="1" applyAlignment="1" applyProtection="1">
      <alignment horizontal="left"/>
    </xf>
    <xf numFmtId="39" fontId="4" fillId="0" borderId="14" xfId="0" applyFont="1" applyFill="1" applyBorder="1" applyProtection="1"/>
    <xf numFmtId="39" fontId="5" fillId="0" borderId="0" xfId="68" applyFont="1" applyFill="1" applyBorder="1" applyAlignment="1">
      <alignment horizontal="centerContinuous"/>
    </xf>
    <xf numFmtId="0" fontId="5" fillId="0" borderId="0" xfId="68" applyNumberFormat="1" applyFont="1" applyFill="1" applyBorder="1" applyAlignment="1">
      <alignment horizontal="center"/>
    </xf>
    <xf numFmtId="49" fontId="5" fillId="0" borderId="0" xfId="68" applyNumberFormat="1" applyFont="1" applyFill="1" applyBorder="1" applyAlignment="1">
      <alignment horizontal="center"/>
    </xf>
    <xf numFmtId="39" fontId="5" fillId="0" borderId="0" xfId="68" applyFont="1" applyFill="1" applyBorder="1" applyAlignment="1">
      <alignment horizontal="center"/>
    </xf>
    <xf numFmtId="39" fontId="6" fillId="0" borderId="0" xfId="68" applyFont="1" applyFill="1" applyBorder="1" applyAlignment="1">
      <alignment horizontal="center"/>
    </xf>
    <xf numFmtId="39" fontId="4" fillId="0" borderId="0" xfId="68" applyFont="1" applyFill="1" applyBorder="1" applyAlignment="1">
      <alignment horizontal="center"/>
    </xf>
    <xf numFmtId="0" fontId="5" fillId="0" borderId="0" xfId="69" applyFont="1" applyFill="1" applyAlignment="1">
      <alignment horizontal="center"/>
    </xf>
    <xf numFmtId="0" fontId="5" fillId="0" borderId="0" xfId="69" applyFont="1" applyFill="1" applyBorder="1" applyAlignment="1">
      <alignment horizontal="center"/>
    </xf>
    <xf numFmtId="0" fontId="4" fillId="0" borderId="0" xfId="69" applyFont="1" applyFill="1"/>
    <xf numFmtId="0" fontId="36" fillId="0" borderId="0" xfId="69" applyFont="1" applyFill="1"/>
    <xf numFmtId="39" fontId="5" fillId="0" borderId="0" xfId="68" applyFont="1" applyFill="1" applyAlignment="1">
      <alignment horizontal="left"/>
    </xf>
    <xf numFmtId="0" fontId="5" fillId="0" borderId="0" xfId="68" applyNumberFormat="1" applyFont="1" applyFill="1" applyAlignment="1">
      <alignment horizontal="left"/>
    </xf>
    <xf numFmtId="39" fontId="5" fillId="0" borderId="0" xfId="68" applyFont="1" applyFill="1" applyAlignment="1">
      <alignment horizontal="centerContinuous"/>
    </xf>
    <xf numFmtId="49" fontId="5" fillId="0" borderId="0" xfId="68" applyNumberFormat="1" applyFont="1" applyFill="1" applyBorder="1" applyAlignment="1" applyProtection="1">
      <alignment horizontal="center"/>
    </xf>
    <xf numFmtId="39" fontId="5" fillId="0" borderId="0" xfId="68" applyFont="1" applyFill="1"/>
    <xf numFmtId="39" fontId="5" fillId="0" borderId="0" xfId="68" quotePrefix="1" applyFont="1" applyFill="1" applyBorder="1" applyAlignment="1" applyProtection="1">
      <alignment horizontal="center"/>
    </xf>
    <xf numFmtId="167" fontId="30" fillId="0" borderId="0" xfId="49" applyFont="1" applyFill="1" applyBorder="1" applyAlignment="1" applyProtection="1"/>
    <xf numFmtId="167" fontId="5" fillId="0" borderId="0" xfId="49" applyFont="1" applyFill="1" applyBorder="1" applyAlignment="1" applyProtection="1">
      <alignment horizontal="center"/>
    </xf>
    <xf numFmtId="39" fontId="4" fillId="0" borderId="0" xfId="68" applyFont="1" applyFill="1" applyBorder="1"/>
    <xf numFmtId="0" fontId="5" fillId="0" borderId="0" xfId="69" applyFont="1" applyFill="1" applyBorder="1" applyAlignment="1" applyProtection="1">
      <alignment horizontal="center"/>
    </xf>
    <xf numFmtId="39" fontId="4" fillId="0" borderId="0" xfId="68" applyFont="1" applyFill="1"/>
    <xf numFmtId="0" fontId="4" fillId="0" borderId="0" xfId="69" applyFont="1" applyFill="1" applyBorder="1"/>
    <xf numFmtId="0" fontId="5" fillId="0" borderId="14" xfId="47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 applyProtection="1">
      <alignment horizontal="center"/>
    </xf>
    <xf numFmtId="14" fontId="5" fillId="0" borderId="13" xfId="49" quotePrefix="1" applyNumberFormat="1" applyFont="1" applyFill="1" applyBorder="1" applyAlignment="1" applyProtection="1">
      <alignment horizontal="center"/>
    </xf>
    <xf numFmtId="167" fontId="5" fillId="0" borderId="13" xfId="49" applyFont="1" applyFill="1" applyBorder="1" applyAlignment="1">
      <alignment horizontal="center"/>
    </xf>
    <xf numFmtId="0" fontId="5" fillId="0" borderId="13" xfId="69" applyFont="1" applyFill="1" applyBorder="1" applyAlignment="1" applyProtection="1">
      <alignment horizontal="center"/>
    </xf>
    <xf numFmtId="39" fontId="30" fillId="0" borderId="0" xfId="68" applyFont="1" applyFill="1" applyAlignment="1">
      <alignment horizontal="center"/>
    </xf>
    <xf numFmtId="0" fontId="30" fillId="0" borderId="0" xfId="68" applyNumberFormat="1" applyFont="1" applyFill="1" applyAlignment="1">
      <alignment horizontal="center"/>
    </xf>
    <xf numFmtId="49" fontId="30" fillId="0" borderId="0" xfId="68" applyNumberFormat="1" applyFont="1" applyFill="1" applyBorder="1" applyAlignment="1">
      <alignment horizontal="center"/>
    </xf>
    <xf numFmtId="0" fontId="12" fillId="0" borderId="0" xfId="69" applyFont="1" applyFill="1"/>
    <xf numFmtId="0" fontId="12" fillId="0" borderId="0" xfId="69" applyFont="1" applyFill="1" applyBorder="1"/>
    <xf numFmtId="0" fontId="30" fillId="0" borderId="0" xfId="69" applyFont="1" applyFill="1" applyBorder="1"/>
    <xf numFmtId="0" fontId="30" fillId="0" borderId="0" xfId="69" applyFont="1" applyFill="1"/>
    <xf numFmtId="39" fontId="12" fillId="0" borderId="0" xfId="68" applyFont="1" applyFill="1" applyAlignment="1">
      <alignment wrapText="1"/>
    </xf>
    <xf numFmtId="0" fontId="12" fillId="0" borderId="0" xfId="68" applyNumberFormat="1" applyFont="1" applyFill="1" applyAlignment="1">
      <alignment horizontal="center" wrapText="1"/>
    </xf>
    <xf numFmtId="4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Font="1" applyFill="1" applyBorder="1" applyAlignment="1" applyProtection="1">
      <alignment wrapText="1"/>
    </xf>
    <xf numFmtId="39" fontId="12" fillId="0" borderId="0" xfId="68" applyNumberFormat="1" applyFont="1" applyFill="1" applyBorder="1" applyAlignment="1" applyProtection="1"/>
    <xf numFmtId="39" fontId="12" fillId="0" borderId="0" xfId="68" applyNumberFormat="1" applyFont="1" applyFill="1" applyBorder="1" applyAlignment="1" applyProtection="1">
      <alignment horizontal="center" wrapText="1"/>
    </xf>
    <xf numFmtId="39" fontId="12" fillId="0" borderId="0" xfId="68" applyNumberFormat="1" applyFont="1" applyFill="1" applyAlignment="1"/>
    <xf numFmtId="39" fontId="12" fillId="0" borderId="0" xfId="49" applyNumberFormat="1" applyFont="1" applyFill="1" applyAlignment="1"/>
    <xf numFmtId="39" fontId="12" fillId="0" borderId="0" xfId="68" applyNumberFormat="1" applyFont="1" applyFill="1" applyBorder="1" applyAlignment="1">
      <alignment wrapText="1"/>
    </xf>
    <xf numFmtId="39" fontId="30" fillId="0" borderId="0" xfId="68" applyNumberFormat="1" applyFont="1" applyFill="1" applyBorder="1" applyAlignment="1">
      <alignment wrapText="1"/>
    </xf>
    <xf numFmtId="167" fontId="30" fillId="0" borderId="0" xfId="49" applyFont="1" applyFill="1" applyBorder="1" applyAlignment="1" applyProtection="1">
      <alignment horizontal="right" wrapText="1"/>
    </xf>
    <xf numFmtId="0" fontId="12" fillId="0" borderId="0" xfId="69" applyFont="1" applyFill="1" applyAlignment="1">
      <alignment wrapText="1"/>
    </xf>
    <xf numFmtId="39" fontId="12" fillId="0" borderId="0" xfId="68" applyFont="1" applyFill="1"/>
    <xf numFmtId="0" fontId="12" fillId="0" borderId="0" xfId="68" applyNumberFormat="1" applyFont="1" applyFill="1" applyAlignment="1">
      <alignment horizontal="center"/>
    </xf>
    <xf numFmtId="49" fontId="12" fillId="0" borderId="0" xfId="68" applyNumberFormat="1" applyFont="1" applyFill="1" applyBorder="1" applyAlignment="1" applyProtection="1">
      <alignment horizontal="center"/>
    </xf>
    <xf numFmtId="39" fontId="12" fillId="0" borderId="0" xfId="68" applyFont="1" applyFill="1" applyAlignment="1" applyProtection="1">
      <alignment horizontal="left"/>
    </xf>
    <xf numFmtId="39" fontId="12" fillId="0" borderId="0" xfId="68" applyFont="1" applyFill="1" applyBorder="1" applyProtection="1"/>
    <xf numFmtId="39" fontId="12" fillId="0" borderId="0" xfId="68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 applyProtection="1">
      <alignment horizontal="right"/>
    </xf>
    <xf numFmtId="39" fontId="12" fillId="0" borderId="0" xfId="68" applyNumberFormat="1" applyFont="1" applyFill="1" applyBorder="1"/>
    <xf numFmtId="39" fontId="30" fillId="0" borderId="0" xfId="68" applyNumberFormat="1" applyFont="1" applyFill="1" applyBorder="1"/>
    <xf numFmtId="167" fontId="30" fillId="0" borderId="0" xfId="49" applyFont="1" applyFill="1" applyBorder="1" applyAlignment="1" applyProtection="1">
      <alignment horizontal="right"/>
    </xf>
    <xf numFmtId="39" fontId="30" fillId="0" borderId="0" xfId="68" applyFont="1" applyFill="1"/>
    <xf numFmtId="39" fontId="30" fillId="0" borderId="0" xfId="68" applyFont="1" applyFill="1" applyAlignment="1" applyProtection="1">
      <alignment horizontal="left"/>
    </xf>
    <xf numFmtId="39" fontId="30" fillId="0" borderId="0" xfId="68" applyFont="1" applyFill="1" applyBorder="1" applyAlignment="1" applyProtection="1"/>
    <xf numFmtId="39" fontId="30" fillId="0" borderId="16" xfId="68" applyNumberFormat="1" applyFont="1" applyFill="1" applyBorder="1" applyAlignment="1" applyProtection="1"/>
    <xf numFmtId="39" fontId="30" fillId="0" borderId="16" xfId="68" applyNumberFormat="1" applyFont="1" applyFill="1" applyBorder="1" applyAlignment="1" applyProtection="1">
      <alignment horizontal="center"/>
    </xf>
    <xf numFmtId="39" fontId="30" fillId="0" borderId="16" xfId="68" applyNumberFormat="1" applyFont="1" applyFill="1" applyBorder="1" applyAlignment="1"/>
    <xf numFmtId="39" fontId="30" fillId="0" borderId="16" xfId="49" applyNumberFormat="1" applyFont="1" applyFill="1" applyBorder="1" applyAlignment="1" applyProtection="1">
      <alignment horizontal="right"/>
    </xf>
    <xf numFmtId="39" fontId="30" fillId="0" borderId="16" xfId="68" applyNumberFormat="1" applyFont="1" applyFill="1" applyBorder="1"/>
    <xf numFmtId="39" fontId="30" fillId="0" borderId="16" xfId="49" applyNumberFormat="1" applyFont="1" applyFill="1" applyBorder="1" applyAlignment="1"/>
    <xf numFmtId="39" fontId="12" fillId="0" borderId="0" xfId="69" applyNumberFormat="1" applyFont="1" applyFill="1"/>
    <xf numFmtId="39" fontId="12" fillId="0" borderId="0" xfId="68" applyFont="1" applyFill="1" applyAlignment="1">
      <alignment horizontal="center"/>
    </xf>
    <xf numFmtId="49" fontId="12" fillId="0" borderId="0" xfId="68" applyNumberFormat="1" applyFont="1" applyFill="1" applyBorder="1" applyAlignment="1">
      <alignment horizontal="center"/>
    </xf>
    <xf numFmtId="39" fontId="12" fillId="0" borderId="0" xfId="68" applyFont="1" applyFill="1" applyBorder="1" applyAlignment="1">
      <alignment horizontal="center"/>
    </xf>
    <xf numFmtId="39" fontId="12" fillId="0" borderId="0" xfId="68" applyFont="1" applyFill="1" applyAlignment="1">
      <alignment horizontal="right"/>
    </xf>
    <xf numFmtId="39" fontId="12" fillId="0" borderId="0" xfId="68" applyFont="1" applyFill="1" applyBorder="1" applyAlignment="1">
      <alignment horizontal="right"/>
    </xf>
    <xf numFmtId="14" fontId="12" fillId="0" borderId="0" xfId="68" applyNumberFormat="1" applyFont="1" applyFill="1" applyBorder="1" applyAlignment="1">
      <alignment horizontal="right"/>
    </xf>
    <xf numFmtId="39" fontId="12" fillId="0" borderId="0" xfId="68" quotePrefix="1" applyFont="1" applyFill="1" applyAlignment="1" applyProtection="1">
      <alignment horizontal="left"/>
    </xf>
    <xf numFmtId="39" fontId="30" fillId="0" borderId="0" xfId="68" applyNumberFormat="1" applyFont="1" applyFill="1" applyBorder="1" applyAlignment="1" applyProtection="1">
      <alignment horizontal="center"/>
    </xf>
    <xf numFmtId="39" fontId="30" fillId="0" borderId="0" xfId="49" applyNumberFormat="1" applyFont="1" applyFill="1" applyBorder="1" applyAlignment="1" applyProtection="1">
      <alignment horizontal="right"/>
    </xf>
    <xf numFmtId="39" fontId="12" fillId="0" borderId="0" xfId="49" quotePrefix="1" applyNumberFormat="1" applyFont="1" applyFill="1" applyBorder="1" applyAlignment="1" applyProtection="1">
      <alignment horizontal="center"/>
    </xf>
    <xf numFmtId="39" fontId="12" fillId="0" borderId="0" xfId="49" applyNumberFormat="1" applyFont="1" applyFill="1" applyBorder="1" applyAlignment="1">
      <alignment horizontal="right"/>
    </xf>
    <xf numFmtId="39" fontId="12" fillId="0" borderId="0" xfId="68" applyFont="1" applyFill="1" applyBorder="1"/>
    <xf numFmtId="39" fontId="12" fillId="0" borderId="16" xfId="68" applyNumberFormat="1" applyFont="1" applyFill="1" applyBorder="1" applyAlignment="1" applyProtection="1"/>
    <xf numFmtId="39" fontId="12" fillId="0" borderId="16" xfId="68" applyNumberFormat="1" applyFont="1" applyFill="1" applyBorder="1" applyAlignment="1"/>
    <xf numFmtId="39" fontId="39" fillId="0" borderId="0" xfId="69" applyNumberFormat="1" applyFont="1" applyFill="1" applyBorder="1" applyAlignment="1">
      <alignment horizontal="center"/>
    </xf>
    <xf numFmtId="39" fontId="12" fillId="0" borderId="16" xfId="49" applyNumberFormat="1" applyFont="1" applyFill="1" applyBorder="1" applyAlignment="1"/>
    <xf numFmtId="39" fontId="12" fillId="0" borderId="0" xfId="68" applyNumberFormat="1" applyFont="1" applyFill="1" applyBorder="1" applyAlignment="1">
      <alignment horizontal="center"/>
    </xf>
    <xf numFmtId="39" fontId="12" fillId="0" borderId="14" xfId="68" applyNumberFormat="1" applyFont="1" applyFill="1" applyBorder="1" applyAlignment="1"/>
    <xf numFmtId="39" fontId="12" fillId="0" borderId="0" xfId="68" applyNumberFormat="1" applyFont="1" applyFill="1" applyBorder="1" applyAlignment="1"/>
    <xf numFmtId="39" fontId="30" fillId="0" borderId="0" xfId="49" quotePrefix="1" applyNumberFormat="1" applyFont="1" applyFill="1" applyBorder="1" applyAlignment="1" applyProtection="1">
      <alignment horizontal="center"/>
    </xf>
    <xf numFmtId="167" fontId="30" fillId="0" borderId="0" xfId="49" quotePrefix="1" applyFont="1" applyFill="1" applyBorder="1" applyAlignment="1" applyProtection="1">
      <alignment horizontal="center"/>
    </xf>
    <xf numFmtId="0" fontId="5" fillId="0" borderId="0" xfId="68" applyNumberFormat="1" applyFont="1" applyFill="1" applyAlignment="1">
      <alignment horizontal="center"/>
    </xf>
    <xf numFmtId="167" fontId="5" fillId="0" borderId="0" xfId="49" applyFont="1" applyFill="1" applyBorder="1" applyAlignment="1" applyProtection="1">
      <alignment horizontal="right"/>
    </xf>
    <xf numFmtId="49" fontId="4" fillId="0" borderId="0" xfId="68" applyNumberFormat="1" applyFont="1" applyFill="1" applyBorder="1" applyAlignment="1">
      <alignment horizontal="center"/>
    </xf>
    <xf numFmtId="39" fontId="4" fillId="0" borderId="0" xfId="68" applyFont="1" applyFill="1" applyAlignment="1" applyProtection="1">
      <alignment horizontal="left"/>
    </xf>
    <xf numFmtId="39" fontId="4" fillId="0" borderId="0" xfId="68" applyNumberFormat="1" applyFont="1" applyFill="1" applyBorder="1" applyAlignment="1"/>
    <xf numFmtId="39" fontId="4" fillId="0" borderId="0" xfId="68" applyNumberFormat="1" applyFont="1" applyFill="1" applyBorder="1" applyAlignment="1">
      <alignment horizontal="center"/>
    </xf>
    <xf numFmtId="39" fontId="4" fillId="0" borderId="0" xfId="68" applyNumberFormat="1" applyFont="1" applyFill="1" applyAlignment="1"/>
    <xf numFmtId="39" fontId="4" fillId="0" borderId="0" xfId="49" applyNumberFormat="1" applyFont="1" applyFill="1" applyBorder="1" applyAlignment="1" applyProtection="1">
      <alignment horizontal="center"/>
    </xf>
    <xf numFmtId="39" fontId="5" fillId="0" borderId="0" xfId="49" applyNumberFormat="1" applyFont="1" applyFill="1" applyBorder="1" applyAlignment="1" applyProtection="1">
      <alignment horizontal="center"/>
    </xf>
    <xf numFmtId="39" fontId="6" fillId="0" borderId="0" xfId="68" applyFont="1" applyFill="1"/>
    <xf numFmtId="49" fontId="6" fillId="0" borderId="0" xfId="68" applyNumberFormat="1" applyFont="1" applyFill="1" applyBorder="1" applyAlignment="1">
      <alignment horizontal="center"/>
    </xf>
    <xf numFmtId="39" fontId="6" fillId="0" borderId="0" xfId="68" applyFont="1" applyFill="1" applyBorder="1"/>
    <xf numFmtId="39" fontId="6" fillId="0" borderId="16" xfId="68" applyNumberFormat="1" applyFont="1" applyFill="1" applyBorder="1" applyAlignment="1" applyProtection="1"/>
    <xf numFmtId="39" fontId="6" fillId="0" borderId="16" xfId="68" applyNumberFormat="1" applyFont="1" applyFill="1" applyBorder="1" applyAlignment="1" applyProtection="1">
      <alignment horizontal="center"/>
    </xf>
    <xf numFmtId="39" fontId="6" fillId="0" borderId="16" xfId="49" applyNumberFormat="1" applyFont="1" applyFill="1" applyBorder="1" applyAlignment="1" applyProtection="1">
      <alignment horizontal="right"/>
    </xf>
    <xf numFmtId="39" fontId="6" fillId="0" borderId="16" xfId="68" applyNumberFormat="1" applyFont="1" applyFill="1" applyBorder="1"/>
    <xf numFmtId="167" fontId="6" fillId="0" borderId="0" xfId="49" applyFont="1" applyFill="1" applyBorder="1" applyAlignment="1" applyProtection="1">
      <alignment horizontal="right"/>
    </xf>
    <xf numFmtId="39" fontId="6" fillId="0" borderId="0" xfId="69" applyNumberFormat="1" applyFont="1" applyFill="1"/>
    <xf numFmtId="0" fontId="6" fillId="0" borderId="0" xfId="69" applyFont="1" applyFill="1"/>
    <xf numFmtId="39" fontId="40" fillId="0" borderId="0" xfId="69" applyNumberFormat="1" applyFont="1" applyFill="1"/>
    <xf numFmtId="49" fontId="12" fillId="0" borderId="0" xfId="68" applyNumberFormat="1" applyFont="1" applyFill="1" applyBorder="1" applyAlignment="1">
      <alignment horizontal="center" wrapText="1"/>
    </xf>
    <xf numFmtId="39" fontId="12" fillId="0" borderId="0" xfId="68" applyFont="1" applyFill="1" applyAlignment="1" applyProtection="1">
      <alignment horizontal="left" wrapText="1"/>
    </xf>
    <xf numFmtId="39" fontId="12" fillId="0" borderId="0" xfId="68" applyFont="1" applyFill="1" applyBorder="1" applyAlignment="1">
      <alignment wrapText="1"/>
    </xf>
    <xf numFmtId="39" fontId="12" fillId="0" borderId="0" xfId="68" applyNumberFormat="1" applyFont="1" applyFill="1" applyBorder="1" applyAlignment="1">
      <alignment horizontal="center" wrapText="1"/>
    </xf>
    <xf numFmtId="39" fontId="12" fillId="0" borderId="0" xfId="49" applyNumberFormat="1" applyFont="1" applyFill="1" applyBorder="1" applyAlignment="1">
      <alignment horizontal="right" wrapText="1"/>
    </xf>
    <xf numFmtId="39" fontId="12" fillId="0" borderId="0" xfId="49" quotePrefix="1" applyNumberFormat="1" applyFont="1" applyFill="1" applyBorder="1" applyAlignment="1" applyProtection="1">
      <alignment horizontal="center" wrapText="1"/>
    </xf>
    <xf numFmtId="39" fontId="30" fillId="0" borderId="0" xfId="49" quotePrefix="1" applyNumberFormat="1" applyFont="1" applyFill="1" applyBorder="1" applyAlignment="1" applyProtection="1">
      <alignment horizontal="center" wrapText="1"/>
    </xf>
    <xf numFmtId="4" fontId="12" fillId="0" borderId="0" xfId="68" applyNumberFormat="1" applyFont="1" applyFill="1" applyBorder="1" applyAlignment="1">
      <alignment horizontal="right"/>
    </xf>
    <xf numFmtId="0" fontId="4" fillId="0" borderId="0" xfId="68" applyNumberFormat="1" applyFont="1" applyFill="1" applyAlignment="1">
      <alignment horizontal="center"/>
    </xf>
    <xf numFmtId="39" fontId="4" fillId="0" borderId="0" xfId="68" applyFont="1" applyFill="1" applyAlignment="1">
      <alignment horizontal="right"/>
    </xf>
    <xf numFmtId="4" fontId="4" fillId="0" borderId="0" xfId="68" applyNumberFormat="1" applyFont="1" applyFill="1" applyBorder="1" applyAlignment="1">
      <alignment horizontal="right"/>
    </xf>
    <xf numFmtId="0" fontId="39" fillId="0" borderId="0" xfId="69" applyFont="1" applyFill="1" applyBorder="1" applyAlignment="1">
      <alignment horizontal="center"/>
    </xf>
    <xf numFmtId="39" fontId="4" fillId="0" borderId="0" xfId="68" applyNumberFormat="1" applyFont="1" applyFill="1" applyBorder="1" applyAlignment="1" applyProtection="1"/>
    <xf numFmtId="39" fontId="4" fillId="0" borderId="0" xfId="49" quotePrefix="1" applyNumberFormat="1" applyFont="1" applyFill="1" applyBorder="1" applyAlignment="1" applyProtection="1">
      <alignment horizontal="center"/>
    </xf>
    <xf numFmtId="39" fontId="4" fillId="0" borderId="0" xfId="49" applyNumberFormat="1" applyFont="1" applyFill="1" applyAlignment="1"/>
    <xf numFmtId="39" fontId="5" fillId="0" borderId="0" xfId="49" quotePrefix="1" applyNumberFormat="1" applyFont="1" applyFill="1" applyBorder="1" applyAlignment="1" applyProtection="1">
      <alignment horizontal="center"/>
    </xf>
    <xf numFmtId="39" fontId="4" fillId="0" borderId="0" xfId="68" applyFont="1" applyFill="1" applyAlignment="1">
      <alignment horizontal="center"/>
    </xf>
    <xf numFmtId="39" fontId="4" fillId="0" borderId="0" xfId="68" applyFont="1" applyFill="1" applyBorder="1" applyAlignment="1">
      <alignment horizontal="right"/>
    </xf>
    <xf numFmtId="14" fontId="4" fillId="0" borderId="0" xfId="68" applyNumberFormat="1" applyFont="1" applyFill="1" applyBorder="1" applyAlignment="1">
      <alignment horizontal="right"/>
    </xf>
    <xf numFmtId="39" fontId="4" fillId="0" borderId="0" xfId="68" applyFont="1" applyFill="1" applyAlignment="1">
      <alignment wrapText="1"/>
    </xf>
    <xf numFmtId="49" fontId="4" fillId="0" borderId="0" xfId="68" applyNumberFormat="1" applyFont="1" applyFill="1" applyBorder="1" applyAlignment="1">
      <alignment horizontal="center" wrapText="1"/>
    </xf>
    <xf numFmtId="39" fontId="4" fillId="0" borderId="0" xfId="68" applyFont="1" applyFill="1" applyAlignment="1" applyProtection="1">
      <alignment horizontal="left" wrapText="1"/>
    </xf>
    <xf numFmtId="39" fontId="4" fillId="0" borderId="0" xfId="68" applyFont="1" applyFill="1" applyBorder="1" applyAlignment="1">
      <alignment wrapText="1"/>
    </xf>
    <xf numFmtId="39" fontId="4" fillId="0" borderId="0" xfId="68" applyNumberFormat="1" applyFont="1" applyFill="1" applyBorder="1" applyAlignment="1">
      <alignment horizontal="center" wrapText="1"/>
    </xf>
    <xf numFmtId="39" fontId="4" fillId="0" borderId="0" xfId="49" quotePrefix="1" applyNumberFormat="1" applyFont="1" applyFill="1" applyBorder="1" applyAlignment="1" applyProtection="1">
      <alignment horizontal="center" wrapText="1"/>
    </xf>
    <xf numFmtId="39" fontId="5" fillId="0" borderId="0" xfId="49" quotePrefix="1" applyNumberFormat="1" applyFont="1" applyFill="1" applyBorder="1" applyAlignment="1" applyProtection="1">
      <alignment horizontal="center" wrapText="1"/>
    </xf>
    <xf numFmtId="167" fontId="5" fillId="0" borderId="0" xfId="49" applyFont="1" applyFill="1" applyBorder="1" applyAlignment="1" applyProtection="1">
      <alignment horizontal="right" wrapText="1"/>
    </xf>
    <xf numFmtId="0" fontId="4" fillId="0" borderId="0" xfId="69" applyFont="1" applyFill="1" applyAlignment="1">
      <alignment wrapText="1"/>
    </xf>
    <xf numFmtId="39" fontId="5" fillId="0" borderId="0" xfId="68" applyFont="1" applyFill="1" applyBorder="1" applyAlignment="1" applyProtection="1"/>
    <xf numFmtId="39" fontId="4" fillId="0" borderId="0" xfId="68" applyNumberFormat="1" applyFont="1" applyFill="1" applyBorder="1"/>
    <xf numFmtId="39" fontId="4" fillId="0" borderId="0" xfId="49" applyNumberFormat="1" applyFont="1" applyFill="1" applyBorder="1" applyAlignment="1"/>
    <xf numFmtId="39" fontId="6" fillId="0" borderId="19" xfId="68" applyNumberFormat="1" applyFont="1" applyFill="1" applyBorder="1" applyAlignment="1"/>
    <xf numFmtId="39" fontId="6" fillId="0" borderId="18" xfId="68" applyNumberFormat="1" applyFont="1" applyFill="1" applyBorder="1" applyAlignment="1"/>
    <xf numFmtId="49" fontId="4" fillId="0" borderId="0" xfId="68" applyNumberFormat="1" applyFont="1" applyFill="1" applyBorder="1" applyAlignment="1" applyProtection="1">
      <alignment horizontal="center"/>
    </xf>
    <xf numFmtId="39" fontId="4" fillId="0" borderId="0" xfId="68" applyFont="1" applyFill="1" applyBorder="1" applyProtection="1"/>
    <xf numFmtId="39" fontId="4" fillId="0" borderId="0" xfId="68" applyNumberFormat="1" applyFont="1" applyFill="1" applyBorder="1" applyAlignment="1" applyProtection="1">
      <alignment horizontal="center"/>
    </xf>
    <xf numFmtId="39" fontId="5" fillId="0" borderId="0" xfId="68" applyNumberFormat="1" applyFont="1" applyFill="1" applyBorder="1"/>
    <xf numFmtId="39" fontId="4" fillId="0" borderId="0" xfId="69" applyNumberFormat="1" applyFont="1" applyFill="1"/>
    <xf numFmtId="0" fontId="39" fillId="0" borderId="0" xfId="69" applyFont="1" applyFill="1" applyAlignment="1">
      <alignment horizontal="center"/>
    </xf>
    <xf numFmtId="39" fontId="4" fillId="0" borderId="0" xfId="49" applyNumberFormat="1" applyFont="1" applyFill="1" applyBorder="1" applyAlignment="1" applyProtection="1">
      <alignment horizontal="right"/>
    </xf>
    <xf numFmtId="39" fontId="4" fillId="0" borderId="0" xfId="69" applyNumberFormat="1" applyFont="1" applyFill="1" applyBorder="1"/>
    <xf numFmtId="39" fontId="4" fillId="0" borderId="0" xfId="49" applyNumberFormat="1" applyFont="1" applyFill="1" applyBorder="1" applyAlignment="1">
      <alignment horizontal="right"/>
    </xf>
    <xf numFmtId="167" fontId="41" fillId="0" borderId="0" xfId="49" applyFont="1" applyFill="1" applyBorder="1" applyAlignment="1">
      <alignment horizontal="center"/>
    </xf>
    <xf numFmtId="167" fontId="41" fillId="0" borderId="0" xfId="49" applyFont="1" applyFill="1" applyBorder="1" applyAlignment="1" applyProtection="1">
      <alignment horizontal="center"/>
    </xf>
    <xf numFmtId="0" fontId="4" fillId="0" borderId="0" xfId="69" applyFont="1" applyFill="1" applyAlignment="1">
      <alignment horizontal="center"/>
    </xf>
    <xf numFmtId="39" fontId="4" fillId="0" borderId="14" xfId="68" applyNumberFormat="1" applyFont="1" applyFill="1" applyBorder="1" applyAlignment="1"/>
    <xf numFmtId="39" fontId="4" fillId="0" borderId="14" xfId="69" applyNumberFormat="1" applyFont="1" applyFill="1" applyBorder="1"/>
    <xf numFmtId="39" fontId="12" fillId="0" borderId="14" xfId="49" applyNumberFormat="1" applyFont="1" applyFill="1" applyBorder="1" applyAlignment="1"/>
    <xf numFmtId="39" fontId="5" fillId="0" borderId="14" xfId="69" applyNumberFormat="1" applyFont="1" applyFill="1" applyBorder="1"/>
    <xf numFmtId="167" fontId="5" fillId="0" borderId="0" xfId="49" quotePrefix="1" applyFont="1" applyFill="1" applyBorder="1" applyAlignment="1" applyProtection="1">
      <alignment horizontal="center"/>
    </xf>
    <xf numFmtId="39" fontId="11" fillId="0" borderId="0" xfId="68" applyFont="1" applyFill="1"/>
    <xf numFmtId="0" fontId="11" fillId="0" borderId="0" xfId="68" applyNumberFormat="1" applyFont="1" applyFill="1" applyAlignment="1">
      <alignment horizontal="center"/>
    </xf>
    <xf numFmtId="49" fontId="11" fillId="0" borderId="0" xfId="68" applyNumberFormat="1" applyFont="1" applyFill="1" applyBorder="1" applyAlignment="1">
      <alignment horizontal="center"/>
    </xf>
    <xf numFmtId="39" fontId="11" fillId="0" borderId="0" xfId="68" applyFont="1" applyFill="1" applyBorder="1"/>
    <xf numFmtId="39" fontId="6" fillId="0" borderId="17" xfId="68" applyNumberFormat="1" applyFont="1" applyFill="1" applyBorder="1" applyAlignment="1"/>
    <xf numFmtId="39" fontId="11" fillId="0" borderId="0" xfId="69" applyNumberFormat="1" applyFont="1" applyFill="1"/>
    <xf numFmtId="0" fontId="11" fillId="0" borderId="0" xfId="69" applyFont="1" applyFill="1"/>
    <xf numFmtId="43" fontId="36" fillId="0" borderId="0" xfId="69" applyNumberFormat="1" applyFont="1" applyFill="1"/>
    <xf numFmtId="39" fontId="4" fillId="0" borderId="0" xfId="68" applyFont="1" applyFill="1" applyBorder="1" applyAlignment="1" applyProtection="1">
      <alignment horizontal="left"/>
    </xf>
    <xf numFmtId="39" fontId="5" fillId="0" borderId="0" xfId="68" applyNumberFormat="1" applyFont="1" applyFill="1" applyBorder="1" applyAlignment="1"/>
    <xf numFmtId="39" fontId="4" fillId="0" borderId="0" xfId="69" applyNumberFormat="1" applyFont="1" applyFill="1" applyBorder="1" applyAlignment="1"/>
    <xf numFmtId="39" fontId="36" fillId="0" borderId="0" xfId="69" applyNumberFormat="1" applyFont="1" applyFill="1"/>
    <xf numFmtId="39" fontId="5" fillId="0" borderId="0" xfId="68" applyFont="1" applyFill="1" applyBorder="1" applyAlignment="1">
      <alignment horizontal="right"/>
    </xf>
    <xf numFmtId="167" fontId="4" fillId="0" borderId="0" xfId="49" applyFont="1" applyFill="1" applyBorder="1" applyAlignment="1" applyProtection="1">
      <alignment horizontal="right"/>
    </xf>
    <xf numFmtId="39" fontId="42" fillId="0" borderId="0" xfId="68" applyFont="1" applyFill="1" applyAlignment="1">
      <alignment horizontal="center"/>
    </xf>
    <xf numFmtId="0" fontId="4" fillId="0" borderId="0" xfId="68" applyNumberFormat="1" applyFont="1" applyFill="1" applyAlignment="1">
      <alignment horizontal="left"/>
    </xf>
    <xf numFmtId="14" fontId="4" fillId="0" borderId="0" xfId="49" applyNumberFormat="1" applyFont="1" applyFill="1" applyBorder="1" applyAlignment="1">
      <alignment horizontal="right"/>
    </xf>
    <xf numFmtId="167" fontId="4" fillId="0" borderId="0" xfId="49" applyFont="1" applyFill="1" applyBorder="1" applyAlignment="1">
      <alignment horizontal="right"/>
    </xf>
    <xf numFmtId="0" fontId="5" fillId="0" borderId="0" xfId="69" applyFont="1" applyFill="1" applyBorder="1"/>
    <xf numFmtId="167" fontId="5" fillId="0" borderId="0" xfId="49" applyFont="1" applyFill="1" applyBorder="1" applyAlignment="1">
      <alignment horizontal="right"/>
    </xf>
    <xf numFmtId="39" fontId="42" fillId="0" borderId="0" xfId="68" applyFont="1" applyFill="1"/>
    <xf numFmtId="0" fontId="4" fillId="0" borderId="0" xfId="69" applyFont="1" applyFill="1" applyBorder="1" applyAlignment="1">
      <alignment horizontal="left" wrapText="1" indent="1"/>
    </xf>
    <xf numFmtId="0" fontId="4" fillId="0" borderId="0" xfId="69" applyFont="1" applyFill="1" applyBorder="1" applyAlignment="1">
      <alignment horizontal="center" wrapText="1"/>
    </xf>
    <xf numFmtId="0" fontId="43" fillId="0" borderId="0" xfId="69" applyFont="1" applyFill="1" applyAlignment="1">
      <alignment horizontal="left"/>
    </xf>
    <xf numFmtId="39" fontId="12" fillId="0" borderId="0" xfId="49" applyNumberFormat="1" applyFont="1" applyFill="1" applyBorder="1" applyAlignment="1"/>
    <xf numFmtId="39" fontId="28" fillId="0" borderId="0" xfId="0" applyFont="1"/>
    <xf numFmtId="39" fontId="4" fillId="0" borderId="0" xfId="0" applyFont="1"/>
    <xf numFmtId="39" fontId="5" fillId="0" borderId="0" xfId="0" applyFont="1" applyAlignment="1">
      <alignment horizontal="right"/>
    </xf>
    <xf numFmtId="39" fontId="46" fillId="0" borderId="0" xfId="0" applyFont="1" applyAlignment="1">
      <alignment horizontal="right"/>
    </xf>
    <xf numFmtId="168" fontId="4" fillId="0" borderId="0" xfId="0" quotePrefix="1" applyNumberFormat="1" applyFont="1"/>
    <xf numFmtId="39" fontId="5" fillId="0" borderId="0" xfId="0" applyFont="1" applyFill="1" applyAlignment="1" applyProtection="1"/>
    <xf numFmtId="39" fontId="5" fillId="0" borderId="18" xfId="0" applyFont="1" applyBorder="1"/>
    <xf numFmtId="39" fontId="11" fillId="0" borderId="0" xfId="68" applyNumberFormat="1" applyFont="1" applyFill="1" applyAlignment="1"/>
    <xf numFmtId="39" fontId="5" fillId="0" borderId="17" xfId="0" applyFont="1" applyBorder="1"/>
    <xf numFmtId="49" fontId="12" fillId="0" borderId="6" xfId="68" applyNumberFormat="1" applyFont="1" applyFill="1" applyBorder="1" applyAlignment="1" applyProtection="1">
      <alignment horizontal="center" wrapText="1"/>
    </xf>
    <xf numFmtId="39" fontId="44" fillId="0" borderId="6" xfId="68" quotePrefix="1" applyFont="1" applyFill="1" applyBorder="1" applyAlignment="1" applyProtection="1">
      <alignment horizontal="left" wrapText="1"/>
    </xf>
    <xf numFmtId="39" fontId="4" fillId="0" borderId="6" xfId="0" applyFont="1" applyBorder="1"/>
    <xf numFmtId="39" fontId="44" fillId="0" borderId="6" xfId="68" applyFont="1" applyFill="1" applyBorder="1" applyAlignment="1" applyProtection="1">
      <alignment horizontal="left" wrapText="1"/>
    </xf>
    <xf numFmtId="49" fontId="12" fillId="0" borderId="6" xfId="68" applyNumberFormat="1" applyFont="1" applyFill="1" applyBorder="1" applyAlignment="1">
      <alignment horizontal="center"/>
    </xf>
    <xf numFmtId="39" fontId="44" fillId="0" borderId="6" xfId="68" quotePrefix="1" applyFont="1" applyFill="1" applyBorder="1" applyAlignment="1" applyProtection="1">
      <alignment horizontal="left"/>
    </xf>
    <xf numFmtId="39" fontId="44" fillId="0" borderId="6" xfId="68" applyFont="1" applyFill="1" applyBorder="1" applyAlignment="1" applyProtection="1">
      <alignment horizontal="left"/>
    </xf>
    <xf numFmtId="49" fontId="12" fillId="0" borderId="6" xfId="68" applyNumberFormat="1" applyFont="1" applyFill="1" applyBorder="1" applyAlignment="1" applyProtection="1">
      <alignment horizontal="center"/>
    </xf>
    <xf numFmtId="49" fontId="12" fillId="0" borderId="6" xfId="68" applyNumberFormat="1" applyFont="1" applyFill="1" applyBorder="1" applyAlignment="1">
      <alignment horizontal="center" wrapText="1"/>
    </xf>
    <xf numFmtId="49" fontId="4" fillId="0" borderId="6" xfId="68" applyNumberFormat="1" applyFont="1" applyFill="1" applyBorder="1" applyAlignment="1">
      <alignment horizontal="center"/>
    </xf>
    <xf numFmtId="39" fontId="45" fillId="0" borderId="6" xfId="68" applyFont="1" applyFill="1" applyBorder="1"/>
    <xf numFmtId="39" fontId="45" fillId="0" borderId="6" xfId="68" applyFont="1" applyFill="1" applyBorder="1" applyAlignment="1" applyProtection="1">
      <alignment horizontal="left" wrapText="1"/>
    </xf>
    <xf numFmtId="39" fontId="5" fillId="0" borderId="0" xfId="0" applyFont="1" applyFill="1" applyAlignment="1" applyProtection="1">
      <alignment horizontal="right"/>
    </xf>
    <xf numFmtId="39" fontId="4" fillId="0" borderId="14" xfId="0" applyFont="1" applyFill="1" applyBorder="1" applyAlignment="1" applyProtection="1">
      <alignment horizontal="left" wrapText="1"/>
    </xf>
    <xf numFmtId="39" fontId="6" fillId="0" borderId="0" xfId="0" applyFont="1" applyFill="1" applyAlignment="1" applyProtection="1">
      <alignment horizontal="right" wrapText="1"/>
    </xf>
    <xf numFmtId="39" fontId="47" fillId="0" borderId="0" xfId="68" applyNumberFormat="1" applyFont="1" applyFill="1" applyAlignment="1"/>
    <xf numFmtId="39" fontId="12" fillId="0" borderId="0" xfId="68" applyNumberFormat="1" applyFont="1" applyFill="1" applyBorder="1" applyAlignment="1">
      <alignment horizontal="right"/>
    </xf>
    <xf numFmtId="39" fontId="12" fillId="0" borderId="0" xfId="49" quotePrefix="1" applyNumberFormat="1" applyFont="1" applyFill="1" applyBorder="1" applyAlignment="1" applyProtection="1">
      <alignment horizontal="right"/>
    </xf>
    <xf numFmtId="39" fontId="4" fillId="0" borderId="0" xfId="49" quotePrefix="1" applyNumberFormat="1" applyFont="1" applyFill="1" applyBorder="1" applyAlignment="1" applyProtection="1">
      <alignment horizontal="right"/>
    </xf>
    <xf numFmtId="39" fontId="4" fillId="0" borderId="0" xfId="68" applyNumberFormat="1" applyFont="1" applyFill="1" applyBorder="1" applyAlignment="1">
      <alignment horizontal="right"/>
    </xf>
    <xf numFmtId="39" fontId="4" fillId="0" borderId="14" xfId="69" applyNumberFormat="1" applyFont="1" applyFill="1" applyBorder="1" applyAlignment="1">
      <alignment horizontal="right"/>
    </xf>
    <xf numFmtId="0" fontId="4" fillId="0" borderId="0" xfId="69" applyFont="1" applyFill="1" applyBorder="1" applyAlignment="1">
      <alignment horizontal="right"/>
    </xf>
    <xf numFmtId="39" fontId="4" fillId="45" borderId="0" xfId="0" applyFont="1" applyFill="1"/>
    <xf numFmtId="39" fontId="4" fillId="0" borderId="6" xfId="0" applyFont="1" applyFill="1" applyBorder="1"/>
    <xf numFmtId="39" fontId="12" fillId="0" borderId="0" xfId="68" applyNumberFormat="1" applyFont="1" applyFill="1" applyBorder="1" applyAlignment="1">
      <alignment horizontal="right" wrapText="1"/>
    </xf>
    <xf numFmtId="39" fontId="12" fillId="0" borderId="16" xfId="68" applyNumberFormat="1" applyFont="1" applyFill="1" applyBorder="1" applyAlignment="1">
      <alignment horizontal="right"/>
    </xf>
    <xf numFmtId="39" fontId="11" fillId="0" borderId="19" xfId="68" applyNumberFormat="1" applyFont="1" applyFill="1" applyBorder="1" applyAlignment="1">
      <alignment horizontal="right"/>
    </xf>
    <xf numFmtId="39" fontId="11" fillId="0" borderId="18" xfId="68" applyNumberFormat="1" applyFont="1" applyFill="1" applyBorder="1" applyAlignment="1">
      <alignment horizontal="right"/>
    </xf>
    <xf numFmtId="39" fontId="11" fillId="0" borderId="17" xfId="68" applyNumberFormat="1" applyFont="1" applyFill="1" applyBorder="1" applyAlignment="1">
      <alignment horizontal="right"/>
    </xf>
    <xf numFmtId="0" fontId="49" fillId="0" borderId="0" xfId="69" applyFont="1" applyFill="1" applyAlignment="1">
      <alignment horizontal="center"/>
    </xf>
    <xf numFmtId="0" fontId="48" fillId="0" borderId="0" xfId="46" applyNumberFormat="1" applyFont="1" applyFill="1" applyBorder="1" applyAlignment="1" applyProtection="1">
      <alignment horizontal="center"/>
    </xf>
    <xf numFmtId="39" fontId="5" fillId="0" borderId="0" xfId="0" applyFont="1" applyFill="1" applyBorder="1" applyProtection="1"/>
    <xf numFmtId="39" fontId="50" fillId="0" borderId="0" xfId="0" applyFont="1"/>
    <xf numFmtId="39" fontId="28" fillId="0" borderId="0" xfId="0" applyFont="1" applyFill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46" applyNumberFormat="1" applyFont="1" applyFill="1" applyBorder="1" applyAlignment="1" applyProtection="1">
      <alignment horizontal="center"/>
    </xf>
    <xf numFmtId="39" fontId="3" fillId="0" borderId="0" xfId="0" applyFont="1" applyFill="1"/>
    <xf numFmtId="39" fontId="3" fillId="0" borderId="0" xfId="0" applyFont="1" applyFill="1" applyAlignment="1" applyProtection="1">
      <alignment horizontal="left" wrapText="1"/>
    </xf>
    <xf numFmtId="43" fontId="3" fillId="0" borderId="0" xfId="46" applyFont="1" applyFill="1" applyAlignment="1" applyProtection="1">
      <alignment horizontal="justify"/>
    </xf>
    <xf numFmtId="39" fontId="3" fillId="0" borderId="0" xfId="68" applyNumberFormat="1" applyFont="1" applyFill="1" applyAlignment="1"/>
    <xf numFmtId="39" fontId="3" fillId="0" borderId="0" xfId="0" applyFont="1" applyFill="1" applyBorder="1" applyProtection="1"/>
    <xf numFmtId="39" fontId="2" fillId="0" borderId="0" xfId="0" applyFont="1" applyFill="1"/>
    <xf numFmtId="43" fontId="3" fillId="0" borderId="0" xfId="46" applyFont="1" applyFill="1" applyBorder="1" applyAlignment="1" applyProtection="1">
      <alignment horizontal="justify"/>
    </xf>
    <xf numFmtId="43" fontId="3" fillId="0" borderId="0" xfId="46" applyFont="1" applyFill="1" applyAlignment="1" applyProtection="1">
      <alignment horizontal="left"/>
    </xf>
    <xf numFmtId="39" fontId="2" fillId="0" borderId="0" xfId="0" applyFont="1" applyFill="1" applyBorder="1"/>
    <xf numFmtId="39" fontId="3" fillId="0" borderId="0" xfId="0" applyFont="1" applyFill="1" applyBorder="1"/>
    <xf numFmtId="0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Alignment="1">
      <alignment wrapText="1"/>
    </xf>
    <xf numFmtId="43" fontId="3" fillId="0" borderId="0" xfId="46" applyFont="1" applyFill="1"/>
    <xf numFmtId="43" fontId="3" fillId="0" borderId="0" xfId="46" applyFont="1" applyFill="1" applyBorder="1" applyAlignment="1">
      <alignment horizontal="justify"/>
    </xf>
    <xf numFmtId="43" fontId="3" fillId="0" borderId="0" xfId="46" applyFont="1" applyFill="1" applyAlignment="1" applyProtection="1">
      <alignment horizontal="center"/>
    </xf>
    <xf numFmtId="39" fontId="2" fillId="0" borderId="0" xfId="0" applyFont="1" applyFill="1" applyAlignment="1" applyProtection="1">
      <alignment horizontal="left" wrapText="1"/>
    </xf>
    <xf numFmtId="43" fontId="2" fillId="0" borderId="16" xfId="46" applyFont="1" applyFill="1" applyBorder="1" applyAlignment="1" applyProtection="1">
      <alignment horizontal="justify"/>
    </xf>
    <xf numFmtId="39" fontId="2" fillId="0" borderId="16" xfId="0" applyFont="1" applyFill="1" applyBorder="1"/>
    <xf numFmtId="39" fontId="12" fillId="0" borderId="16" xfId="68" applyNumberFormat="1" applyFont="1" applyFill="1" applyBorder="1" applyAlignment="1">
      <alignment horizontal="right" wrapText="1"/>
    </xf>
    <xf numFmtId="39" fontId="4" fillId="46" borderId="0" xfId="0" applyFont="1" applyFill="1"/>
    <xf numFmtId="39" fontId="48" fillId="0" borderId="0" xfId="0" applyFont="1" applyFill="1"/>
    <xf numFmtId="43" fontId="4" fillId="0" borderId="16" xfId="46" applyFont="1" applyFill="1" applyBorder="1" applyAlignment="1" applyProtection="1">
      <alignment horizontal="justify"/>
    </xf>
    <xf numFmtId="39" fontId="30" fillId="0" borderId="0" xfId="68" applyNumberFormat="1" applyFont="1" applyFill="1" applyAlignment="1"/>
    <xf numFmtId="39" fontId="6" fillId="0" borderId="0" xfId="68" applyNumberFormat="1" applyFont="1" applyFill="1" applyAlignment="1"/>
    <xf numFmtId="39" fontId="52" fillId="0" borderId="0" xfId="0" applyFont="1" applyAlignment="1">
      <alignment horizontal="center"/>
    </xf>
    <xf numFmtId="43" fontId="51" fillId="0" borderId="0" xfId="46" applyFont="1" applyFill="1" applyAlignment="1" applyProtection="1">
      <alignment horizontal="justify"/>
    </xf>
    <xf numFmtId="0" fontId="3" fillId="0" borderId="0" xfId="69" applyFill="1"/>
    <xf numFmtId="39" fontId="4" fillId="0" borderId="0" xfId="68" quotePrefix="1" applyFont="1" applyFill="1" applyAlignment="1" applyProtection="1">
      <alignment horizontal="left"/>
    </xf>
    <xf numFmtId="0" fontId="3" fillId="0" borderId="0" xfId="69" applyFill="1" applyBorder="1"/>
    <xf numFmtId="39" fontId="5" fillId="0" borderId="0" xfId="69" applyNumberFormat="1" applyFont="1" applyFill="1" applyBorder="1" applyAlignment="1">
      <alignment horizontal="center"/>
    </xf>
    <xf numFmtId="0" fontId="49" fillId="0" borderId="0" xfId="69" applyFont="1" applyFill="1" applyBorder="1" applyAlignment="1">
      <alignment horizontal="right"/>
    </xf>
    <xf numFmtId="43" fontId="4" fillId="0" borderId="0" xfId="69" applyNumberFormat="1" applyFont="1" applyFill="1"/>
    <xf numFmtId="39" fontId="12" fillId="0" borderId="0" xfId="49" applyNumberFormat="1" applyFont="1" applyFill="1" applyBorder="1" applyAlignment="1" applyProtection="1">
      <alignment horizontal="right" wrapText="1"/>
    </xf>
    <xf numFmtId="39" fontId="3" fillId="0" borderId="0" xfId="68" applyFont="1" applyFill="1" applyBorder="1" applyAlignment="1">
      <alignment horizontal="right"/>
    </xf>
    <xf numFmtId="39" fontId="3" fillId="0" borderId="0" xfId="49" applyNumberFormat="1" applyFont="1" applyFill="1" applyBorder="1" applyAlignment="1" applyProtection="1">
      <alignment horizontal="right" wrapText="1"/>
    </xf>
    <xf numFmtId="14" fontId="2" fillId="0" borderId="13" xfId="68" applyNumberFormat="1" applyFont="1" applyFill="1" applyBorder="1" applyAlignment="1">
      <alignment horizontal="center"/>
    </xf>
    <xf numFmtId="43" fontId="2" fillId="0" borderId="0" xfId="46" applyFont="1" applyFill="1" applyBorder="1" applyAlignment="1" applyProtection="1">
      <alignment horizontal="center"/>
    </xf>
    <xf numFmtId="14" fontId="2" fillId="0" borderId="13" xfId="46" applyNumberFormat="1" applyFont="1" applyFill="1" applyBorder="1" applyAlignment="1" applyProtection="1">
      <alignment horizontal="center"/>
    </xf>
    <xf numFmtId="37" fontId="3" fillId="0" borderId="0" xfId="0" applyNumberFormat="1" applyFont="1" applyFill="1"/>
    <xf numFmtId="0" fontId="3" fillId="0" borderId="0" xfId="46" applyNumberFormat="1" applyFont="1" applyFill="1" applyBorder="1" applyAlignment="1" applyProtection="1"/>
    <xf numFmtId="39" fontId="3" fillId="0" borderId="0" xfId="68" applyFont="1" applyFill="1" applyBorder="1" applyAlignment="1">
      <alignment horizontal="center"/>
    </xf>
    <xf numFmtId="14" fontId="2" fillId="0" borderId="13" xfId="49" quotePrefix="1" applyNumberFormat="1" applyFont="1" applyFill="1" applyBorder="1" applyAlignment="1" applyProtection="1">
      <alignment horizontal="center"/>
    </xf>
    <xf numFmtId="43" fontId="2" fillId="0" borderId="0" xfId="46" applyFont="1" applyFill="1" applyAlignment="1">
      <alignment horizontal="center"/>
    </xf>
    <xf numFmtId="14" fontId="2" fillId="0" borderId="0" xfId="46" applyNumberFormat="1" applyFont="1" applyFill="1" applyBorder="1" applyAlignment="1" applyProtection="1">
      <alignment horizontal="center"/>
    </xf>
    <xf numFmtId="167" fontId="2" fillId="0" borderId="13" xfId="48" applyFont="1" applyFill="1" applyBorder="1" applyAlignment="1" applyProtection="1">
      <alignment horizontal="center"/>
    </xf>
    <xf numFmtId="43" fontId="2" fillId="0" borderId="0" xfId="46" applyFont="1" applyFill="1" applyBorder="1" applyAlignment="1">
      <alignment horizontal="center"/>
    </xf>
    <xf numFmtId="43" fontId="2" fillId="0" borderId="0" xfId="46" applyFont="1" applyFill="1" applyBorder="1" applyAlignment="1">
      <alignment horizontal="justify"/>
    </xf>
    <xf numFmtId="43" fontId="2" fillId="0" borderId="0" xfId="46" applyFont="1" applyFill="1" applyAlignment="1">
      <alignment horizontal="justify"/>
    </xf>
    <xf numFmtId="39" fontId="2" fillId="0" borderId="0" xfId="68" applyNumberFormat="1" applyFont="1" applyFill="1" applyAlignment="1"/>
    <xf numFmtId="43" fontId="3" fillId="0" borderId="0" xfId="46" applyFont="1" applyFill="1" applyAlignment="1">
      <alignment horizontal="justify"/>
    </xf>
    <xf numFmtId="43" fontId="2" fillId="0" borderId="0" xfId="46" applyFont="1" applyFill="1" applyBorder="1" applyAlignment="1" applyProtection="1">
      <alignment horizontal="justify"/>
    </xf>
    <xf numFmtId="43" fontId="3" fillId="0" borderId="14" xfId="46" applyFont="1" applyFill="1" applyBorder="1" applyAlignment="1" applyProtection="1">
      <alignment horizontal="justify"/>
    </xf>
    <xf numFmtId="44" fontId="2" fillId="0" borderId="16" xfId="50" applyFont="1" applyFill="1" applyBorder="1" applyAlignment="1" applyProtection="1">
      <alignment horizontal="justify"/>
    </xf>
    <xf numFmtId="43" fontId="3" fillId="0" borderId="16" xfId="46" applyFont="1" applyFill="1" applyBorder="1" applyAlignment="1" applyProtection="1">
      <alignment horizontal="justify"/>
    </xf>
    <xf numFmtId="44" fontId="2" fillId="0" borderId="18" xfId="46" applyNumberFormat="1" applyFont="1" applyFill="1" applyBorder="1" applyAlignment="1">
      <alignment horizontal="left"/>
    </xf>
    <xf numFmtId="44" fontId="2" fillId="0" borderId="0" xfId="46" applyNumberFormat="1" applyFont="1" applyFill="1" applyBorder="1" applyAlignment="1">
      <alignment horizontal="justify"/>
    </xf>
    <xf numFmtId="0" fontId="3" fillId="0" borderId="0" xfId="46" applyNumberFormat="1" applyFont="1" applyFill="1" applyBorder="1" applyAlignment="1" applyProtection="1">
      <alignment wrapText="1"/>
    </xf>
    <xf numFmtId="0" fontId="3" fillId="0" borderId="0" xfId="46" applyNumberFormat="1" applyFont="1" applyFill="1" applyBorder="1" applyAlignment="1" applyProtection="1">
      <alignment horizontal="justify"/>
    </xf>
    <xf numFmtId="0" fontId="3" fillId="0" borderId="0" xfId="46" applyNumberFormat="1" applyFont="1" applyFill="1" applyBorder="1" applyAlignment="1">
      <alignment horizontal="justify"/>
    </xf>
    <xf numFmtId="0" fontId="3" fillId="0" borderId="0" xfId="46" quotePrefix="1" applyNumberFormat="1" applyFont="1" applyFill="1" applyBorder="1" applyAlignment="1">
      <alignment horizontal="justify"/>
    </xf>
    <xf numFmtId="39" fontId="3" fillId="0" borderId="0" xfId="49" applyNumberFormat="1" applyFont="1" applyFill="1" applyBorder="1" applyAlignment="1" applyProtection="1">
      <alignment horizontal="right"/>
    </xf>
    <xf numFmtId="0" fontId="3" fillId="0" borderId="0" xfId="68" applyNumberFormat="1" applyFont="1" applyFill="1" applyAlignment="1">
      <alignment horizontal="center" wrapText="1"/>
    </xf>
    <xf numFmtId="0" fontId="3" fillId="0" borderId="0" xfId="68" applyNumberFormat="1" applyFont="1" applyFill="1" applyAlignment="1">
      <alignment horizontal="center"/>
    </xf>
    <xf numFmtId="49" fontId="3" fillId="0" borderId="0" xfId="68" applyNumberFormat="1" applyFont="1" applyFill="1" applyBorder="1" applyAlignment="1">
      <alignment horizontal="center"/>
    </xf>
    <xf numFmtId="49" fontId="2" fillId="0" borderId="0" xfId="68" applyNumberFormat="1" applyFont="1" applyFill="1" applyBorder="1" applyAlignment="1">
      <alignment horizontal="center"/>
    </xf>
    <xf numFmtId="49" fontId="3" fillId="0" borderId="0" xfId="68" applyNumberFormat="1" applyFont="1" applyFill="1" applyBorder="1" applyAlignment="1">
      <alignment horizontal="center" wrapText="1"/>
    </xf>
    <xf numFmtId="0" fontId="3" fillId="0" borderId="0" xfId="69" applyFont="1" applyFill="1" applyAlignment="1">
      <alignment horizontal="center"/>
    </xf>
    <xf numFmtId="0" fontId="3" fillId="0" borderId="0" xfId="68" applyNumberFormat="1" applyFont="1" applyFill="1" applyAlignment="1">
      <alignment horizontal="left"/>
    </xf>
    <xf numFmtId="3" fontId="3" fillId="0" borderId="0" xfId="116" applyNumberFormat="1"/>
    <xf numFmtId="16" fontId="9" fillId="0" borderId="0" xfId="116" applyNumberFormat="1" applyFont="1" applyBorder="1" applyAlignment="1">
      <alignment horizontal="center" wrapText="1"/>
    </xf>
    <xf numFmtId="170" fontId="9" fillId="0" borderId="0" xfId="116" applyNumberFormat="1" applyFont="1" applyBorder="1" applyAlignment="1">
      <alignment horizontal="center" wrapText="1"/>
    </xf>
    <xf numFmtId="0" fontId="3" fillId="0" borderId="0" xfId="116"/>
    <xf numFmtId="0" fontId="3" fillId="0" borderId="0" xfId="68" applyNumberFormat="1" applyFont="1" applyFill="1" applyAlignment="1"/>
    <xf numFmtId="0" fontId="48" fillId="0" borderId="0" xfId="68" applyNumberFormat="1" applyFont="1" applyFill="1" applyAlignment="1">
      <alignment horizontal="center"/>
    </xf>
    <xf numFmtId="39" fontId="3" fillId="0" borderId="0" xfId="0" applyFont="1" applyFill="1" applyBorder="1" applyAlignment="1" applyProtection="1">
      <alignment horizontal="left" wrapText="1"/>
    </xf>
    <xf numFmtId="0" fontId="2" fillId="0" borderId="0" xfId="46" applyNumberFormat="1" applyFont="1" applyFill="1" applyBorder="1" applyAlignment="1">
      <alignment horizontal="center"/>
    </xf>
    <xf numFmtId="0" fontId="2" fillId="0" borderId="0" xfId="46" applyNumberFormat="1" applyFont="1" applyFill="1" applyBorder="1" applyAlignment="1" applyProtection="1">
      <alignment horizontal="center"/>
    </xf>
    <xf numFmtId="0" fontId="6" fillId="0" borderId="0" xfId="0" applyNumberFormat="1" applyFont="1" applyFill="1" applyAlignment="1">
      <alignment horizontal="right"/>
    </xf>
    <xf numFmtId="39" fontId="2" fillId="0" borderId="0" xfId="0" quotePrefix="1" applyFont="1" applyFill="1" applyBorder="1" applyAlignment="1" applyProtection="1">
      <alignment horizontal="right" wrapText="1"/>
    </xf>
    <xf numFmtId="44" fontId="5" fillId="0" borderId="38" xfId="46" applyNumberFormat="1" applyFont="1" applyFill="1" applyBorder="1" applyAlignment="1">
      <alignment horizontal="justify"/>
    </xf>
    <xf numFmtId="39" fontId="2" fillId="0" borderId="0" xfId="68" applyFont="1" applyFill="1"/>
    <xf numFmtId="0" fontId="2" fillId="0" borderId="14" xfId="0" applyNumberFormat="1" applyFont="1" applyFill="1" applyBorder="1" applyAlignment="1">
      <alignment horizontal="center"/>
    </xf>
    <xf numFmtId="37" fontId="12" fillId="0" borderId="0" xfId="68" applyNumberFormat="1" applyFont="1" applyFill="1"/>
    <xf numFmtId="37" fontId="30" fillId="0" borderId="0" xfId="68" applyNumberFormat="1" applyFont="1" applyFill="1"/>
    <xf numFmtId="37" fontId="12" fillId="0" borderId="0" xfId="68" applyNumberFormat="1" applyFont="1" applyFill="1" applyAlignment="1">
      <alignment horizontal="center"/>
    </xf>
    <xf numFmtId="37" fontId="5" fillId="0" borderId="0" xfId="68" applyNumberFormat="1" applyFont="1" applyFill="1"/>
    <xf numFmtId="37" fontId="5" fillId="0" borderId="0" xfId="68" applyNumberFormat="1" applyFont="1" applyFill="1" applyBorder="1" applyAlignment="1">
      <alignment horizontal="centerContinuous"/>
    </xf>
    <xf numFmtId="37" fontId="5" fillId="0" borderId="0" xfId="68" applyNumberFormat="1" applyFont="1" applyFill="1" applyAlignment="1">
      <alignment horizontal="left"/>
    </xf>
    <xf numFmtId="37" fontId="30" fillId="0" borderId="0" xfId="68" applyNumberFormat="1" applyFont="1" applyFill="1" applyAlignment="1">
      <alignment horizontal="center"/>
    </xf>
    <xf numFmtId="37" fontId="4" fillId="0" borderId="0" xfId="68" applyNumberFormat="1" applyFont="1" applyFill="1"/>
    <xf numFmtId="37" fontId="6" fillId="0" borderId="0" xfId="68" applyNumberFormat="1" applyFont="1" applyFill="1"/>
    <xf numFmtId="37" fontId="11" fillId="0" borderId="0" xfId="68" applyNumberFormat="1" applyFont="1" applyFill="1"/>
    <xf numFmtId="37" fontId="42" fillId="0" borderId="0" xfId="68" applyNumberFormat="1" applyFont="1" applyFill="1" applyAlignment="1">
      <alignment horizontal="center"/>
    </xf>
    <xf numFmtId="37" fontId="42" fillId="0" borderId="0" xfId="68" applyNumberFormat="1" applyFont="1" applyFill="1"/>
    <xf numFmtId="37" fontId="5" fillId="0" borderId="0" xfId="0" applyNumberFormat="1" applyFont="1" applyFill="1"/>
    <xf numFmtId="37" fontId="5" fillId="0" borderId="14" xfId="0" applyNumberFormat="1" applyFont="1" applyFill="1" applyBorder="1"/>
    <xf numFmtId="37" fontId="4" fillId="0" borderId="0" xfId="0" applyNumberFormat="1" applyFont="1" applyFill="1" applyBorder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3" fillId="0" borderId="0" xfId="0" applyNumberFormat="1" applyFont="1" applyFill="1" applyBorder="1"/>
    <xf numFmtId="37" fontId="4" fillId="0" borderId="0" xfId="0" applyNumberFormat="1" applyFont="1" applyFill="1" applyBorder="1"/>
    <xf numFmtId="37" fontId="5" fillId="0" borderId="0" xfId="50" applyNumberFormat="1" applyFont="1" applyFill="1"/>
    <xf numFmtId="37" fontId="6" fillId="0" borderId="0" xfId="68" applyNumberFormat="1" applyFont="1" applyFill="1" applyAlignment="1"/>
    <xf numFmtId="39" fontId="6" fillId="0" borderId="0" xfId="68" applyFont="1" applyFill="1" applyAlignment="1">
      <alignment horizontal="right"/>
    </xf>
    <xf numFmtId="43" fontId="2" fillId="0" borderId="14" xfId="46" applyFont="1" applyFill="1" applyBorder="1" applyAlignment="1" applyProtection="1">
      <alignment horizontal="justify"/>
    </xf>
    <xf numFmtId="37" fontId="48" fillId="0" borderId="0" xfId="68" applyNumberFormat="1" applyFont="1" applyFill="1" applyAlignment="1">
      <alignment horizontal="center"/>
    </xf>
    <xf numFmtId="39" fontId="48" fillId="0" borderId="0" xfId="68" applyFont="1" applyFill="1" applyAlignment="1">
      <alignment horizontal="center"/>
    </xf>
    <xf numFmtId="49" fontId="48" fillId="0" borderId="0" xfId="68" applyNumberFormat="1" applyFont="1" applyFill="1" applyBorder="1" applyAlignment="1">
      <alignment horizontal="center"/>
    </xf>
    <xf numFmtId="39" fontId="61" fillId="0" borderId="0" xfId="68" applyFont="1" applyFill="1"/>
    <xf numFmtId="39" fontId="61" fillId="0" borderId="0" xfId="68" applyFont="1" applyFill="1" applyBorder="1"/>
    <xf numFmtId="39" fontId="61" fillId="0" borderId="0" xfId="68" applyFont="1" applyFill="1" applyBorder="1" applyAlignment="1">
      <alignment horizontal="center"/>
    </xf>
    <xf numFmtId="0" fontId="48" fillId="0" borderId="0" xfId="69" applyFont="1" applyFill="1"/>
    <xf numFmtId="39" fontId="62" fillId="0" borderId="0" xfId="68" applyFont="1" applyFill="1"/>
    <xf numFmtId="0" fontId="3" fillId="0" borderId="0" xfId="68" applyNumberFormat="1" applyFont="1" applyFill="1" applyBorder="1" applyAlignment="1">
      <alignment horizontal="center"/>
    </xf>
    <xf numFmtId="37" fontId="11" fillId="0" borderId="0" xfId="68" applyNumberFormat="1" applyFont="1" applyFill="1" applyAlignment="1"/>
    <xf numFmtId="37" fontId="6" fillId="0" borderId="0" xfId="68" applyNumberFormat="1" applyFont="1" applyFill="1" applyAlignment="1">
      <alignment horizontal="left"/>
    </xf>
    <xf numFmtId="39" fontId="12" fillId="0" borderId="0" xfId="68" applyFont="1" applyFill="1" applyAlignment="1">
      <alignment horizontal="left"/>
    </xf>
    <xf numFmtId="37" fontId="61" fillId="0" borderId="0" xfId="68" applyNumberFormat="1" applyFont="1" applyFill="1"/>
    <xf numFmtId="37" fontId="61" fillId="0" borderId="0" xfId="68" applyNumberFormat="1" applyFont="1" applyFill="1" applyAlignment="1">
      <alignment horizontal="left"/>
    </xf>
    <xf numFmtId="39" fontId="3" fillId="0" borderId="0" xfId="68" applyFont="1" applyFill="1"/>
    <xf numFmtId="37" fontId="61" fillId="0" borderId="0" xfId="68" applyNumberFormat="1" applyFont="1" applyFill="1" applyAlignment="1">
      <alignment horizontal="left" wrapText="1"/>
    </xf>
    <xf numFmtId="0" fontId="3" fillId="0" borderId="0" xfId="46" applyNumberFormat="1" applyFont="1" applyFill="1" applyAlignment="1">
      <alignment horizontal="center"/>
    </xf>
    <xf numFmtId="164" fontId="3" fillId="0" borderId="0" xfId="46" applyNumberFormat="1" applyFont="1" applyFill="1" applyBorder="1" applyAlignment="1">
      <alignment horizontal="center"/>
    </xf>
    <xf numFmtId="39" fontId="3" fillId="0" borderId="0" xfId="0" applyFont="1" applyFill="1" applyBorder="1" applyAlignment="1">
      <alignment horizontal="center"/>
    </xf>
    <xf numFmtId="164" fontId="3" fillId="0" borderId="0" xfId="46" applyNumberFormat="1" applyFont="1" applyFill="1" applyBorder="1" applyAlignment="1" applyProtection="1">
      <alignment horizontal="center"/>
    </xf>
    <xf numFmtId="164" fontId="3" fillId="0" borderId="0" xfId="46" applyNumberFormat="1" applyFont="1" applyFill="1" applyBorder="1"/>
    <xf numFmtId="164" fontId="3" fillId="0" borderId="0" xfId="46" quotePrefix="1" applyNumberFormat="1" applyFont="1" applyFill="1" applyBorder="1" applyAlignment="1">
      <alignment horizontal="center"/>
    </xf>
    <xf numFmtId="0" fontId="2" fillId="0" borderId="14" xfId="46" applyNumberFormat="1" applyFont="1" applyFill="1" applyBorder="1" applyAlignment="1" applyProtection="1">
      <alignment horizontal="center"/>
    </xf>
    <xf numFmtId="37" fontId="61" fillId="0" borderId="0" xfId="0" applyNumberFormat="1" applyFont="1" applyFill="1"/>
    <xf numFmtId="37" fontId="61" fillId="0" borderId="0" xfId="0" applyNumberFormat="1" applyFont="1" applyFill="1" applyBorder="1"/>
    <xf numFmtId="0" fontId="61" fillId="0" borderId="0" xfId="68" applyNumberFormat="1" applyFont="1" applyFill="1" applyAlignment="1"/>
    <xf numFmtId="0" fontId="9" fillId="0" borderId="0" xfId="754" applyFont="1"/>
    <xf numFmtId="0" fontId="9" fillId="0" borderId="0" xfId="754" applyFont="1" applyAlignment="1">
      <alignment wrapText="1"/>
    </xf>
    <xf numFmtId="0" fontId="3" fillId="0" borderId="21" xfId="754" applyFont="1" applyBorder="1" applyAlignment="1">
      <alignment horizontal="center" wrapText="1"/>
    </xf>
    <xf numFmtId="169" fontId="9" fillId="0" borderId="6" xfId="754" applyNumberFormat="1" applyFont="1" applyBorder="1" applyAlignment="1">
      <alignment horizontal="left" wrapText="1"/>
    </xf>
    <xf numFmtId="16" fontId="9" fillId="0" borderId="25" xfId="754" applyNumberFormat="1" applyFont="1" applyBorder="1" applyAlignment="1">
      <alignment wrapText="1"/>
    </xf>
    <xf numFmtId="169" fontId="9" fillId="0" borderId="30" xfId="754" applyNumberFormat="1" applyFont="1" applyBorder="1" applyAlignment="1">
      <alignment horizontal="left" wrapText="1"/>
    </xf>
    <xf numFmtId="16" fontId="9" fillId="0" borderId="0" xfId="754" applyNumberFormat="1" applyFont="1" applyBorder="1" applyAlignment="1">
      <alignment horizontal="center" wrapText="1"/>
    </xf>
    <xf numFmtId="170" fontId="9" fillId="0" borderId="0" xfId="754" applyNumberFormat="1" applyFont="1" applyBorder="1" applyAlignment="1">
      <alignment horizontal="center" wrapText="1"/>
    </xf>
    <xf numFmtId="0" fontId="9" fillId="0" borderId="0" xfId="754" applyFont="1" applyBorder="1" applyAlignment="1">
      <alignment wrapText="1"/>
    </xf>
    <xf numFmtId="169" fontId="9" fillId="0" borderId="0" xfId="754" applyNumberFormat="1" applyFont="1" applyBorder="1" applyAlignment="1">
      <alignment horizontal="center" wrapText="1"/>
    </xf>
    <xf numFmtId="0" fontId="56" fillId="0" borderId="0" xfId="754" applyFont="1" applyBorder="1" applyAlignment="1">
      <alignment wrapText="1"/>
    </xf>
    <xf numFmtId="169" fontId="9" fillId="0" borderId="24" xfId="754" applyNumberFormat="1" applyFont="1" applyBorder="1" applyAlignment="1">
      <alignment horizontal="left" wrapText="1"/>
    </xf>
    <xf numFmtId="0" fontId="58" fillId="0" borderId="0" xfId="754" applyFont="1" applyBorder="1" applyAlignment="1">
      <alignment vertical="center" wrapText="1"/>
    </xf>
    <xf numFmtId="0" fontId="9" fillId="0" borderId="14" xfId="754" applyFont="1" applyBorder="1" applyAlignment="1">
      <alignment wrapText="1"/>
    </xf>
    <xf numFmtId="0" fontId="3" fillId="47" borderId="34" xfId="754" applyFont="1" applyFill="1" applyBorder="1"/>
    <xf numFmtId="0" fontId="9" fillId="47" borderId="15" xfId="754" applyFont="1" applyFill="1" applyBorder="1"/>
    <xf numFmtId="0" fontId="9" fillId="47" borderId="15" xfId="754" applyFont="1" applyFill="1" applyBorder="1" applyAlignment="1">
      <alignment wrapText="1"/>
    </xf>
    <xf numFmtId="0" fontId="9" fillId="47" borderId="35" xfId="754" applyFont="1" applyFill="1" applyBorder="1"/>
    <xf numFmtId="0" fontId="59" fillId="47" borderId="36" xfId="754" applyFont="1" applyFill="1" applyBorder="1" applyAlignment="1">
      <alignment horizontal="left" indent="1"/>
    </xf>
    <xf numFmtId="0" fontId="9" fillId="47" borderId="0" xfId="754" applyFont="1" applyFill="1" applyBorder="1"/>
    <xf numFmtId="0" fontId="9" fillId="47" borderId="0" xfId="754" applyFont="1" applyFill="1" applyBorder="1" applyAlignment="1">
      <alignment wrapText="1"/>
    </xf>
    <xf numFmtId="0" fontId="9" fillId="47" borderId="37" xfId="754" applyFont="1" applyFill="1" applyBorder="1"/>
    <xf numFmtId="16" fontId="9" fillId="0" borderId="24" xfId="754" applyNumberFormat="1" applyFont="1" applyBorder="1" applyAlignment="1">
      <alignment horizontal="left" wrapText="1"/>
    </xf>
    <xf numFmtId="0" fontId="9" fillId="0" borderId="15" xfId="754" applyFont="1" applyFill="1" applyBorder="1" applyAlignment="1">
      <alignment horizontal="left" indent="1"/>
    </xf>
    <xf numFmtId="0" fontId="3" fillId="0" borderId="15" xfId="754" applyFill="1" applyBorder="1" applyAlignment="1">
      <alignment horizontal="left" indent="1"/>
    </xf>
    <xf numFmtId="0" fontId="3" fillId="0" borderId="0" xfId="754" applyFill="1" applyBorder="1" applyAlignment="1">
      <alignment horizontal="left" indent="1"/>
    </xf>
    <xf numFmtId="16" fontId="9" fillId="0" borderId="6" xfId="754" applyNumberFormat="1" applyFont="1" applyBorder="1" applyAlignment="1">
      <alignment horizontal="left" wrapText="1"/>
    </xf>
    <xf numFmtId="16" fontId="9" fillId="0" borderId="31" xfId="754" applyNumberFormat="1" applyFont="1" applyBorder="1" applyAlignment="1">
      <alignment wrapText="1"/>
    </xf>
    <xf numFmtId="0" fontId="3" fillId="0" borderId="20" xfId="754" applyFont="1" applyBorder="1" applyAlignment="1">
      <alignment horizontal="centerContinuous" wrapText="1"/>
    </xf>
    <xf numFmtId="0" fontId="3" fillId="0" borderId="22" xfId="754" applyFont="1" applyBorder="1" applyAlignment="1">
      <alignment horizontal="center" wrapText="1"/>
    </xf>
    <xf numFmtId="44" fontId="9" fillId="0" borderId="23" xfId="50" applyFont="1" applyBorder="1" applyAlignment="1">
      <alignment horizontal="left" wrapText="1"/>
    </xf>
    <xf numFmtId="0" fontId="9" fillId="0" borderId="23" xfId="754" applyFont="1" applyBorder="1" applyAlignment="1">
      <alignment wrapText="1"/>
    </xf>
    <xf numFmtId="0" fontId="9" fillId="0" borderId="27" xfId="754" applyFont="1" applyBorder="1" applyAlignment="1">
      <alignment wrapText="1"/>
    </xf>
    <xf numFmtId="170" fontId="9" fillId="0" borderId="28" xfId="754" applyNumberFormat="1" applyFont="1" applyBorder="1" applyAlignment="1">
      <alignment horizontal="left" wrapText="1"/>
    </xf>
    <xf numFmtId="170" fontId="9" fillId="0" borderId="26" xfId="754" applyNumberFormat="1" applyFont="1" applyBorder="1" applyAlignment="1">
      <alignment horizontal="left" wrapText="1"/>
    </xf>
    <xf numFmtId="170" fontId="9" fillId="0" borderId="32" xfId="50" applyNumberFormat="1" applyFont="1" applyBorder="1" applyAlignment="1">
      <alignment horizontal="left" wrapText="1"/>
    </xf>
    <xf numFmtId="170" fontId="9" fillId="0" borderId="28" xfId="46" applyNumberFormat="1" applyFont="1" applyBorder="1" applyAlignment="1">
      <alignment horizontal="left" wrapText="1"/>
    </xf>
    <xf numFmtId="0" fontId="9" fillId="0" borderId="29" xfId="754" applyFont="1" applyBorder="1" applyAlignment="1">
      <alignment wrapText="1"/>
    </xf>
    <xf numFmtId="0" fontId="57" fillId="0" borderId="30" xfId="754" applyFont="1" applyBorder="1"/>
    <xf numFmtId="170" fontId="9" fillId="0" borderId="33" xfId="754" applyNumberFormat="1" applyFont="1" applyBorder="1" applyAlignment="1">
      <alignment horizontal="left" wrapText="1"/>
    </xf>
    <xf numFmtId="43" fontId="9" fillId="0" borderId="25" xfId="46" applyFont="1" applyBorder="1" applyAlignment="1">
      <alignment wrapText="1"/>
    </xf>
    <xf numFmtId="43" fontId="9" fillId="0" borderId="24" xfId="46" applyFont="1" applyBorder="1" applyAlignment="1">
      <alignment horizontal="left" wrapText="1"/>
    </xf>
    <xf numFmtId="43" fontId="9" fillId="0" borderId="31" xfId="46" applyFont="1" applyBorder="1" applyAlignment="1">
      <alignment wrapText="1"/>
    </xf>
    <xf numFmtId="0" fontId="9" fillId="0" borderId="0" xfId="754" applyFont="1" applyAlignment="1">
      <alignment horizontal="center"/>
    </xf>
    <xf numFmtId="0" fontId="55" fillId="0" borderId="0" xfId="116" applyFont="1" applyBorder="1" applyAlignment="1">
      <alignment wrapText="1"/>
    </xf>
    <xf numFmtId="39" fontId="6" fillId="0" borderId="0" xfId="0" applyFont="1" applyFill="1" applyBorder="1" applyAlignment="1" applyProtection="1">
      <alignment horizontal="right" wrapText="1"/>
    </xf>
    <xf numFmtId="43" fontId="2" fillId="0" borderId="0" xfId="46" applyNumberFormat="1" applyFont="1" applyFill="1" applyAlignment="1">
      <alignment horizontal="center"/>
    </xf>
    <xf numFmtId="43" fontId="2" fillId="0" borderId="0" xfId="46" applyNumberFormat="1" applyFont="1" applyFill="1" applyBorder="1" applyAlignment="1" applyProtection="1">
      <alignment horizontal="center"/>
    </xf>
    <xf numFmtId="43" fontId="2" fillId="0" borderId="13" xfId="48" applyNumberFormat="1" applyFont="1" applyFill="1" applyBorder="1" applyAlignment="1" applyProtection="1">
      <alignment horizontal="center"/>
    </xf>
    <xf numFmtId="43" fontId="2" fillId="0" borderId="0" xfId="46" applyNumberFormat="1" applyFont="1" applyFill="1" applyBorder="1" applyAlignment="1">
      <alignment horizontal="center"/>
    </xf>
    <xf numFmtId="43" fontId="2" fillId="0" borderId="0" xfId="46" applyNumberFormat="1" applyFont="1" applyFill="1" applyBorder="1" applyAlignment="1">
      <alignment horizontal="justify"/>
    </xf>
    <xf numFmtId="43" fontId="2" fillId="0" borderId="0" xfId="46" applyNumberFormat="1" applyFont="1" applyFill="1" applyAlignment="1">
      <alignment horizontal="justify"/>
    </xf>
    <xf numFmtId="43" fontId="3" fillId="0" borderId="0" xfId="46" applyNumberFormat="1" applyFont="1" applyFill="1" applyAlignment="1" applyProtection="1">
      <alignment horizontal="justify"/>
    </xf>
    <xf numFmtId="43" fontId="3" fillId="0" borderId="0" xfId="46" applyNumberFormat="1" applyFont="1" applyFill="1" applyBorder="1" applyAlignment="1" applyProtection="1">
      <alignment horizontal="justify"/>
    </xf>
    <xf numFmtId="43" fontId="5" fillId="0" borderId="16" xfId="46" applyNumberFormat="1" applyFont="1" applyFill="1" applyBorder="1" applyAlignment="1" applyProtection="1">
      <alignment horizontal="justify"/>
    </xf>
    <xf numFmtId="43" fontId="3" fillId="0" borderId="0" xfId="46" applyNumberFormat="1" applyFont="1" applyFill="1" applyAlignment="1">
      <alignment horizontal="justify"/>
    </xf>
    <xf numFmtId="43" fontId="2" fillId="0" borderId="16" xfId="46" applyNumberFormat="1" applyFont="1" applyFill="1" applyBorder="1" applyAlignment="1" applyProtection="1">
      <alignment horizontal="justify"/>
    </xf>
    <xf numFmtId="43" fontId="2" fillId="0" borderId="0" xfId="46" applyNumberFormat="1" applyFont="1" applyFill="1" applyBorder="1" applyAlignment="1" applyProtection="1">
      <alignment horizontal="justify"/>
    </xf>
    <xf numFmtId="43" fontId="3" fillId="0" borderId="14" xfId="46" applyNumberFormat="1" applyFont="1" applyFill="1" applyBorder="1" applyAlignment="1" applyProtection="1">
      <alignment horizontal="justify"/>
    </xf>
    <xf numFmtId="43" fontId="3" fillId="0" borderId="16" xfId="46" applyNumberFormat="1" applyFont="1" applyFill="1" applyBorder="1" applyAlignment="1" applyProtection="1">
      <alignment horizontal="justify"/>
    </xf>
    <xf numFmtId="43" fontId="6" fillId="0" borderId="18" xfId="50" applyNumberFormat="1" applyFont="1" applyFill="1" applyBorder="1" applyAlignment="1" applyProtection="1">
      <alignment horizontal="justify"/>
    </xf>
    <xf numFmtId="43" fontId="6" fillId="0" borderId="16" xfId="50" applyNumberFormat="1" applyFont="1" applyFill="1" applyBorder="1" applyAlignment="1" applyProtection="1">
      <alignment horizontal="justify"/>
    </xf>
    <xf numFmtId="43" fontId="6" fillId="0" borderId="18" xfId="46" applyNumberFormat="1" applyFont="1" applyFill="1" applyBorder="1" applyAlignment="1">
      <alignment horizontal="left"/>
    </xf>
    <xf numFmtId="43" fontId="4" fillId="0" borderId="0" xfId="0" applyNumberFormat="1" applyFont="1" applyFill="1" applyBorder="1"/>
    <xf numFmtId="43" fontId="5" fillId="0" borderId="0" xfId="46" applyNumberFormat="1" applyFont="1" applyFill="1" applyBorder="1" applyAlignment="1">
      <alignment horizontal="justify"/>
    </xf>
    <xf numFmtId="43" fontId="5" fillId="0" borderId="38" xfId="46" applyNumberFormat="1" applyFont="1" applyFill="1" applyBorder="1" applyAlignment="1">
      <alignment horizontal="justify"/>
    </xf>
    <xf numFmtId="43" fontId="3" fillId="0" borderId="0" xfId="46" applyNumberFormat="1" applyFont="1" applyFill="1" applyBorder="1" applyAlignment="1" applyProtection="1">
      <alignment wrapText="1"/>
    </xf>
    <xf numFmtId="43" fontId="3" fillId="0" borderId="0" xfId="46" applyNumberFormat="1" applyFont="1" applyFill="1" applyBorder="1" applyAlignment="1">
      <alignment horizontal="justify"/>
    </xf>
    <xf numFmtId="43" fontId="3" fillId="0" borderId="0" xfId="46" quotePrefix="1" applyNumberFormat="1" applyFont="1" applyFill="1" applyBorder="1" applyAlignment="1">
      <alignment horizontal="justify"/>
    </xf>
    <xf numFmtId="1" fontId="2" fillId="0" borderId="0" xfId="46" applyNumberFormat="1" applyFont="1" applyFill="1" applyBorder="1" applyAlignment="1" applyProtection="1">
      <alignment horizontal="center"/>
    </xf>
    <xf numFmtId="1" fontId="2" fillId="0" borderId="13" xfId="46" applyNumberFormat="1" applyFont="1" applyFill="1" applyBorder="1" applyAlignment="1" applyProtection="1">
      <alignment horizontal="center"/>
    </xf>
    <xf numFmtId="39" fontId="2" fillId="0" borderId="0" xfId="68" applyFont="1" applyFill="1" applyBorder="1" applyAlignment="1">
      <alignment horizontal="center"/>
    </xf>
    <xf numFmtId="44" fontId="2" fillId="0" borderId="18" xfId="50" applyFont="1" applyFill="1" applyBorder="1" applyAlignment="1" applyProtection="1">
      <alignment horizontal="justify"/>
    </xf>
    <xf numFmtId="43" fontId="6" fillId="0" borderId="0" xfId="68" applyNumberFormat="1" applyFont="1" applyFill="1" applyBorder="1" applyAlignment="1">
      <alignment horizontal="center"/>
    </xf>
    <xf numFmtId="43" fontId="5" fillId="0" borderId="0" xfId="49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>
      <alignment horizontal="center"/>
    </xf>
    <xf numFmtId="43" fontId="12" fillId="0" borderId="0" xfId="68" applyNumberFormat="1" applyFont="1" applyFill="1" applyAlignment="1"/>
    <xf numFmtId="43" fontId="30" fillId="0" borderId="16" xfId="68" applyNumberFormat="1" applyFont="1" applyFill="1" applyBorder="1" applyAlignment="1"/>
    <xf numFmtId="43" fontId="12" fillId="0" borderId="0" xfId="68" applyNumberFormat="1" applyFont="1" applyFill="1" applyBorder="1" applyAlignment="1">
      <alignment horizontal="right"/>
    </xf>
    <xf numFmtId="43" fontId="6" fillId="0" borderId="15" xfId="68" applyNumberFormat="1" applyFont="1" applyFill="1" applyBorder="1" applyAlignment="1"/>
    <xf numFmtId="43" fontId="12" fillId="0" borderId="0" xfId="68" applyNumberFormat="1" applyFont="1" applyFill="1" applyBorder="1" applyAlignment="1"/>
    <xf numFmtId="43" fontId="6" fillId="0" borderId="0" xfId="68" applyNumberFormat="1" applyFont="1" applyFill="1" applyBorder="1" applyAlignment="1"/>
    <xf numFmtId="43" fontId="11" fillId="0" borderId="0" xfId="68" applyNumberFormat="1" applyFont="1" applyFill="1" applyAlignment="1"/>
    <xf numFmtId="43" fontId="6" fillId="0" borderId="16" xfId="68" applyNumberFormat="1" applyFont="1" applyFill="1" applyBorder="1" applyAlignment="1" applyProtection="1"/>
    <xf numFmtId="43" fontId="6" fillId="0" borderId="0" xfId="68" applyNumberFormat="1" applyFont="1" applyFill="1" applyAlignment="1"/>
    <xf numFmtId="43" fontId="30" fillId="0" borderId="0" xfId="68" applyNumberFormat="1" applyFont="1" applyFill="1" applyAlignment="1"/>
    <xf numFmtId="43" fontId="30" fillId="0" borderId="0" xfId="68" applyNumberFormat="1" applyFont="1" applyFill="1" applyBorder="1" applyAlignment="1"/>
    <xf numFmtId="43" fontId="4" fillId="0" borderId="0" xfId="68" applyNumberFormat="1" applyFont="1" applyFill="1" applyBorder="1" applyAlignment="1">
      <alignment horizontal="right"/>
    </xf>
    <xf numFmtId="43" fontId="6" fillId="0" borderId="19" xfId="68" applyNumberFormat="1" applyFont="1" applyFill="1" applyBorder="1" applyAlignment="1"/>
    <xf numFmtId="43" fontId="12" fillId="0" borderId="0" xfId="49" applyNumberFormat="1" applyFont="1" applyFill="1" applyAlignment="1"/>
    <xf numFmtId="43" fontId="4" fillId="0" borderId="0" xfId="68" applyNumberFormat="1" applyFont="1" applyFill="1" applyBorder="1" applyAlignment="1" applyProtection="1"/>
    <xf numFmtId="43" fontId="3" fillId="0" borderId="0" xfId="68" applyNumberFormat="1" applyFont="1" applyFill="1" applyAlignment="1"/>
    <xf numFmtId="43" fontId="4" fillId="0" borderId="0" xfId="68" applyNumberFormat="1" applyFont="1" applyFill="1" applyAlignment="1"/>
    <xf numFmtId="43" fontId="12" fillId="0" borderId="14" xfId="49" applyNumberFormat="1" applyFont="1" applyFill="1" applyBorder="1" applyAlignment="1"/>
    <xf numFmtId="43" fontId="6" fillId="0" borderId="17" xfId="68" applyNumberFormat="1" applyFont="1" applyFill="1" applyBorder="1" applyAlignment="1"/>
    <xf numFmtId="43" fontId="61" fillId="0" borderId="19" xfId="68" applyNumberFormat="1" applyFont="1" applyFill="1" applyBorder="1" applyAlignment="1"/>
    <xf numFmtId="43" fontId="5" fillId="0" borderId="0" xfId="68" applyNumberFormat="1" applyFont="1" applyFill="1" applyBorder="1" applyAlignment="1">
      <alignment horizontal="right"/>
    </xf>
    <xf numFmtId="43" fontId="3" fillId="0" borderId="0" xfId="68" applyNumberFormat="1" applyFont="1" applyFill="1" applyAlignment="1">
      <alignment horizontal="right"/>
    </xf>
    <xf numFmtId="43" fontId="4" fillId="0" borderId="0" xfId="68" applyNumberFormat="1" applyFont="1" applyFill="1" applyBorder="1" applyAlignment="1">
      <alignment horizontal="center"/>
    </xf>
    <xf numFmtId="43" fontId="5" fillId="0" borderId="0" xfId="68" applyNumberFormat="1" applyFont="1" applyFill="1" applyBorder="1" applyAlignment="1">
      <alignment horizontal="center"/>
    </xf>
    <xf numFmtId="43" fontId="5" fillId="0" borderId="0" xfId="69" applyNumberFormat="1" applyFont="1" applyFill="1" applyAlignment="1">
      <alignment horizontal="center"/>
    </xf>
    <xf numFmtId="43" fontId="4" fillId="0" borderId="0" xfId="68" applyNumberFormat="1" applyFont="1" applyFill="1" applyBorder="1" applyAlignment="1">
      <alignment horizontal="left"/>
    </xf>
    <xf numFmtId="43" fontId="5" fillId="0" borderId="0" xfId="69" applyNumberFormat="1" applyFont="1" applyFill="1" applyBorder="1" applyAlignment="1">
      <alignment horizontal="center"/>
    </xf>
    <xf numFmtId="43" fontId="30" fillId="0" borderId="0" xfId="49" applyNumberFormat="1" applyFont="1" applyFill="1" applyBorder="1" applyAlignment="1" applyProtection="1"/>
    <xf numFmtId="43" fontId="4" fillId="0" borderId="0" xfId="68" applyNumberFormat="1" applyFont="1" applyFill="1" applyBorder="1"/>
    <xf numFmtId="43" fontId="5" fillId="0" borderId="0" xfId="69" applyNumberFormat="1" applyFont="1" applyFill="1" applyBorder="1" applyAlignment="1" applyProtection="1">
      <alignment horizontal="center"/>
    </xf>
    <xf numFmtId="43" fontId="5" fillId="0" borderId="0" xfId="68" applyNumberFormat="1" applyFont="1" applyFill="1" applyBorder="1"/>
    <xf numFmtId="43" fontId="5" fillId="0" borderId="13" xfId="49" applyNumberFormat="1" applyFont="1" applyFill="1" applyBorder="1" applyAlignment="1">
      <alignment horizontal="center"/>
    </xf>
    <xf numFmtId="43" fontId="5" fillId="0" borderId="13" xfId="69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Alignment="1">
      <alignment horizontal="center"/>
    </xf>
    <xf numFmtId="43" fontId="12" fillId="0" borderId="0" xfId="68" applyNumberFormat="1" applyFont="1" applyFill="1" applyBorder="1" applyAlignment="1">
      <alignment horizontal="left"/>
    </xf>
    <xf numFmtId="43" fontId="12" fillId="0" borderId="0" xfId="68" applyNumberFormat="1" applyFont="1" applyFill="1" applyBorder="1" applyAlignment="1" applyProtection="1"/>
    <xf numFmtId="43" fontId="39" fillId="0" borderId="0" xfId="69" applyNumberFormat="1" applyFont="1" applyFill="1" applyBorder="1" applyAlignment="1">
      <alignment horizontal="center"/>
    </xf>
    <xf numFmtId="43" fontId="12" fillId="0" borderId="0" xfId="68" applyNumberFormat="1" applyFont="1" applyFill="1" applyBorder="1" applyAlignment="1">
      <alignment wrapText="1"/>
    </xf>
    <xf numFmtId="43" fontId="12" fillId="0" borderId="0" xfId="68" applyNumberFormat="1" applyFont="1" applyFill="1" applyBorder="1" applyAlignment="1">
      <alignment horizontal="left" wrapText="1"/>
    </xf>
    <xf numFmtId="43" fontId="60" fillId="0" borderId="0" xfId="68" applyNumberFormat="1" applyFont="1" applyFill="1" applyBorder="1" applyAlignment="1" applyProtection="1"/>
    <xf numFmtId="43" fontId="30" fillId="0" borderId="0" xfId="68" applyNumberFormat="1" applyFont="1" applyFill="1" applyBorder="1" applyAlignment="1">
      <alignment wrapText="1"/>
    </xf>
    <xf numFmtId="43" fontId="12" fillId="0" borderId="0" xfId="49" applyNumberFormat="1" applyFont="1" applyFill="1" applyBorder="1" applyAlignment="1" applyProtection="1">
      <alignment horizontal="right"/>
    </xf>
    <xf numFmtId="43" fontId="12" fillId="0" borderId="0" xfId="68" applyNumberFormat="1" applyFont="1" applyFill="1" applyBorder="1"/>
    <xf numFmtId="43" fontId="30" fillId="0" borderId="0" xfId="68" applyNumberFormat="1" applyFont="1" applyFill="1" applyBorder="1"/>
    <xf numFmtId="43" fontId="30" fillId="0" borderId="16" xfId="68" applyNumberFormat="1" applyFont="1" applyFill="1" applyBorder="1" applyAlignment="1" applyProtection="1"/>
    <xf numFmtId="43" fontId="30" fillId="0" borderId="16" xfId="49" applyNumberFormat="1" applyFont="1" applyFill="1" applyBorder="1" applyAlignment="1" applyProtection="1">
      <alignment horizontal="right"/>
    </xf>
    <xf numFmtId="43" fontId="30" fillId="0" borderId="16" xfId="68" applyNumberFormat="1" applyFont="1" applyFill="1" applyBorder="1"/>
    <xf numFmtId="43" fontId="12" fillId="0" borderId="16" xfId="68" applyNumberFormat="1" applyFont="1" applyFill="1" applyBorder="1" applyAlignment="1">
      <alignment horizontal="left"/>
    </xf>
    <xf numFmtId="43" fontId="30" fillId="0" borderId="16" xfId="49" applyNumberFormat="1" applyFont="1" applyFill="1" applyBorder="1" applyAlignment="1"/>
    <xf numFmtId="43" fontId="12" fillId="0" borderId="0" xfId="68" applyNumberFormat="1" applyFont="1" applyFill="1" applyBorder="1" applyAlignment="1">
      <alignment horizontal="center"/>
    </xf>
    <xf numFmtId="43" fontId="12" fillId="0" borderId="0" xfId="68" applyNumberFormat="1" applyFont="1" applyFill="1" applyAlignment="1">
      <alignment horizontal="right"/>
    </xf>
    <xf numFmtId="43" fontId="12" fillId="0" borderId="0" xfId="68" applyNumberFormat="1" applyFont="1" applyFill="1" applyAlignment="1">
      <alignment horizontal="center"/>
    </xf>
    <xf numFmtId="43" fontId="30" fillId="0" borderId="0" xfId="49" applyNumberFormat="1" applyFont="1" applyFill="1" applyBorder="1" applyAlignment="1" applyProtection="1">
      <alignment horizontal="right"/>
    </xf>
    <xf numFmtId="43" fontId="60" fillId="0" borderId="0" xfId="68" applyNumberFormat="1" applyFont="1" applyFill="1" applyAlignment="1"/>
    <xf numFmtId="43" fontId="12" fillId="0" borderId="0" xfId="49" quotePrefix="1" applyNumberFormat="1" applyFont="1" applyFill="1" applyBorder="1" applyAlignment="1" applyProtection="1">
      <alignment horizontal="center"/>
    </xf>
    <xf numFmtId="43" fontId="12" fillId="0" borderId="0" xfId="49" applyNumberFormat="1" applyFont="1" applyFill="1" applyBorder="1" applyAlignment="1">
      <alignment horizontal="right"/>
    </xf>
    <xf numFmtId="43" fontId="12" fillId="0" borderId="16" xfId="68" applyNumberFormat="1" applyFont="1" applyFill="1" applyBorder="1" applyAlignment="1">
      <alignment horizontal="left" wrapText="1"/>
    </xf>
    <xf numFmtId="43" fontId="11" fillId="0" borderId="15" xfId="68" applyNumberFormat="1" applyFont="1" applyFill="1" applyBorder="1" applyAlignment="1">
      <alignment horizontal="left"/>
    </xf>
    <xf numFmtId="43" fontId="3" fillId="0" borderId="0" xfId="69" applyNumberFormat="1" applyFill="1"/>
    <xf numFmtId="43" fontId="12" fillId="0" borderId="0" xfId="49" applyNumberFormat="1" applyFont="1" applyFill="1" applyBorder="1" applyAlignment="1"/>
    <xf numFmtId="43" fontId="12" fillId="0" borderId="14" xfId="68" applyNumberFormat="1" applyFont="1" applyFill="1" applyBorder="1" applyAlignment="1"/>
    <xf numFmtId="43" fontId="12" fillId="0" borderId="0" xfId="49" quotePrefix="1" applyNumberFormat="1" applyFont="1" applyFill="1" applyBorder="1" applyAlignment="1" applyProtection="1">
      <alignment horizontal="left"/>
    </xf>
    <xf numFmtId="43" fontId="30" fillId="0" borderId="0" xfId="49" quotePrefix="1" applyNumberFormat="1" applyFont="1" applyFill="1" applyBorder="1" applyAlignment="1" applyProtection="1">
      <alignment horizontal="center"/>
    </xf>
    <xf numFmtId="43" fontId="11" fillId="0" borderId="0" xfId="68" applyNumberFormat="1" applyFont="1" applyFill="1" applyBorder="1" applyAlignment="1">
      <alignment horizontal="left"/>
    </xf>
    <xf numFmtId="43" fontId="3" fillId="0" borderId="0" xfId="69" applyNumberFormat="1" applyFill="1" applyBorder="1"/>
    <xf numFmtId="43" fontId="6" fillId="0" borderId="16" xfId="49" applyNumberFormat="1" applyFont="1" applyFill="1" applyBorder="1" applyAlignment="1" applyProtection="1">
      <alignment horizontal="right"/>
    </xf>
    <xf numFmtId="43" fontId="6" fillId="0" borderId="16" xfId="68" applyNumberFormat="1" applyFont="1" applyFill="1" applyBorder="1"/>
    <xf numFmtId="43" fontId="12" fillId="0" borderId="0" xfId="49" applyNumberFormat="1" applyFont="1" applyFill="1" applyBorder="1" applyAlignment="1" applyProtection="1">
      <alignment horizontal="left"/>
    </xf>
    <xf numFmtId="43" fontId="12" fillId="0" borderId="0" xfId="49" applyNumberFormat="1" applyFont="1" applyFill="1" applyBorder="1" applyAlignment="1">
      <alignment horizontal="right" wrapText="1"/>
    </xf>
    <xf numFmtId="43" fontId="12" fillId="0" borderId="0" xfId="49" quotePrefix="1" applyNumberFormat="1" applyFont="1" applyFill="1" applyBorder="1" applyAlignment="1" applyProtection="1">
      <alignment horizontal="center" wrapText="1"/>
    </xf>
    <xf numFmtId="43" fontId="12" fillId="0" borderId="0" xfId="49" applyNumberFormat="1" applyFont="1" applyFill="1" applyBorder="1" applyAlignment="1" applyProtection="1">
      <alignment horizontal="left" wrapText="1"/>
    </xf>
    <xf numFmtId="43" fontId="30" fillId="0" borderId="0" xfId="49" quotePrefix="1" applyNumberFormat="1" applyFont="1" applyFill="1" applyBorder="1" applyAlignment="1" applyProtection="1">
      <alignment horizontal="center" wrapText="1"/>
    </xf>
    <xf numFmtId="43" fontId="60" fillId="0" borderId="0" xfId="68" applyNumberFormat="1" applyFont="1" applyFill="1" applyBorder="1" applyAlignment="1"/>
    <xf numFmtId="43" fontId="60" fillId="0" borderId="0" xfId="68" applyNumberFormat="1" applyFont="1" applyFill="1" applyAlignment="1">
      <alignment horizontal="right"/>
    </xf>
    <xf numFmtId="43" fontId="4" fillId="0" borderId="0" xfId="46" applyNumberFormat="1" applyFont="1" applyFill="1" applyBorder="1" applyAlignment="1">
      <alignment horizontal="right"/>
    </xf>
    <xf numFmtId="43" fontId="4" fillId="0" borderId="0" xfId="68" applyNumberFormat="1" applyFont="1" applyFill="1" applyAlignment="1">
      <alignment horizontal="right"/>
    </xf>
    <xf numFmtId="43" fontId="3" fillId="0" borderId="0" xfId="68" applyNumberFormat="1" applyFont="1" applyFill="1" applyBorder="1" applyAlignment="1">
      <alignment horizontal="left"/>
    </xf>
    <xf numFmtId="43" fontId="4" fillId="0" borderId="0" xfId="49" quotePrefix="1" applyNumberFormat="1" applyFont="1" applyFill="1" applyBorder="1" applyAlignment="1" applyProtection="1">
      <alignment horizontal="center"/>
    </xf>
    <xf numFmtId="43" fontId="4" fillId="0" borderId="0" xfId="49" applyNumberFormat="1" applyFont="1" applyFill="1" applyAlignment="1"/>
    <xf numFmtId="43" fontId="4" fillId="0" borderId="0" xfId="49" quotePrefix="1" applyNumberFormat="1" applyFont="1" applyFill="1" applyBorder="1" applyAlignment="1" applyProtection="1">
      <alignment horizontal="left"/>
    </xf>
    <xf numFmtId="43" fontId="5" fillId="0" borderId="0" xfId="49" quotePrefix="1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 applyProtection="1"/>
    <xf numFmtId="43" fontId="30" fillId="0" borderId="0" xfId="49" applyNumberFormat="1" applyFont="1" applyFill="1" applyBorder="1" applyAlignment="1"/>
    <xf numFmtId="43" fontId="4" fillId="0" borderId="0" xfId="49" quotePrefix="1" applyNumberFormat="1" applyFont="1" applyFill="1" applyBorder="1" applyAlignment="1" applyProtection="1">
      <alignment horizontal="center" wrapText="1"/>
    </xf>
    <xf numFmtId="43" fontId="3" fillId="0" borderId="0" xfId="49" applyNumberFormat="1" applyFont="1" applyFill="1" applyBorder="1" applyAlignment="1" applyProtection="1">
      <alignment horizontal="left" wrapText="1"/>
    </xf>
    <xf numFmtId="43" fontId="5" fillId="0" borderId="0" xfId="49" quotePrefix="1" applyNumberFormat="1" applyFont="1" applyFill="1" applyBorder="1" applyAlignment="1" applyProtection="1">
      <alignment horizontal="center" wrapText="1"/>
    </xf>
    <xf numFmtId="43" fontId="4" fillId="0" borderId="0" xfId="49" applyNumberFormat="1" applyFont="1" applyFill="1" applyBorder="1" applyAlignment="1"/>
    <xf numFmtId="43" fontId="4" fillId="0" borderId="0" xfId="68" applyNumberFormat="1" applyFont="1" applyFill="1" applyAlignment="1">
      <alignment horizontal="center"/>
    </xf>
    <xf numFmtId="43" fontId="11" fillId="0" borderId="19" xfId="68" applyNumberFormat="1" applyFont="1" applyFill="1" applyBorder="1" applyAlignment="1">
      <alignment horizontal="left"/>
    </xf>
    <xf numFmtId="43" fontId="3" fillId="0" borderId="0" xfId="49" quotePrefix="1" applyNumberFormat="1" applyFont="1" applyFill="1" applyBorder="1" applyAlignment="1" applyProtection="1">
      <alignment horizontal="center"/>
    </xf>
    <xf numFmtId="43" fontId="3" fillId="0" borderId="0" xfId="49" applyNumberFormat="1" applyFont="1" applyFill="1" applyBorder="1" applyAlignment="1" applyProtection="1">
      <alignment horizontal="left"/>
    </xf>
    <xf numFmtId="43" fontId="49" fillId="0" borderId="0" xfId="69" applyNumberFormat="1" applyFont="1" applyFill="1" applyAlignment="1">
      <alignment horizontal="center"/>
    </xf>
    <xf numFmtId="43" fontId="4" fillId="0" borderId="0" xfId="49" applyNumberFormat="1" applyFont="1" applyFill="1" applyBorder="1" applyAlignment="1" applyProtection="1">
      <alignment horizontal="right"/>
    </xf>
    <xf numFmtId="43" fontId="5" fillId="0" borderId="0" xfId="49" applyNumberFormat="1" applyFont="1" applyFill="1" applyBorder="1" applyAlignment="1" applyProtection="1">
      <alignment horizontal="right"/>
    </xf>
    <xf numFmtId="43" fontId="4" fillId="0" borderId="0" xfId="49" applyNumberFormat="1" applyFont="1" applyFill="1" applyBorder="1" applyAlignment="1">
      <alignment horizontal="right"/>
    </xf>
    <xf numFmtId="43" fontId="41" fillId="0" borderId="0" xfId="49" applyNumberFormat="1" applyFont="1" applyFill="1" applyBorder="1" applyAlignment="1">
      <alignment horizontal="center"/>
    </xf>
    <xf numFmtId="43" fontId="4" fillId="0" borderId="14" xfId="68" applyNumberFormat="1" applyFont="1" applyFill="1" applyBorder="1" applyAlignment="1"/>
    <xf numFmtId="43" fontId="4" fillId="0" borderId="14" xfId="69" applyNumberFormat="1" applyFont="1" applyFill="1" applyBorder="1"/>
    <xf numFmtId="43" fontId="4" fillId="0" borderId="14" xfId="69" applyNumberFormat="1" applyFont="1" applyFill="1" applyBorder="1" applyAlignment="1">
      <alignment horizontal="left"/>
    </xf>
    <xf numFmtId="43" fontId="5" fillId="0" borderId="14" xfId="69" applyNumberFormat="1" applyFont="1" applyFill="1" applyBorder="1"/>
    <xf numFmtId="43" fontId="11" fillId="0" borderId="17" xfId="68" applyNumberFormat="1" applyFont="1" applyFill="1" applyBorder="1" applyAlignment="1">
      <alignment horizontal="left"/>
    </xf>
    <xf numFmtId="43" fontId="5" fillId="0" borderId="0" xfId="68" applyNumberFormat="1" applyFont="1" applyFill="1" applyBorder="1" applyAlignment="1"/>
    <xf numFmtId="43" fontId="4" fillId="0" borderId="0" xfId="69" applyNumberFormat="1" applyFont="1" applyFill="1" applyBorder="1" applyAlignment="1"/>
    <xf numFmtId="43" fontId="4" fillId="0" borderId="0" xfId="68" applyNumberFormat="1" applyFont="1" applyFill="1" applyBorder="1" applyAlignment="1"/>
    <xf numFmtId="43" fontId="4" fillId="0" borderId="0" xfId="69" applyNumberFormat="1" applyFont="1" applyFill="1" applyBorder="1"/>
    <xf numFmtId="43" fontId="4" fillId="0" borderId="0" xfId="69" applyNumberFormat="1" applyFont="1" applyFill="1" applyBorder="1" applyAlignment="1">
      <alignment horizontal="left"/>
    </xf>
    <xf numFmtId="43" fontId="5" fillId="0" borderId="0" xfId="69" applyNumberFormat="1" applyFont="1" applyFill="1" applyBorder="1"/>
    <xf numFmtId="43" fontId="5" fillId="0" borderId="0" xfId="68" applyNumberFormat="1" applyFont="1" applyFill="1" applyBorder="1" applyAlignment="1" applyProtection="1">
      <alignment horizontal="center"/>
    </xf>
    <xf numFmtId="43" fontId="2" fillId="0" borderId="0" xfId="68" applyNumberFormat="1" applyFont="1" applyFill="1" applyAlignment="1">
      <alignment horizontal="center"/>
    </xf>
    <xf numFmtId="43" fontId="3" fillId="0" borderId="0" xfId="68" applyNumberFormat="1" applyFont="1" applyFill="1" applyBorder="1" applyAlignment="1" applyProtection="1"/>
    <xf numFmtId="43" fontId="12" fillId="0" borderId="0" xfId="68" applyNumberFormat="1" applyFont="1" applyFill="1" applyBorder="1" applyAlignment="1" applyProtection="1">
      <alignment horizontal="center" wrapText="1"/>
    </xf>
    <xf numFmtId="43" fontId="12" fillId="0" borderId="0" xfId="68" applyNumberFormat="1" applyFont="1" applyFill="1" applyBorder="1" applyAlignment="1" applyProtection="1">
      <alignment horizontal="center"/>
    </xf>
    <xf numFmtId="43" fontId="30" fillId="0" borderId="16" xfId="68" applyNumberFormat="1" applyFont="1" applyFill="1" applyBorder="1" applyAlignment="1" applyProtection="1">
      <alignment horizontal="center"/>
    </xf>
    <xf numFmtId="43" fontId="30" fillId="0" borderId="0" xfId="68" applyNumberFormat="1" applyFont="1" applyFill="1" applyBorder="1" applyAlignment="1" applyProtection="1">
      <alignment horizontal="center"/>
    </xf>
    <xf numFmtId="43" fontId="3" fillId="0" borderId="14" xfId="68" applyNumberFormat="1" applyFont="1" applyFill="1" applyBorder="1" applyAlignment="1"/>
    <xf numFmtId="43" fontId="3" fillId="0" borderId="0" xfId="68" applyNumberFormat="1" applyFont="1" applyFill="1" applyBorder="1" applyAlignment="1"/>
    <xf numFmtId="43" fontId="12" fillId="0" borderId="0" xfId="68" applyNumberFormat="1" applyFont="1" applyFill="1" applyBorder="1" applyAlignment="1">
      <alignment horizontal="center" wrapText="1"/>
    </xf>
    <xf numFmtId="43" fontId="3" fillId="0" borderId="0" xfId="68" applyNumberFormat="1" applyFont="1" applyFill="1" applyBorder="1" applyAlignment="1">
      <alignment horizontal="right"/>
    </xf>
    <xf numFmtId="43" fontId="3" fillId="0" borderId="0" xfId="46" applyNumberFormat="1" applyFont="1" applyFill="1" applyBorder="1" applyAlignment="1">
      <alignment horizontal="right"/>
    </xf>
    <xf numFmtId="43" fontId="4" fillId="0" borderId="0" xfId="68" applyNumberFormat="1" applyFont="1" applyFill="1" applyBorder="1" applyAlignment="1">
      <alignment horizontal="center" wrapText="1"/>
    </xf>
    <xf numFmtId="43" fontId="4" fillId="0" borderId="0" xfId="68" applyNumberFormat="1" applyFont="1" applyFill="1" applyBorder="1" applyAlignment="1" applyProtection="1">
      <alignment horizontal="center"/>
    </xf>
    <xf numFmtId="43" fontId="2" fillId="0" borderId="0" xfId="68" applyNumberFormat="1" applyFont="1" applyFill="1" applyBorder="1" applyAlignment="1">
      <alignment horizontal="right"/>
    </xf>
    <xf numFmtId="14" fontId="5" fillId="0" borderId="0" xfId="68" applyNumberFormat="1" applyFont="1" applyFill="1" applyBorder="1" applyAlignment="1" applyProtection="1">
      <alignment horizontal="center"/>
    </xf>
    <xf numFmtId="14" fontId="5" fillId="0" borderId="13" xfId="49" applyNumberFormat="1" applyFont="1" applyFill="1" applyBorder="1" applyAlignment="1" applyProtection="1">
      <alignment horizontal="center"/>
    </xf>
    <xf numFmtId="14" fontId="3" fillId="0" borderId="0" xfId="68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6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9" fontId="0" fillId="0" borderId="0" xfId="0" applyFill="1"/>
    <xf numFmtId="37" fontId="61" fillId="0" borderId="0" xfId="68" applyNumberFormat="1" applyFont="1" applyFill="1" applyAlignment="1">
      <alignment wrapText="1"/>
    </xf>
    <xf numFmtId="43" fontId="47" fillId="0" borderId="0" xfId="68" applyNumberFormat="1" applyFont="1" applyFill="1" applyAlignment="1"/>
    <xf numFmtId="43" fontId="12" fillId="0" borderId="0" xfId="49" applyNumberFormat="1" applyFont="1" applyFill="1" applyBorder="1" applyAlignment="1">
      <alignment horizontal="left"/>
    </xf>
    <xf numFmtId="43" fontId="30" fillId="0" borderId="0" xfId="69" applyNumberFormat="1" applyFont="1" applyFill="1" applyBorder="1"/>
    <xf numFmtId="43" fontId="2" fillId="0" borderId="0" xfId="69" applyNumberFormat="1" applyFont="1" applyFill="1" applyBorder="1" applyAlignment="1">
      <alignment horizontal="center"/>
    </xf>
    <xf numFmtId="43" fontId="49" fillId="0" borderId="0" xfId="69" applyNumberFormat="1" applyFont="1" applyFill="1" applyBorder="1" applyAlignment="1">
      <alignment horizontal="center"/>
    </xf>
    <xf numFmtId="37" fontId="48" fillId="0" borderId="0" xfId="68" applyNumberFormat="1" applyFont="1" applyFill="1"/>
    <xf numFmtId="0" fontId="2" fillId="0" borderId="0" xfId="69" applyFont="1" applyFill="1"/>
    <xf numFmtId="0" fontId="61" fillId="0" borderId="0" xfId="68" applyNumberFormat="1" applyFont="1" applyFill="1" applyAlignment="1">
      <alignment horizontal="center"/>
    </xf>
    <xf numFmtId="169" fontId="9" fillId="0" borderId="0" xfId="754" applyNumberFormat="1" applyFont="1" applyFill="1" applyBorder="1" applyAlignment="1">
      <alignment horizontal="left" wrapText="1" indent="1"/>
    </xf>
    <xf numFmtId="0" fontId="9" fillId="0" borderId="0" xfId="754" applyFont="1" applyAlignment="1">
      <alignment horizontal="center"/>
    </xf>
    <xf numFmtId="0" fontId="53" fillId="0" borderId="0" xfId="754" applyFont="1" applyAlignment="1">
      <alignment horizontal="center" wrapText="1"/>
    </xf>
    <xf numFmtId="0" fontId="3" fillId="45" borderId="0" xfId="754" applyFont="1" applyFill="1" applyAlignment="1">
      <alignment horizontal="center" wrapText="1"/>
    </xf>
    <xf numFmtId="0" fontId="3" fillId="45" borderId="0" xfId="754" applyFill="1" applyAlignment="1">
      <alignment horizontal="center" wrapText="1"/>
    </xf>
    <xf numFmtId="0" fontId="54" fillId="0" borderId="13" xfId="754" applyFont="1" applyBorder="1" applyAlignment="1">
      <alignment horizontal="center"/>
    </xf>
    <xf numFmtId="0" fontId="55" fillId="0" borderId="0" xfId="754" applyFont="1" applyBorder="1" applyAlignment="1">
      <alignment wrapText="1"/>
    </xf>
  </cellXfs>
  <cellStyles count="755">
    <cellStyle name="20% - Accent1" xfId="1" builtinId="30" customBuiltin="1"/>
    <cellStyle name="20% - Accent1 2" xfId="123"/>
    <cellStyle name="20% - Accent2" xfId="2" builtinId="34" customBuiltin="1"/>
    <cellStyle name="20% - Accent2 2" xfId="124"/>
    <cellStyle name="20% - Accent3" xfId="3" builtinId="38" customBuiltin="1"/>
    <cellStyle name="20% - Accent3 2" xfId="125"/>
    <cellStyle name="20% - Accent4" xfId="4" builtinId="42" customBuiltin="1"/>
    <cellStyle name="20% - Accent4 2" xfId="126"/>
    <cellStyle name="20% - Accent5" xfId="5" builtinId="46" customBuiltin="1"/>
    <cellStyle name="20% - Accent5 2" xfId="127"/>
    <cellStyle name="20% - Accent6" xfId="6" builtinId="50" customBuiltin="1"/>
    <cellStyle name="20% - Accent6 2" xfId="128"/>
    <cellStyle name="40% - Accent1" xfId="7" builtinId="31" customBuiltin="1"/>
    <cellStyle name="40% - Accent1 2" xfId="129"/>
    <cellStyle name="40% - Accent2" xfId="8" builtinId="35" customBuiltin="1"/>
    <cellStyle name="40% - Accent2 2" xfId="130"/>
    <cellStyle name="40% - Accent3" xfId="9" builtinId="39" customBuiltin="1"/>
    <cellStyle name="40% - Accent3 2" xfId="131"/>
    <cellStyle name="40% - Accent4" xfId="10" builtinId="43" customBuiltin="1"/>
    <cellStyle name="40% - Accent4 2" xfId="132"/>
    <cellStyle name="40% - Accent5" xfId="11" builtinId="47" customBuiltin="1"/>
    <cellStyle name="40% - Accent5 2" xfId="133"/>
    <cellStyle name="40% - Accent6" xfId="12" builtinId="51" customBuiltin="1"/>
    <cellStyle name="40% - Accent6 2" xfId="134"/>
    <cellStyle name="60% - Accent1" xfId="13" builtinId="32" customBuiltin="1"/>
    <cellStyle name="60% - Accent1 2" xfId="135"/>
    <cellStyle name="60% - Accent2" xfId="14" builtinId="36" customBuiltin="1"/>
    <cellStyle name="60% - Accent2 2" xfId="136"/>
    <cellStyle name="60% - Accent3" xfId="15" builtinId="40" customBuiltin="1"/>
    <cellStyle name="60% - Accent3 2" xfId="137"/>
    <cellStyle name="60% - Accent4" xfId="16" builtinId="44" customBuiltin="1"/>
    <cellStyle name="60% - Accent4 2" xfId="138"/>
    <cellStyle name="60% - Accent5" xfId="17" builtinId="48" customBuiltin="1"/>
    <cellStyle name="60% - Accent5 2" xfId="139"/>
    <cellStyle name="60% - Accent6" xfId="18" builtinId="52" customBuiltin="1"/>
    <cellStyle name="60% - Accent6 2" xfId="140"/>
    <cellStyle name="Accent1" xfId="19" builtinId="29" customBuiltin="1"/>
    <cellStyle name="Accent1 - 20%" xfId="20"/>
    <cellStyle name="Accent1 - 40%" xfId="21"/>
    <cellStyle name="Accent1 - 60%" xfId="22"/>
    <cellStyle name="Accent1 10" xfId="272"/>
    <cellStyle name="Accent1 11" xfId="179"/>
    <cellStyle name="Accent1 12" xfId="285"/>
    <cellStyle name="Accent1 13" xfId="176"/>
    <cellStyle name="Accent1 14" xfId="354"/>
    <cellStyle name="Accent1 15" xfId="169"/>
    <cellStyle name="Accent1 16" xfId="287"/>
    <cellStyle name="Accent1 17" xfId="280"/>
    <cellStyle name="Accent1 18" xfId="290"/>
    <cellStyle name="Accent1 19" xfId="328"/>
    <cellStyle name="Accent1 2" xfId="141"/>
    <cellStyle name="Accent1 20" xfId="304"/>
    <cellStyle name="Accent1 21" xfId="343"/>
    <cellStyle name="Accent1 22" xfId="318"/>
    <cellStyle name="Accent1 23" xfId="355"/>
    <cellStyle name="Accent1 24" xfId="321"/>
    <cellStyle name="Accent1 25" xfId="358"/>
    <cellStyle name="Accent1 26" xfId="336"/>
    <cellStyle name="Accent1 27" xfId="361"/>
    <cellStyle name="Accent1 28" xfId="369"/>
    <cellStyle name="Accent1 29" xfId="377"/>
    <cellStyle name="Accent1 3" xfId="185"/>
    <cellStyle name="Accent1 30" xfId="385"/>
    <cellStyle name="Accent1 31" xfId="393"/>
    <cellStyle name="Accent1 32" xfId="401"/>
    <cellStyle name="Accent1 33" xfId="409"/>
    <cellStyle name="Accent1 34" xfId="417"/>
    <cellStyle name="Accent1 35" xfId="425"/>
    <cellStyle name="Accent1 36" xfId="433"/>
    <cellStyle name="Accent1 37" xfId="441"/>
    <cellStyle name="Accent1 38" xfId="449"/>
    <cellStyle name="Accent1 39" xfId="457"/>
    <cellStyle name="Accent1 4" xfId="256"/>
    <cellStyle name="Accent1 40" xfId="465"/>
    <cellStyle name="Accent1 41" xfId="473"/>
    <cellStyle name="Accent1 42" xfId="481"/>
    <cellStyle name="Accent1 43" xfId="489"/>
    <cellStyle name="Accent1 44" xfId="497"/>
    <cellStyle name="Accent1 45" xfId="505"/>
    <cellStyle name="Accent1 46" xfId="513"/>
    <cellStyle name="Accent1 47" xfId="521"/>
    <cellStyle name="Accent1 48" xfId="529"/>
    <cellStyle name="Accent1 49" xfId="536"/>
    <cellStyle name="Accent1 5" xfId="184"/>
    <cellStyle name="Accent1 50" xfId="543"/>
    <cellStyle name="Accent1 51" xfId="550"/>
    <cellStyle name="Accent1 52" xfId="557"/>
    <cellStyle name="Accent1 53" xfId="564"/>
    <cellStyle name="Accent1 54" xfId="571"/>
    <cellStyle name="Accent1 55" xfId="578"/>
    <cellStyle name="Accent1 56" xfId="584"/>
    <cellStyle name="Accent1 57" xfId="590"/>
    <cellStyle name="Accent1 58" xfId="596"/>
    <cellStyle name="Accent1 59" xfId="602"/>
    <cellStyle name="Accent1 6" xfId="262"/>
    <cellStyle name="Accent1 60" xfId="607"/>
    <cellStyle name="Accent1 61" xfId="612"/>
    <cellStyle name="Accent1 62" xfId="617"/>
    <cellStyle name="Accent1 63" xfId="622"/>
    <cellStyle name="Accent1 64" xfId="671"/>
    <cellStyle name="Accent1 65" xfId="717"/>
    <cellStyle name="Accent1 66" xfId="664"/>
    <cellStyle name="Accent1 67" xfId="714"/>
    <cellStyle name="Accent1 68" xfId="727"/>
    <cellStyle name="Accent1 69" xfId="716"/>
    <cellStyle name="Accent1 7" xfId="183"/>
    <cellStyle name="Accent1 70" xfId="729"/>
    <cellStyle name="Accent1 71" xfId="718"/>
    <cellStyle name="Accent1 72" xfId="730"/>
    <cellStyle name="Accent1 73" xfId="719"/>
    <cellStyle name="Accent1 74" xfId="735"/>
    <cellStyle name="Accent1 75" xfId="720"/>
    <cellStyle name="Accent1 8" xfId="267"/>
    <cellStyle name="Accent1 9" xfId="182"/>
    <cellStyle name="Accent2" xfId="23" builtinId="33" customBuiltin="1"/>
    <cellStyle name="Accent2 - 20%" xfId="24"/>
    <cellStyle name="Accent2 - 40%" xfId="25"/>
    <cellStyle name="Accent2 - 60%" xfId="26"/>
    <cellStyle name="Accent2 10" xfId="327"/>
    <cellStyle name="Accent2 11" xfId="334"/>
    <cellStyle name="Accent2 12" xfId="342"/>
    <cellStyle name="Accent2 13" xfId="350"/>
    <cellStyle name="Accent2 14" xfId="270"/>
    <cellStyle name="Accent2 15" xfId="366"/>
    <cellStyle name="Accent2 16" xfId="374"/>
    <cellStyle name="Accent2 17" xfId="382"/>
    <cellStyle name="Accent2 18" xfId="390"/>
    <cellStyle name="Accent2 19" xfId="398"/>
    <cellStyle name="Accent2 2" xfId="142"/>
    <cellStyle name="Accent2 20" xfId="406"/>
    <cellStyle name="Accent2 21" xfId="414"/>
    <cellStyle name="Accent2 22" xfId="422"/>
    <cellStyle name="Accent2 23" xfId="430"/>
    <cellStyle name="Accent2 24" xfId="438"/>
    <cellStyle name="Accent2 25" xfId="446"/>
    <cellStyle name="Accent2 26" xfId="454"/>
    <cellStyle name="Accent2 27" xfId="462"/>
    <cellStyle name="Accent2 28" xfId="470"/>
    <cellStyle name="Accent2 29" xfId="478"/>
    <cellStyle name="Accent2 3" xfId="189"/>
    <cellStyle name="Accent2 30" xfId="486"/>
    <cellStyle name="Accent2 31" xfId="494"/>
    <cellStyle name="Accent2 32" xfId="502"/>
    <cellStyle name="Accent2 33" xfId="510"/>
    <cellStyle name="Accent2 34" xfId="518"/>
    <cellStyle name="Accent2 35" xfId="526"/>
    <cellStyle name="Accent2 36" xfId="533"/>
    <cellStyle name="Accent2 37" xfId="540"/>
    <cellStyle name="Accent2 38" xfId="547"/>
    <cellStyle name="Accent2 39" xfId="554"/>
    <cellStyle name="Accent2 4" xfId="253"/>
    <cellStyle name="Accent2 40" xfId="561"/>
    <cellStyle name="Accent2 41" xfId="568"/>
    <cellStyle name="Accent2 42" xfId="575"/>
    <cellStyle name="Accent2 43" xfId="582"/>
    <cellStyle name="Accent2 44" xfId="588"/>
    <cellStyle name="Accent2 45" xfId="594"/>
    <cellStyle name="Accent2 46" xfId="600"/>
    <cellStyle name="Accent2 47" xfId="606"/>
    <cellStyle name="Accent2 48" xfId="611"/>
    <cellStyle name="Accent2 49" xfId="616"/>
    <cellStyle name="Accent2 5" xfId="187"/>
    <cellStyle name="Accent2 50" xfId="621"/>
    <cellStyle name="Accent2 51" xfId="626"/>
    <cellStyle name="Accent2 52" xfId="629"/>
    <cellStyle name="Accent2 53" xfId="632"/>
    <cellStyle name="Accent2 54" xfId="635"/>
    <cellStyle name="Accent2 55" xfId="637"/>
    <cellStyle name="Accent2 56" xfId="639"/>
    <cellStyle name="Accent2 57" xfId="641"/>
    <cellStyle name="Accent2 58" xfId="644"/>
    <cellStyle name="Accent2 59" xfId="646"/>
    <cellStyle name="Accent2 6" xfId="295"/>
    <cellStyle name="Accent2 60" xfId="648"/>
    <cellStyle name="Accent2 61" xfId="650"/>
    <cellStyle name="Accent2 62" xfId="652"/>
    <cellStyle name="Accent2 63" xfId="654"/>
    <cellStyle name="Accent2 64" xfId="675"/>
    <cellStyle name="Accent2 65" xfId="726"/>
    <cellStyle name="Accent2 66" xfId="733"/>
    <cellStyle name="Accent2 67" xfId="710"/>
    <cellStyle name="Accent2 68" xfId="737"/>
    <cellStyle name="Accent2 69" xfId="739"/>
    <cellStyle name="Accent2 7" xfId="300"/>
    <cellStyle name="Accent2 70" xfId="741"/>
    <cellStyle name="Accent2 71" xfId="743"/>
    <cellStyle name="Accent2 72" xfId="745"/>
    <cellStyle name="Accent2 73" xfId="747"/>
    <cellStyle name="Accent2 74" xfId="749"/>
    <cellStyle name="Accent2 75" xfId="751"/>
    <cellStyle name="Accent2 8" xfId="311"/>
    <cellStyle name="Accent2 9" xfId="316"/>
    <cellStyle name="Accent3" xfId="27" builtinId="37" customBuiltin="1"/>
    <cellStyle name="Accent3 - 20%" xfId="28"/>
    <cellStyle name="Accent3 - 40%" xfId="29"/>
    <cellStyle name="Accent3 - 60%" xfId="30"/>
    <cellStyle name="Accent3 10" xfId="265"/>
    <cellStyle name="Accent3 11" xfId="186"/>
    <cellStyle name="Accent3 12" xfId="268"/>
    <cellStyle name="Accent3 13" xfId="317"/>
    <cellStyle name="Accent3 14" xfId="266"/>
    <cellStyle name="Accent3 15" xfId="175"/>
    <cellStyle name="Accent3 16" xfId="341"/>
    <cellStyle name="Accent3 17" xfId="173"/>
    <cellStyle name="Accent3 18" xfId="353"/>
    <cellStyle name="Accent3 19" xfId="171"/>
    <cellStyle name="Accent3 2" xfId="143"/>
    <cellStyle name="Accent3 20" xfId="274"/>
    <cellStyle name="Accent3 21" xfId="168"/>
    <cellStyle name="Accent3 22" xfId="288"/>
    <cellStyle name="Accent3 23" xfId="296"/>
    <cellStyle name="Accent3 24" xfId="302"/>
    <cellStyle name="Accent3 25" xfId="329"/>
    <cellStyle name="Accent3 26" xfId="305"/>
    <cellStyle name="Accent3 27" xfId="344"/>
    <cellStyle name="Accent3 28" xfId="319"/>
    <cellStyle name="Accent3 29" xfId="356"/>
    <cellStyle name="Accent3 3" xfId="193"/>
    <cellStyle name="Accent3 30" xfId="322"/>
    <cellStyle name="Accent3 31" xfId="359"/>
    <cellStyle name="Accent3 32" xfId="367"/>
    <cellStyle name="Accent3 33" xfId="375"/>
    <cellStyle name="Accent3 34" xfId="383"/>
    <cellStyle name="Accent3 35" xfId="391"/>
    <cellStyle name="Accent3 36" xfId="399"/>
    <cellStyle name="Accent3 37" xfId="407"/>
    <cellStyle name="Accent3 38" xfId="415"/>
    <cellStyle name="Accent3 39" xfId="423"/>
    <cellStyle name="Accent3 4" xfId="250"/>
    <cellStyle name="Accent3 40" xfId="431"/>
    <cellStyle name="Accent3 41" xfId="439"/>
    <cellStyle name="Accent3 42" xfId="447"/>
    <cellStyle name="Accent3 43" xfId="455"/>
    <cellStyle name="Accent3 44" xfId="463"/>
    <cellStyle name="Accent3 45" xfId="471"/>
    <cellStyle name="Accent3 46" xfId="479"/>
    <cellStyle name="Accent3 47" xfId="487"/>
    <cellStyle name="Accent3 48" xfId="495"/>
    <cellStyle name="Accent3 49" xfId="503"/>
    <cellStyle name="Accent3 5" xfId="192"/>
    <cellStyle name="Accent3 50" xfId="511"/>
    <cellStyle name="Accent3 51" xfId="519"/>
    <cellStyle name="Accent3 52" xfId="527"/>
    <cellStyle name="Accent3 53" xfId="534"/>
    <cellStyle name="Accent3 54" xfId="541"/>
    <cellStyle name="Accent3 55" xfId="548"/>
    <cellStyle name="Accent3 56" xfId="555"/>
    <cellStyle name="Accent3 57" xfId="562"/>
    <cellStyle name="Accent3 58" xfId="569"/>
    <cellStyle name="Accent3 59" xfId="576"/>
    <cellStyle name="Accent3 6" xfId="255"/>
    <cellStyle name="Accent3 60" xfId="583"/>
    <cellStyle name="Accent3 61" xfId="589"/>
    <cellStyle name="Accent3 62" xfId="595"/>
    <cellStyle name="Accent3 63" xfId="601"/>
    <cellStyle name="Accent3 64" xfId="678"/>
    <cellStyle name="Accent3 65" xfId="712"/>
    <cellStyle name="Accent3 66" xfId="669"/>
    <cellStyle name="Accent3 67" xfId="706"/>
    <cellStyle name="Accent3 68" xfId="661"/>
    <cellStyle name="Accent3 69" xfId="709"/>
    <cellStyle name="Accent3 7" xfId="191"/>
    <cellStyle name="Accent3 70" xfId="659"/>
    <cellStyle name="Accent3 71" xfId="713"/>
    <cellStyle name="Accent3 72" xfId="657"/>
    <cellStyle name="Accent3 73" xfId="715"/>
    <cellStyle name="Accent3 74" xfId="728"/>
    <cellStyle name="Accent3 75" xfId="734"/>
    <cellStyle name="Accent3 8" xfId="260"/>
    <cellStyle name="Accent3 9" xfId="190"/>
    <cellStyle name="Accent4" xfId="31" builtinId="41" customBuiltin="1"/>
    <cellStyle name="Accent4 - 20%" xfId="32"/>
    <cellStyle name="Accent4 - 40%" xfId="33"/>
    <cellStyle name="Accent4 - 60%" xfId="34"/>
    <cellStyle name="Accent4 10" xfId="261"/>
    <cellStyle name="Accent4 11" xfId="194"/>
    <cellStyle name="Accent4 12" xfId="263"/>
    <cellStyle name="Accent4 13" xfId="188"/>
    <cellStyle name="Accent4 14" xfId="258"/>
    <cellStyle name="Accent4 15" xfId="181"/>
    <cellStyle name="Accent4 16" xfId="310"/>
    <cellStyle name="Accent4 17" xfId="178"/>
    <cellStyle name="Accent4 18" xfId="326"/>
    <cellStyle name="Accent4 19" xfId="174"/>
    <cellStyle name="Accent4 2" xfId="144"/>
    <cellStyle name="Accent4 20" xfId="271"/>
    <cellStyle name="Accent4 21" xfId="172"/>
    <cellStyle name="Accent4 22" xfId="273"/>
    <cellStyle name="Accent4 23" xfId="170"/>
    <cellStyle name="Accent4 24" xfId="286"/>
    <cellStyle name="Accent4 25" xfId="167"/>
    <cellStyle name="Accent4 26" xfId="289"/>
    <cellStyle name="Accent4 27" xfId="312"/>
    <cellStyle name="Accent4 28" xfId="303"/>
    <cellStyle name="Accent4 29" xfId="330"/>
    <cellStyle name="Accent4 3" xfId="195"/>
    <cellStyle name="Accent4 30" xfId="306"/>
    <cellStyle name="Accent4 31" xfId="345"/>
    <cellStyle name="Accent4 32" xfId="320"/>
    <cellStyle name="Accent4 33" xfId="357"/>
    <cellStyle name="Accent4 34" xfId="335"/>
    <cellStyle name="Accent4 35" xfId="360"/>
    <cellStyle name="Accent4 36" xfId="368"/>
    <cellStyle name="Accent4 37" xfId="376"/>
    <cellStyle name="Accent4 38" xfId="384"/>
    <cellStyle name="Accent4 39" xfId="392"/>
    <cellStyle name="Accent4 4" xfId="246"/>
    <cellStyle name="Accent4 40" xfId="400"/>
    <cellStyle name="Accent4 41" xfId="408"/>
    <cellStyle name="Accent4 42" xfId="416"/>
    <cellStyle name="Accent4 43" xfId="424"/>
    <cellStyle name="Accent4 44" xfId="432"/>
    <cellStyle name="Accent4 45" xfId="440"/>
    <cellStyle name="Accent4 46" xfId="448"/>
    <cellStyle name="Accent4 47" xfId="456"/>
    <cellStyle name="Accent4 48" xfId="464"/>
    <cellStyle name="Accent4 49" xfId="472"/>
    <cellStyle name="Accent4 5" xfId="196"/>
    <cellStyle name="Accent4 50" xfId="480"/>
    <cellStyle name="Accent4 51" xfId="488"/>
    <cellStyle name="Accent4 52" xfId="496"/>
    <cellStyle name="Accent4 53" xfId="504"/>
    <cellStyle name="Accent4 54" xfId="512"/>
    <cellStyle name="Accent4 55" xfId="520"/>
    <cellStyle name="Accent4 56" xfId="528"/>
    <cellStyle name="Accent4 57" xfId="535"/>
    <cellStyle name="Accent4 58" xfId="542"/>
    <cellStyle name="Accent4 59" xfId="549"/>
    <cellStyle name="Accent4 6" xfId="252"/>
    <cellStyle name="Accent4 60" xfId="556"/>
    <cellStyle name="Accent4 61" xfId="563"/>
    <cellStyle name="Accent4 62" xfId="570"/>
    <cellStyle name="Accent4 63" xfId="577"/>
    <cellStyle name="Accent4 64" xfId="679"/>
    <cellStyle name="Accent4 65" xfId="708"/>
    <cellStyle name="Accent4 66" xfId="673"/>
    <cellStyle name="Accent4 67" xfId="701"/>
    <cellStyle name="Accent4 68" xfId="663"/>
    <cellStyle name="Accent4 69" xfId="704"/>
    <cellStyle name="Accent4 7" xfId="197"/>
    <cellStyle name="Accent4 70" xfId="662"/>
    <cellStyle name="Accent4 71" xfId="707"/>
    <cellStyle name="Accent4 72" xfId="660"/>
    <cellStyle name="Accent4 73" xfId="711"/>
    <cellStyle name="Accent4 74" xfId="658"/>
    <cellStyle name="Accent4 75" xfId="725"/>
    <cellStyle name="Accent4 8" xfId="257"/>
    <cellStyle name="Accent4 9" xfId="198"/>
    <cellStyle name="Accent5" xfId="35" builtinId="45" customBuiltin="1"/>
    <cellStyle name="Accent5 - 20%" xfId="36"/>
    <cellStyle name="Accent5 - 40%" xfId="37"/>
    <cellStyle name="Accent5 - 60%" xfId="38"/>
    <cellStyle name="Accent5 10" xfId="254"/>
    <cellStyle name="Accent5 11" xfId="205"/>
    <cellStyle name="Accent5 12" xfId="294"/>
    <cellStyle name="Accent5 13" xfId="202"/>
    <cellStyle name="Accent5 14" xfId="243"/>
    <cellStyle name="Accent5 15" xfId="301"/>
    <cellStyle name="Accent5 16" xfId="249"/>
    <cellStyle name="Accent5 17" xfId="333"/>
    <cellStyle name="Accent5 18" xfId="278"/>
    <cellStyle name="Accent5 19" xfId="284"/>
    <cellStyle name="Accent5 2" xfId="145"/>
    <cellStyle name="Accent5 20" xfId="279"/>
    <cellStyle name="Accent5 21" xfId="349"/>
    <cellStyle name="Accent5 22" xfId="259"/>
    <cellStyle name="Accent5 23" xfId="180"/>
    <cellStyle name="Accent5 24" xfId="264"/>
    <cellStyle name="Accent5 25" xfId="177"/>
    <cellStyle name="Accent5 26" xfId="269"/>
    <cellStyle name="Accent5 27" xfId="365"/>
    <cellStyle name="Accent5 28" xfId="373"/>
    <cellStyle name="Accent5 29" xfId="381"/>
    <cellStyle name="Accent5 3" xfId="199"/>
    <cellStyle name="Accent5 30" xfId="389"/>
    <cellStyle name="Accent5 31" xfId="397"/>
    <cellStyle name="Accent5 32" xfId="405"/>
    <cellStyle name="Accent5 33" xfId="413"/>
    <cellStyle name="Accent5 34" xfId="421"/>
    <cellStyle name="Accent5 35" xfId="429"/>
    <cellStyle name="Accent5 36" xfId="437"/>
    <cellStyle name="Accent5 37" xfId="445"/>
    <cellStyle name="Accent5 38" xfId="453"/>
    <cellStyle name="Accent5 39" xfId="461"/>
    <cellStyle name="Accent5 4" xfId="242"/>
    <cellStyle name="Accent5 40" xfId="469"/>
    <cellStyle name="Accent5 41" xfId="477"/>
    <cellStyle name="Accent5 42" xfId="485"/>
    <cellStyle name="Accent5 43" xfId="493"/>
    <cellStyle name="Accent5 44" xfId="501"/>
    <cellStyle name="Accent5 45" xfId="509"/>
    <cellStyle name="Accent5 46" xfId="517"/>
    <cellStyle name="Accent5 47" xfId="525"/>
    <cellStyle name="Accent5 48" xfId="532"/>
    <cellStyle name="Accent5 49" xfId="539"/>
    <cellStyle name="Accent5 5" xfId="201"/>
    <cellStyle name="Accent5 50" xfId="546"/>
    <cellStyle name="Accent5 51" xfId="553"/>
    <cellStyle name="Accent5 52" xfId="560"/>
    <cellStyle name="Accent5 53" xfId="567"/>
    <cellStyle name="Accent5 54" xfId="574"/>
    <cellStyle name="Accent5 55" xfId="581"/>
    <cellStyle name="Accent5 56" xfId="587"/>
    <cellStyle name="Accent5 57" xfId="593"/>
    <cellStyle name="Accent5 58" xfId="599"/>
    <cellStyle name="Accent5 59" xfId="605"/>
    <cellStyle name="Accent5 6" xfId="247"/>
    <cellStyle name="Accent5 60" xfId="610"/>
    <cellStyle name="Accent5 61" xfId="615"/>
    <cellStyle name="Accent5 62" xfId="620"/>
    <cellStyle name="Accent5 63" xfId="625"/>
    <cellStyle name="Accent5 64" xfId="681"/>
    <cellStyle name="Accent5 65" xfId="705"/>
    <cellStyle name="Accent5 66" xfId="677"/>
    <cellStyle name="Accent5 67" xfId="697"/>
    <cellStyle name="Accent5 68" xfId="668"/>
    <cellStyle name="Accent5 69" xfId="698"/>
    <cellStyle name="Accent5 7" xfId="204"/>
    <cellStyle name="Accent5 70" xfId="667"/>
    <cellStyle name="Accent5 71" xfId="699"/>
    <cellStyle name="Accent5 72" xfId="666"/>
    <cellStyle name="Accent5 73" xfId="700"/>
    <cellStyle name="Accent5 74" xfId="665"/>
    <cellStyle name="Accent5 75" xfId="703"/>
    <cellStyle name="Accent5 8" xfId="251"/>
    <cellStyle name="Accent5 9" xfId="207"/>
    <cellStyle name="Accent6" xfId="39" builtinId="49" customBuiltin="1"/>
    <cellStyle name="Accent6 - 20%" xfId="40"/>
    <cellStyle name="Accent6 - 40%" xfId="41"/>
    <cellStyle name="Accent6 - 60%" xfId="42"/>
    <cellStyle name="Accent6 10" xfId="248"/>
    <cellStyle name="Accent6 11" xfId="213"/>
    <cellStyle name="Accent6 12" xfId="245"/>
    <cellStyle name="Accent6 13" xfId="214"/>
    <cellStyle name="Accent6 14" xfId="239"/>
    <cellStyle name="Accent6 15" xfId="200"/>
    <cellStyle name="Accent6 16" xfId="238"/>
    <cellStyle name="Accent6 17" xfId="208"/>
    <cellStyle name="Accent6 18" xfId="237"/>
    <cellStyle name="Accent6 19" xfId="210"/>
    <cellStyle name="Accent6 2" xfId="146"/>
    <cellStyle name="Accent6 20" xfId="236"/>
    <cellStyle name="Accent6 21" xfId="211"/>
    <cellStyle name="Accent6 22" xfId="235"/>
    <cellStyle name="Accent6 23" xfId="215"/>
    <cellStyle name="Accent6 24" xfId="234"/>
    <cellStyle name="Accent6 25" xfId="216"/>
    <cellStyle name="Accent6 26" xfId="233"/>
    <cellStyle name="Accent6 27" xfId="283"/>
    <cellStyle name="Accent6 28" xfId="232"/>
    <cellStyle name="Accent6 29" xfId="282"/>
    <cellStyle name="Accent6 3" xfId="203"/>
    <cellStyle name="Accent6 30" xfId="325"/>
    <cellStyle name="Accent6 31" xfId="217"/>
    <cellStyle name="Accent6 32" xfId="340"/>
    <cellStyle name="Accent6 33" xfId="218"/>
    <cellStyle name="Accent6 34" xfId="352"/>
    <cellStyle name="Accent6 35" xfId="299"/>
    <cellStyle name="Accent6 36" xfId="351"/>
    <cellStyle name="Accent6 37" xfId="298"/>
    <cellStyle name="Accent6 38" xfId="339"/>
    <cellStyle name="Accent6 39" xfId="219"/>
    <cellStyle name="Accent6 4" xfId="240"/>
    <cellStyle name="Accent6 40" xfId="324"/>
    <cellStyle name="Accent6 41" xfId="315"/>
    <cellStyle name="Accent6 42" xfId="231"/>
    <cellStyle name="Accent6 43" xfId="364"/>
    <cellStyle name="Accent6 44" xfId="372"/>
    <cellStyle name="Accent6 45" xfId="380"/>
    <cellStyle name="Accent6 46" xfId="388"/>
    <cellStyle name="Accent6 47" xfId="396"/>
    <cellStyle name="Accent6 48" xfId="404"/>
    <cellStyle name="Accent6 49" xfId="412"/>
    <cellStyle name="Accent6 5" xfId="206"/>
    <cellStyle name="Accent6 50" xfId="420"/>
    <cellStyle name="Accent6 51" xfId="428"/>
    <cellStyle name="Accent6 52" xfId="436"/>
    <cellStyle name="Accent6 53" xfId="444"/>
    <cellStyle name="Accent6 54" xfId="452"/>
    <cellStyle name="Accent6 55" xfId="460"/>
    <cellStyle name="Accent6 56" xfId="468"/>
    <cellStyle name="Accent6 57" xfId="476"/>
    <cellStyle name="Accent6 58" xfId="484"/>
    <cellStyle name="Accent6 59" xfId="492"/>
    <cellStyle name="Accent6 6" xfId="241"/>
    <cellStyle name="Accent6 60" xfId="500"/>
    <cellStyle name="Accent6 61" xfId="508"/>
    <cellStyle name="Accent6 62" xfId="516"/>
    <cellStyle name="Accent6 63" xfId="524"/>
    <cellStyle name="Accent6 64" xfId="682"/>
    <cellStyle name="Accent6 65" xfId="702"/>
    <cellStyle name="Accent6 66" xfId="680"/>
    <cellStyle name="Accent6 67" xfId="696"/>
    <cellStyle name="Accent6 68" xfId="670"/>
    <cellStyle name="Accent6 69" xfId="695"/>
    <cellStyle name="Accent6 7" xfId="209"/>
    <cellStyle name="Accent6 70" xfId="672"/>
    <cellStyle name="Accent6 71" xfId="724"/>
    <cellStyle name="Accent6 72" xfId="674"/>
    <cellStyle name="Accent6 73" xfId="723"/>
    <cellStyle name="Accent6 74" xfId="676"/>
    <cellStyle name="Accent6 75" xfId="694"/>
    <cellStyle name="Accent6 8" xfId="244"/>
    <cellStyle name="Accent6 9" xfId="212"/>
    <cellStyle name="Bad" xfId="43" builtinId="27" customBuiltin="1"/>
    <cellStyle name="Bad 2" xfId="147"/>
    <cellStyle name="Calculation" xfId="44" builtinId="22" customBuiltin="1"/>
    <cellStyle name="Calculation 2" xfId="148"/>
    <cellStyle name="Check Cell" xfId="45" builtinId="23" customBuiltin="1"/>
    <cellStyle name="Check Cell 2" xfId="149"/>
    <cellStyle name="Comma" xfId="46" builtinId="3"/>
    <cellStyle name="Comma 2" xfId="150"/>
    <cellStyle name="Comma 3" xfId="121"/>
    <cellStyle name="Comma_ 6-30-12 " xfId="47"/>
    <cellStyle name="Comma_EndingSumm 06-30-12" xfId="48"/>
    <cellStyle name="Comma_Q2 - Elec Env worksheet" xfId="49"/>
    <cellStyle name="Currency" xfId="50" builtinId="4"/>
    <cellStyle name="Currency 2" xfId="151"/>
    <cellStyle name="Emphasis 1" xfId="51"/>
    <cellStyle name="Emphasis 2" xfId="52"/>
    <cellStyle name="Emphasis 3" xfId="53"/>
    <cellStyle name="Entered" xfId="54"/>
    <cellStyle name="Explanatory Text" xfId="55" builtinId="53" customBuiltin="1"/>
    <cellStyle name="Explanatory Text 2" xfId="152"/>
    <cellStyle name="Good" xfId="56" builtinId="26" customBuiltin="1"/>
    <cellStyle name="Good 2" xfId="153"/>
    <cellStyle name="Grey" xfId="57"/>
    <cellStyle name="Heading 1" xfId="58" builtinId="16" customBuiltin="1"/>
    <cellStyle name="Heading 1 2" xfId="154"/>
    <cellStyle name="Heading 2" xfId="59" builtinId="17" customBuiltin="1"/>
    <cellStyle name="Heading 2 2" xfId="155"/>
    <cellStyle name="Heading 3" xfId="60" builtinId="18" customBuiltin="1"/>
    <cellStyle name="Heading 3 2" xfId="156"/>
    <cellStyle name="Heading 4" xfId="61" builtinId="19" customBuiltin="1"/>
    <cellStyle name="Heading 4 2" xfId="157"/>
    <cellStyle name="Input" xfId="62" builtinId="20" customBuiltin="1"/>
    <cellStyle name="Input [yellow]" xfId="63"/>
    <cellStyle name="Input 10" xfId="228"/>
    <cellStyle name="Input 11" xfId="230"/>
    <cellStyle name="Input 12" xfId="226"/>
    <cellStyle name="Input 13" xfId="308"/>
    <cellStyle name="Input 14" xfId="347"/>
    <cellStyle name="Input 15" xfId="223"/>
    <cellStyle name="Input 16" xfId="348"/>
    <cellStyle name="Input 17" xfId="276"/>
    <cellStyle name="Input 18" xfId="332"/>
    <cellStyle name="Input 19" xfId="229"/>
    <cellStyle name="Input 2" xfId="158"/>
    <cellStyle name="Input 20" xfId="220"/>
    <cellStyle name="Input 21" xfId="292"/>
    <cellStyle name="Input 22" xfId="314"/>
    <cellStyle name="Input 23" xfId="309"/>
    <cellStyle name="Input 24" xfId="363"/>
    <cellStyle name="Input 25" xfId="371"/>
    <cellStyle name="Input 26" xfId="379"/>
    <cellStyle name="Input 27" xfId="387"/>
    <cellStyle name="Input 28" xfId="395"/>
    <cellStyle name="Input 29" xfId="403"/>
    <cellStyle name="Input 3" xfId="224"/>
    <cellStyle name="Input 30" xfId="411"/>
    <cellStyle name="Input 31" xfId="419"/>
    <cellStyle name="Input 32" xfId="427"/>
    <cellStyle name="Input 33" xfId="435"/>
    <cellStyle name="Input 34" xfId="443"/>
    <cellStyle name="Input 35" xfId="451"/>
    <cellStyle name="Input 36" xfId="459"/>
    <cellStyle name="Input 37" xfId="467"/>
    <cellStyle name="Input 38" xfId="475"/>
    <cellStyle name="Input 39" xfId="483"/>
    <cellStyle name="Input 4" xfId="221"/>
    <cellStyle name="Input 40" xfId="491"/>
    <cellStyle name="Input 41" xfId="499"/>
    <cellStyle name="Input 42" xfId="507"/>
    <cellStyle name="Input 43" xfId="515"/>
    <cellStyle name="Input 44" xfId="523"/>
    <cellStyle name="Input 45" xfId="531"/>
    <cellStyle name="Input 46" xfId="538"/>
    <cellStyle name="Input 47" xfId="545"/>
    <cellStyle name="Input 48" xfId="552"/>
    <cellStyle name="Input 49" xfId="559"/>
    <cellStyle name="Input 5" xfId="227"/>
    <cellStyle name="Input 50" xfId="566"/>
    <cellStyle name="Input 51" xfId="573"/>
    <cellStyle name="Input 52" xfId="580"/>
    <cellStyle name="Input 53" xfId="586"/>
    <cellStyle name="Input 54" xfId="592"/>
    <cellStyle name="Input 55" xfId="598"/>
    <cellStyle name="Input 56" xfId="604"/>
    <cellStyle name="Input 57" xfId="609"/>
    <cellStyle name="Input 58" xfId="614"/>
    <cellStyle name="Input 59" xfId="619"/>
    <cellStyle name="Input 6" xfId="222"/>
    <cellStyle name="Input 60" xfId="624"/>
    <cellStyle name="Input 61" xfId="628"/>
    <cellStyle name="Input 62" xfId="631"/>
    <cellStyle name="Input 63" xfId="634"/>
    <cellStyle name="Input 64" xfId="693"/>
    <cellStyle name="Input 65" xfId="691"/>
    <cellStyle name="Input 66" xfId="692"/>
    <cellStyle name="Input 67" xfId="687"/>
    <cellStyle name="Input 68" xfId="732"/>
    <cellStyle name="Input 69" xfId="686"/>
    <cellStyle name="Input 7" xfId="277"/>
    <cellStyle name="Input 70" xfId="688"/>
    <cellStyle name="Input 71" xfId="685"/>
    <cellStyle name="Input 72" xfId="689"/>
    <cellStyle name="Input 73" xfId="684"/>
    <cellStyle name="Input 74" xfId="690"/>
    <cellStyle name="Input 75" xfId="683"/>
    <cellStyle name="Input 8" xfId="225"/>
    <cellStyle name="Input 9" xfId="293"/>
    <cellStyle name="Linked Cell" xfId="64" builtinId="24" customBuiltin="1"/>
    <cellStyle name="Linked Cell 2" xfId="159"/>
    <cellStyle name="Neutral" xfId="65" builtinId="28" customBuiltin="1"/>
    <cellStyle name="Neutral 2" xfId="160"/>
    <cellStyle name="Normal" xfId="0" builtinId="0"/>
    <cellStyle name="Normal - Style1" xfId="66"/>
    <cellStyle name="Normal 10" xfId="307"/>
    <cellStyle name="Normal 11" xfId="313"/>
    <cellStyle name="Normal 12" xfId="323"/>
    <cellStyle name="Normal 13" xfId="331"/>
    <cellStyle name="Normal 14" xfId="338"/>
    <cellStyle name="Normal 15" xfId="346"/>
    <cellStyle name="Normal 16" xfId="337"/>
    <cellStyle name="Normal 17" xfId="362"/>
    <cellStyle name="Normal 18" xfId="370"/>
    <cellStyle name="Normal 19" xfId="378"/>
    <cellStyle name="Normal 2" xfId="116"/>
    <cellStyle name="Normal 20" xfId="386"/>
    <cellStyle name="Normal 21" xfId="394"/>
    <cellStyle name="Normal 22" xfId="402"/>
    <cellStyle name="Normal 23" xfId="410"/>
    <cellStyle name="Normal 24" xfId="418"/>
    <cellStyle name="Normal 25" xfId="426"/>
    <cellStyle name="Normal 26" xfId="434"/>
    <cellStyle name="Normal 27" xfId="442"/>
    <cellStyle name="Normal 28" xfId="450"/>
    <cellStyle name="Normal 29" xfId="458"/>
    <cellStyle name="Normal 3" xfId="117"/>
    <cellStyle name="Normal 30" xfId="466"/>
    <cellStyle name="Normal 31" xfId="474"/>
    <cellStyle name="Normal 32" xfId="482"/>
    <cellStyle name="Normal 33" xfId="490"/>
    <cellStyle name="Normal 34" xfId="498"/>
    <cellStyle name="Normal 35" xfId="506"/>
    <cellStyle name="Normal 36" xfId="514"/>
    <cellStyle name="Normal 37" xfId="522"/>
    <cellStyle name="Normal 38" xfId="530"/>
    <cellStyle name="Normal 39" xfId="537"/>
    <cellStyle name="Normal 4" xfId="122"/>
    <cellStyle name="Normal 4 2" xfId="642"/>
    <cellStyle name="Normal 40" xfId="544"/>
    <cellStyle name="Normal 41" xfId="551"/>
    <cellStyle name="Normal 42" xfId="558"/>
    <cellStyle name="Normal 43" xfId="565"/>
    <cellStyle name="Normal 44" xfId="572"/>
    <cellStyle name="Normal 45" xfId="579"/>
    <cellStyle name="Normal 46" xfId="585"/>
    <cellStyle name="Normal 47" xfId="591"/>
    <cellStyle name="Normal 48" xfId="597"/>
    <cellStyle name="Normal 49" xfId="603"/>
    <cellStyle name="Normal 5" xfId="166"/>
    <cellStyle name="Normal 5 2" xfId="655"/>
    <cellStyle name="Normal 50" xfId="608"/>
    <cellStyle name="Normal 51" xfId="613"/>
    <cellStyle name="Normal 52" xfId="618"/>
    <cellStyle name="Normal 53" xfId="623"/>
    <cellStyle name="Normal 54" xfId="627"/>
    <cellStyle name="Normal 55" xfId="630"/>
    <cellStyle name="Normal 56" xfId="633"/>
    <cellStyle name="Normal 57" xfId="636"/>
    <cellStyle name="Normal 58" xfId="638"/>
    <cellStyle name="Normal 59" xfId="640"/>
    <cellStyle name="Normal 6" xfId="275"/>
    <cellStyle name="Normal 60" xfId="643"/>
    <cellStyle name="Normal 61" xfId="645"/>
    <cellStyle name="Normal 62" xfId="647"/>
    <cellStyle name="Normal 63" xfId="649"/>
    <cellStyle name="Normal 64" xfId="651"/>
    <cellStyle name="Normal 65" xfId="653"/>
    <cellStyle name="Normal 66" xfId="656"/>
    <cellStyle name="Normal 67" xfId="722"/>
    <cellStyle name="Normal 68" xfId="731"/>
    <cellStyle name="Normal 69" xfId="721"/>
    <cellStyle name="Normal 7" xfId="281"/>
    <cellStyle name="Normal 70" xfId="736"/>
    <cellStyle name="Normal 71" xfId="738"/>
    <cellStyle name="Normal 72" xfId="740"/>
    <cellStyle name="Normal 73" xfId="742"/>
    <cellStyle name="Normal 74" xfId="744"/>
    <cellStyle name="Normal 75" xfId="746"/>
    <cellStyle name="Normal 76" xfId="748"/>
    <cellStyle name="Normal 77" xfId="750"/>
    <cellStyle name="Normal 78" xfId="120"/>
    <cellStyle name="Normal 79" xfId="752"/>
    <cellStyle name="Normal 8" xfId="291"/>
    <cellStyle name="Normal 80" xfId="753"/>
    <cellStyle name="Normal 81" xfId="754"/>
    <cellStyle name="Normal 9" xfId="297"/>
    <cellStyle name="Normal_EndingSumm 06-30-12" xfId="67"/>
    <cellStyle name="Normal_Env-ele12-31-99" xfId="68"/>
    <cellStyle name="Normal_Q2 - Elec Env worksheet" xfId="69"/>
    <cellStyle name="Note" xfId="70" builtinId="10" customBuiltin="1"/>
    <cellStyle name="Note 2" xfId="161"/>
    <cellStyle name="Output" xfId="71" builtinId="21" customBuiltin="1"/>
    <cellStyle name="Output 2" xfId="162"/>
    <cellStyle name="Percent [2]" xfId="72"/>
    <cellStyle name="SAPBEXaggData" xfId="73"/>
    <cellStyle name="SAPBEXaggDataEmph" xfId="74"/>
    <cellStyle name="SAPBEXaggItem" xfId="75"/>
    <cellStyle name="SAPBEXaggItemX" xfId="76"/>
    <cellStyle name="SAPBEXchaText" xfId="77"/>
    <cellStyle name="SAPBEXexcBad7" xfId="78"/>
    <cellStyle name="SAPBEXexcBad8" xfId="79"/>
    <cellStyle name="SAPBEXexcBad9" xfId="80"/>
    <cellStyle name="SAPBEXexcCritical4" xfId="81"/>
    <cellStyle name="SAPBEXexcCritical5" xfId="82"/>
    <cellStyle name="SAPBEXexcCritical6" xfId="83"/>
    <cellStyle name="SAPBEXexcGood1" xfId="84"/>
    <cellStyle name="SAPBEXexcGood2" xfId="85"/>
    <cellStyle name="SAPBEXexcGood3" xfId="86"/>
    <cellStyle name="SAPBEXfilterDrill" xfId="87"/>
    <cellStyle name="SAPBEXfilterItem" xfId="88"/>
    <cellStyle name="SAPBEXfilterText" xfId="89"/>
    <cellStyle name="SAPBEXformats" xfId="90"/>
    <cellStyle name="SAPBEXheaderItem" xfId="91"/>
    <cellStyle name="SAPBEXheaderItem 2" xfId="118"/>
    <cellStyle name="SAPBEXheaderText" xfId="92"/>
    <cellStyle name="SAPBEXheaderText 2" xfId="119"/>
    <cellStyle name="SAPBEXHLevel0" xfId="93"/>
    <cellStyle name="SAPBEXHLevel0X" xfId="94"/>
    <cellStyle name="SAPBEXHLevel1" xfId="95"/>
    <cellStyle name="SAPBEXHLevel1X" xfId="96"/>
    <cellStyle name="SAPBEXHLevel2" xfId="97"/>
    <cellStyle name="SAPBEXHLevel2X" xfId="98"/>
    <cellStyle name="SAPBEXHLevel3" xfId="99"/>
    <cellStyle name="SAPBEXHLevel3X" xfId="100"/>
    <cellStyle name="SAPBEXinputData" xfId="101"/>
    <cellStyle name="SAPBEXresData" xfId="102"/>
    <cellStyle name="SAPBEXresDataEmph" xfId="103"/>
    <cellStyle name="SAPBEXresItem" xfId="104"/>
    <cellStyle name="SAPBEXresItemX" xfId="105"/>
    <cellStyle name="SAPBEXstdData" xfId="106"/>
    <cellStyle name="SAPBEXstdDataEmph" xfId="107"/>
    <cellStyle name="SAPBEXstdItem" xfId="108"/>
    <cellStyle name="SAPBEXstdItemX" xfId="109"/>
    <cellStyle name="SAPBEXtitle" xfId="110"/>
    <cellStyle name="SAPBEXundefined" xfId="111"/>
    <cellStyle name="Sheet Title" xfId="112"/>
    <cellStyle name="Title" xfId="113" builtinId="15" customBuiltin="1"/>
    <cellStyle name="Title 2" xfId="163"/>
    <cellStyle name="Total" xfId="114" builtinId="25" customBuiltin="1"/>
    <cellStyle name="Total 2" xfId="164"/>
    <cellStyle name="Warning Text" xfId="115" builtinId="11" customBuiltin="1"/>
    <cellStyle name="Warning Text 2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A147"/>
  <sheetViews>
    <sheetView tabSelected="1" zoomScale="70" zoomScaleNormal="70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B2" sqref="B2"/>
    </sheetView>
  </sheetViews>
  <sheetFormatPr defaultColWidth="17.58203125" defaultRowHeight="13" x14ac:dyDescent="0.3"/>
  <cols>
    <col min="1" max="1" width="4.33203125" style="435" hidden="1" customWidth="1"/>
    <col min="2" max="2" width="12.83203125" style="408" customWidth="1"/>
    <col min="3" max="3" width="1" style="138" customWidth="1"/>
    <col min="4" max="4" width="12" style="138" customWidth="1"/>
    <col min="5" max="5" width="11.25" style="207" bestFit="1" customWidth="1"/>
    <col min="6" max="6" width="1" style="138" customWidth="1"/>
    <col min="7" max="7" width="51.75" style="138" customWidth="1"/>
    <col min="8" max="8" width="26" style="136" customWidth="1"/>
    <col min="9" max="9" width="15.58203125" style="573" bestFit="1" customWidth="1"/>
    <col min="10" max="10" width="1.83203125" style="574" customWidth="1"/>
    <col min="11" max="11" width="13.5" style="563" bestFit="1" customWidth="1"/>
    <col min="12" max="12" width="16.25" style="563" customWidth="1"/>
    <col min="13" max="13" width="2.33203125" style="574" customWidth="1"/>
    <col min="14" max="14" width="15.08203125" style="627" customWidth="1"/>
    <col min="15" max="15" width="2.83203125" style="656" bestFit="1" customWidth="1"/>
    <col min="16" max="16" width="14.75" style="377" customWidth="1"/>
    <col min="17" max="17" width="2.83203125" style="657" customWidth="1"/>
    <col min="18" max="18" width="16" style="377" bestFit="1" customWidth="1"/>
    <col min="19" max="19" width="3.58203125" style="658" bestFit="1" customWidth="1"/>
    <col min="20" max="20" width="15.5" style="377" customWidth="1"/>
    <col min="21" max="21" width="1.5" style="121" customWidth="1"/>
    <col min="22" max="22" width="0.25" style="126" customWidth="1"/>
    <col min="23" max="23" width="16.5" style="127" customWidth="1"/>
    <col min="24" max="24" width="3.25" style="126" customWidth="1"/>
    <col min="25" max="25" width="14.08203125" style="126" customWidth="1"/>
    <col min="26" max="26" width="0.83203125" style="138" customWidth="1"/>
    <col min="27" max="27" width="14.58203125" style="126" bestFit="1" customWidth="1"/>
    <col min="28" max="28" width="4.58203125" style="126" bestFit="1" customWidth="1"/>
    <col min="29" max="29" width="3.25" style="126" customWidth="1"/>
    <col min="30" max="30" width="12.5" style="126" bestFit="1" customWidth="1"/>
    <col min="31" max="31" width="3.25" style="126" customWidth="1"/>
    <col min="32" max="32" width="18.08203125" style="126" customWidth="1"/>
    <col min="33" max="33" width="2.33203125" style="126" customWidth="1"/>
    <col min="34" max="105" width="17.58203125" style="126"/>
    <col min="106" max="16384" width="17.58203125" style="138"/>
  </cols>
  <sheetData>
    <row r="1" spans="1:105" s="121" customFormat="1" x14ac:dyDescent="0.3">
      <c r="A1" s="432"/>
      <c r="B1" s="458"/>
      <c r="C1" s="118"/>
      <c r="D1" s="118"/>
      <c r="E1" s="120"/>
      <c r="F1" s="118"/>
      <c r="I1" s="551" t="s">
        <v>91</v>
      </c>
      <c r="J1" s="575"/>
      <c r="K1" s="549"/>
      <c r="L1" s="551" t="s">
        <v>91</v>
      </c>
      <c r="M1" s="574"/>
      <c r="N1" s="575" t="s">
        <v>81</v>
      </c>
      <c r="O1" s="575"/>
      <c r="P1" s="576" t="s">
        <v>2</v>
      </c>
      <c r="Q1" s="577"/>
      <c r="R1" s="578" t="s">
        <v>83</v>
      </c>
      <c r="S1" s="575"/>
      <c r="T1" s="575" t="s">
        <v>86</v>
      </c>
      <c r="V1" s="126"/>
      <c r="W1" s="127"/>
      <c r="X1" s="126"/>
      <c r="Y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</row>
    <row r="2" spans="1:105" x14ac:dyDescent="0.3">
      <c r="A2" s="433"/>
      <c r="B2" s="413" t="s">
        <v>92</v>
      </c>
      <c r="C2" s="130"/>
      <c r="D2" s="130"/>
      <c r="E2" s="131"/>
      <c r="F2" s="130"/>
      <c r="G2" s="132"/>
      <c r="H2" s="133"/>
      <c r="I2" s="579" t="s">
        <v>6</v>
      </c>
      <c r="J2" s="659"/>
      <c r="K2" s="550" t="s">
        <v>80</v>
      </c>
      <c r="L2" s="579" t="s">
        <v>6</v>
      </c>
      <c r="N2" s="575" t="s">
        <v>3</v>
      </c>
      <c r="O2" s="580"/>
      <c r="P2" s="578" t="s">
        <v>93</v>
      </c>
      <c r="Q2" s="577"/>
      <c r="R2" s="581" t="s">
        <v>93</v>
      </c>
      <c r="S2" s="582"/>
      <c r="T2" s="575" t="s">
        <v>3</v>
      </c>
      <c r="AA2" s="139"/>
      <c r="AB2" s="139"/>
      <c r="AC2" s="139"/>
      <c r="AD2" s="139"/>
      <c r="AE2" s="139"/>
      <c r="AF2" s="139"/>
    </row>
    <row r="3" spans="1:105" ht="13.5" thickBot="1" x14ac:dyDescent="0.35">
      <c r="A3" s="431"/>
      <c r="B3" s="426" t="s">
        <v>62</v>
      </c>
      <c r="C3" s="132"/>
      <c r="D3" s="426" t="s">
        <v>303</v>
      </c>
      <c r="E3" s="140" t="s">
        <v>63</v>
      </c>
      <c r="F3" s="132"/>
      <c r="G3" s="96" t="s">
        <v>5</v>
      </c>
      <c r="H3" s="133"/>
      <c r="I3" s="381">
        <v>42004</v>
      </c>
      <c r="J3" s="674"/>
      <c r="K3" s="675" t="s">
        <v>18</v>
      </c>
      <c r="L3" s="381">
        <v>42094</v>
      </c>
      <c r="M3" s="676"/>
      <c r="N3" s="387">
        <f>L3</f>
        <v>42094</v>
      </c>
      <c r="O3" s="580"/>
      <c r="P3" s="583" t="s">
        <v>82</v>
      </c>
      <c r="Q3" s="577"/>
      <c r="R3" s="584" t="s">
        <v>82</v>
      </c>
      <c r="S3" s="582"/>
      <c r="T3" s="387">
        <f>L3</f>
        <v>42094</v>
      </c>
      <c r="AA3" s="139"/>
      <c r="AB3" s="139"/>
      <c r="AC3" s="139"/>
      <c r="AD3" s="139"/>
      <c r="AE3" s="139"/>
      <c r="AF3" s="139"/>
      <c r="AG3" s="139"/>
      <c r="AH3" s="139"/>
      <c r="AI3" s="139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</row>
    <row r="4" spans="1:105" s="145" customFormat="1" ht="12.65" customHeight="1" x14ac:dyDescent="0.3">
      <c r="A4" s="434"/>
      <c r="B4" s="408"/>
      <c r="E4" s="147"/>
      <c r="H4" s="100"/>
      <c r="I4" s="660" t="s">
        <v>94</v>
      </c>
      <c r="J4" s="551"/>
      <c r="K4" s="551" t="s">
        <v>20</v>
      </c>
      <c r="L4" s="551" t="s">
        <v>84</v>
      </c>
      <c r="M4" s="551"/>
      <c r="N4" s="585" t="s">
        <v>24</v>
      </c>
      <c r="O4" s="551"/>
      <c r="P4" s="585" t="s">
        <v>28</v>
      </c>
      <c r="Q4" s="586"/>
      <c r="R4" s="585" t="s">
        <v>85</v>
      </c>
      <c r="S4" s="551"/>
      <c r="T4" s="585" t="s">
        <v>78</v>
      </c>
      <c r="U4" s="100"/>
      <c r="V4" s="148"/>
      <c r="W4" s="148"/>
      <c r="X4" s="148"/>
      <c r="Y4" s="148"/>
      <c r="AA4" s="149"/>
      <c r="AB4" s="149"/>
      <c r="AC4" s="149"/>
      <c r="AD4" s="149"/>
      <c r="AE4" s="149"/>
      <c r="AF4" s="149"/>
      <c r="AG4" s="150"/>
      <c r="AH4" s="150"/>
      <c r="AI4" s="150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52" customFormat="1" ht="28.9" customHeight="1" x14ac:dyDescent="0.3">
      <c r="B5" s="407"/>
      <c r="D5" s="154">
        <v>22840021</v>
      </c>
      <c r="E5" s="154" t="s">
        <v>95</v>
      </c>
      <c r="G5" s="226" t="s">
        <v>96</v>
      </c>
      <c r="H5" s="155"/>
      <c r="I5" s="661">
        <v>200000.00000000003</v>
      </c>
      <c r="J5" s="662"/>
      <c r="K5" s="552">
        <v>-1319</v>
      </c>
      <c r="L5" s="587">
        <f>I5+K5</f>
        <v>198681.00000000003</v>
      </c>
      <c r="M5" s="588"/>
      <c r="N5" s="565">
        <v>0</v>
      </c>
      <c r="O5" s="589"/>
      <c r="P5" s="587">
        <f>L5</f>
        <v>198681.00000000003</v>
      </c>
      <c r="Q5" s="590"/>
      <c r="R5" s="591">
        <f>SUM(N5:Q5)</f>
        <v>198681.00000000003</v>
      </c>
      <c r="S5" s="592"/>
      <c r="T5" s="587">
        <v>0</v>
      </c>
      <c r="U5" s="162"/>
      <c r="V5" s="163"/>
      <c r="W5" s="163"/>
      <c r="X5" s="163"/>
      <c r="Y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</row>
    <row r="6" spans="1:105" s="164" customFormat="1" ht="13.15" customHeight="1" x14ac:dyDescent="0.3">
      <c r="A6" s="681" t="s">
        <v>310</v>
      </c>
      <c r="B6" s="408">
        <v>18230009</v>
      </c>
      <c r="E6" s="166" t="s">
        <v>97</v>
      </c>
      <c r="G6" s="167" t="s">
        <v>98</v>
      </c>
      <c r="H6" s="168"/>
      <c r="I6" s="567">
        <v>2140681.1100000003</v>
      </c>
      <c r="J6" s="663"/>
      <c r="K6" s="682">
        <v>1319</v>
      </c>
      <c r="L6" s="552">
        <f>I6+K6</f>
        <v>2142000.1100000003</v>
      </c>
      <c r="M6" s="593"/>
      <c r="N6" s="552">
        <f>L6</f>
        <v>2142000.1100000003</v>
      </c>
      <c r="O6" s="594"/>
      <c r="P6" s="565">
        <v>0</v>
      </c>
      <c r="Q6" s="586"/>
      <c r="R6" s="552">
        <f>SUM(N6:Q6)</f>
        <v>2142000.1100000003</v>
      </c>
      <c r="S6" s="595"/>
      <c r="T6" s="565">
        <v>0</v>
      </c>
      <c r="U6" s="173"/>
      <c r="V6" s="148"/>
      <c r="W6" s="148"/>
      <c r="X6" s="148"/>
      <c r="Y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</row>
    <row r="7" spans="1:105" s="164" customFormat="1" ht="13.5" customHeight="1" x14ac:dyDescent="0.3">
      <c r="A7" s="429"/>
      <c r="B7" s="408"/>
      <c r="C7" s="174"/>
      <c r="D7" s="174"/>
      <c r="E7" s="147"/>
      <c r="F7" s="174"/>
      <c r="G7" s="175" t="s">
        <v>99</v>
      </c>
      <c r="H7" s="176"/>
      <c r="I7" s="596">
        <f>SUM(I5:I6)</f>
        <v>2340681.1100000003</v>
      </c>
      <c r="J7" s="664"/>
      <c r="K7" s="553">
        <f>SUM(K5:K6)</f>
        <v>0</v>
      </c>
      <c r="L7" s="596">
        <f>SUM(L5:L6)</f>
        <v>2340681.1100000003</v>
      </c>
      <c r="M7" s="597"/>
      <c r="N7" s="596">
        <f>SUM(N5:N6)</f>
        <v>2142000.1100000003</v>
      </c>
      <c r="O7" s="598"/>
      <c r="P7" s="596">
        <f>SUM(P5:P6)</f>
        <v>198681.00000000003</v>
      </c>
      <c r="Q7" s="599"/>
      <c r="R7" s="596">
        <f>SUM(R5:R6)</f>
        <v>2340681.1100000003</v>
      </c>
      <c r="S7" s="598"/>
      <c r="T7" s="600">
        <f>SUM(T5:T6)</f>
        <v>0</v>
      </c>
      <c r="U7" s="173"/>
      <c r="V7" s="148"/>
      <c r="W7" s="183"/>
      <c r="X7" s="148"/>
      <c r="Y7" s="183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</row>
    <row r="8" spans="1:105" s="184" customFormat="1" ht="9.75" customHeight="1" x14ac:dyDescent="0.3">
      <c r="A8" s="430"/>
      <c r="B8" s="408"/>
      <c r="D8" s="154"/>
      <c r="E8" s="185"/>
      <c r="H8" s="186"/>
      <c r="I8" s="554"/>
      <c r="J8" s="601"/>
      <c r="K8" s="554"/>
      <c r="L8" s="554"/>
      <c r="M8" s="601"/>
      <c r="N8" s="602"/>
      <c r="O8" s="601"/>
      <c r="P8" s="603"/>
      <c r="Q8" s="586"/>
      <c r="R8" s="603"/>
      <c r="S8" s="551"/>
      <c r="T8" s="603"/>
      <c r="U8" s="100"/>
      <c r="V8" s="148"/>
      <c r="W8" s="148"/>
      <c r="X8" s="148"/>
      <c r="Y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</row>
    <row r="9" spans="1:105" s="164" customFormat="1" ht="15" customHeight="1" x14ac:dyDescent="0.3">
      <c r="B9" s="408"/>
      <c r="C9" s="174"/>
      <c r="D9" s="154">
        <v>22840221</v>
      </c>
      <c r="E9" s="185" t="s">
        <v>100</v>
      </c>
      <c r="F9" s="174"/>
      <c r="G9" s="190" t="s">
        <v>101</v>
      </c>
      <c r="H9" s="176"/>
      <c r="I9" s="567">
        <v>200000</v>
      </c>
      <c r="J9" s="665"/>
      <c r="K9" s="552">
        <v>-610.63</v>
      </c>
      <c r="L9" s="552">
        <f>SUM(I9:K9)</f>
        <v>199389.37</v>
      </c>
      <c r="M9" s="604"/>
      <c r="N9" s="587">
        <v>0</v>
      </c>
      <c r="O9" s="594"/>
      <c r="P9" s="552">
        <f>L9</f>
        <v>199389.37</v>
      </c>
      <c r="Q9" s="590"/>
      <c r="R9" s="605">
        <f>SUM(N9:P9)</f>
        <v>199389.37</v>
      </c>
      <c r="S9" s="595"/>
      <c r="T9" s="552">
        <v>0</v>
      </c>
      <c r="U9" s="173"/>
      <c r="V9" s="148"/>
      <c r="W9" s="148"/>
      <c r="X9" s="148"/>
      <c r="Y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</row>
    <row r="10" spans="1:105" s="164" customFormat="1" ht="13.5" customHeight="1" x14ac:dyDescent="0.3">
      <c r="A10" s="462" t="s">
        <v>311</v>
      </c>
      <c r="B10" s="408">
        <v>18230021</v>
      </c>
      <c r="C10" s="174"/>
      <c r="D10" s="174"/>
      <c r="E10" s="166" t="s">
        <v>102</v>
      </c>
      <c r="F10" s="174"/>
      <c r="G10" s="167" t="s">
        <v>103</v>
      </c>
      <c r="H10" s="176"/>
      <c r="I10" s="567">
        <v>93740.17</v>
      </c>
      <c r="J10" s="606"/>
      <c r="K10" s="682">
        <v>610.63</v>
      </c>
      <c r="L10" s="552">
        <f>I10+K10</f>
        <v>94350.8</v>
      </c>
      <c r="M10" s="606"/>
      <c r="N10" s="552">
        <f>L10</f>
        <v>94350.8</v>
      </c>
      <c r="O10" s="607"/>
      <c r="P10" s="565">
        <v>0</v>
      </c>
      <c r="Q10" s="683"/>
      <c r="R10" s="552">
        <f>SUM(N10:Q10)</f>
        <v>94350.8</v>
      </c>
      <c r="S10" s="684"/>
      <c r="T10" s="565">
        <v>0</v>
      </c>
      <c r="U10" s="173"/>
      <c r="V10" s="148"/>
      <c r="W10" s="148"/>
      <c r="X10" s="148"/>
      <c r="Y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</row>
    <row r="11" spans="1:105" s="164" customFormat="1" ht="13.5" customHeight="1" x14ac:dyDescent="0.3">
      <c r="A11" s="429"/>
      <c r="B11" s="408"/>
      <c r="C11" s="174"/>
      <c r="D11" s="174"/>
      <c r="E11" s="147"/>
      <c r="F11" s="174"/>
      <c r="G11" s="175" t="s">
        <v>104</v>
      </c>
      <c r="H11" s="195"/>
      <c r="I11" s="596">
        <f>SUM(I9:I10)</f>
        <v>293740.17</v>
      </c>
      <c r="J11" s="664"/>
      <c r="K11" s="553">
        <f>SUM(K9:K10)</f>
        <v>0</v>
      </c>
      <c r="L11" s="596">
        <f>SUM(L9:L10)</f>
        <v>293740.17</v>
      </c>
      <c r="M11" s="597"/>
      <c r="N11" s="596">
        <f>SUM(N9:N10)</f>
        <v>94350.8</v>
      </c>
      <c r="O11" s="598"/>
      <c r="P11" s="596">
        <f>SUM(P9:P10)</f>
        <v>199389.37</v>
      </c>
      <c r="Q11" s="608"/>
      <c r="R11" s="596">
        <f>SUM(R9:R10)</f>
        <v>293740.17</v>
      </c>
      <c r="S11" s="598"/>
      <c r="T11" s="600">
        <f>SUM(T9:T10)</f>
        <v>0</v>
      </c>
      <c r="U11" s="173"/>
      <c r="V11" s="148"/>
      <c r="W11" s="148"/>
      <c r="X11" s="148"/>
      <c r="Y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</row>
    <row r="12" spans="1:105" s="214" customFormat="1" ht="13.5" customHeight="1" x14ac:dyDescent="0.3">
      <c r="A12" s="447" t="s">
        <v>305</v>
      </c>
      <c r="B12" s="459"/>
      <c r="C12" s="447"/>
      <c r="D12" s="447"/>
      <c r="E12" s="447"/>
      <c r="F12" s="447"/>
      <c r="G12" s="447"/>
      <c r="H12" s="216"/>
      <c r="I12" s="555"/>
      <c r="J12" s="555"/>
      <c r="K12" s="555"/>
      <c r="L12" s="555"/>
      <c r="M12" s="555"/>
      <c r="N12" s="555"/>
      <c r="O12" s="555"/>
      <c r="P12" s="555"/>
      <c r="Q12" s="609"/>
      <c r="R12" s="555"/>
      <c r="S12" s="555"/>
      <c r="T12" s="555"/>
      <c r="U12" s="221"/>
      <c r="V12" s="223"/>
      <c r="W12" s="224"/>
      <c r="X12" s="223"/>
      <c r="Y12" s="222"/>
      <c r="AA12" s="222"/>
      <c r="AB12" s="222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</row>
    <row r="13" spans="1:105" s="164" customFormat="1" ht="18.75" customHeight="1" x14ac:dyDescent="0.3">
      <c r="A13" s="463" t="s">
        <v>323</v>
      </c>
      <c r="B13" s="409"/>
      <c r="D13" s="154">
        <v>22840051</v>
      </c>
      <c r="E13" s="185" t="s">
        <v>105</v>
      </c>
      <c r="G13" s="167" t="s">
        <v>106</v>
      </c>
      <c r="H13" s="195"/>
      <c r="I13" s="596">
        <v>30000</v>
      </c>
      <c r="J13" s="664"/>
      <c r="K13" s="553">
        <v>0</v>
      </c>
      <c r="L13" s="596">
        <f>SUM(I13:K13)</f>
        <v>30000</v>
      </c>
      <c r="M13" s="597"/>
      <c r="N13" s="596">
        <v>0</v>
      </c>
      <c r="O13" s="598"/>
      <c r="P13" s="596">
        <f>L13</f>
        <v>30000</v>
      </c>
      <c r="Q13" s="599"/>
      <c r="R13" s="596">
        <f>SUM(N13:Q13)</f>
        <v>30000</v>
      </c>
      <c r="S13" s="598"/>
      <c r="T13" s="600">
        <v>0</v>
      </c>
      <c r="U13" s="173"/>
      <c r="V13" s="148"/>
      <c r="W13" s="148"/>
      <c r="X13" s="148"/>
      <c r="Y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</row>
    <row r="14" spans="1:105" s="184" customFormat="1" ht="9.75" customHeight="1" x14ac:dyDescent="0.3">
      <c r="A14" s="463"/>
      <c r="B14" s="408"/>
      <c r="E14" s="185"/>
      <c r="H14" s="186"/>
      <c r="I14" s="554"/>
      <c r="J14" s="601"/>
      <c r="K14" s="554"/>
      <c r="L14" s="554"/>
      <c r="M14" s="610"/>
      <c r="N14" s="602"/>
      <c r="O14" s="601"/>
      <c r="P14" s="603"/>
      <c r="Q14" s="586"/>
      <c r="R14" s="603"/>
      <c r="S14" s="551"/>
      <c r="T14" s="603"/>
      <c r="U14" s="100"/>
      <c r="V14" s="148"/>
      <c r="W14" s="148"/>
      <c r="X14" s="148"/>
      <c r="Y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</row>
    <row r="15" spans="1:105" ht="18" customHeight="1" x14ac:dyDescent="0.3">
      <c r="A15" s="463" t="s">
        <v>323</v>
      </c>
      <c r="C15" s="132"/>
      <c r="D15" s="154">
        <v>22840111</v>
      </c>
      <c r="E15" s="185" t="s">
        <v>113</v>
      </c>
      <c r="F15" s="174"/>
      <c r="G15" s="167" t="s">
        <v>114</v>
      </c>
      <c r="H15" s="176"/>
      <c r="I15" s="661">
        <v>20000</v>
      </c>
      <c r="J15" s="663"/>
      <c r="K15" s="552">
        <v>0</v>
      </c>
      <c r="L15" s="587">
        <f>I15+K15</f>
        <v>20000</v>
      </c>
      <c r="M15" s="593"/>
      <c r="N15" s="587">
        <v>0</v>
      </c>
      <c r="O15" s="594"/>
      <c r="P15" s="587">
        <f>L15</f>
        <v>20000</v>
      </c>
      <c r="Q15" s="586"/>
      <c r="R15" s="591">
        <f>SUM(N15:Q15)</f>
        <v>20000</v>
      </c>
      <c r="S15" s="594"/>
      <c r="T15" s="611">
        <v>0</v>
      </c>
      <c r="U15" s="288"/>
    </row>
    <row r="16" spans="1:105" ht="13.5" customHeight="1" x14ac:dyDescent="0.3">
      <c r="A16" s="433"/>
      <c r="C16" s="132"/>
      <c r="D16" s="132"/>
      <c r="E16" s="185"/>
      <c r="F16" s="174"/>
      <c r="G16" s="167" t="s">
        <v>189</v>
      </c>
      <c r="H16" s="176"/>
      <c r="I16" s="612">
        <v>0</v>
      </c>
      <c r="J16" s="665"/>
      <c r="K16" s="556">
        <v>0</v>
      </c>
      <c r="L16" s="612">
        <f>I16+K16</f>
        <v>0</v>
      </c>
      <c r="M16" s="610"/>
      <c r="N16" s="556">
        <f>L16</f>
        <v>0</v>
      </c>
      <c r="O16" s="606"/>
      <c r="P16" s="565">
        <v>0</v>
      </c>
      <c r="Q16" s="613"/>
      <c r="R16" s="552">
        <f>SUM(N16:Q16)</f>
        <v>0</v>
      </c>
      <c r="S16" s="614"/>
      <c r="T16" s="565">
        <v>0</v>
      </c>
      <c r="U16" s="206"/>
    </row>
    <row r="17" spans="1:105" ht="13.5" customHeight="1" x14ac:dyDescent="0.3">
      <c r="A17" s="433"/>
      <c r="C17" s="132"/>
      <c r="D17" s="132"/>
      <c r="E17" s="185"/>
      <c r="F17" s="174"/>
      <c r="G17" s="175" t="s">
        <v>190</v>
      </c>
      <c r="H17" s="176"/>
      <c r="I17" s="553">
        <f>SUM(I15:I16)</f>
        <v>20000</v>
      </c>
      <c r="J17" s="553">
        <f t="shared" ref="J17" si="0">SUM(J15:J16)</f>
        <v>0</v>
      </c>
      <c r="K17" s="553">
        <f>SUM(K15:K16)</f>
        <v>0</v>
      </c>
      <c r="L17" s="596">
        <f>SUM(L15:L16)</f>
        <v>20000</v>
      </c>
      <c r="M17" s="597"/>
      <c r="N17" s="596">
        <f>SUM(N15:N16)</f>
        <v>0</v>
      </c>
      <c r="O17" s="598"/>
      <c r="P17" s="596">
        <f>SUM(P15:P16)</f>
        <v>20000</v>
      </c>
      <c r="Q17" s="599"/>
      <c r="R17" s="596">
        <f>SUM(R15:R16)</f>
        <v>20000</v>
      </c>
      <c r="S17" s="598"/>
      <c r="T17" s="600">
        <f>SUM(T15:T16)</f>
        <v>0</v>
      </c>
      <c r="U17" s="206"/>
    </row>
    <row r="18" spans="1:105" s="214" customFormat="1" ht="13.5" customHeight="1" x14ac:dyDescent="0.3">
      <c r="A18" s="460"/>
      <c r="B18" s="689" t="s">
        <v>324</v>
      </c>
      <c r="C18" s="689"/>
      <c r="D18" s="689"/>
      <c r="E18" s="689"/>
      <c r="F18" s="689"/>
      <c r="G18" s="447"/>
      <c r="H18" s="216"/>
      <c r="I18" s="557"/>
      <c r="J18" s="557"/>
      <c r="K18" s="557"/>
      <c r="L18" s="557"/>
      <c r="M18" s="557"/>
      <c r="N18" s="557"/>
      <c r="O18" s="557"/>
      <c r="P18" s="557"/>
      <c r="Q18" s="615"/>
      <c r="R18" s="557"/>
      <c r="S18" s="557"/>
      <c r="T18" s="557"/>
      <c r="U18" s="221"/>
      <c r="V18" s="223"/>
      <c r="W18" s="224"/>
      <c r="X18" s="223"/>
      <c r="Y18" s="222"/>
      <c r="AA18" s="222"/>
      <c r="AB18" s="222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</row>
    <row r="19" spans="1:105" s="164" customFormat="1" ht="18" customHeight="1" x14ac:dyDescent="0.3">
      <c r="A19" s="461"/>
      <c r="B19" s="408"/>
      <c r="D19" s="154">
        <v>22840061</v>
      </c>
      <c r="E19" s="166" t="s">
        <v>107</v>
      </c>
      <c r="G19" s="190" t="s">
        <v>108</v>
      </c>
      <c r="H19" s="176"/>
      <c r="I19" s="661">
        <v>0</v>
      </c>
      <c r="J19" s="665"/>
      <c r="K19" s="552">
        <v>0</v>
      </c>
      <c r="L19" s="587">
        <f>SUM(I19:K19)</f>
        <v>0</v>
      </c>
      <c r="M19" s="610"/>
      <c r="N19" s="565">
        <v>0</v>
      </c>
      <c r="O19" s="594"/>
      <c r="P19" s="587">
        <f>L19</f>
        <v>0</v>
      </c>
      <c r="Q19" s="586"/>
      <c r="R19" s="591">
        <f>SUM(N19:Q19)</f>
        <v>0</v>
      </c>
      <c r="S19" s="595"/>
      <c r="T19" s="565">
        <v>0</v>
      </c>
      <c r="U19" s="173"/>
      <c r="V19" s="148"/>
      <c r="W19" s="148"/>
      <c r="X19" s="148"/>
      <c r="Y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</row>
    <row r="20" spans="1:105" s="164" customFormat="1" ht="13.5" customHeight="1" x14ac:dyDescent="0.3">
      <c r="A20" s="463" t="s">
        <v>323</v>
      </c>
      <c r="B20" s="409" t="s">
        <v>109</v>
      </c>
      <c r="E20" s="185" t="s">
        <v>110</v>
      </c>
      <c r="G20" s="148" t="s">
        <v>111</v>
      </c>
      <c r="H20" s="195"/>
      <c r="I20" s="666">
        <v>198092.16</v>
      </c>
      <c r="J20" s="601"/>
      <c r="K20" s="558">
        <v>0</v>
      </c>
      <c r="L20" s="612">
        <f>I20+K20</f>
        <v>198092.16</v>
      </c>
      <c r="M20" s="610"/>
      <c r="N20" s="556">
        <f>L20</f>
        <v>198092.16</v>
      </c>
      <c r="O20" s="606"/>
      <c r="P20" s="565">
        <v>0</v>
      </c>
      <c r="Q20" s="613"/>
      <c r="R20" s="552">
        <f>SUM(N20:Q20)</f>
        <v>198092.16</v>
      </c>
      <c r="S20" s="614"/>
      <c r="T20" s="565">
        <v>0</v>
      </c>
      <c r="U20" s="204"/>
      <c r="V20" s="148"/>
      <c r="W20" s="148"/>
      <c r="X20" s="148"/>
      <c r="Y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</row>
    <row r="21" spans="1:105" ht="13.5" customHeight="1" x14ac:dyDescent="0.3">
      <c r="A21" s="431"/>
      <c r="C21" s="132"/>
      <c r="D21" s="132"/>
      <c r="E21" s="147"/>
      <c r="F21" s="174"/>
      <c r="G21" s="175" t="s">
        <v>112</v>
      </c>
      <c r="H21" s="176"/>
      <c r="I21" s="596">
        <f>SUM(I19:I20)</f>
        <v>198092.16</v>
      </c>
      <c r="J21" s="664"/>
      <c r="K21" s="553">
        <f>SUM(K19:K20)</f>
        <v>0</v>
      </c>
      <c r="L21" s="596">
        <f>SUM(L19:L20)</f>
        <v>198092.16</v>
      </c>
      <c r="M21" s="597"/>
      <c r="N21" s="596">
        <f>SUM(N19:N20)</f>
        <v>198092.16</v>
      </c>
      <c r="O21" s="598"/>
      <c r="P21" s="596">
        <f>SUM(P19:P20)</f>
        <v>0</v>
      </c>
      <c r="Q21" s="599"/>
      <c r="R21" s="596">
        <f>SUM(R19:R20)</f>
        <v>198092.16</v>
      </c>
      <c r="S21" s="598"/>
      <c r="T21" s="600">
        <f>SUM(T19:T20)</f>
        <v>0</v>
      </c>
      <c r="U21" s="206"/>
    </row>
    <row r="22" spans="1:105" s="184" customFormat="1" ht="9.75" customHeight="1" x14ac:dyDescent="0.3">
      <c r="A22" s="430"/>
      <c r="B22" s="408"/>
      <c r="E22" s="185"/>
      <c r="H22" s="186"/>
      <c r="I22" s="661"/>
      <c r="J22" s="601"/>
      <c r="K22" s="554"/>
      <c r="L22" s="554"/>
      <c r="M22" s="616"/>
      <c r="N22" s="602"/>
      <c r="O22" s="601"/>
      <c r="P22" s="603"/>
      <c r="Q22" s="586"/>
      <c r="R22" s="603"/>
      <c r="S22" s="551"/>
      <c r="T22" s="603"/>
      <c r="U22" s="100"/>
      <c r="V22" s="148"/>
      <c r="W22" s="148"/>
      <c r="X22" s="148"/>
      <c r="Y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</row>
    <row r="23" spans="1:105" s="214" customFormat="1" ht="19.5" customHeight="1" x14ac:dyDescent="0.35">
      <c r="A23" s="436"/>
      <c r="B23" s="409"/>
      <c r="D23" s="154"/>
      <c r="E23" s="215"/>
      <c r="G23" s="457" t="s">
        <v>115</v>
      </c>
      <c r="H23" s="216"/>
      <c r="I23" s="559">
        <f>I7+I11+I13+I21+I17</f>
        <v>2882513.4400000004</v>
      </c>
      <c r="J23" s="559"/>
      <c r="K23" s="559">
        <f>K7+K11+K13+K21+K17</f>
        <v>0</v>
      </c>
      <c r="L23" s="559">
        <f>L7+L11+L13+L21+L17</f>
        <v>2882513.4400000004</v>
      </c>
      <c r="M23" s="617"/>
      <c r="N23" s="559">
        <f>N7+N11+N13+N21+N17</f>
        <v>2434443.0700000003</v>
      </c>
      <c r="O23" s="618"/>
      <c r="P23" s="553">
        <f>P7+P11+P13+P21+P17</f>
        <v>448070.37</v>
      </c>
      <c r="Q23" s="599"/>
      <c r="R23" s="559">
        <f>R7+R11+R13+R21+R17</f>
        <v>2882513.4400000004</v>
      </c>
      <c r="S23" s="618"/>
      <c r="T23" s="559">
        <f>T7+T11+T13+T21+T17</f>
        <v>0</v>
      </c>
      <c r="U23" s="221"/>
      <c r="V23" s="223"/>
      <c r="W23" s="224"/>
      <c r="X23" s="223"/>
      <c r="Y23" s="222"/>
      <c r="AA23" s="222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</row>
    <row r="24" spans="1:105" s="184" customFormat="1" ht="9.75" customHeight="1" x14ac:dyDescent="0.3">
      <c r="A24" s="430"/>
      <c r="B24" s="408"/>
      <c r="D24" s="154"/>
      <c r="E24" s="185"/>
      <c r="H24" s="186"/>
      <c r="I24" s="554"/>
      <c r="J24" s="601"/>
      <c r="K24" s="554"/>
      <c r="L24" s="554"/>
      <c r="M24" s="601"/>
      <c r="N24" s="602"/>
      <c r="O24" s="601"/>
      <c r="P24" s="603"/>
      <c r="Q24" s="586"/>
      <c r="R24" s="603"/>
      <c r="S24" s="551"/>
      <c r="T24" s="603"/>
      <c r="U24" s="100"/>
      <c r="V24" s="148"/>
      <c r="W24" s="148"/>
      <c r="X24" s="148"/>
      <c r="Y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</row>
    <row r="25" spans="1:105" s="164" customFormat="1" ht="13.5" customHeight="1" x14ac:dyDescent="0.3">
      <c r="B25" s="409"/>
      <c r="D25" s="154">
        <v>22840161</v>
      </c>
      <c r="E25" s="185" t="s">
        <v>116</v>
      </c>
      <c r="G25" s="190" t="s">
        <v>117</v>
      </c>
      <c r="H25" s="195"/>
      <c r="I25" s="667">
        <v>350000.19999999995</v>
      </c>
      <c r="J25" s="601"/>
      <c r="K25" s="552">
        <v>-2393.5</v>
      </c>
      <c r="L25" s="556">
        <f>SUM(I25:K25)</f>
        <v>347606.69999999995</v>
      </c>
      <c r="M25" s="607"/>
      <c r="N25" s="565">
        <v>0</v>
      </c>
      <c r="O25" s="606"/>
      <c r="P25" s="587">
        <f>L25</f>
        <v>347606.69999999995</v>
      </c>
      <c r="Q25" s="619"/>
      <c r="R25" s="591">
        <f>SUM(N25:Q25)</f>
        <v>347606.69999999995</v>
      </c>
      <c r="S25" s="614"/>
      <c r="T25" s="565">
        <v>0</v>
      </c>
      <c r="U25" s="173"/>
      <c r="V25" s="148"/>
      <c r="W25" s="148"/>
      <c r="X25" s="148"/>
      <c r="Y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</row>
    <row r="26" spans="1:105" s="164" customFormat="1" ht="13.5" customHeight="1" x14ac:dyDescent="0.3">
      <c r="A26" s="462" t="s">
        <v>312</v>
      </c>
      <c r="B26" s="410" t="s">
        <v>118</v>
      </c>
      <c r="D26" s="154"/>
      <c r="E26" s="185" t="s">
        <v>119</v>
      </c>
      <c r="G26" s="190" t="s">
        <v>120</v>
      </c>
      <c r="H26" s="195"/>
      <c r="I26" s="667">
        <v>402104.13</v>
      </c>
      <c r="J26" s="601"/>
      <c r="K26" s="560">
        <v>2393.5</v>
      </c>
      <c r="L26" s="556">
        <f>SUM(I26:K26)</f>
        <v>404497.63</v>
      </c>
      <c r="M26" s="607"/>
      <c r="N26" s="587">
        <f>L26</f>
        <v>404497.63</v>
      </c>
      <c r="O26" s="606"/>
      <c r="P26" s="565">
        <v>0</v>
      </c>
      <c r="Q26" s="613"/>
      <c r="R26" s="587">
        <f>SUM(N26:Q26)</f>
        <v>404497.63</v>
      </c>
      <c r="S26" s="614"/>
      <c r="T26" s="565">
        <v>0</v>
      </c>
      <c r="U26" s="173"/>
      <c r="V26" s="148"/>
      <c r="W26" s="148"/>
      <c r="X26" s="148"/>
      <c r="Y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</row>
    <row r="27" spans="1:105" s="164" customFormat="1" ht="13.5" customHeight="1" x14ac:dyDescent="0.3">
      <c r="A27" s="428"/>
      <c r="B27" s="409"/>
      <c r="D27" s="154"/>
      <c r="E27" s="185"/>
      <c r="G27" s="175" t="s">
        <v>121</v>
      </c>
      <c r="H27" s="195"/>
      <c r="I27" s="596">
        <f>SUM(I25:I26)</f>
        <v>752104.33</v>
      </c>
      <c r="J27" s="664"/>
      <c r="K27" s="553">
        <f>SUM(K25:K26)</f>
        <v>0</v>
      </c>
      <c r="L27" s="596">
        <f>SUM(L25:L26)</f>
        <v>752104.33</v>
      </c>
      <c r="M27" s="597"/>
      <c r="N27" s="596">
        <f>SUM(N25:N26)</f>
        <v>404497.63</v>
      </c>
      <c r="O27" s="598"/>
      <c r="P27" s="596">
        <f>SUM(P25:P26)</f>
        <v>347606.69999999995</v>
      </c>
      <c r="Q27" s="608"/>
      <c r="R27" s="596">
        <f>SUM(R25:R26)</f>
        <v>752104.33</v>
      </c>
      <c r="S27" s="598"/>
      <c r="T27" s="600">
        <f>SUM(T25:T26)</f>
        <v>0</v>
      </c>
      <c r="U27" s="173"/>
      <c r="V27" s="148"/>
      <c r="W27" s="148"/>
      <c r="X27" s="148"/>
      <c r="Y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</row>
    <row r="28" spans="1:105" s="184" customFormat="1" ht="9.75" customHeight="1" x14ac:dyDescent="0.3">
      <c r="A28" s="430"/>
      <c r="B28" s="408"/>
      <c r="D28" s="154"/>
      <c r="E28" s="185"/>
      <c r="H28" s="186"/>
      <c r="I28" s="554"/>
      <c r="J28" s="601"/>
      <c r="K28" s="554"/>
      <c r="L28" s="554"/>
      <c r="M28" s="601"/>
      <c r="N28" s="602"/>
      <c r="O28" s="601"/>
      <c r="P28" s="603"/>
      <c r="Q28" s="586"/>
      <c r="R28" s="603"/>
      <c r="S28" s="551"/>
      <c r="T28" s="603"/>
      <c r="U28" s="100"/>
      <c r="V28" s="148"/>
      <c r="W28" s="148"/>
      <c r="X28" s="148"/>
      <c r="Y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</row>
    <row r="29" spans="1:105" s="164" customFormat="1" ht="13.5" customHeight="1" x14ac:dyDescent="0.3">
      <c r="B29" s="409"/>
      <c r="D29" s="154" t="s">
        <v>196</v>
      </c>
      <c r="E29" s="185" t="s">
        <v>122</v>
      </c>
      <c r="G29" s="167" t="s">
        <v>123</v>
      </c>
      <c r="H29" s="195"/>
      <c r="I29" s="667">
        <v>50000</v>
      </c>
      <c r="J29" s="601"/>
      <c r="K29" s="552">
        <v>0</v>
      </c>
      <c r="L29" s="556">
        <f>SUM(I29:K29)</f>
        <v>50000</v>
      </c>
      <c r="M29" s="607"/>
      <c r="N29" s="565">
        <v>0</v>
      </c>
      <c r="O29" s="606"/>
      <c r="P29" s="587">
        <f>L29</f>
        <v>50000</v>
      </c>
      <c r="Q29" s="619"/>
      <c r="R29" s="591">
        <f>SUM(N29:Q29)</f>
        <v>50000</v>
      </c>
      <c r="S29" s="614"/>
      <c r="T29" s="565">
        <v>0</v>
      </c>
      <c r="U29" s="173"/>
      <c r="V29" s="148"/>
      <c r="W29" s="148"/>
      <c r="X29" s="148"/>
      <c r="Y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</row>
    <row r="30" spans="1:105" s="164" customFormat="1" ht="13.5" customHeight="1" x14ac:dyDescent="0.3">
      <c r="A30" s="462" t="s">
        <v>296</v>
      </c>
      <c r="B30" s="409" t="s">
        <v>124</v>
      </c>
      <c r="D30" s="154"/>
      <c r="E30" s="185" t="s">
        <v>125</v>
      </c>
      <c r="G30" s="190" t="s">
        <v>126</v>
      </c>
      <c r="H30" s="195"/>
      <c r="I30" s="667">
        <v>2254508.17</v>
      </c>
      <c r="J30" s="601"/>
      <c r="K30" s="560">
        <v>0</v>
      </c>
      <c r="L30" s="556">
        <f>SUM(I30:K30)</f>
        <v>2254508.17</v>
      </c>
      <c r="M30" s="607"/>
      <c r="N30" s="587">
        <f>L30</f>
        <v>2254508.17</v>
      </c>
      <c r="O30" s="606"/>
      <c r="P30" s="565">
        <v>0</v>
      </c>
      <c r="Q30" s="613"/>
      <c r="R30" s="587">
        <f>SUM(N30:Q30)</f>
        <v>2254508.17</v>
      </c>
      <c r="S30" s="614"/>
      <c r="T30" s="565">
        <v>0</v>
      </c>
      <c r="U30" s="173"/>
      <c r="V30" s="148"/>
      <c r="W30" s="148"/>
      <c r="X30" s="148"/>
      <c r="Y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</row>
    <row r="31" spans="1:105" s="164" customFormat="1" ht="13.5" customHeight="1" x14ac:dyDescent="0.3">
      <c r="A31" s="428"/>
      <c r="B31" s="409"/>
      <c r="D31" s="154"/>
      <c r="E31" s="185"/>
      <c r="G31" s="175" t="s">
        <v>127</v>
      </c>
      <c r="H31" s="195"/>
      <c r="I31" s="596">
        <f>SUM(I29:I30)</f>
        <v>2304508.17</v>
      </c>
      <c r="J31" s="664"/>
      <c r="K31" s="553">
        <f>SUM(K29:K30)</f>
        <v>0</v>
      </c>
      <c r="L31" s="596">
        <f>SUM(L29:L30)</f>
        <v>2304508.17</v>
      </c>
      <c r="M31" s="597"/>
      <c r="N31" s="596">
        <f>SUM(N29:N30)</f>
        <v>2254508.17</v>
      </c>
      <c r="O31" s="598"/>
      <c r="P31" s="596">
        <f>SUM(P29:P30)</f>
        <v>50000</v>
      </c>
      <c r="Q31" s="599"/>
      <c r="R31" s="596">
        <f>SUM(R29:R30)</f>
        <v>2304508.17</v>
      </c>
      <c r="S31" s="598"/>
      <c r="T31" s="600">
        <f>SUM(T29:T30)</f>
        <v>0</v>
      </c>
      <c r="U31" s="173"/>
      <c r="V31" s="148"/>
      <c r="W31" s="148"/>
      <c r="X31" s="148"/>
      <c r="Y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</row>
    <row r="32" spans="1:105" s="184" customFormat="1" ht="10.5" customHeight="1" x14ac:dyDescent="0.3">
      <c r="A32" s="430"/>
      <c r="B32" s="408"/>
      <c r="D32" s="154"/>
      <c r="E32" s="185"/>
      <c r="H32" s="186"/>
      <c r="I32" s="554"/>
      <c r="J32" s="601"/>
      <c r="K32" s="554"/>
      <c r="L32" s="554"/>
      <c r="M32" s="601"/>
      <c r="N32" s="602"/>
      <c r="O32" s="601"/>
      <c r="P32" s="603"/>
      <c r="Q32" s="586"/>
      <c r="R32" s="603"/>
      <c r="S32" s="551"/>
      <c r="T32" s="603"/>
      <c r="U32" s="100"/>
      <c r="V32" s="148"/>
      <c r="W32" s="148"/>
      <c r="X32" s="148"/>
      <c r="Y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</row>
    <row r="33" spans="1:105" s="152" customFormat="1" ht="29.25" customHeight="1" x14ac:dyDescent="0.3">
      <c r="B33" s="411"/>
      <c r="D33" s="154" t="s">
        <v>197</v>
      </c>
      <c r="E33" s="225" t="s">
        <v>128</v>
      </c>
      <c r="G33" s="226" t="s">
        <v>185</v>
      </c>
      <c r="H33" s="227"/>
      <c r="I33" s="661">
        <v>2925000</v>
      </c>
      <c r="J33" s="668"/>
      <c r="K33" s="561">
        <f>-58077.27+12027.1</f>
        <v>-46050.17</v>
      </c>
      <c r="L33" s="587">
        <f>SUM(I33:K33)</f>
        <v>2878949.83</v>
      </c>
      <c r="M33" s="620"/>
      <c r="N33" s="587">
        <v>0</v>
      </c>
      <c r="O33" s="621"/>
      <c r="P33" s="587">
        <f>L33</f>
        <v>2878949.83</v>
      </c>
      <c r="Q33" s="622"/>
      <c r="R33" s="591">
        <f>SUM(N33:Q33)</f>
        <v>2878949.83</v>
      </c>
      <c r="S33" s="623"/>
      <c r="T33" s="587">
        <v>0</v>
      </c>
      <c r="U33" s="162"/>
      <c r="V33" s="163"/>
      <c r="X33" s="163"/>
      <c r="Y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</row>
    <row r="34" spans="1:105" s="164" customFormat="1" ht="13.5" customHeight="1" x14ac:dyDescent="0.3">
      <c r="A34" s="681" t="s">
        <v>313</v>
      </c>
      <c r="B34" s="410" t="s">
        <v>129</v>
      </c>
      <c r="D34" s="154"/>
      <c r="E34" s="185" t="s">
        <v>130</v>
      </c>
      <c r="G34" s="190" t="s">
        <v>186</v>
      </c>
      <c r="H34" s="195"/>
      <c r="I34" s="667">
        <v>2105022.39</v>
      </c>
      <c r="J34" s="601"/>
      <c r="K34" s="560">
        <f>73988.67-15911.4-12027.1</f>
        <v>46050.17</v>
      </c>
      <c r="L34" s="556">
        <f>SUM(I34:K34)</f>
        <v>2151072.56</v>
      </c>
      <c r="M34" s="607"/>
      <c r="N34" s="587">
        <f>L34</f>
        <v>2151072.56</v>
      </c>
      <c r="O34" s="606"/>
      <c r="P34" s="565">
        <v>0</v>
      </c>
      <c r="Q34" s="613"/>
      <c r="R34" s="587">
        <f>SUM(N34:Q34)</f>
        <v>2151072.56</v>
      </c>
      <c r="S34" s="614"/>
      <c r="T34" s="565"/>
      <c r="U34" s="173"/>
      <c r="V34" s="148"/>
      <c r="X34" s="148"/>
      <c r="Y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</row>
    <row r="35" spans="1:105" s="164" customFormat="1" ht="13.5" customHeight="1" x14ac:dyDescent="0.3">
      <c r="A35" s="428"/>
      <c r="B35" s="409"/>
      <c r="D35" s="154"/>
      <c r="E35" s="185"/>
      <c r="G35" s="175" t="s">
        <v>187</v>
      </c>
      <c r="H35" s="195"/>
      <c r="I35" s="596">
        <f>SUM(I33:I34)</f>
        <v>5030022.3900000006</v>
      </c>
      <c r="J35" s="664"/>
      <c r="K35" s="553">
        <f>SUM(K33:K34)</f>
        <v>0</v>
      </c>
      <c r="L35" s="596">
        <f>SUM(L33:L34)</f>
        <v>5030022.3900000006</v>
      </c>
      <c r="M35" s="597"/>
      <c r="N35" s="596">
        <f>SUM(N33:N34)</f>
        <v>2151072.56</v>
      </c>
      <c r="O35" s="598"/>
      <c r="P35" s="596">
        <f>SUM(P33:P34)</f>
        <v>2878949.83</v>
      </c>
      <c r="Q35" s="599"/>
      <c r="R35" s="596">
        <f>SUM(R33:R34)</f>
        <v>5030022.3900000006</v>
      </c>
      <c r="S35" s="598"/>
      <c r="T35" s="600">
        <f>SUM(T33:T34)</f>
        <v>0</v>
      </c>
      <c r="U35" s="173"/>
      <c r="V35" s="148"/>
      <c r="X35" s="148"/>
      <c r="Y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</row>
    <row r="36" spans="1:105" s="184" customFormat="1" ht="9.75" customHeight="1" x14ac:dyDescent="0.3">
      <c r="A36" s="430"/>
      <c r="B36" s="408"/>
      <c r="D36" s="154"/>
      <c r="E36" s="185"/>
      <c r="H36" s="186"/>
      <c r="I36" s="554"/>
      <c r="J36" s="601"/>
      <c r="K36" s="554"/>
      <c r="L36" s="554"/>
      <c r="M36" s="601"/>
      <c r="N36" s="602"/>
      <c r="O36" s="601"/>
      <c r="P36" s="603"/>
      <c r="Q36" s="586"/>
      <c r="R36" s="603"/>
      <c r="S36" s="551"/>
      <c r="T36" s="603"/>
      <c r="U36" s="100"/>
      <c r="V36" s="148"/>
      <c r="W36" s="148"/>
      <c r="X36" s="148"/>
      <c r="Y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</row>
    <row r="37" spans="1:105" s="164" customFormat="1" ht="15.75" customHeight="1" x14ac:dyDescent="0.3">
      <c r="B37" s="409"/>
      <c r="D37" s="154" t="s">
        <v>198</v>
      </c>
      <c r="E37" s="185" t="s">
        <v>131</v>
      </c>
      <c r="G37" s="190" t="s">
        <v>132</v>
      </c>
      <c r="H37" s="195"/>
      <c r="I37" s="667">
        <v>250000</v>
      </c>
      <c r="J37" s="601"/>
      <c r="K37" s="552">
        <v>0</v>
      </c>
      <c r="L37" s="556">
        <f>SUM(I37:K37)</f>
        <v>250000</v>
      </c>
      <c r="M37" s="607"/>
      <c r="N37" s="565">
        <v>0</v>
      </c>
      <c r="O37" s="606"/>
      <c r="P37" s="556">
        <f>L37</f>
        <v>250000</v>
      </c>
      <c r="Q37" s="622"/>
      <c r="R37" s="624">
        <f>SUM(O37:Q37)</f>
        <v>250000</v>
      </c>
      <c r="S37" s="614"/>
      <c r="T37" s="565">
        <v>0</v>
      </c>
      <c r="U37" s="173"/>
      <c r="V37" s="148"/>
      <c r="W37" s="148"/>
      <c r="X37" s="148"/>
      <c r="Y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</row>
    <row r="38" spans="1:105" s="164" customFormat="1" ht="15.75" customHeight="1" x14ac:dyDescent="0.3">
      <c r="A38" s="462" t="s">
        <v>314</v>
      </c>
      <c r="B38" s="409" t="s">
        <v>133</v>
      </c>
      <c r="D38" s="154"/>
      <c r="E38" s="185" t="s">
        <v>134</v>
      </c>
      <c r="G38" s="164" t="s">
        <v>135</v>
      </c>
      <c r="H38" s="195"/>
      <c r="I38" s="666">
        <v>659654.59</v>
      </c>
      <c r="J38" s="601"/>
      <c r="K38" s="560">
        <v>0</v>
      </c>
      <c r="L38" s="612">
        <f>SUM(I38:K38)</f>
        <v>659654.59</v>
      </c>
      <c r="M38" s="607"/>
      <c r="N38" s="556">
        <f>L38</f>
        <v>659654.59</v>
      </c>
      <c r="O38" s="606"/>
      <c r="P38" s="565">
        <v>0</v>
      </c>
      <c r="Q38" s="613"/>
      <c r="R38" s="556">
        <f>SUM(N38:Q38)</f>
        <v>659654.59</v>
      </c>
      <c r="S38" s="614"/>
      <c r="T38" s="565">
        <v>0</v>
      </c>
      <c r="U38" s="173"/>
      <c r="V38" s="148"/>
      <c r="W38" s="148"/>
      <c r="X38" s="148"/>
      <c r="Y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</row>
    <row r="39" spans="1:105" s="164" customFormat="1" ht="13.5" customHeight="1" x14ac:dyDescent="0.3">
      <c r="A39" s="428"/>
      <c r="B39" s="409"/>
      <c r="D39" s="154"/>
      <c r="E39" s="185"/>
      <c r="G39" s="175" t="s">
        <v>136</v>
      </c>
      <c r="H39" s="195"/>
      <c r="I39" s="596">
        <f>SUM(I37:I38)</f>
        <v>909654.59</v>
      </c>
      <c r="J39" s="664"/>
      <c r="K39" s="553">
        <f>SUM(K37:K38)</f>
        <v>0</v>
      </c>
      <c r="L39" s="596">
        <f>SUM(L37:L38)</f>
        <v>909654.59</v>
      </c>
      <c r="M39" s="597"/>
      <c r="N39" s="596">
        <f>SUM(N37:N38)</f>
        <v>659654.59</v>
      </c>
      <c r="O39" s="598"/>
      <c r="P39" s="596">
        <f>SUM(P37:P38)</f>
        <v>250000</v>
      </c>
      <c r="Q39" s="599"/>
      <c r="R39" s="596">
        <f>SUM(R37:R38)</f>
        <v>909654.59</v>
      </c>
      <c r="S39" s="598"/>
      <c r="T39" s="600">
        <f>SUM(T37:T38)</f>
        <v>0</v>
      </c>
      <c r="U39" s="173"/>
      <c r="V39" s="148"/>
      <c r="W39" s="148"/>
      <c r="X39" s="148"/>
      <c r="Y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</row>
    <row r="40" spans="1:105" s="184" customFormat="1" ht="9.75" customHeight="1" x14ac:dyDescent="0.3">
      <c r="A40" s="430"/>
      <c r="B40" s="408"/>
      <c r="D40" s="154"/>
      <c r="E40" s="185"/>
      <c r="H40" s="186"/>
      <c r="I40" s="554"/>
      <c r="J40" s="601"/>
      <c r="K40" s="554"/>
      <c r="L40" s="554"/>
      <c r="M40" s="601"/>
      <c r="N40" s="602"/>
      <c r="O40" s="601"/>
      <c r="P40" s="603"/>
      <c r="Q40" s="586"/>
      <c r="R40" s="603"/>
      <c r="S40" s="551"/>
      <c r="T40" s="603"/>
      <c r="U40" s="100"/>
      <c r="V40" s="148"/>
      <c r="W40" s="148"/>
      <c r="X40" s="148"/>
      <c r="Y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</row>
    <row r="41" spans="1:105" s="164" customFormat="1" ht="18" customHeight="1" x14ac:dyDescent="0.3">
      <c r="B41" s="409"/>
      <c r="D41" s="154" t="s">
        <v>200</v>
      </c>
      <c r="E41" s="185" t="s">
        <v>137</v>
      </c>
      <c r="G41" s="190" t="s">
        <v>138</v>
      </c>
      <c r="H41" s="195"/>
      <c r="I41" s="667">
        <v>75000</v>
      </c>
      <c r="J41" s="601"/>
      <c r="K41" s="552">
        <v>0</v>
      </c>
      <c r="L41" s="556">
        <f>SUM(I41:K41)</f>
        <v>75000</v>
      </c>
      <c r="M41" s="607"/>
      <c r="N41" s="565">
        <v>0</v>
      </c>
      <c r="O41" s="606"/>
      <c r="P41" s="556">
        <f>L41</f>
        <v>75000</v>
      </c>
      <c r="Q41" s="622"/>
      <c r="R41" s="624">
        <f>SUM(O41:Q41)</f>
        <v>75000</v>
      </c>
      <c r="S41" s="614"/>
      <c r="T41" s="565">
        <v>0</v>
      </c>
      <c r="U41" s="173"/>
      <c r="V41" s="148"/>
      <c r="W41" s="148"/>
      <c r="X41" s="148"/>
      <c r="Y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</row>
    <row r="42" spans="1:105" s="164" customFormat="1" ht="13.5" customHeight="1" x14ac:dyDescent="0.3">
      <c r="A42" s="462" t="s">
        <v>315</v>
      </c>
      <c r="B42" s="409" t="s">
        <v>139</v>
      </c>
      <c r="D42" s="154"/>
      <c r="E42" s="185" t="s">
        <v>140</v>
      </c>
      <c r="G42" s="164" t="s">
        <v>141</v>
      </c>
      <c r="H42" s="195"/>
      <c r="I42" s="667">
        <v>224879.76</v>
      </c>
      <c r="J42" s="601"/>
      <c r="K42" s="558">
        <v>0</v>
      </c>
      <c r="L42" s="556">
        <f>SUM(I42:K42)</f>
        <v>224879.76</v>
      </c>
      <c r="M42" s="607"/>
      <c r="N42" s="556">
        <f>L42</f>
        <v>224879.76</v>
      </c>
      <c r="O42" s="606"/>
      <c r="P42" s="565">
        <v>0</v>
      </c>
      <c r="Q42" s="613"/>
      <c r="R42" s="556">
        <f>SUM(N42:Q42)</f>
        <v>224879.76</v>
      </c>
      <c r="S42" s="614"/>
      <c r="T42" s="565">
        <v>0</v>
      </c>
      <c r="U42" s="173"/>
      <c r="V42" s="148"/>
      <c r="W42" s="148"/>
      <c r="X42" s="148"/>
      <c r="Y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</row>
    <row r="43" spans="1:105" s="164" customFormat="1" ht="13.5" customHeight="1" x14ac:dyDescent="0.3">
      <c r="A43" s="428"/>
      <c r="B43" s="409"/>
      <c r="D43" s="154"/>
      <c r="E43" s="185"/>
      <c r="G43" s="175" t="s">
        <v>142</v>
      </c>
      <c r="H43" s="195"/>
      <c r="I43" s="596">
        <f>SUM(I41:I42)</f>
        <v>299879.76</v>
      </c>
      <c r="J43" s="664"/>
      <c r="K43" s="553">
        <f>SUM(K41:K42)</f>
        <v>0</v>
      </c>
      <c r="L43" s="596">
        <f>SUM(L41:L42)</f>
        <v>299879.76</v>
      </c>
      <c r="M43" s="597"/>
      <c r="N43" s="596">
        <f>SUM(N41:N42)</f>
        <v>224879.76</v>
      </c>
      <c r="O43" s="598"/>
      <c r="P43" s="596">
        <f>SUM(P41:P42)</f>
        <v>75000</v>
      </c>
      <c r="Q43" s="599"/>
      <c r="R43" s="596">
        <f>SUM(R41:R42)</f>
        <v>299879.76</v>
      </c>
      <c r="S43" s="598"/>
      <c r="T43" s="600">
        <f>SUM(T41:T42)</f>
        <v>0</v>
      </c>
      <c r="U43" s="173"/>
      <c r="V43" s="148"/>
      <c r="W43" s="148"/>
      <c r="X43" s="148"/>
      <c r="Y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</row>
    <row r="44" spans="1:105" s="184" customFormat="1" ht="9.75" customHeight="1" x14ac:dyDescent="0.3">
      <c r="A44" s="430"/>
      <c r="B44" s="408"/>
      <c r="D44" s="154"/>
      <c r="E44" s="185"/>
      <c r="H44" s="186"/>
      <c r="I44" s="554"/>
      <c r="J44" s="601"/>
      <c r="K44" s="554"/>
      <c r="L44" s="554"/>
      <c r="M44" s="601"/>
      <c r="N44" s="602"/>
      <c r="O44" s="601"/>
      <c r="P44" s="603"/>
      <c r="Q44" s="586"/>
      <c r="R44" s="603"/>
      <c r="S44" s="551"/>
      <c r="T44" s="603"/>
      <c r="U44" s="100"/>
      <c r="V44" s="148"/>
      <c r="W44" s="148"/>
      <c r="X44" s="148"/>
      <c r="Y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</row>
    <row r="45" spans="1:105" s="184" customFormat="1" ht="9.75" customHeight="1" x14ac:dyDescent="0.3">
      <c r="A45" s="430"/>
      <c r="B45" s="408"/>
      <c r="D45" s="154"/>
      <c r="E45" s="185"/>
      <c r="H45" s="186"/>
      <c r="I45" s="554"/>
      <c r="J45" s="601"/>
      <c r="K45" s="554"/>
      <c r="L45" s="554"/>
      <c r="M45" s="601"/>
      <c r="N45" s="602"/>
      <c r="O45" s="601"/>
      <c r="P45" s="603"/>
      <c r="Q45" s="586"/>
      <c r="R45" s="603"/>
      <c r="S45" s="551"/>
      <c r="T45" s="603"/>
      <c r="U45" s="100"/>
      <c r="V45" s="148"/>
      <c r="W45" s="148"/>
      <c r="X45" s="148"/>
      <c r="Y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</row>
    <row r="46" spans="1:105" s="184" customFormat="1" ht="12.75" customHeight="1" x14ac:dyDescent="0.3">
      <c r="B46" s="408"/>
      <c r="D46" s="154" t="s">
        <v>201</v>
      </c>
      <c r="E46" s="185" t="s">
        <v>146</v>
      </c>
      <c r="G46" s="190" t="s">
        <v>147</v>
      </c>
      <c r="H46" s="186"/>
      <c r="I46" s="669">
        <v>50000</v>
      </c>
      <c r="J46" s="601"/>
      <c r="K46" s="552">
        <v>0</v>
      </c>
      <c r="L46" s="554">
        <f>SUM(I46:K46)</f>
        <v>50000</v>
      </c>
      <c r="M46" s="603"/>
      <c r="N46" s="602">
        <v>0</v>
      </c>
      <c r="O46" s="601"/>
      <c r="P46" s="602">
        <f>L46</f>
        <v>50000</v>
      </c>
      <c r="Q46" s="586"/>
      <c r="R46" s="625">
        <f>SUM(N46:P46)</f>
        <v>50000</v>
      </c>
      <c r="S46" s="551"/>
      <c r="T46" s="602">
        <v>0</v>
      </c>
      <c r="U46" s="100"/>
      <c r="V46" s="148"/>
      <c r="W46" s="148"/>
      <c r="X46" s="148"/>
      <c r="Y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</row>
    <row r="47" spans="1:105" s="184" customFormat="1" ht="12.75" customHeight="1" x14ac:dyDescent="0.3">
      <c r="A47" s="463" t="s">
        <v>318</v>
      </c>
      <c r="B47" s="408">
        <v>18601130</v>
      </c>
      <c r="D47" s="154"/>
      <c r="E47" s="185" t="s">
        <v>148</v>
      </c>
      <c r="G47" s="190" t="s">
        <v>149</v>
      </c>
      <c r="H47" s="186"/>
      <c r="I47" s="669">
        <v>400495.47</v>
      </c>
      <c r="J47" s="601"/>
      <c r="K47" s="558">
        <v>0</v>
      </c>
      <c r="L47" s="554">
        <f>I47+K47</f>
        <v>400495.47</v>
      </c>
      <c r="M47" s="601"/>
      <c r="N47" s="602">
        <f>L47</f>
        <v>400495.47</v>
      </c>
      <c r="O47" s="601"/>
      <c r="P47" s="602">
        <v>0</v>
      </c>
      <c r="Q47" s="586"/>
      <c r="R47" s="602">
        <f>SUM(N47:Q47)</f>
        <v>400495.47</v>
      </c>
      <c r="S47" s="551"/>
      <c r="T47" s="602">
        <v>0</v>
      </c>
      <c r="U47" s="100"/>
      <c r="V47" s="148"/>
      <c r="W47" s="148"/>
      <c r="X47" s="148"/>
      <c r="Y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</row>
    <row r="48" spans="1:105" s="184" customFormat="1" ht="12.75" customHeight="1" x14ac:dyDescent="0.3">
      <c r="A48" s="430"/>
      <c r="B48" s="408"/>
      <c r="D48" s="154"/>
      <c r="E48" s="185"/>
      <c r="G48" s="175" t="s">
        <v>150</v>
      </c>
      <c r="H48" s="186"/>
      <c r="I48" s="596">
        <f>SUM(I46:I47)</f>
        <v>450495.47</v>
      </c>
      <c r="J48" s="664"/>
      <c r="K48" s="553">
        <f>SUM(K46:K47)</f>
        <v>0</v>
      </c>
      <c r="L48" s="596">
        <f>SUM(L46:L47)</f>
        <v>450495.47</v>
      </c>
      <c r="M48" s="597"/>
      <c r="N48" s="596">
        <f>SUM(N46:N47)</f>
        <v>400495.47</v>
      </c>
      <c r="O48" s="598"/>
      <c r="P48" s="596">
        <f>SUM(P46:P47)</f>
        <v>50000</v>
      </c>
      <c r="Q48" s="599"/>
      <c r="R48" s="596">
        <f>SUM(R46:R47)</f>
        <v>450495.47</v>
      </c>
      <c r="S48" s="598"/>
      <c r="T48" s="600">
        <f>SUM(T46:T47)</f>
        <v>0</v>
      </c>
      <c r="U48" s="100"/>
      <c r="V48" s="148"/>
      <c r="W48" s="148"/>
      <c r="X48" s="148"/>
      <c r="Y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</row>
    <row r="49" spans="1:105" s="184" customFormat="1" ht="9.75" customHeight="1" x14ac:dyDescent="0.3">
      <c r="A49" s="430"/>
      <c r="B49" s="408"/>
      <c r="D49" s="154"/>
      <c r="E49" s="185"/>
      <c r="H49" s="186"/>
      <c r="I49" s="554"/>
      <c r="J49" s="601"/>
      <c r="K49" s="554"/>
      <c r="L49" s="554"/>
      <c r="M49" s="601"/>
      <c r="N49" s="602"/>
      <c r="O49" s="601"/>
      <c r="P49" s="603"/>
      <c r="Q49" s="586"/>
      <c r="R49" s="603"/>
      <c r="S49" s="551"/>
      <c r="T49" s="603"/>
      <c r="U49" s="100"/>
      <c r="V49" s="148"/>
      <c r="W49" s="148"/>
      <c r="X49" s="148"/>
      <c r="Y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</row>
    <row r="50" spans="1:105" s="184" customFormat="1" ht="9.75" customHeight="1" x14ac:dyDescent="0.3">
      <c r="A50" s="430"/>
      <c r="B50" s="408"/>
      <c r="D50" s="154"/>
      <c r="E50" s="185"/>
      <c r="H50" s="186"/>
      <c r="I50" s="554"/>
      <c r="J50" s="601"/>
      <c r="K50" s="554"/>
      <c r="L50" s="554"/>
      <c r="M50" s="610"/>
      <c r="N50" s="602"/>
      <c r="O50" s="601"/>
      <c r="P50" s="603"/>
      <c r="Q50" s="586"/>
      <c r="R50" s="603"/>
      <c r="S50" s="551"/>
      <c r="T50" s="603"/>
      <c r="U50" s="100"/>
      <c r="V50" s="148"/>
      <c r="W50" s="148"/>
      <c r="X50" s="148"/>
      <c r="Y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</row>
    <row r="51" spans="1:105" x14ac:dyDescent="0.3">
      <c r="D51" s="154" t="s">
        <v>202</v>
      </c>
      <c r="E51" s="207" t="s">
        <v>154</v>
      </c>
      <c r="G51" s="464" t="s">
        <v>319</v>
      </c>
      <c r="I51" s="670">
        <v>175000</v>
      </c>
      <c r="K51" s="561">
        <v>-34140.879999999997</v>
      </c>
      <c r="L51" s="626">
        <f>SUM(I51:K51)</f>
        <v>140859.12</v>
      </c>
      <c r="M51" s="588"/>
      <c r="N51" s="627">
        <v>0</v>
      </c>
      <c r="O51" s="574"/>
      <c r="P51" s="627">
        <f>L51</f>
        <v>140859.12</v>
      </c>
      <c r="Q51" s="628"/>
      <c r="R51" s="625">
        <f>SUM(N51:P51)</f>
        <v>140859.12</v>
      </c>
      <c r="S51" s="575"/>
      <c r="T51" s="627">
        <v>0</v>
      </c>
      <c r="W51" s="126"/>
    </row>
    <row r="52" spans="1:105" ht="13.5" customHeight="1" x14ac:dyDescent="0.3">
      <c r="A52" s="462" t="s">
        <v>322</v>
      </c>
      <c r="B52" s="410" t="s">
        <v>156</v>
      </c>
      <c r="D52" s="154"/>
      <c r="E52" s="207" t="s">
        <v>157</v>
      </c>
      <c r="G52" s="373" t="s">
        <v>320</v>
      </c>
      <c r="I52" s="670">
        <v>197427.86</v>
      </c>
      <c r="K52" s="560">
        <v>34140.879999999997</v>
      </c>
      <c r="L52" s="626">
        <f>SUM(I52:K52)</f>
        <v>231568.74</v>
      </c>
      <c r="M52" s="588"/>
      <c r="N52" s="566">
        <f>L52</f>
        <v>231568.74</v>
      </c>
      <c r="O52" s="629"/>
      <c r="P52" s="630">
        <v>0</v>
      </c>
      <c r="Q52" s="631"/>
      <c r="R52" s="566">
        <f>SUM(N52:Q52)</f>
        <v>231568.74</v>
      </c>
      <c r="S52" s="632"/>
      <c r="T52" s="630">
        <v>0</v>
      </c>
      <c r="U52" s="206"/>
      <c r="W52" s="126"/>
    </row>
    <row r="53" spans="1:105" x14ac:dyDescent="0.3">
      <c r="G53" s="426" t="s">
        <v>321</v>
      </c>
      <c r="I53" s="596">
        <f>SUM(I51:I52)</f>
        <v>372427.86</v>
      </c>
      <c r="J53" s="664"/>
      <c r="K53" s="553">
        <f>SUM(K51:K52)</f>
        <v>0</v>
      </c>
      <c r="L53" s="596">
        <f>SUM(L51:L52)</f>
        <v>372427.86</v>
      </c>
      <c r="M53" s="597"/>
      <c r="N53" s="596">
        <f>SUM(N51:N52)</f>
        <v>231568.74</v>
      </c>
      <c r="O53" s="598"/>
      <c r="P53" s="596">
        <f>SUM(P51:P52)</f>
        <v>140859.12</v>
      </c>
      <c r="Q53" s="599"/>
      <c r="R53" s="596">
        <f>SUM(R51:R52)</f>
        <v>372427.86</v>
      </c>
      <c r="S53" s="598"/>
      <c r="T53" s="600">
        <f>SUM(T51:T52)</f>
        <v>0</v>
      </c>
      <c r="W53" s="126"/>
    </row>
    <row r="54" spans="1:105" x14ac:dyDescent="0.3">
      <c r="A54" s="447" t="s">
        <v>305</v>
      </c>
      <c r="G54" s="132"/>
      <c r="I54" s="633"/>
      <c r="J54" s="665"/>
      <c r="K54" s="562"/>
      <c r="L54" s="633"/>
      <c r="M54" s="604"/>
      <c r="N54" s="633"/>
      <c r="O54" s="595"/>
      <c r="P54" s="633"/>
      <c r="Q54" s="586"/>
      <c r="R54" s="633"/>
      <c r="S54" s="595"/>
      <c r="T54" s="634"/>
      <c r="W54" s="126"/>
    </row>
    <row r="55" spans="1:105" s="244" customFormat="1" ht="18" customHeight="1" x14ac:dyDescent="0.3">
      <c r="B55" s="411"/>
      <c r="D55" s="154">
        <v>22840311</v>
      </c>
      <c r="E55" s="207" t="s">
        <v>160</v>
      </c>
      <c r="G55" s="246" t="s">
        <v>161</v>
      </c>
      <c r="H55" s="247"/>
      <c r="I55" s="661">
        <v>96000</v>
      </c>
      <c r="J55" s="671"/>
      <c r="K55" s="552">
        <v>0</v>
      </c>
      <c r="L55" s="566">
        <f>SUM(I55:K55)</f>
        <v>96000</v>
      </c>
      <c r="M55" s="588"/>
      <c r="N55" s="566">
        <v>0</v>
      </c>
      <c r="O55" s="635"/>
      <c r="P55" s="566">
        <f>L55</f>
        <v>96000</v>
      </c>
      <c r="Q55" s="636"/>
      <c r="R55" s="591">
        <f>SUM(N55:P55)</f>
        <v>96000</v>
      </c>
      <c r="S55" s="637"/>
      <c r="T55" s="566">
        <v>0</v>
      </c>
      <c r="U55" s="251"/>
      <c r="V55" s="252"/>
      <c r="W55" s="252"/>
      <c r="X55" s="252"/>
      <c r="Y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</row>
    <row r="56" spans="1:105" ht="13.5" customHeight="1" x14ac:dyDescent="0.3">
      <c r="A56" s="465" t="s">
        <v>323</v>
      </c>
      <c r="B56" s="409" t="s">
        <v>162</v>
      </c>
      <c r="E56" s="207" t="s">
        <v>163</v>
      </c>
      <c r="G56" s="126" t="s">
        <v>164</v>
      </c>
      <c r="H56" s="253"/>
      <c r="I56" s="566">
        <v>0</v>
      </c>
      <c r="J56" s="566"/>
      <c r="K56" s="558">
        <v>0</v>
      </c>
      <c r="L56" s="566">
        <f>SUM(I56:K56)</f>
        <v>0</v>
      </c>
      <c r="M56" s="377"/>
      <c r="N56" s="566">
        <f>L56</f>
        <v>0</v>
      </c>
      <c r="O56" s="580"/>
      <c r="P56" s="566">
        <v>0</v>
      </c>
      <c r="Q56" s="577"/>
      <c r="R56" s="566">
        <f>SUM(N56:Q56)</f>
        <v>0</v>
      </c>
      <c r="S56" s="578"/>
      <c r="T56" s="638">
        <v>0</v>
      </c>
      <c r="U56" s="206"/>
      <c r="W56" s="126"/>
      <c r="AA56" s="262"/>
    </row>
    <row r="57" spans="1:105" x14ac:dyDescent="0.3">
      <c r="A57" s="463"/>
      <c r="G57" s="132" t="s">
        <v>165</v>
      </c>
      <c r="I57" s="596">
        <f>SUM(I55:I56)</f>
        <v>96000</v>
      </c>
      <c r="J57" s="664"/>
      <c r="K57" s="553">
        <f>SUM(K55:K56)</f>
        <v>0</v>
      </c>
      <c r="L57" s="596">
        <f>SUM(L55:L56)</f>
        <v>96000</v>
      </c>
      <c r="M57" s="597"/>
      <c r="N57" s="596">
        <f>SUM(N55:N56)</f>
        <v>0</v>
      </c>
      <c r="O57" s="598"/>
      <c r="P57" s="596">
        <f>SUM(P55:P56)</f>
        <v>96000</v>
      </c>
      <c r="Q57" s="599"/>
      <c r="R57" s="596">
        <f>SUM(R55:R56)</f>
        <v>96000</v>
      </c>
      <c r="S57" s="598"/>
      <c r="T57" s="600">
        <f>SUM(T55:T56)</f>
        <v>0</v>
      </c>
      <c r="W57" s="126"/>
      <c r="AA57" s="222"/>
      <c r="AD57" s="222"/>
    </row>
    <row r="58" spans="1:105" s="241" customFormat="1" ht="9.75" customHeight="1" x14ac:dyDescent="0.3">
      <c r="A58" s="463"/>
      <c r="B58" s="408"/>
      <c r="E58" s="207"/>
      <c r="H58" s="123"/>
      <c r="I58" s="563"/>
      <c r="J58" s="574"/>
      <c r="K58" s="563"/>
      <c r="L58" s="563"/>
      <c r="M58" s="588"/>
      <c r="N58" s="627"/>
      <c r="O58" s="574"/>
      <c r="P58" s="639"/>
      <c r="Q58" s="577"/>
      <c r="R58" s="639"/>
      <c r="S58" s="575"/>
      <c r="T58" s="639"/>
      <c r="U58" s="121"/>
      <c r="V58" s="126"/>
      <c r="W58" s="126"/>
      <c r="X58" s="126"/>
      <c r="Y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x14ac:dyDescent="0.3">
      <c r="A59" s="463"/>
      <c r="B59" s="475" t="s">
        <v>309</v>
      </c>
      <c r="C59" s="475"/>
      <c r="D59" s="475"/>
      <c r="E59" s="475"/>
      <c r="F59" s="475"/>
      <c r="G59" s="132"/>
      <c r="I59" s="633"/>
      <c r="J59" s="665"/>
      <c r="K59" s="562"/>
      <c r="L59" s="633"/>
      <c r="M59" s="604"/>
      <c r="N59" s="633"/>
      <c r="O59" s="595"/>
      <c r="P59" s="633"/>
      <c r="Q59" s="586"/>
      <c r="R59" s="633"/>
      <c r="S59" s="595"/>
      <c r="T59" s="634"/>
      <c r="W59" s="126"/>
      <c r="AA59" s="222"/>
      <c r="AD59" s="222"/>
    </row>
    <row r="60" spans="1:105" s="184" customFormat="1" ht="12.75" customHeight="1" x14ac:dyDescent="0.3">
      <c r="A60" s="463">
        <v>1</v>
      </c>
      <c r="B60" s="419">
        <v>18601129</v>
      </c>
      <c r="E60" s="185" t="s">
        <v>143</v>
      </c>
      <c r="G60" s="167" t="s">
        <v>144</v>
      </c>
      <c r="H60" s="186"/>
      <c r="I60" s="669">
        <v>212588.68</v>
      </c>
      <c r="J60" s="601"/>
      <c r="K60" s="558">
        <v>0</v>
      </c>
      <c r="L60" s="554">
        <f>I60+K60</f>
        <v>212588.68</v>
      </c>
      <c r="M60" s="601"/>
      <c r="N60" s="602">
        <f>L60</f>
        <v>212588.68</v>
      </c>
      <c r="O60" s="601"/>
      <c r="P60" s="602">
        <v>0</v>
      </c>
      <c r="Q60" s="586"/>
      <c r="R60" s="625">
        <f>SUM(N60:Q60)</f>
        <v>212588.68</v>
      </c>
      <c r="S60" s="551"/>
      <c r="T60" s="602">
        <v>0</v>
      </c>
      <c r="U60" s="100"/>
      <c r="V60" s="148"/>
      <c r="W60" s="148"/>
      <c r="X60" s="148"/>
      <c r="Y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</row>
    <row r="61" spans="1:105" s="184" customFormat="1" ht="12.75" customHeight="1" x14ac:dyDescent="0.3">
      <c r="A61" s="463"/>
      <c r="B61" s="408"/>
      <c r="E61" s="185"/>
      <c r="G61" s="175" t="s">
        <v>145</v>
      </c>
      <c r="H61" s="186"/>
      <c r="I61" s="596">
        <f>SUM(I60)</f>
        <v>212588.68</v>
      </c>
      <c r="J61" s="664"/>
      <c r="K61" s="553">
        <f>SUM(K60:K60)</f>
        <v>0</v>
      </c>
      <c r="L61" s="596">
        <f>SUM(L60:L60)</f>
        <v>212588.68</v>
      </c>
      <c r="M61" s="597"/>
      <c r="N61" s="596">
        <f>SUM(N60:N60)</f>
        <v>212588.68</v>
      </c>
      <c r="O61" s="598"/>
      <c r="P61" s="596">
        <f>SUM(P60:P60)</f>
        <v>0</v>
      </c>
      <c r="Q61" s="599"/>
      <c r="R61" s="596">
        <f>SUM(R60:R60)</f>
        <v>212588.68</v>
      </c>
      <c r="S61" s="598"/>
      <c r="T61" s="600">
        <f>SUM(T60:T60)</f>
        <v>0</v>
      </c>
      <c r="U61" s="100"/>
      <c r="V61" s="148"/>
      <c r="W61" s="148"/>
      <c r="X61" s="148"/>
      <c r="Y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</row>
    <row r="62" spans="1:105" s="184" customFormat="1" ht="12.75" customHeight="1" x14ac:dyDescent="0.3">
      <c r="A62" s="463"/>
      <c r="B62" s="408"/>
      <c r="E62" s="185"/>
      <c r="G62" s="175"/>
      <c r="H62" s="186"/>
      <c r="I62" s="633"/>
      <c r="J62" s="665"/>
      <c r="K62" s="562"/>
      <c r="L62" s="633"/>
      <c r="M62" s="604"/>
      <c r="N62" s="633"/>
      <c r="O62" s="595"/>
      <c r="P62" s="633"/>
      <c r="Q62" s="586"/>
      <c r="R62" s="633"/>
      <c r="S62" s="595"/>
      <c r="T62" s="634"/>
      <c r="U62" s="100"/>
      <c r="V62" s="148"/>
      <c r="W62" s="148"/>
      <c r="X62" s="148"/>
      <c r="Y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</row>
    <row r="63" spans="1:105" s="164" customFormat="1" x14ac:dyDescent="0.3">
      <c r="A63" s="463" t="s">
        <v>323</v>
      </c>
      <c r="B63" s="408">
        <v>18601151</v>
      </c>
      <c r="E63" s="185" t="s">
        <v>151</v>
      </c>
      <c r="G63" s="164" t="s">
        <v>152</v>
      </c>
      <c r="H63" s="195"/>
      <c r="I63" s="669">
        <v>111880.23</v>
      </c>
      <c r="J63" s="601"/>
      <c r="K63" s="558">
        <v>0</v>
      </c>
      <c r="L63" s="554">
        <f>I63+K63</f>
        <v>111880.23</v>
      </c>
      <c r="M63" s="610"/>
      <c r="N63" s="602">
        <f>L63</f>
        <v>111880.23</v>
      </c>
      <c r="O63" s="601"/>
      <c r="P63" s="602">
        <v>0</v>
      </c>
      <c r="Q63" s="586"/>
      <c r="R63" s="625">
        <f>SUM(N63:Q63)</f>
        <v>111880.23</v>
      </c>
      <c r="S63" s="551"/>
      <c r="T63" s="602">
        <v>0</v>
      </c>
      <c r="U63" s="100"/>
      <c r="V63" s="148"/>
      <c r="W63" s="148"/>
      <c r="X63" s="148"/>
      <c r="Y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</row>
    <row r="64" spans="1:105" s="164" customFormat="1" x14ac:dyDescent="0.3">
      <c r="A64" s="463"/>
      <c r="B64" s="408"/>
      <c r="E64" s="185"/>
      <c r="G64" s="174" t="s">
        <v>153</v>
      </c>
      <c r="H64" s="195"/>
      <c r="I64" s="596">
        <v>111880.23</v>
      </c>
      <c r="J64" s="664"/>
      <c r="K64" s="553">
        <f>SUM(K63:K63)</f>
        <v>0</v>
      </c>
      <c r="L64" s="596">
        <f>SUM(L63:L63)</f>
        <v>111880.23</v>
      </c>
      <c r="M64" s="597"/>
      <c r="N64" s="596">
        <f>SUM(N63:N63)</f>
        <v>111880.23</v>
      </c>
      <c r="O64" s="598"/>
      <c r="P64" s="596">
        <f>SUM(P63:P63)</f>
        <v>0</v>
      </c>
      <c r="Q64" s="599"/>
      <c r="R64" s="596">
        <f>SUM(R63:R63)</f>
        <v>111880.23</v>
      </c>
      <c r="S64" s="598"/>
      <c r="T64" s="600">
        <f>SUM(T63:T63)</f>
        <v>0</v>
      </c>
      <c r="U64" s="100"/>
      <c r="V64" s="148"/>
      <c r="W64" s="148"/>
      <c r="X64" s="148"/>
      <c r="Y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</row>
    <row r="65" spans="1:105" s="184" customFormat="1" ht="12.75" customHeight="1" x14ac:dyDescent="0.3">
      <c r="A65" s="430"/>
      <c r="B65" s="408"/>
      <c r="E65" s="185"/>
      <c r="G65" s="175"/>
      <c r="H65" s="186"/>
      <c r="I65" s="633"/>
      <c r="J65" s="665"/>
      <c r="K65" s="562"/>
      <c r="L65" s="633"/>
      <c r="M65" s="604"/>
      <c r="N65" s="633"/>
      <c r="O65" s="595"/>
      <c r="P65" s="633"/>
      <c r="Q65" s="586"/>
      <c r="R65" s="633"/>
      <c r="S65" s="595"/>
      <c r="T65" s="634"/>
      <c r="U65" s="100"/>
      <c r="V65" s="148"/>
      <c r="W65" s="148"/>
      <c r="X65" s="148"/>
      <c r="Y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  <c r="CP65" s="148"/>
      <c r="CQ65" s="148"/>
      <c r="CR65" s="148"/>
      <c r="CS65" s="148"/>
      <c r="CT65" s="148"/>
      <c r="CU65" s="148"/>
      <c r="CV65" s="148"/>
      <c r="CW65" s="148"/>
      <c r="CX65" s="148"/>
      <c r="CY65" s="148"/>
      <c r="CZ65" s="148"/>
      <c r="DA65" s="148"/>
    </row>
    <row r="66" spans="1:105" s="214" customFormat="1" ht="13.5" customHeight="1" thickBot="1" x14ac:dyDescent="0.35">
      <c r="A66" s="436"/>
      <c r="B66" s="409"/>
      <c r="E66" s="215"/>
      <c r="G66" s="214" t="s">
        <v>166</v>
      </c>
      <c r="H66" s="216"/>
      <c r="I66" s="564">
        <f>I27+I31+I35+I39+I43+I61+I48+I64+I53+I57</f>
        <v>10539561.48</v>
      </c>
      <c r="J66" s="564"/>
      <c r="K66" s="564">
        <f>K27+K31+K35+K39+K43+K61+K48+K64+K53+K57</f>
        <v>0</v>
      </c>
      <c r="L66" s="564">
        <f>L27+L31+L35+L39+L43+L61+L48+L64+L53+L57</f>
        <v>10539561.48</v>
      </c>
      <c r="M66" s="564"/>
      <c r="N66" s="564">
        <f>N27+N31+N35+N39+N43+N61+N48+N64+N53+N57</f>
        <v>6651145.8299999991</v>
      </c>
      <c r="O66" s="564"/>
      <c r="P66" s="564">
        <f>P27+P31+P35+P39+P43+P61+P48+P64+P53+P57</f>
        <v>3888415.6500000004</v>
      </c>
      <c r="Q66" s="640"/>
      <c r="R66" s="564">
        <f>R27+R31+R35+R39+R43+R61+R48+R64+R53+R57</f>
        <v>10539561.48</v>
      </c>
      <c r="S66" s="564"/>
      <c r="T66" s="564">
        <f>T27+T31+T35+T39+T43+T61+T48+T64+T53+T57</f>
        <v>0</v>
      </c>
      <c r="U66" s="221"/>
      <c r="V66" s="223"/>
      <c r="W66" s="224"/>
      <c r="X66" s="223"/>
      <c r="Y66" s="222"/>
      <c r="AA66" s="222"/>
      <c r="AB66" s="222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</row>
    <row r="67" spans="1:105" s="214" customFormat="1" ht="13.5" customHeight="1" thickBot="1" x14ac:dyDescent="0.35">
      <c r="A67" s="436"/>
      <c r="B67" s="409"/>
      <c r="E67" s="215"/>
      <c r="G67" s="214" t="s">
        <v>167</v>
      </c>
      <c r="H67" s="216"/>
      <c r="I67" s="564">
        <f>I23+I66</f>
        <v>13422074.920000002</v>
      </c>
      <c r="J67" s="564"/>
      <c r="K67" s="564">
        <f>K23+K66</f>
        <v>0</v>
      </c>
      <c r="L67" s="564">
        <f>L23+L66</f>
        <v>13422074.920000002</v>
      </c>
      <c r="M67" s="564"/>
      <c r="N67" s="564">
        <f>N23+N66</f>
        <v>9085588.8999999985</v>
      </c>
      <c r="O67" s="564"/>
      <c r="P67" s="564">
        <f>P23+P66</f>
        <v>4336486.0200000005</v>
      </c>
      <c r="Q67" s="640"/>
      <c r="R67" s="564">
        <f>R23+R66</f>
        <v>13422074.920000002</v>
      </c>
      <c r="S67" s="564"/>
      <c r="T67" s="564">
        <f>T23+T66</f>
        <v>0</v>
      </c>
      <c r="U67" s="221"/>
      <c r="V67" s="223"/>
      <c r="W67" s="224"/>
      <c r="X67" s="223"/>
      <c r="Y67" s="222"/>
      <c r="AA67" s="222"/>
      <c r="AB67" s="222"/>
      <c r="AC67" s="223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23"/>
      <c r="BM67" s="223"/>
      <c r="BN67" s="223"/>
      <c r="BO67" s="223"/>
      <c r="BP67" s="223"/>
      <c r="BQ67" s="223"/>
      <c r="BR67" s="223"/>
      <c r="BS67" s="223"/>
      <c r="BT67" s="223"/>
      <c r="BU67" s="223"/>
      <c r="BV67" s="223"/>
      <c r="BW67" s="223"/>
      <c r="BX67" s="223"/>
      <c r="BY67" s="223"/>
      <c r="BZ67" s="223"/>
      <c r="CA67" s="223"/>
      <c r="CB67" s="223"/>
      <c r="CC67" s="223"/>
      <c r="CD67" s="223"/>
      <c r="CE67" s="223"/>
      <c r="CF67" s="223"/>
      <c r="CG67" s="223"/>
      <c r="CH67" s="223"/>
      <c r="CI67" s="223"/>
      <c r="CJ67" s="223"/>
      <c r="CK67" s="223"/>
      <c r="CL67" s="223"/>
      <c r="CM67" s="223"/>
      <c r="CN67" s="223"/>
      <c r="CO67" s="223"/>
      <c r="CP67" s="223"/>
      <c r="CQ67" s="223"/>
      <c r="CR67" s="223"/>
      <c r="CS67" s="223"/>
      <c r="CT67" s="223"/>
      <c r="CU67" s="223"/>
      <c r="CV67" s="223"/>
      <c r="CW67" s="223"/>
      <c r="CX67" s="223"/>
      <c r="CY67" s="223"/>
      <c r="CZ67" s="223"/>
      <c r="DA67" s="223"/>
    </row>
    <row r="68" spans="1:105" ht="16.5" customHeight="1" x14ac:dyDescent="0.3">
      <c r="A68" s="462" t="s">
        <v>316</v>
      </c>
      <c r="B68" s="409" t="s">
        <v>168</v>
      </c>
      <c r="C68" s="126"/>
      <c r="D68" s="126"/>
      <c r="E68" s="185" t="s">
        <v>168</v>
      </c>
      <c r="G68" s="126" t="s">
        <v>169</v>
      </c>
      <c r="H68" s="126"/>
      <c r="I68" s="568">
        <v>-550000</v>
      </c>
      <c r="J68" s="377"/>
      <c r="K68" s="565"/>
      <c r="L68" s="568">
        <f>I68+K68</f>
        <v>-550000</v>
      </c>
      <c r="M68" s="610"/>
      <c r="N68" s="556">
        <v>14834.14</v>
      </c>
      <c r="O68" s="641"/>
      <c r="P68" s="605">
        <f>-L68</f>
        <v>550000</v>
      </c>
      <c r="Q68" s="642"/>
      <c r="R68" s="568">
        <f>SUM(N68:Q68)</f>
        <v>564834.14</v>
      </c>
      <c r="S68" s="643" t="s">
        <v>11</v>
      </c>
      <c r="T68" s="568">
        <v>-350000</v>
      </c>
      <c r="U68" s="263"/>
      <c r="Z68" s="126"/>
    </row>
    <row r="69" spans="1:105" ht="10" customHeight="1" x14ac:dyDescent="0.3">
      <c r="E69" s="258"/>
      <c r="G69" s="208"/>
      <c r="H69" s="259"/>
      <c r="I69" s="568"/>
      <c r="J69" s="672"/>
      <c r="K69" s="566"/>
      <c r="L69" s="568"/>
      <c r="M69" s="644"/>
      <c r="N69" s="568"/>
      <c r="O69" s="580"/>
      <c r="P69" s="568"/>
      <c r="Q69" s="577"/>
      <c r="R69" s="630"/>
      <c r="S69" s="645"/>
      <c r="T69" s="568"/>
      <c r="U69" s="206"/>
    </row>
    <row r="70" spans="1:105" s="126" customFormat="1" ht="17.25" customHeight="1" x14ac:dyDescent="0.3">
      <c r="A70" s="462" t="s">
        <v>317</v>
      </c>
      <c r="B70" s="410" t="s">
        <v>170</v>
      </c>
      <c r="E70" s="185" t="s">
        <v>170</v>
      </c>
      <c r="F70" s="138"/>
      <c r="G70" s="126" t="s">
        <v>171</v>
      </c>
      <c r="I70" s="568">
        <v>-500000</v>
      </c>
      <c r="J70" s="377"/>
      <c r="K70" s="567">
        <f>8055+675-8730</f>
        <v>0</v>
      </c>
      <c r="L70" s="568">
        <f>SUM(I70+K70)</f>
        <v>-500000</v>
      </c>
      <c r="M70" s="377"/>
      <c r="N70" s="556">
        <v>14583472.68</v>
      </c>
      <c r="O70" s="685"/>
      <c r="P70" s="605">
        <f>-L70</f>
        <v>500000</v>
      </c>
      <c r="Q70" s="686" t="s">
        <v>10</v>
      </c>
      <c r="R70" s="568">
        <f>SUM(N70:Q70)</f>
        <v>15083472.68</v>
      </c>
      <c r="S70" s="643" t="s">
        <v>11</v>
      </c>
      <c r="T70" s="568">
        <v>-11938563</v>
      </c>
      <c r="U70" s="263"/>
      <c r="W70" s="127"/>
      <c r="AA70" s="377"/>
    </row>
    <row r="71" spans="1:105" ht="10" customHeight="1" x14ac:dyDescent="0.3">
      <c r="E71" s="185"/>
      <c r="I71" s="568"/>
      <c r="K71" s="568"/>
      <c r="L71" s="568"/>
      <c r="M71" s="646"/>
      <c r="N71" s="556"/>
      <c r="O71" s="580"/>
      <c r="P71" s="568"/>
      <c r="Q71" s="577"/>
      <c r="R71" s="568"/>
      <c r="S71" s="647"/>
      <c r="T71" s="568"/>
      <c r="U71" s="267"/>
    </row>
    <row r="72" spans="1:105" ht="13.5" customHeight="1" x14ac:dyDescent="0.25">
      <c r="A72" s="687" t="s">
        <v>323</v>
      </c>
      <c r="B72" s="409" t="s">
        <v>172</v>
      </c>
      <c r="E72" s="185" t="s">
        <v>172</v>
      </c>
      <c r="G72" s="138" t="s">
        <v>173</v>
      </c>
      <c r="I72" s="568">
        <v>-258000</v>
      </c>
      <c r="K72" s="565">
        <v>0</v>
      </c>
      <c r="L72" s="568">
        <f>I72+K72</f>
        <v>-258000</v>
      </c>
      <c r="M72" s="646"/>
      <c r="N72" s="556">
        <v>20528.95</v>
      </c>
      <c r="O72" s="641"/>
      <c r="P72" s="605">
        <f>-L72</f>
        <v>258000</v>
      </c>
      <c r="Q72" s="642"/>
      <c r="R72" s="568">
        <f>SUM(N72:Q72)</f>
        <v>278528.95</v>
      </c>
      <c r="S72" s="643" t="s">
        <v>11</v>
      </c>
      <c r="T72" s="568">
        <v>-150000</v>
      </c>
      <c r="U72" s="263"/>
    </row>
    <row r="73" spans="1:105" ht="10" customHeight="1" x14ac:dyDescent="0.3">
      <c r="B73" s="409"/>
      <c r="C73" s="126"/>
      <c r="D73" s="126"/>
      <c r="E73" s="185"/>
      <c r="G73" s="126"/>
      <c r="H73" s="126"/>
      <c r="I73" s="568"/>
      <c r="J73" s="377"/>
      <c r="K73" s="568"/>
      <c r="L73" s="568"/>
      <c r="M73" s="377"/>
      <c r="N73" s="556"/>
      <c r="O73" s="629"/>
      <c r="P73" s="568"/>
      <c r="Q73" s="631"/>
      <c r="R73" s="568"/>
      <c r="S73" s="632"/>
      <c r="T73" s="568"/>
      <c r="U73" s="268"/>
      <c r="Z73" s="126"/>
    </row>
    <row r="74" spans="1:105" s="126" customFormat="1" ht="13.5" customHeight="1" x14ac:dyDescent="0.3">
      <c r="A74" s="463">
        <v>2</v>
      </c>
      <c r="B74" s="412"/>
      <c r="E74" s="207" t="s">
        <v>174</v>
      </c>
      <c r="F74" s="138"/>
      <c r="G74" s="208" t="s">
        <v>175</v>
      </c>
      <c r="I74" s="648">
        <v>-4610484.08</v>
      </c>
      <c r="J74" s="649"/>
      <c r="K74" s="569">
        <v>0</v>
      </c>
      <c r="L74" s="648">
        <f>I74+K74</f>
        <v>-4610484.08</v>
      </c>
      <c r="M74" s="649"/>
      <c r="N74" s="569">
        <v>0</v>
      </c>
      <c r="O74" s="649"/>
      <c r="P74" s="666">
        <v>0</v>
      </c>
      <c r="Q74" s="650"/>
      <c r="R74" s="569">
        <f>SUM(N74:Q74)</f>
        <v>0</v>
      </c>
      <c r="S74" s="651"/>
      <c r="T74" s="648">
        <v>-4610484.08</v>
      </c>
      <c r="U74" s="274"/>
      <c r="W74" s="127"/>
    </row>
    <row r="75" spans="1:105" s="184" customFormat="1" ht="9.75" customHeight="1" x14ac:dyDescent="0.3">
      <c r="A75" s="430"/>
      <c r="B75" s="408"/>
      <c r="E75" s="185"/>
      <c r="H75" s="186"/>
      <c r="I75" s="554"/>
      <c r="J75" s="601"/>
      <c r="K75" s="554"/>
      <c r="L75" s="554"/>
      <c r="M75" s="601"/>
      <c r="N75" s="602"/>
      <c r="O75" s="601"/>
      <c r="P75" s="603"/>
      <c r="Q75" s="586"/>
      <c r="R75" s="603"/>
      <c r="S75" s="551"/>
      <c r="T75" s="603"/>
      <c r="U75" s="100"/>
      <c r="V75" s="148"/>
      <c r="W75" s="148"/>
      <c r="X75" s="148"/>
      <c r="Y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  <c r="CP75" s="148"/>
      <c r="CQ75" s="148"/>
      <c r="CR75" s="148"/>
      <c r="CS75" s="148"/>
      <c r="CT75" s="148"/>
      <c r="CU75" s="148"/>
      <c r="CV75" s="148"/>
      <c r="CW75" s="148"/>
      <c r="CX75" s="148"/>
      <c r="CY75" s="148"/>
      <c r="CZ75" s="148"/>
      <c r="DA75" s="148"/>
    </row>
    <row r="76" spans="1:105" s="275" customFormat="1" ht="13.5" customHeight="1" thickBot="1" x14ac:dyDescent="0.35">
      <c r="A76" s="437"/>
      <c r="B76" s="408"/>
      <c r="E76" s="277"/>
      <c r="G76" s="214" t="s">
        <v>176</v>
      </c>
      <c r="H76" s="278"/>
      <c r="I76" s="570">
        <f>SUM(I68:I74)</f>
        <v>-5918484.0800000001</v>
      </c>
      <c r="J76" s="570"/>
      <c r="K76" s="570">
        <f>SUM(K68:K74)</f>
        <v>0</v>
      </c>
      <c r="L76" s="570">
        <f>SUM(L68:L74)</f>
        <v>-5918484.0800000001</v>
      </c>
      <c r="M76" s="570"/>
      <c r="N76" s="570">
        <f>SUM(N68:N74)</f>
        <v>14618835.77</v>
      </c>
      <c r="O76" s="570"/>
      <c r="P76" s="570">
        <f>SUM(P68:P74)</f>
        <v>1308000</v>
      </c>
      <c r="Q76" s="652"/>
      <c r="R76" s="570">
        <f>SUM(R68:R74)</f>
        <v>15926835.77</v>
      </c>
      <c r="S76" s="570"/>
      <c r="T76" s="570">
        <f>SUM(T68:T74)</f>
        <v>-17049047.079999998</v>
      </c>
      <c r="U76" s="221"/>
      <c r="V76" s="281"/>
      <c r="W76" s="282"/>
      <c r="X76" s="281"/>
      <c r="Y76" s="280"/>
      <c r="AA76" s="280"/>
      <c r="AB76" s="222"/>
      <c r="AC76" s="281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1"/>
      <c r="AS76" s="281"/>
      <c r="AT76" s="281"/>
      <c r="AU76" s="281"/>
      <c r="AV76" s="281"/>
      <c r="AW76" s="281"/>
      <c r="AX76" s="281"/>
      <c r="AY76" s="281"/>
      <c r="AZ76" s="281"/>
      <c r="BA76" s="281"/>
      <c r="BB76" s="281"/>
      <c r="BC76" s="281"/>
      <c r="BD76" s="281"/>
      <c r="BE76" s="281"/>
      <c r="BF76" s="281"/>
      <c r="BG76" s="281"/>
      <c r="BH76" s="281"/>
      <c r="BI76" s="281"/>
      <c r="BJ76" s="281"/>
      <c r="BK76" s="281"/>
      <c r="BL76" s="281"/>
      <c r="BM76" s="281"/>
      <c r="BN76" s="281"/>
      <c r="BO76" s="281"/>
      <c r="BP76" s="281"/>
      <c r="BQ76" s="281"/>
      <c r="BR76" s="281"/>
      <c r="BS76" s="281"/>
      <c r="BT76" s="281"/>
      <c r="BU76" s="281"/>
      <c r="BV76" s="281"/>
      <c r="BW76" s="281"/>
      <c r="BX76" s="281"/>
      <c r="BY76" s="281"/>
      <c r="BZ76" s="281"/>
      <c r="CA76" s="281"/>
      <c r="CB76" s="281"/>
      <c r="CC76" s="281"/>
      <c r="CD76" s="281"/>
      <c r="CE76" s="281"/>
      <c r="CF76" s="281"/>
      <c r="CG76" s="281"/>
      <c r="CH76" s="281"/>
      <c r="CI76" s="281"/>
      <c r="CJ76" s="281"/>
      <c r="CK76" s="281"/>
      <c r="CL76" s="281"/>
      <c r="CM76" s="281"/>
      <c r="CN76" s="281"/>
      <c r="CO76" s="281"/>
      <c r="CP76" s="281"/>
      <c r="CQ76" s="281"/>
      <c r="CR76" s="281"/>
      <c r="CS76" s="281"/>
      <c r="CT76" s="281"/>
      <c r="CU76" s="281"/>
      <c r="CV76" s="281"/>
      <c r="CW76" s="281"/>
      <c r="CX76" s="281"/>
      <c r="CY76" s="281"/>
      <c r="CZ76" s="281"/>
      <c r="DA76" s="281"/>
    </row>
    <row r="77" spans="1:105" ht="10" customHeight="1" thickTop="1" x14ac:dyDescent="0.3">
      <c r="G77" s="132"/>
      <c r="H77" s="283"/>
      <c r="I77" s="653"/>
      <c r="J77" s="672"/>
      <c r="K77" s="566"/>
      <c r="L77" s="653"/>
      <c r="M77" s="644"/>
      <c r="N77" s="654"/>
      <c r="O77" s="580"/>
      <c r="P77" s="655"/>
      <c r="Q77" s="577"/>
      <c r="R77" s="655"/>
      <c r="S77" s="582"/>
      <c r="T77" s="655"/>
      <c r="U77" s="206"/>
    </row>
    <row r="78" spans="1:105" s="275" customFormat="1" ht="13.5" customHeight="1" thickBot="1" x14ac:dyDescent="0.35">
      <c r="A78" s="437"/>
      <c r="B78" s="408"/>
      <c r="E78" s="277"/>
      <c r="G78" s="214" t="s">
        <v>177</v>
      </c>
      <c r="H78" s="278"/>
      <c r="I78" s="570">
        <f>I67+I76</f>
        <v>7503590.8400000017</v>
      </c>
      <c r="J78" s="570"/>
      <c r="K78" s="570">
        <f>K67+K76</f>
        <v>0</v>
      </c>
      <c r="L78" s="570">
        <f>L67+L76</f>
        <v>7503590.8400000017</v>
      </c>
      <c r="M78" s="570"/>
      <c r="N78" s="570">
        <f>N67+N76</f>
        <v>23704424.669999998</v>
      </c>
      <c r="O78" s="570"/>
      <c r="P78" s="570">
        <f>P67+P76</f>
        <v>5644486.0200000005</v>
      </c>
      <c r="Q78" s="652"/>
      <c r="R78" s="570">
        <f>R67+R76</f>
        <v>29348910.690000001</v>
      </c>
      <c r="S78" s="570"/>
      <c r="T78" s="570">
        <f>T67+T76</f>
        <v>-17049047.079999998</v>
      </c>
      <c r="U78" s="221"/>
      <c r="V78" s="281"/>
      <c r="W78" s="286"/>
      <c r="X78" s="281"/>
      <c r="Y78" s="280"/>
      <c r="AA78" s="280"/>
      <c r="AB78" s="222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281"/>
      <c r="AP78" s="281"/>
      <c r="AQ78" s="281"/>
      <c r="AR78" s="281"/>
      <c r="AS78" s="281"/>
      <c r="AT78" s="281"/>
      <c r="AU78" s="281"/>
      <c r="AV78" s="281"/>
      <c r="AW78" s="281"/>
      <c r="AX78" s="281"/>
      <c r="AY78" s="281"/>
      <c r="AZ78" s="281"/>
      <c r="BA78" s="281"/>
      <c r="BB78" s="281"/>
      <c r="BC78" s="281"/>
      <c r="BD78" s="281"/>
      <c r="BE78" s="281"/>
      <c r="BF78" s="281"/>
      <c r="BG78" s="281"/>
      <c r="BH78" s="281"/>
      <c r="BI78" s="281"/>
      <c r="BJ78" s="281"/>
      <c r="BK78" s="281"/>
      <c r="BL78" s="281"/>
      <c r="BM78" s="281"/>
      <c r="BN78" s="281"/>
      <c r="BO78" s="281"/>
      <c r="BP78" s="281"/>
      <c r="BQ78" s="281"/>
      <c r="BR78" s="281"/>
      <c r="BS78" s="281"/>
      <c r="BT78" s="281"/>
      <c r="BU78" s="281"/>
      <c r="BV78" s="281"/>
      <c r="BW78" s="281"/>
      <c r="BX78" s="281"/>
      <c r="BY78" s="281"/>
      <c r="BZ78" s="281"/>
      <c r="CA78" s="281"/>
      <c r="CB78" s="281"/>
      <c r="CC78" s="281"/>
      <c r="CD78" s="281"/>
      <c r="CE78" s="281"/>
      <c r="CF78" s="281"/>
      <c r="CG78" s="281"/>
      <c r="CH78" s="281"/>
      <c r="CI78" s="281"/>
      <c r="CJ78" s="281"/>
      <c r="CK78" s="281"/>
      <c r="CL78" s="281"/>
      <c r="CM78" s="281"/>
      <c r="CN78" s="281"/>
      <c r="CO78" s="281"/>
      <c r="CP78" s="281"/>
      <c r="CQ78" s="281"/>
      <c r="CR78" s="281"/>
      <c r="CS78" s="281"/>
      <c r="CT78" s="281"/>
      <c r="CU78" s="281"/>
      <c r="CV78" s="281"/>
      <c r="CW78" s="281"/>
      <c r="CX78" s="281"/>
      <c r="CY78" s="281"/>
      <c r="CZ78" s="281"/>
      <c r="DA78" s="281"/>
    </row>
    <row r="79" spans="1:105" s="275" customFormat="1" ht="13.5" customHeight="1" thickTop="1" x14ac:dyDescent="0.3">
      <c r="A79" s="437"/>
      <c r="B79" s="408"/>
      <c r="E79" s="277"/>
      <c r="G79" s="214"/>
      <c r="H79" s="278"/>
      <c r="I79" s="557"/>
      <c r="J79" s="557"/>
      <c r="K79" s="557"/>
      <c r="L79" s="557"/>
      <c r="M79" s="557"/>
      <c r="N79" s="557"/>
      <c r="O79" s="557"/>
      <c r="P79" s="557"/>
      <c r="Q79" s="615"/>
      <c r="R79" s="557"/>
      <c r="S79" s="557"/>
      <c r="T79" s="557"/>
      <c r="U79" s="221"/>
      <c r="V79" s="281"/>
      <c r="W79" s="286"/>
      <c r="X79" s="281"/>
      <c r="Y79" s="280"/>
      <c r="AA79" s="688"/>
      <c r="AB79" s="222"/>
      <c r="AC79" s="281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1"/>
      <c r="AZ79" s="281"/>
      <c r="BA79" s="281"/>
      <c r="BB79" s="281"/>
      <c r="BC79" s="281"/>
      <c r="BD79" s="281"/>
      <c r="BE79" s="281"/>
      <c r="BF79" s="281"/>
      <c r="BG79" s="281"/>
      <c r="BH79" s="281"/>
      <c r="BI79" s="281"/>
      <c r="BJ79" s="281"/>
      <c r="BK79" s="281"/>
      <c r="BL79" s="281"/>
      <c r="BM79" s="281"/>
      <c r="BN79" s="281"/>
      <c r="BO79" s="281"/>
      <c r="BP79" s="281"/>
      <c r="BQ79" s="281"/>
      <c r="BR79" s="281"/>
      <c r="BS79" s="281"/>
      <c r="BT79" s="281"/>
      <c r="BU79" s="281"/>
      <c r="BV79" s="281"/>
      <c r="BW79" s="281"/>
      <c r="BX79" s="281"/>
      <c r="BY79" s="281"/>
      <c r="BZ79" s="281"/>
      <c r="CA79" s="281"/>
      <c r="CB79" s="281"/>
      <c r="CC79" s="281"/>
      <c r="CD79" s="281"/>
      <c r="CE79" s="281"/>
      <c r="CF79" s="281"/>
      <c r="CG79" s="281"/>
      <c r="CH79" s="281"/>
      <c r="CI79" s="281"/>
      <c r="CJ79" s="281"/>
      <c r="CK79" s="281"/>
      <c r="CL79" s="281"/>
      <c r="CM79" s="281"/>
      <c r="CN79" s="281"/>
      <c r="CO79" s="281"/>
      <c r="CP79" s="281"/>
      <c r="CQ79" s="281"/>
      <c r="CR79" s="281"/>
      <c r="CS79" s="281"/>
      <c r="CT79" s="281"/>
      <c r="CU79" s="281"/>
      <c r="CV79" s="281"/>
      <c r="CW79" s="281"/>
      <c r="CX79" s="281"/>
      <c r="CY79" s="281"/>
      <c r="CZ79" s="281"/>
      <c r="DA79" s="281"/>
    </row>
    <row r="80" spans="1:105" s="451" customFormat="1" ht="15" hidden="1" customHeight="1" thickBot="1" x14ac:dyDescent="0.35">
      <c r="A80" s="450"/>
      <c r="B80" s="419"/>
      <c r="E80" s="452"/>
      <c r="G80" s="453" t="s">
        <v>306</v>
      </c>
      <c r="H80" s="454"/>
      <c r="I80" s="571">
        <f>I13+I17+I21+I57</f>
        <v>344092.16000000003</v>
      </c>
      <c r="J80" s="571"/>
      <c r="K80" s="571">
        <f>K13+K17+K21+K57</f>
        <v>0</v>
      </c>
      <c r="L80" s="571">
        <f>L13+L17+L21+L57</f>
        <v>344092.16000000003</v>
      </c>
      <c r="M80" s="571"/>
      <c r="N80" s="571">
        <f>N13+N17+N21+N57</f>
        <v>198092.16</v>
      </c>
      <c r="O80" s="571"/>
      <c r="P80" s="571">
        <f>P13+P17+P21+P57</f>
        <v>146000</v>
      </c>
      <c r="Q80" s="571"/>
      <c r="R80" s="571">
        <f>R13+R17+R21+R57</f>
        <v>344092.16000000003</v>
      </c>
      <c r="S80" s="571"/>
      <c r="T80" s="571">
        <f>T13+T17+T21+T57</f>
        <v>0</v>
      </c>
      <c r="U80" s="455"/>
      <c r="V80" s="456"/>
      <c r="W80" s="456"/>
      <c r="X80" s="456"/>
      <c r="Y80" s="456"/>
      <c r="AA80" s="126"/>
      <c r="AB80" s="456"/>
      <c r="AC80" s="456"/>
      <c r="AD80" s="456"/>
      <c r="AE80" s="456"/>
      <c r="AF80" s="456"/>
      <c r="AG80" s="456"/>
      <c r="AH80" s="456"/>
      <c r="AI80" s="456"/>
      <c r="AJ80" s="456"/>
      <c r="AK80" s="456"/>
      <c r="AL80" s="456"/>
      <c r="AM80" s="456"/>
      <c r="AN80" s="456"/>
      <c r="AO80" s="456"/>
      <c r="AP80" s="456"/>
      <c r="AQ80" s="456"/>
      <c r="AR80" s="456"/>
      <c r="AS80" s="456"/>
      <c r="AT80" s="456"/>
      <c r="AU80" s="456"/>
      <c r="AV80" s="456"/>
      <c r="AW80" s="456"/>
      <c r="AX80" s="456"/>
      <c r="AY80" s="456"/>
      <c r="AZ80" s="456"/>
      <c r="BA80" s="456"/>
      <c r="BB80" s="456"/>
      <c r="BC80" s="456"/>
      <c r="BD80" s="456"/>
      <c r="BE80" s="456"/>
      <c r="BF80" s="456"/>
      <c r="BG80" s="456"/>
      <c r="BH80" s="456"/>
      <c r="BI80" s="456"/>
      <c r="BJ80" s="456"/>
      <c r="BK80" s="456"/>
      <c r="BL80" s="456"/>
      <c r="BM80" s="456"/>
      <c r="BN80" s="456"/>
      <c r="BO80" s="456"/>
      <c r="BP80" s="456"/>
      <c r="BQ80" s="456"/>
      <c r="BR80" s="456"/>
      <c r="BS80" s="456"/>
      <c r="BT80" s="456"/>
      <c r="BU80" s="456"/>
      <c r="BV80" s="456"/>
      <c r="BW80" s="456"/>
      <c r="BX80" s="456"/>
      <c r="BY80" s="456"/>
      <c r="BZ80" s="456"/>
      <c r="CA80" s="456"/>
      <c r="CB80" s="456"/>
      <c r="CC80" s="456"/>
      <c r="CD80" s="456"/>
      <c r="CE80" s="456"/>
      <c r="CF80" s="456"/>
      <c r="CG80" s="456"/>
      <c r="CH80" s="456"/>
      <c r="CI80" s="456"/>
      <c r="CJ80" s="456"/>
      <c r="CK80" s="456"/>
      <c r="CL80" s="456"/>
      <c r="CM80" s="456"/>
      <c r="CN80" s="456"/>
      <c r="CO80" s="456"/>
      <c r="CP80" s="456"/>
      <c r="CQ80" s="456"/>
      <c r="CR80" s="456"/>
      <c r="CS80" s="456"/>
      <c r="CT80" s="456"/>
      <c r="CU80" s="456"/>
      <c r="CV80" s="456"/>
      <c r="CW80" s="456"/>
      <c r="CX80" s="456"/>
      <c r="CY80" s="456"/>
      <c r="CZ80" s="456"/>
      <c r="DA80" s="456"/>
    </row>
    <row r="81" spans="1:105" s="275" customFormat="1" ht="13.5" customHeight="1" x14ac:dyDescent="0.3">
      <c r="A81" s="437"/>
      <c r="B81" s="408"/>
      <c r="E81" s="277"/>
      <c r="G81" s="448"/>
      <c r="H81" s="278"/>
      <c r="I81" s="557"/>
      <c r="J81" s="557"/>
      <c r="K81" s="557"/>
      <c r="L81" s="557"/>
      <c r="M81" s="557"/>
      <c r="N81" s="557"/>
      <c r="O81" s="557"/>
      <c r="P81" s="557"/>
      <c r="Q81" s="615"/>
      <c r="R81" s="557"/>
      <c r="S81" s="557"/>
      <c r="T81" s="557"/>
      <c r="U81" s="221"/>
      <c r="V81" s="281"/>
      <c r="W81" s="286"/>
      <c r="X81" s="281"/>
      <c r="Y81" s="280"/>
      <c r="AA81" s="126"/>
      <c r="AB81" s="222"/>
      <c r="AC81" s="281"/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281"/>
      <c r="AP81" s="281"/>
      <c r="AQ81" s="281"/>
      <c r="AR81" s="281"/>
      <c r="AS81" s="281"/>
      <c r="AT81" s="281"/>
      <c r="AU81" s="281"/>
      <c r="AV81" s="281"/>
      <c r="AW81" s="281"/>
      <c r="AX81" s="281"/>
      <c r="AY81" s="281"/>
      <c r="AZ81" s="281"/>
      <c r="BA81" s="281"/>
      <c r="BB81" s="281"/>
      <c r="BC81" s="281"/>
      <c r="BD81" s="281"/>
      <c r="BE81" s="281"/>
      <c r="BF81" s="281"/>
      <c r="BG81" s="281"/>
      <c r="BH81" s="281"/>
      <c r="BI81" s="281"/>
      <c r="BJ81" s="281"/>
      <c r="BK81" s="281"/>
      <c r="BL81" s="281"/>
      <c r="BM81" s="281"/>
      <c r="BN81" s="281"/>
      <c r="BO81" s="281"/>
      <c r="BP81" s="281"/>
      <c r="BQ81" s="281"/>
      <c r="BR81" s="281"/>
      <c r="BS81" s="281"/>
      <c r="BT81" s="281"/>
      <c r="BU81" s="281"/>
      <c r="BV81" s="281"/>
      <c r="BW81" s="281"/>
      <c r="BX81" s="281"/>
      <c r="BY81" s="281"/>
      <c r="BZ81" s="281"/>
      <c r="CA81" s="281"/>
      <c r="CB81" s="281"/>
      <c r="CC81" s="281"/>
      <c r="CD81" s="281"/>
      <c r="CE81" s="281"/>
      <c r="CF81" s="281"/>
      <c r="CG81" s="281"/>
      <c r="CH81" s="281"/>
      <c r="CI81" s="281"/>
      <c r="CJ81" s="281"/>
      <c r="CK81" s="281"/>
      <c r="CL81" s="281"/>
      <c r="CM81" s="281"/>
      <c r="CN81" s="281"/>
      <c r="CO81" s="281"/>
      <c r="CP81" s="281"/>
      <c r="CQ81" s="281"/>
      <c r="CR81" s="281"/>
      <c r="CS81" s="281"/>
      <c r="CT81" s="281"/>
      <c r="CU81" s="281"/>
      <c r="CV81" s="281"/>
      <c r="CW81" s="281"/>
      <c r="CX81" s="281"/>
      <c r="CY81" s="281"/>
      <c r="CZ81" s="281"/>
      <c r="DA81" s="281"/>
    </row>
    <row r="82" spans="1:105" ht="12" customHeight="1" x14ac:dyDescent="0.3">
      <c r="B82" s="408" t="s">
        <v>39</v>
      </c>
      <c r="G82" s="132"/>
      <c r="I82" s="673"/>
      <c r="K82" s="572"/>
      <c r="L82" s="572"/>
      <c r="M82" s="644"/>
      <c r="N82" s="572"/>
      <c r="O82" s="580"/>
      <c r="P82" s="572"/>
      <c r="Q82" s="577"/>
      <c r="R82" s="572"/>
      <c r="S82" s="582"/>
      <c r="T82" s="572"/>
      <c r="U82" s="206"/>
      <c r="W82" s="286"/>
    </row>
    <row r="83" spans="1:105" s="126" customFormat="1" ht="12" hidden="1" customHeight="1" x14ac:dyDescent="0.3">
      <c r="A83" s="435"/>
      <c r="B83" s="408"/>
      <c r="C83" s="138"/>
      <c r="D83" s="138"/>
      <c r="E83" s="207"/>
      <c r="F83" s="138"/>
      <c r="G83" s="132"/>
      <c r="H83" s="136"/>
      <c r="I83" s="673"/>
      <c r="J83" s="574"/>
      <c r="K83" s="572"/>
      <c r="L83" s="572">
        <f>I78+K78</f>
        <v>7503590.8400000017</v>
      </c>
      <c r="M83" s="644"/>
      <c r="N83" s="572"/>
      <c r="O83" s="580"/>
      <c r="P83" s="572"/>
      <c r="Q83" s="577"/>
      <c r="R83" s="572">
        <f>N78+P78</f>
        <v>29348910.689999998</v>
      </c>
      <c r="S83" s="582"/>
      <c r="T83" s="572"/>
      <c r="U83" s="206"/>
      <c r="W83" s="286"/>
      <c r="Z83" s="138"/>
    </row>
    <row r="84" spans="1:105" s="126" customFormat="1" ht="12.75" customHeight="1" x14ac:dyDescent="0.3">
      <c r="A84" s="438" t="s">
        <v>10</v>
      </c>
      <c r="B84" s="418" t="s">
        <v>178</v>
      </c>
      <c r="C84" s="418"/>
      <c r="D84" s="418"/>
      <c r="E84" s="418"/>
      <c r="F84" s="418"/>
      <c r="G84" s="418"/>
      <c r="H84" s="418"/>
      <c r="I84" s="567"/>
      <c r="J84" s="567"/>
      <c r="K84" s="567"/>
      <c r="L84" s="567"/>
      <c r="M84" s="567"/>
      <c r="N84" s="567"/>
      <c r="O84" s="656"/>
      <c r="P84" s="377"/>
      <c r="Q84" s="657"/>
      <c r="R84" s="377"/>
      <c r="S84" s="658"/>
      <c r="T84" s="377"/>
      <c r="U84" s="294"/>
      <c r="W84" s="127"/>
      <c r="Z84" s="138"/>
    </row>
    <row r="85" spans="1:105" s="126" customFormat="1" ht="2.15" hidden="1" customHeight="1" x14ac:dyDescent="0.3">
      <c r="A85" s="439" t="s">
        <v>12</v>
      </c>
      <c r="B85" s="408" t="s">
        <v>179</v>
      </c>
      <c r="C85" s="138"/>
      <c r="D85" s="138"/>
      <c r="E85" s="207"/>
      <c r="F85" s="138"/>
      <c r="G85" s="138"/>
      <c r="H85" s="136"/>
      <c r="I85" s="573"/>
      <c r="J85" s="574"/>
      <c r="K85" s="563"/>
      <c r="L85" s="646"/>
      <c r="M85" s="646"/>
      <c r="N85" s="656"/>
      <c r="O85" s="656"/>
      <c r="P85" s="377"/>
      <c r="Q85" s="657"/>
      <c r="R85" s="656"/>
      <c r="S85" s="658"/>
      <c r="T85" s="377"/>
      <c r="U85" s="294"/>
      <c r="W85" s="127"/>
      <c r="Z85" s="138"/>
    </row>
    <row r="86" spans="1:105" s="126" customFormat="1" ht="2.15" hidden="1" customHeight="1" x14ac:dyDescent="0.3">
      <c r="A86" s="439" t="s">
        <v>13</v>
      </c>
      <c r="B86" s="408" t="s">
        <v>180</v>
      </c>
      <c r="C86" s="138"/>
      <c r="D86" s="138"/>
      <c r="E86" s="207"/>
      <c r="F86" s="138"/>
      <c r="G86" s="138"/>
      <c r="H86" s="136"/>
      <c r="I86" s="573"/>
      <c r="J86" s="574"/>
      <c r="K86" s="563"/>
      <c r="L86" s="646"/>
      <c r="M86" s="646"/>
      <c r="N86" s="656"/>
      <c r="O86" s="656"/>
      <c r="P86" s="377"/>
      <c r="Q86" s="657"/>
      <c r="R86" s="656"/>
      <c r="S86" s="658"/>
      <c r="T86" s="377"/>
      <c r="U86" s="294"/>
      <c r="W86" s="127"/>
      <c r="Z86" s="138"/>
      <c r="AA86" s="2"/>
    </row>
    <row r="87" spans="1:105" s="126" customFormat="1" ht="2.15" hidden="1" customHeight="1" x14ac:dyDescent="0.3">
      <c r="A87" s="439" t="s">
        <v>14</v>
      </c>
      <c r="B87" s="408" t="s">
        <v>181</v>
      </c>
      <c r="C87" s="138"/>
      <c r="D87" s="138"/>
      <c r="E87" s="207"/>
      <c r="F87" s="138"/>
      <c r="G87" s="138"/>
      <c r="H87" s="136"/>
      <c r="I87" s="573"/>
      <c r="J87" s="574"/>
      <c r="K87" s="563"/>
      <c r="L87" s="646"/>
      <c r="M87" s="646"/>
      <c r="N87" s="377"/>
      <c r="O87" s="656"/>
      <c r="P87" s="377"/>
      <c r="Q87" s="657"/>
      <c r="R87" s="377"/>
      <c r="S87" s="658"/>
      <c r="T87" s="377"/>
      <c r="U87" s="294"/>
      <c r="W87" s="127"/>
      <c r="Z87" s="138"/>
      <c r="AA87" s="2"/>
    </row>
    <row r="88" spans="1:105" s="126" customFormat="1" ht="2.15" hidden="1" customHeight="1" x14ac:dyDescent="0.3">
      <c r="A88" s="439" t="s">
        <v>15</v>
      </c>
      <c r="B88" s="408" t="s">
        <v>182</v>
      </c>
      <c r="C88" s="138"/>
      <c r="D88" s="138"/>
      <c r="E88" s="207"/>
      <c r="F88" s="138"/>
      <c r="G88" s="138"/>
      <c r="H88" s="136"/>
      <c r="I88" s="573"/>
      <c r="J88" s="574"/>
      <c r="K88" s="563"/>
      <c r="L88" s="646"/>
      <c r="M88" s="646"/>
      <c r="N88" s="656"/>
      <c r="O88" s="656"/>
      <c r="P88" s="377"/>
      <c r="Q88" s="657"/>
      <c r="R88" s="656"/>
      <c r="S88" s="658"/>
      <c r="T88" s="377"/>
      <c r="U88" s="294"/>
      <c r="W88" s="127"/>
      <c r="Z88" s="138"/>
      <c r="AA88" s="2"/>
    </row>
    <row r="89" spans="1:105" s="126" customFormat="1" ht="2.15" hidden="1" customHeight="1" x14ac:dyDescent="0.3">
      <c r="A89" s="439" t="s">
        <v>16</v>
      </c>
      <c r="B89" s="408" t="s">
        <v>183</v>
      </c>
      <c r="C89" s="296"/>
      <c r="D89" s="296"/>
      <c r="E89" s="297"/>
      <c r="F89" s="296"/>
      <c r="G89" s="138"/>
      <c r="H89" s="136"/>
      <c r="I89" s="573"/>
      <c r="J89" s="574"/>
      <c r="K89" s="563"/>
      <c r="L89" s="646"/>
      <c r="M89" s="646"/>
      <c r="N89" s="377"/>
      <c r="O89" s="656"/>
      <c r="P89" s="377"/>
      <c r="Q89" s="657"/>
      <c r="R89" s="377"/>
      <c r="S89" s="658"/>
      <c r="T89" s="377"/>
      <c r="U89" s="294"/>
      <c r="W89" s="127"/>
      <c r="Z89" s="138"/>
    </row>
    <row r="90" spans="1:105" s="126" customFormat="1" ht="12.75" hidden="1" customHeight="1" x14ac:dyDescent="0.3">
      <c r="A90" s="439"/>
      <c r="B90" s="408"/>
      <c r="C90" s="296"/>
      <c r="D90" s="296"/>
      <c r="E90" s="297"/>
      <c r="F90" s="296"/>
      <c r="G90" s="138"/>
      <c r="H90" s="136"/>
      <c r="I90" s="573"/>
      <c r="J90" s="574"/>
      <c r="K90" s="563"/>
      <c r="L90" s="646"/>
      <c r="M90" s="646"/>
      <c r="N90" s="377"/>
      <c r="O90" s="656"/>
      <c r="P90" s="377"/>
      <c r="Q90" s="657"/>
      <c r="R90" s="377"/>
      <c r="S90" s="658"/>
      <c r="T90" s="377"/>
      <c r="U90" s="294"/>
      <c r="W90" s="127"/>
      <c r="Z90" s="138"/>
    </row>
    <row r="91" spans="1:105" s="126" customFormat="1" ht="12.75" customHeight="1" x14ac:dyDescent="0.3">
      <c r="A91" s="438" t="s">
        <v>11</v>
      </c>
      <c r="B91" s="413" t="s">
        <v>184</v>
      </c>
      <c r="C91" s="138"/>
      <c r="D91" s="138"/>
      <c r="E91" s="207"/>
      <c r="F91" s="138"/>
      <c r="G91" s="138"/>
      <c r="H91" s="136"/>
      <c r="I91" s="573"/>
      <c r="J91" s="574"/>
      <c r="K91" s="563"/>
      <c r="L91" s="646"/>
      <c r="M91" s="646"/>
      <c r="N91" s="377"/>
      <c r="O91" s="656"/>
      <c r="P91" s="377"/>
      <c r="Q91" s="657"/>
      <c r="R91" s="377"/>
      <c r="S91" s="658"/>
      <c r="T91" s="377"/>
      <c r="U91" s="294"/>
      <c r="W91" s="127"/>
      <c r="Y91" s="262"/>
      <c r="Z91" s="138"/>
    </row>
    <row r="92" spans="1:105" s="126" customFormat="1" hidden="1" x14ac:dyDescent="0.3">
      <c r="A92" s="435"/>
      <c r="B92" s="408"/>
      <c r="C92" s="138"/>
      <c r="D92" s="138"/>
      <c r="E92" s="207"/>
      <c r="F92" s="138"/>
      <c r="G92" s="448" t="s">
        <v>327</v>
      </c>
      <c r="H92" s="136"/>
      <c r="I92" s="573"/>
      <c r="J92" s="574"/>
      <c r="K92" s="563">
        <f>K26+K34+K52</f>
        <v>82584.549999999988</v>
      </c>
      <c r="L92" s="646"/>
      <c r="M92" s="646"/>
      <c r="N92" s="377"/>
      <c r="O92" s="656"/>
      <c r="P92" s="377"/>
      <c r="Q92" s="657"/>
      <c r="R92" s="377"/>
      <c r="S92" s="658"/>
      <c r="T92" s="377"/>
      <c r="U92" s="294"/>
      <c r="W92" s="127"/>
      <c r="Z92" s="138"/>
    </row>
    <row r="93" spans="1:105" s="126" customFormat="1" hidden="1" x14ac:dyDescent="0.3">
      <c r="A93" s="435"/>
      <c r="B93" s="408"/>
      <c r="C93" s="138"/>
      <c r="D93" s="138"/>
      <c r="E93" s="207"/>
      <c r="F93" s="138"/>
      <c r="G93" s="448">
        <v>182.3</v>
      </c>
      <c r="H93" s="136"/>
      <c r="I93" s="573">
        <f>I7+I11+I13+I17+I21</f>
        <v>2882513.4400000004</v>
      </c>
      <c r="J93" s="573"/>
      <c r="K93" s="573"/>
      <c r="L93" s="573">
        <f>L7+L11+L13+L17+L21</f>
        <v>2882513.4400000004</v>
      </c>
      <c r="M93" s="646"/>
      <c r="N93" s="377"/>
      <c r="O93" s="656"/>
      <c r="P93" s="377"/>
      <c r="Q93" s="657"/>
      <c r="R93" s="377"/>
      <c r="S93" s="658"/>
      <c r="T93" s="377"/>
      <c r="U93" s="294"/>
      <c r="W93" s="127"/>
      <c r="Z93" s="138"/>
    </row>
    <row r="94" spans="1:105" s="126" customFormat="1" hidden="1" x14ac:dyDescent="0.3">
      <c r="A94" s="435"/>
      <c r="B94" s="342"/>
      <c r="C94" s="138"/>
      <c r="D94" s="138"/>
      <c r="E94" s="207"/>
      <c r="F94" s="138"/>
      <c r="G94" s="448" t="s">
        <v>308</v>
      </c>
      <c r="H94" s="136"/>
      <c r="I94" s="573">
        <f>I66</f>
        <v>10539561.48</v>
      </c>
      <c r="J94" s="573"/>
      <c r="K94" s="573"/>
      <c r="L94" s="573">
        <f>L66</f>
        <v>10539561.48</v>
      </c>
      <c r="M94" s="573"/>
      <c r="N94" s="573"/>
      <c r="O94" s="656"/>
      <c r="P94" s="377"/>
      <c r="Q94" s="657"/>
      <c r="R94" s="377"/>
      <c r="S94" s="658"/>
      <c r="T94" s="377"/>
      <c r="U94" s="294"/>
      <c r="W94" s="127"/>
      <c r="Z94" s="138"/>
    </row>
    <row r="95" spans="1:105" s="126" customFormat="1" ht="13.5" hidden="1" thickBot="1" x14ac:dyDescent="0.35">
      <c r="A95" s="435"/>
      <c r="B95" s="408"/>
      <c r="C95" s="138"/>
      <c r="D95" s="138"/>
      <c r="E95" s="207"/>
      <c r="F95" s="138"/>
      <c r="G95" s="138"/>
      <c r="H95" s="136"/>
      <c r="I95" s="564">
        <f>SUM(I93:I94)</f>
        <v>13422074.920000002</v>
      </c>
      <c r="J95" s="564"/>
      <c r="K95" s="564">
        <f t="shared" ref="K95:L95" si="1">SUM(K93:K94)</f>
        <v>0</v>
      </c>
      <c r="L95" s="564">
        <f t="shared" si="1"/>
        <v>13422074.920000002</v>
      </c>
      <c r="M95" s="646"/>
      <c r="N95" s="377"/>
      <c r="O95" s="656"/>
      <c r="P95" s="377"/>
      <c r="Q95" s="657"/>
      <c r="R95" s="377"/>
      <c r="S95" s="658"/>
      <c r="T95" s="377"/>
      <c r="U95" s="294"/>
      <c r="W95" s="127"/>
      <c r="Z95" s="138"/>
    </row>
    <row r="96" spans="1:105" s="126" customFormat="1" x14ac:dyDescent="0.3">
      <c r="A96" s="435"/>
      <c r="B96" s="408"/>
      <c r="C96" s="138"/>
      <c r="D96" s="138"/>
      <c r="E96" s="207"/>
      <c r="F96" s="138"/>
      <c r="G96" s="138"/>
      <c r="H96" s="136"/>
      <c r="I96" s="573"/>
      <c r="J96" s="574"/>
      <c r="K96" s="563"/>
      <c r="L96" s="646"/>
      <c r="M96" s="646"/>
      <c r="N96" s="377"/>
      <c r="O96" s="656"/>
      <c r="P96" s="377"/>
      <c r="Q96" s="657"/>
      <c r="R96" s="377"/>
      <c r="S96" s="658"/>
      <c r="T96" s="377"/>
      <c r="U96" s="294"/>
      <c r="W96" s="127"/>
      <c r="Z96" s="138"/>
    </row>
    <row r="97" spans="1:26" s="126" customFormat="1" x14ac:dyDescent="0.3">
      <c r="A97" s="435"/>
      <c r="B97" s="408"/>
      <c r="C97" s="138"/>
      <c r="D97" s="138"/>
      <c r="E97" s="207"/>
      <c r="F97" s="138"/>
      <c r="G97" s="138"/>
      <c r="H97" s="136"/>
      <c r="I97" s="573"/>
      <c r="J97" s="574"/>
      <c r="K97" s="563"/>
      <c r="L97" s="646"/>
      <c r="M97" s="646"/>
      <c r="N97" s="627"/>
      <c r="O97" s="656"/>
      <c r="P97" s="377"/>
      <c r="Q97" s="657"/>
      <c r="R97" s="377"/>
      <c r="S97" s="658"/>
      <c r="T97" s="377"/>
      <c r="U97" s="294"/>
      <c r="W97" s="127"/>
      <c r="Z97" s="138"/>
    </row>
    <row r="98" spans="1:26" s="126" customFormat="1" x14ac:dyDescent="0.3">
      <c r="A98" s="435"/>
      <c r="B98" s="408"/>
      <c r="C98" s="138"/>
      <c r="D98" s="138"/>
      <c r="E98" s="207"/>
      <c r="F98" s="138"/>
      <c r="G98" s="138"/>
      <c r="H98" s="136"/>
      <c r="I98" s="573"/>
      <c r="J98" s="574"/>
      <c r="K98" s="563"/>
      <c r="L98" s="646"/>
      <c r="M98" s="646"/>
      <c r="N98" s="627"/>
      <c r="O98" s="656"/>
      <c r="P98" s="377"/>
      <c r="Q98" s="657"/>
      <c r="R98" s="377"/>
      <c r="S98" s="658"/>
      <c r="T98" s="377"/>
      <c r="U98" s="294"/>
      <c r="W98" s="127"/>
      <c r="Z98" s="138"/>
    </row>
    <row r="99" spans="1:26" s="126" customFormat="1" x14ac:dyDescent="0.3">
      <c r="A99" s="435"/>
      <c r="B99" s="408"/>
      <c r="C99" s="138"/>
      <c r="D99" s="138"/>
      <c r="E99" s="207"/>
      <c r="F99" s="138"/>
      <c r="G99" s="138"/>
      <c r="H99" s="136"/>
      <c r="I99" s="573"/>
      <c r="J99" s="574"/>
      <c r="K99" s="563"/>
      <c r="L99" s="646"/>
      <c r="M99" s="646"/>
      <c r="N99" s="627"/>
      <c r="O99" s="656"/>
      <c r="P99" s="377"/>
      <c r="Q99" s="657"/>
      <c r="R99" s="377"/>
      <c r="S99" s="658"/>
      <c r="T99" s="377"/>
      <c r="U99" s="294"/>
      <c r="W99" s="127"/>
      <c r="Z99" s="138"/>
    </row>
    <row r="100" spans="1:26" s="126" customFormat="1" x14ac:dyDescent="0.3">
      <c r="A100" s="435"/>
      <c r="B100" s="408"/>
      <c r="C100" s="138"/>
      <c r="D100" s="138"/>
      <c r="E100" s="207"/>
      <c r="F100" s="138"/>
      <c r="G100" s="138"/>
      <c r="H100" s="136"/>
      <c r="I100" s="573"/>
      <c r="J100" s="574"/>
      <c r="K100" s="563"/>
      <c r="L100" s="646"/>
      <c r="M100" s="646"/>
      <c r="N100" s="627"/>
      <c r="O100" s="656"/>
      <c r="P100" s="377"/>
      <c r="Q100" s="657"/>
      <c r="R100" s="377"/>
      <c r="S100" s="658"/>
      <c r="T100" s="377"/>
      <c r="U100" s="294"/>
      <c r="W100" s="127"/>
      <c r="Z100" s="138"/>
    </row>
    <row r="101" spans="1:26" s="126" customFormat="1" x14ac:dyDescent="0.3">
      <c r="A101" s="435"/>
      <c r="B101" s="408"/>
      <c r="C101" s="138"/>
      <c r="D101" s="138"/>
      <c r="E101" s="207"/>
      <c r="F101" s="138"/>
      <c r="G101" s="138"/>
      <c r="H101" s="136"/>
      <c r="I101" s="573"/>
      <c r="J101" s="574"/>
      <c r="K101" s="563"/>
      <c r="L101" s="646"/>
      <c r="M101" s="646"/>
      <c r="N101" s="627"/>
      <c r="O101" s="656"/>
      <c r="P101" s="377"/>
      <c r="Q101" s="657"/>
      <c r="R101" s="377"/>
      <c r="S101" s="658"/>
      <c r="T101" s="377"/>
      <c r="U101" s="294"/>
      <c r="W101" s="127"/>
      <c r="Z101" s="138"/>
    </row>
    <row r="102" spans="1:26" s="126" customFormat="1" x14ac:dyDescent="0.3">
      <c r="A102" s="435"/>
      <c r="B102" s="408"/>
      <c r="C102" s="138"/>
      <c r="D102" s="138"/>
      <c r="E102" s="207"/>
      <c r="F102" s="138"/>
      <c r="G102" s="138"/>
      <c r="H102" s="136"/>
      <c r="I102" s="573"/>
      <c r="J102" s="574"/>
      <c r="K102" s="563"/>
      <c r="L102" s="646"/>
      <c r="M102" s="646"/>
      <c r="N102" s="627"/>
      <c r="O102" s="656"/>
      <c r="P102" s="377"/>
      <c r="Q102" s="657"/>
      <c r="R102" s="377"/>
      <c r="S102" s="658"/>
      <c r="T102" s="377"/>
      <c r="U102" s="294"/>
      <c r="W102" s="127"/>
      <c r="Z102" s="138"/>
    </row>
    <row r="103" spans="1:26" s="126" customFormat="1" x14ac:dyDescent="0.3">
      <c r="A103" s="435"/>
      <c r="B103" s="408"/>
      <c r="C103" s="138"/>
      <c r="D103" s="138"/>
      <c r="E103" s="207"/>
      <c r="F103" s="138"/>
      <c r="G103" s="138"/>
      <c r="H103" s="136"/>
      <c r="I103" s="573"/>
      <c r="J103" s="574"/>
      <c r="K103" s="563"/>
      <c r="L103" s="646"/>
      <c r="M103" s="646"/>
      <c r="N103" s="627"/>
      <c r="O103" s="656"/>
      <c r="P103" s="377"/>
      <c r="Q103" s="657"/>
      <c r="R103" s="377"/>
      <c r="S103" s="658"/>
      <c r="T103" s="377"/>
      <c r="U103" s="294"/>
      <c r="W103" s="127"/>
      <c r="Z103" s="138"/>
    </row>
    <row r="104" spans="1:26" s="126" customFormat="1" x14ac:dyDescent="0.3">
      <c r="A104" s="435"/>
      <c r="B104" s="408"/>
      <c r="C104" s="138"/>
      <c r="D104" s="138"/>
      <c r="E104" s="207"/>
      <c r="F104" s="138"/>
      <c r="G104" s="138"/>
      <c r="H104" s="136"/>
      <c r="I104" s="573"/>
      <c r="J104" s="574"/>
      <c r="K104" s="563"/>
      <c r="L104" s="646"/>
      <c r="M104" s="646"/>
      <c r="N104" s="627"/>
      <c r="O104" s="656"/>
      <c r="P104" s="377"/>
      <c r="Q104" s="657"/>
      <c r="R104" s="377"/>
      <c r="S104" s="658"/>
      <c r="T104" s="377"/>
      <c r="U104" s="294"/>
      <c r="W104" s="127"/>
      <c r="Z104" s="138"/>
    </row>
    <row r="105" spans="1:26" s="126" customFormat="1" x14ac:dyDescent="0.3">
      <c r="A105" s="435"/>
      <c r="B105" s="408"/>
      <c r="C105" s="138"/>
      <c r="D105" s="138"/>
      <c r="E105" s="207"/>
      <c r="F105" s="138"/>
      <c r="G105" s="138"/>
      <c r="H105" s="136"/>
      <c r="I105" s="573"/>
      <c r="J105" s="574"/>
      <c r="K105" s="563"/>
      <c r="L105" s="646"/>
      <c r="M105" s="646"/>
      <c r="N105" s="627"/>
      <c r="O105" s="656"/>
      <c r="P105" s="377"/>
      <c r="Q105" s="657"/>
      <c r="R105" s="377"/>
      <c r="S105" s="658"/>
      <c r="T105" s="377"/>
      <c r="U105" s="294"/>
      <c r="W105" s="127"/>
      <c r="Z105" s="138"/>
    </row>
    <row r="106" spans="1:26" s="126" customFormat="1" x14ac:dyDescent="0.3">
      <c r="A106" s="435"/>
      <c r="B106" s="408"/>
      <c r="C106" s="138"/>
      <c r="D106" s="138"/>
      <c r="E106" s="207"/>
      <c r="F106" s="138"/>
      <c r="G106" s="138"/>
      <c r="H106" s="136"/>
      <c r="I106" s="573"/>
      <c r="J106" s="574"/>
      <c r="K106" s="563"/>
      <c r="L106" s="646"/>
      <c r="M106" s="646"/>
      <c r="N106" s="627"/>
      <c r="O106" s="656"/>
      <c r="P106" s="377"/>
      <c r="Q106" s="657"/>
      <c r="R106" s="377"/>
      <c r="S106" s="658"/>
      <c r="T106" s="377"/>
      <c r="U106" s="294"/>
      <c r="W106" s="127"/>
      <c r="Z106" s="138"/>
    </row>
    <row r="107" spans="1:26" s="126" customFormat="1" x14ac:dyDescent="0.3">
      <c r="A107" s="435"/>
      <c r="B107" s="408"/>
      <c r="C107" s="138"/>
      <c r="D107" s="138"/>
      <c r="E107" s="207"/>
      <c r="F107" s="138"/>
      <c r="G107" s="138"/>
      <c r="H107" s="136"/>
      <c r="I107" s="573"/>
      <c r="J107" s="574"/>
      <c r="K107" s="563"/>
      <c r="L107" s="646"/>
      <c r="M107" s="646"/>
      <c r="N107" s="627"/>
      <c r="O107" s="656"/>
      <c r="P107" s="377"/>
      <c r="Q107" s="657"/>
      <c r="R107" s="377"/>
      <c r="S107" s="658"/>
      <c r="T107" s="377"/>
      <c r="U107" s="294"/>
      <c r="W107" s="127"/>
      <c r="Z107" s="138"/>
    </row>
    <row r="108" spans="1:26" s="126" customFormat="1" x14ac:dyDescent="0.3">
      <c r="A108" s="435"/>
      <c r="B108" s="408"/>
      <c r="C108" s="138"/>
      <c r="D108" s="138"/>
      <c r="E108" s="207"/>
      <c r="F108" s="138"/>
      <c r="G108" s="138"/>
      <c r="H108" s="136"/>
      <c r="I108" s="573"/>
      <c r="J108" s="574"/>
      <c r="K108" s="563"/>
      <c r="L108" s="646"/>
      <c r="M108" s="646"/>
      <c r="N108" s="627"/>
      <c r="O108" s="656"/>
      <c r="P108" s="377"/>
      <c r="Q108" s="657"/>
      <c r="R108" s="377"/>
      <c r="S108" s="658"/>
      <c r="T108" s="377"/>
      <c r="U108" s="294"/>
      <c r="W108" s="127"/>
      <c r="Z108" s="138"/>
    </row>
    <row r="109" spans="1:26" s="126" customFormat="1" x14ac:dyDescent="0.3">
      <c r="A109" s="435"/>
      <c r="B109" s="408"/>
      <c r="C109" s="138"/>
      <c r="D109" s="138"/>
      <c r="E109" s="207"/>
      <c r="F109" s="138"/>
      <c r="G109" s="138"/>
      <c r="H109" s="136"/>
      <c r="I109" s="573"/>
      <c r="J109" s="574"/>
      <c r="K109" s="563"/>
      <c r="L109" s="646"/>
      <c r="M109" s="646"/>
      <c r="N109" s="627"/>
      <c r="O109" s="656"/>
      <c r="P109" s="377"/>
      <c r="Q109" s="657"/>
      <c r="R109" s="377"/>
      <c r="S109" s="658"/>
      <c r="T109" s="377"/>
      <c r="U109" s="294"/>
      <c r="W109" s="127"/>
      <c r="Z109" s="138"/>
    </row>
    <row r="110" spans="1:26" s="126" customFormat="1" x14ac:dyDescent="0.3">
      <c r="A110" s="435"/>
      <c r="B110" s="408"/>
      <c r="C110" s="138"/>
      <c r="D110" s="138"/>
      <c r="E110" s="207"/>
      <c r="F110" s="138"/>
      <c r="G110" s="138"/>
      <c r="H110" s="136"/>
      <c r="I110" s="573"/>
      <c r="J110" s="574"/>
      <c r="K110" s="563"/>
      <c r="L110" s="646"/>
      <c r="M110" s="646"/>
      <c r="N110" s="627"/>
      <c r="O110" s="656"/>
      <c r="P110" s="377"/>
      <c r="Q110" s="657"/>
      <c r="R110" s="377"/>
      <c r="S110" s="658"/>
      <c r="T110" s="377"/>
      <c r="U110" s="294"/>
      <c r="W110" s="127"/>
      <c r="Z110" s="138"/>
    </row>
    <row r="111" spans="1:26" s="126" customFormat="1" x14ac:dyDescent="0.3">
      <c r="A111" s="435"/>
      <c r="B111" s="408"/>
      <c r="C111" s="138"/>
      <c r="D111" s="138"/>
      <c r="E111" s="207"/>
      <c r="F111" s="138"/>
      <c r="G111" s="138"/>
      <c r="H111" s="136"/>
      <c r="I111" s="573"/>
      <c r="J111" s="574"/>
      <c r="K111" s="563"/>
      <c r="L111" s="646"/>
      <c r="M111" s="646"/>
      <c r="N111" s="627"/>
      <c r="O111" s="656"/>
      <c r="P111" s="377"/>
      <c r="Q111" s="657"/>
      <c r="R111" s="377"/>
      <c r="S111" s="658"/>
      <c r="T111" s="377"/>
      <c r="U111" s="294"/>
      <c r="W111" s="127"/>
      <c r="Z111" s="138"/>
    </row>
    <row r="112" spans="1:26" s="126" customFormat="1" x14ac:dyDescent="0.3">
      <c r="A112" s="435"/>
      <c r="B112" s="408"/>
      <c r="C112" s="138"/>
      <c r="D112" s="138"/>
      <c r="E112" s="207"/>
      <c r="F112" s="138"/>
      <c r="G112" s="138"/>
      <c r="H112" s="136"/>
      <c r="I112" s="573"/>
      <c r="J112" s="574"/>
      <c r="K112" s="563"/>
      <c r="L112" s="646"/>
      <c r="M112" s="646"/>
      <c r="N112" s="627"/>
      <c r="O112" s="656"/>
      <c r="P112" s="377"/>
      <c r="Q112" s="657"/>
      <c r="R112" s="377"/>
      <c r="S112" s="658"/>
      <c r="T112" s="377"/>
      <c r="U112" s="294"/>
      <c r="W112" s="127"/>
      <c r="Z112" s="138"/>
    </row>
    <row r="113" spans="1:26" s="126" customFormat="1" x14ac:dyDescent="0.3">
      <c r="A113" s="435"/>
      <c r="B113" s="408"/>
      <c r="C113" s="138"/>
      <c r="D113" s="138"/>
      <c r="E113" s="207"/>
      <c r="F113" s="138"/>
      <c r="G113" s="138"/>
      <c r="H113" s="136"/>
      <c r="I113" s="573"/>
      <c r="J113" s="574"/>
      <c r="K113" s="563"/>
      <c r="L113" s="646"/>
      <c r="M113" s="646"/>
      <c r="N113" s="627"/>
      <c r="O113" s="656"/>
      <c r="P113" s="377"/>
      <c r="Q113" s="657"/>
      <c r="R113" s="377"/>
      <c r="S113" s="658"/>
      <c r="T113" s="377"/>
      <c r="U113" s="294"/>
      <c r="W113" s="127"/>
      <c r="Z113" s="138"/>
    </row>
    <row r="114" spans="1:26" s="126" customFormat="1" x14ac:dyDescent="0.3">
      <c r="A114" s="435"/>
      <c r="B114" s="408"/>
      <c r="C114" s="138"/>
      <c r="D114" s="138"/>
      <c r="E114" s="207"/>
      <c r="F114" s="138"/>
      <c r="G114" s="138"/>
      <c r="H114" s="136"/>
      <c r="I114" s="573"/>
      <c r="J114" s="574"/>
      <c r="K114" s="563"/>
      <c r="L114" s="646"/>
      <c r="M114" s="646"/>
      <c r="N114" s="627"/>
      <c r="O114" s="656"/>
      <c r="P114" s="377"/>
      <c r="Q114" s="657"/>
      <c r="R114" s="377"/>
      <c r="S114" s="658"/>
      <c r="T114" s="377"/>
      <c r="U114" s="294"/>
      <c r="W114" s="127"/>
      <c r="Z114" s="138"/>
    </row>
    <row r="115" spans="1:26" s="126" customFormat="1" x14ac:dyDescent="0.3">
      <c r="A115" s="435"/>
      <c r="B115" s="408"/>
      <c r="C115" s="138"/>
      <c r="D115" s="138"/>
      <c r="E115" s="207"/>
      <c r="F115" s="138"/>
      <c r="G115" s="138"/>
      <c r="H115" s="136"/>
      <c r="I115" s="573"/>
      <c r="J115" s="574"/>
      <c r="K115" s="563"/>
      <c r="L115" s="646"/>
      <c r="M115" s="646"/>
      <c r="N115" s="627"/>
      <c r="O115" s="656"/>
      <c r="P115" s="377"/>
      <c r="Q115" s="657"/>
      <c r="R115" s="377"/>
      <c r="S115" s="658"/>
      <c r="T115" s="377"/>
      <c r="U115" s="294"/>
      <c r="W115" s="127"/>
      <c r="Z115" s="138"/>
    </row>
    <row r="116" spans="1:26" s="126" customFormat="1" x14ac:dyDescent="0.3">
      <c r="A116" s="435"/>
      <c r="B116" s="408"/>
      <c r="C116" s="138"/>
      <c r="D116" s="138"/>
      <c r="E116" s="207"/>
      <c r="F116" s="138"/>
      <c r="G116" s="138"/>
      <c r="H116" s="136"/>
      <c r="I116" s="573"/>
      <c r="J116" s="574"/>
      <c r="K116" s="563"/>
      <c r="L116" s="646"/>
      <c r="M116" s="646"/>
      <c r="N116" s="627"/>
      <c r="O116" s="656"/>
      <c r="P116" s="377"/>
      <c r="Q116" s="657"/>
      <c r="R116" s="377"/>
      <c r="S116" s="658"/>
      <c r="T116" s="377"/>
      <c r="U116" s="294"/>
      <c r="W116" s="127"/>
      <c r="Z116" s="138"/>
    </row>
    <row r="117" spans="1:26" s="126" customFormat="1" x14ac:dyDescent="0.3">
      <c r="A117" s="435"/>
      <c r="B117" s="408"/>
      <c r="C117" s="138"/>
      <c r="D117" s="138"/>
      <c r="E117" s="207"/>
      <c r="F117" s="138"/>
      <c r="G117" s="138"/>
      <c r="H117" s="136"/>
      <c r="I117" s="573"/>
      <c r="J117" s="574"/>
      <c r="K117" s="563"/>
      <c r="L117" s="646"/>
      <c r="M117" s="646"/>
      <c r="N117" s="627"/>
      <c r="O117" s="656"/>
      <c r="P117" s="377"/>
      <c r="Q117" s="657"/>
      <c r="R117" s="377"/>
      <c r="S117" s="658"/>
      <c r="T117" s="377"/>
      <c r="U117" s="294"/>
      <c r="W117" s="127"/>
      <c r="Z117" s="138"/>
    </row>
    <row r="118" spans="1:26" s="126" customFormat="1" x14ac:dyDescent="0.3">
      <c r="A118" s="435"/>
      <c r="B118" s="408"/>
      <c r="C118" s="138"/>
      <c r="D118" s="138"/>
      <c r="E118" s="207"/>
      <c r="F118" s="138"/>
      <c r="G118" s="138"/>
      <c r="H118" s="136"/>
      <c r="I118" s="573"/>
      <c r="J118" s="574"/>
      <c r="K118" s="563"/>
      <c r="L118" s="646"/>
      <c r="M118" s="646"/>
      <c r="N118" s="627"/>
      <c r="O118" s="656"/>
      <c r="P118" s="377"/>
      <c r="Q118" s="657"/>
      <c r="R118" s="377"/>
      <c r="S118" s="658"/>
      <c r="T118" s="377"/>
      <c r="U118" s="294"/>
      <c r="W118" s="127"/>
      <c r="Z118" s="138"/>
    </row>
    <row r="119" spans="1:26" s="126" customFormat="1" x14ac:dyDescent="0.3">
      <c r="A119" s="435"/>
      <c r="B119" s="408"/>
      <c r="C119" s="138"/>
      <c r="D119" s="138"/>
      <c r="E119" s="207"/>
      <c r="F119" s="138"/>
      <c r="G119" s="138"/>
      <c r="H119" s="136"/>
      <c r="I119" s="573"/>
      <c r="J119" s="574"/>
      <c r="K119" s="563"/>
      <c r="L119" s="646"/>
      <c r="M119" s="646"/>
      <c r="N119" s="627"/>
      <c r="O119" s="656"/>
      <c r="P119" s="377"/>
      <c r="Q119" s="657"/>
      <c r="R119" s="377"/>
      <c r="S119" s="658"/>
      <c r="T119" s="377"/>
      <c r="U119" s="294"/>
      <c r="W119" s="127"/>
      <c r="Z119" s="138"/>
    </row>
    <row r="120" spans="1:26" s="126" customFormat="1" x14ac:dyDescent="0.3">
      <c r="A120" s="435"/>
      <c r="B120" s="408"/>
      <c r="C120" s="138"/>
      <c r="D120" s="138"/>
      <c r="E120" s="207"/>
      <c r="F120" s="138"/>
      <c r="G120" s="138"/>
      <c r="H120" s="136"/>
      <c r="I120" s="573"/>
      <c r="J120" s="574"/>
      <c r="K120" s="563"/>
      <c r="L120" s="646"/>
      <c r="M120" s="646"/>
      <c r="N120" s="627"/>
      <c r="O120" s="656"/>
      <c r="P120" s="377"/>
      <c r="Q120" s="657"/>
      <c r="R120" s="377"/>
      <c r="S120" s="658"/>
      <c r="T120" s="377"/>
      <c r="U120" s="294"/>
      <c r="W120" s="127"/>
      <c r="Z120" s="138"/>
    </row>
    <row r="121" spans="1:26" s="126" customFormat="1" x14ac:dyDescent="0.3">
      <c r="A121" s="435"/>
      <c r="B121" s="408"/>
      <c r="C121" s="138"/>
      <c r="D121" s="138"/>
      <c r="E121" s="207"/>
      <c r="F121" s="138"/>
      <c r="G121" s="138"/>
      <c r="H121" s="136"/>
      <c r="I121" s="573"/>
      <c r="J121" s="574"/>
      <c r="K121" s="563"/>
      <c r="L121" s="646"/>
      <c r="M121" s="646"/>
      <c r="N121" s="627"/>
      <c r="O121" s="656"/>
      <c r="P121" s="377"/>
      <c r="Q121" s="657"/>
      <c r="R121" s="377"/>
      <c r="S121" s="658"/>
      <c r="T121" s="377"/>
      <c r="U121" s="294"/>
      <c r="W121" s="127"/>
      <c r="Z121" s="138"/>
    </row>
    <row r="122" spans="1:26" s="126" customFormat="1" x14ac:dyDescent="0.3">
      <c r="A122" s="435"/>
      <c r="B122" s="408"/>
      <c r="C122" s="138"/>
      <c r="D122" s="138"/>
      <c r="E122" s="207"/>
      <c r="F122" s="138"/>
      <c r="G122" s="138"/>
      <c r="H122" s="136"/>
      <c r="I122" s="573"/>
      <c r="J122" s="574"/>
      <c r="K122" s="563"/>
      <c r="L122" s="646"/>
      <c r="M122" s="646"/>
      <c r="N122" s="627"/>
      <c r="O122" s="656"/>
      <c r="P122" s="377"/>
      <c r="Q122" s="657"/>
      <c r="R122" s="377"/>
      <c r="S122" s="658"/>
      <c r="T122" s="377"/>
      <c r="U122" s="294"/>
      <c r="W122" s="127"/>
      <c r="Z122" s="138"/>
    </row>
    <row r="123" spans="1:26" s="126" customFormat="1" x14ac:dyDescent="0.3">
      <c r="A123" s="435"/>
      <c r="B123" s="408"/>
      <c r="C123" s="138"/>
      <c r="D123" s="138"/>
      <c r="E123" s="207"/>
      <c r="F123" s="138"/>
      <c r="G123" s="138"/>
      <c r="H123" s="136"/>
      <c r="I123" s="573"/>
      <c r="J123" s="574"/>
      <c r="K123" s="563"/>
      <c r="L123" s="646"/>
      <c r="M123" s="646"/>
      <c r="N123" s="627"/>
      <c r="O123" s="656"/>
      <c r="P123" s="377"/>
      <c r="Q123" s="657"/>
      <c r="R123" s="377"/>
      <c r="S123" s="658"/>
      <c r="T123" s="377"/>
      <c r="U123" s="294"/>
      <c r="W123" s="127"/>
      <c r="Z123" s="138"/>
    </row>
    <row r="124" spans="1:26" s="126" customFormat="1" x14ac:dyDescent="0.3">
      <c r="A124" s="435"/>
      <c r="B124" s="408"/>
      <c r="C124" s="138"/>
      <c r="D124" s="138"/>
      <c r="E124" s="207"/>
      <c r="F124" s="138"/>
      <c r="G124" s="138"/>
      <c r="H124" s="136"/>
      <c r="I124" s="573"/>
      <c r="J124" s="574"/>
      <c r="K124" s="563"/>
      <c r="L124" s="646"/>
      <c r="M124" s="646"/>
      <c r="N124" s="627"/>
      <c r="O124" s="656"/>
      <c r="P124" s="377"/>
      <c r="Q124" s="657"/>
      <c r="R124" s="377"/>
      <c r="S124" s="658"/>
      <c r="T124" s="377"/>
      <c r="U124" s="294"/>
      <c r="W124" s="127"/>
      <c r="Z124" s="138"/>
    </row>
    <row r="125" spans="1:26" s="126" customFormat="1" x14ac:dyDescent="0.3">
      <c r="A125" s="435"/>
      <c r="B125" s="408"/>
      <c r="C125" s="138"/>
      <c r="D125" s="138"/>
      <c r="E125" s="207"/>
      <c r="F125" s="138"/>
      <c r="G125" s="138"/>
      <c r="H125" s="136"/>
      <c r="I125" s="573"/>
      <c r="J125" s="574"/>
      <c r="K125" s="563"/>
      <c r="L125" s="646"/>
      <c r="M125" s="646"/>
      <c r="N125" s="627"/>
      <c r="O125" s="656"/>
      <c r="P125" s="377"/>
      <c r="Q125" s="657"/>
      <c r="R125" s="377"/>
      <c r="S125" s="658"/>
      <c r="T125" s="377"/>
      <c r="U125" s="294"/>
      <c r="W125" s="127"/>
      <c r="Z125" s="138"/>
    </row>
    <row r="126" spans="1:26" s="126" customFormat="1" x14ac:dyDescent="0.3">
      <c r="A126" s="435"/>
      <c r="B126" s="408"/>
      <c r="C126" s="138"/>
      <c r="D126" s="138"/>
      <c r="E126" s="207"/>
      <c r="F126" s="138"/>
      <c r="G126" s="138"/>
      <c r="H126" s="136"/>
      <c r="I126" s="573"/>
      <c r="J126" s="574"/>
      <c r="K126" s="563"/>
      <c r="L126" s="646"/>
      <c r="M126" s="646"/>
      <c r="N126" s="627"/>
      <c r="O126" s="656"/>
      <c r="P126" s="377"/>
      <c r="Q126" s="657"/>
      <c r="R126" s="377"/>
      <c r="S126" s="658"/>
      <c r="T126" s="377"/>
      <c r="U126" s="294"/>
      <c r="W126" s="127"/>
      <c r="Z126" s="138"/>
    </row>
    <row r="127" spans="1:26" s="126" customFormat="1" x14ac:dyDescent="0.3">
      <c r="A127" s="435"/>
      <c r="B127" s="408"/>
      <c r="C127" s="138"/>
      <c r="D127" s="138"/>
      <c r="E127" s="207"/>
      <c r="F127" s="138"/>
      <c r="G127" s="138"/>
      <c r="H127" s="136"/>
      <c r="I127" s="573"/>
      <c r="J127" s="574"/>
      <c r="K127" s="563"/>
      <c r="L127" s="646"/>
      <c r="M127" s="646"/>
      <c r="N127" s="627"/>
      <c r="O127" s="656"/>
      <c r="P127" s="377"/>
      <c r="Q127" s="657"/>
      <c r="R127" s="377"/>
      <c r="S127" s="658"/>
      <c r="T127" s="377"/>
      <c r="U127" s="294"/>
      <c r="W127" s="127"/>
      <c r="Z127" s="138"/>
    </row>
    <row r="128" spans="1:26" s="126" customFormat="1" x14ac:dyDescent="0.3">
      <c r="A128" s="435"/>
      <c r="B128" s="408"/>
      <c r="C128" s="138"/>
      <c r="D128" s="138"/>
      <c r="E128" s="207"/>
      <c r="F128" s="138"/>
      <c r="G128" s="138"/>
      <c r="H128" s="136"/>
      <c r="I128" s="573"/>
      <c r="J128" s="574"/>
      <c r="K128" s="563"/>
      <c r="L128" s="646"/>
      <c r="M128" s="646"/>
      <c r="N128" s="627"/>
      <c r="O128" s="656"/>
      <c r="P128" s="377"/>
      <c r="Q128" s="657"/>
      <c r="R128" s="377"/>
      <c r="S128" s="658"/>
      <c r="T128" s="377"/>
      <c r="U128" s="294"/>
      <c r="W128" s="127"/>
      <c r="Z128" s="138"/>
    </row>
    <row r="129" spans="1:26" s="126" customFormat="1" x14ac:dyDescent="0.3">
      <c r="A129" s="435"/>
      <c r="B129" s="408"/>
      <c r="C129" s="138"/>
      <c r="D129" s="138"/>
      <c r="E129" s="207"/>
      <c r="F129" s="138"/>
      <c r="G129" s="138"/>
      <c r="H129" s="136"/>
      <c r="I129" s="573"/>
      <c r="J129" s="574"/>
      <c r="K129" s="563"/>
      <c r="L129" s="646"/>
      <c r="M129" s="646"/>
      <c r="N129" s="627"/>
      <c r="O129" s="656"/>
      <c r="P129" s="377"/>
      <c r="Q129" s="657"/>
      <c r="R129" s="377"/>
      <c r="S129" s="658"/>
      <c r="T129" s="377"/>
      <c r="U129" s="294"/>
      <c r="W129" s="127"/>
      <c r="Z129" s="138"/>
    </row>
    <row r="130" spans="1:26" s="126" customFormat="1" x14ac:dyDescent="0.3">
      <c r="A130" s="435"/>
      <c r="B130" s="408"/>
      <c r="C130" s="138"/>
      <c r="D130" s="138"/>
      <c r="E130" s="207"/>
      <c r="F130" s="138"/>
      <c r="G130" s="138"/>
      <c r="H130" s="136"/>
      <c r="I130" s="573"/>
      <c r="J130" s="574"/>
      <c r="K130" s="563"/>
      <c r="L130" s="646"/>
      <c r="M130" s="646"/>
      <c r="N130" s="627"/>
      <c r="O130" s="656"/>
      <c r="P130" s="377"/>
      <c r="Q130" s="657"/>
      <c r="R130" s="377"/>
      <c r="S130" s="658"/>
      <c r="T130" s="377"/>
      <c r="U130" s="294"/>
      <c r="W130" s="127"/>
      <c r="Z130" s="138"/>
    </row>
    <row r="131" spans="1:26" s="126" customFormat="1" x14ac:dyDescent="0.3">
      <c r="A131" s="435"/>
      <c r="B131" s="408"/>
      <c r="C131" s="138"/>
      <c r="D131" s="138"/>
      <c r="E131" s="207"/>
      <c r="F131" s="138"/>
      <c r="G131" s="138"/>
      <c r="H131" s="136"/>
      <c r="I131" s="573"/>
      <c r="J131" s="574"/>
      <c r="K131" s="563"/>
      <c r="L131" s="646"/>
      <c r="M131" s="646"/>
      <c r="N131" s="627"/>
      <c r="O131" s="656"/>
      <c r="P131" s="377"/>
      <c r="Q131" s="657"/>
      <c r="R131" s="377"/>
      <c r="S131" s="658"/>
      <c r="T131" s="377"/>
      <c r="U131" s="294"/>
      <c r="W131" s="127"/>
      <c r="Z131" s="138"/>
    </row>
    <row r="132" spans="1:26" s="126" customFormat="1" x14ac:dyDescent="0.3">
      <c r="A132" s="435"/>
      <c r="B132" s="408"/>
      <c r="C132" s="138"/>
      <c r="D132" s="138"/>
      <c r="E132" s="207"/>
      <c r="F132" s="138"/>
      <c r="G132" s="138"/>
      <c r="H132" s="136"/>
      <c r="I132" s="573"/>
      <c r="J132" s="574"/>
      <c r="K132" s="563"/>
      <c r="L132" s="646"/>
      <c r="M132" s="646"/>
      <c r="N132" s="627"/>
      <c r="O132" s="656"/>
      <c r="P132" s="377"/>
      <c r="Q132" s="657"/>
      <c r="R132" s="377"/>
      <c r="S132" s="658"/>
      <c r="T132" s="377"/>
      <c r="U132" s="294"/>
      <c r="W132" s="127"/>
      <c r="Z132" s="138"/>
    </row>
    <row r="133" spans="1:26" s="126" customFormat="1" x14ac:dyDescent="0.3">
      <c r="A133" s="435"/>
      <c r="B133" s="408"/>
      <c r="C133" s="138"/>
      <c r="D133" s="138"/>
      <c r="E133" s="207"/>
      <c r="F133" s="138"/>
      <c r="G133" s="138"/>
      <c r="H133" s="136"/>
      <c r="I133" s="573"/>
      <c r="J133" s="574"/>
      <c r="K133" s="563"/>
      <c r="L133" s="646"/>
      <c r="M133" s="646"/>
      <c r="N133" s="627"/>
      <c r="O133" s="656"/>
      <c r="P133" s="377"/>
      <c r="Q133" s="657"/>
      <c r="R133" s="377"/>
      <c r="S133" s="658"/>
      <c r="T133" s="377"/>
      <c r="U133" s="294"/>
      <c r="W133" s="127"/>
      <c r="Z133" s="138"/>
    </row>
    <row r="134" spans="1:26" s="126" customFormat="1" x14ac:dyDescent="0.3">
      <c r="A134" s="435"/>
      <c r="B134" s="408"/>
      <c r="C134" s="138"/>
      <c r="D134" s="138"/>
      <c r="E134" s="207"/>
      <c r="F134" s="138"/>
      <c r="G134" s="138"/>
      <c r="H134" s="136"/>
      <c r="I134" s="573"/>
      <c r="J134" s="574"/>
      <c r="K134" s="563"/>
      <c r="L134" s="646"/>
      <c r="M134" s="646"/>
      <c r="N134" s="627"/>
      <c r="O134" s="656"/>
      <c r="P134" s="377"/>
      <c r="Q134" s="657"/>
      <c r="R134" s="377"/>
      <c r="S134" s="658"/>
      <c r="T134" s="377"/>
      <c r="U134" s="294"/>
      <c r="W134" s="127"/>
      <c r="Z134" s="138"/>
    </row>
    <row r="135" spans="1:26" s="126" customFormat="1" x14ac:dyDescent="0.3">
      <c r="A135" s="435"/>
      <c r="B135" s="408"/>
      <c r="C135" s="138"/>
      <c r="D135" s="138"/>
      <c r="E135" s="207"/>
      <c r="F135" s="138"/>
      <c r="G135" s="138"/>
      <c r="H135" s="136"/>
      <c r="I135" s="573"/>
      <c r="J135" s="574"/>
      <c r="K135" s="563"/>
      <c r="L135" s="646"/>
      <c r="M135" s="646"/>
      <c r="N135" s="627"/>
      <c r="O135" s="656"/>
      <c r="P135" s="377"/>
      <c r="Q135" s="657"/>
      <c r="R135" s="377"/>
      <c r="S135" s="658"/>
      <c r="T135" s="377"/>
      <c r="U135" s="294"/>
      <c r="W135" s="127"/>
      <c r="Z135" s="138"/>
    </row>
    <row r="136" spans="1:26" s="126" customFormat="1" x14ac:dyDescent="0.3">
      <c r="A136" s="435"/>
      <c r="B136" s="408"/>
      <c r="C136" s="138"/>
      <c r="D136" s="138"/>
      <c r="E136" s="207"/>
      <c r="F136" s="138"/>
      <c r="G136" s="138"/>
      <c r="H136" s="136"/>
      <c r="I136" s="573"/>
      <c r="J136" s="574"/>
      <c r="K136" s="563"/>
      <c r="L136" s="646"/>
      <c r="M136" s="646"/>
      <c r="N136" s="627"/>
      <c r="O136" s="656"/>
      <c r="P136" s="377"/>
      <c r="Q136" s="657"/>
      <c r="R136" s="377"/>
      <c r="S136" s="658"/>
      <c r="T136" s="377"/>
      <c r="U136" s="294"/>
      <c r="W136" s="127"/>
      <c r="Z136" s="138"/>
    </row>
    <row r="137" spans="1:26" s="126" customFormat="1" x14ac:dyDescent="0.3">
      <c r="A137" s="435"/>
      <c r="B137" s="408"/>
      <c r="C137" s="138"/>
      <c r="D137" s="138"/>
      <c r="E137" s="207"/>
      <c r="F137" s="138"/>
      <c r="G137" s="138"/>
      <c r="H137" s="136"/>
      <c r="I137" s="573"/>
      <c r="J137" s="574"/>
      <c r="K137" s="563"/>
      <c r="L137" s="646"/>
      <c r="M137" s="646"/>
      <c r="N137" s="627"/>
      <c r="O137" s="656"/>
      <c r="P137" s="377"/>
      <c r="Q137" s="657"/>
      <c r="R137" s="377"/>
      <c r="S137" s="658"/>
      <c r="T137" s="377"/>
      <c r="U137" s="294"/>
      <c r="W137" s="127"/>
      <c r="Z137" s="138"/>
    </row>
    <row r="138" spans="1:26" s="126" customFormat="1" x14ac:dyDescent="0.3">
      <c r="A138" s="435"/>
      <c r="B138" s="408"/>
      <c r="C138" s="138"/>
      <c r="D138" s="138"/>
      <c r="E138" s="207"/>
      <c r="F138" s="138"/>
      <c r="G138" s="138"/>
      <c r="H138" s="136"/>
      <c r="I138" s="573"/>
      <c r="J138" s="574"/>
      <c r="K138" s="563"/>
      <c r="L138" s="646"/>
      <c r="M138" s="646"/>
      <c r="N138" s="627"/>
      <c r="O138" s="656"/>
      <c r="P138" s="377"/>
      <c r="Q138" s="657"/>
      <c r="R138" s="377"/>
      <c r="S138" s="658"/>
      <c r="T138" s="377"/>
      <c r="U138" s="294"/>
      <c r="W138" s="127"/>
      <c r="Z138" s="138"/>
    </row>
    <row r="139" spans="1:26" s="126" customFormat="1" x14ac:dyDescent="0.3">
      <c r="A139" s="435"/>
      <c r="B139" s="408"/>
      <c r="C139" s="138"/>
      <c r="D139" s="138"/>
      <c r="E139" s="207"/>
      <c r="F139" s="138"/>
      <c r="G139" s="138"/>
      <c r="H139" s="136"/>
      <c r="I139" s="573"/>
      <c r="J139" s="574"/>
      <c r="K139" s="563"/>
      <c r="L139" s="646"/>
      <c r="M139" s="646"/>
      <c r="N139" s="627"/>
      <c r="O139" s="656"/>
      <c r="P139" s="377"/>
      <c r="Q139" s="657"/>
      <c r="R139" s="377"/>
      <c r="S139" s="658"/>
      <c r="T139" s="377"/>
      <c r="U139" s="294"/>
      <c r="W139" s="127"/>
      <c r="Z139" s="138"/>
    </row>
    <row r="140" spans="1:26" s="126" customFormat="1" x14ac:dyDescent="0.3">
      <c r="A140" s="435"/>
      <c r="B140" s="408"/>
      <c r="C140" s="138"/>
      <c r="D140" s="138"/>
      <c r="E140" s="207"/>
      <c r="F140" s="138"/>
      <c r="G140" s="138"/>
      <c r="H140" s="136"/>
      <c r="I140" s="573"/>
      <c r="J140" s="574"/>
      <c r="K140" s="563"/>
      <c r="L140" s="646"/>
      <c r="M140" s="646"/>
      <c r="N140" s="627"/>
      <c r="O140" s="656"/>
      <c r="P140" s="377"/>
      <c r="Q140" s="657"/>
      <c r="R140" s="377"/>
      <c r="S140" s="658"/>
      <c r="T140" s="377"/>
      <c r="U140" s="294"/>
      <c r="W140" s="127"/>
      <c r="Z140" s="138"/>
    </row>
    <row r="141" spans="1:26" s="126" customFormat="1" x14ac:dyDescent="0.3">
      <c r="A141" s="435"/>
      <c r="B141" s="408"/>
      <c r="C141" s="138"/>
      <c r="D141" s="138"/>
      <c r="E141" s="207"/>
      <c r="F141" s="138"/>
      <c r="G141" s="138"/>
      <c r="H141" s="136"/>
      <c r="I141" s="573"/>
      <c r="J141" s="574"/>
      <c r="K141" s="563"/>
      <c r="L141" s="646"/>
      <c r="M141" s="646"/>
      <c r="N141" s="627"/>
      <c r="O141" s="656"/>
      <c r="P141" s="377"/>
      <c r="Q141" s="657"/>
      <c r="R141" s="377"/>
      <c r="S141" s="658"/>
      <c r="T141" s="377"/>
      <c r="U141" s="294"/>
      <c r="W141" s="127"/>
      <c r="Z141" s="138"/>
    </row>
    <row r="142" spans="1:26" s="126" customFormat="1" x14ac:dyDescent="0.3">
      <c r="A142" s="435"/>
      <c r="B142" s="408"/>
      <c r="C142" s="138"/>
      <c r="D142" s="138"/>
      <c r="E142" s="207"/>
      <c r="F142" s="138"/>
      <c r="G142" s="138"/>
      <c r="H142" s="136"/>
      <c r="I142" s="573"/>
      <c r="J142" s="574"/>
      <c r="K142" s="563"/>
      <c r="L142" s="646"/>
      <c r="M142" s="646"/>
      <c r="N142" s="627"/>
      <c r="O142" s="656"/>
      <c r="P142" s="377"/>
      <c r="Q142" s="657"/>
      <c r="R142" s="377"/>
      <c r="S142" s="658"/>
      <c r="T142" s="377"/>
      <c r="U142" s="294"/>
      <c r="W142" s="127"/>
      <c r="Z142" s="138"/>
    </row>
    <row r="143" spans="1:26" s="126" customFormat="1" x14ac:dyDescent="0.3">
      <c r="A143" s="435"/>
      <c r="B143" s="408"/>
      <c r="C143" s="138"/>
      <c r="D143" s="138"/>
      <c r="E143" s="207"/>
      <c r="F143" s="138"/>
      <c r="G143" s="138"/>
      <c r="H143" s="136"/>
      <c r="I143" s="573"/>
      <c r="J143" s="574"/>
      <c r="K143" s="563"/>
      <c r="L143" s="646"/>
      <c r="M143" s="646"/>
      <c r="N143" s="627"/>
      <c r="O143" s="656"/>
      <c r="P143" s="377"/>
      <c r="Q143" s="657"/>
      <c r="R143" s="377"/>
      <c r="S143" s="658"/>
      <c r="T143" s="377"/>
      <c r="U143" s="294"/>
      <c r="W143" s="127"/>
      <c r="Z143" s="138"/>
    </row>
    <row r="144" spans="1:26" s="126" customFormat="1" x14ac:dyDescent="0.3">
      <c r="A144" s="435"/>
      <c r="B144" s="408"/>
      <c r="C144" s="138"/>
      <c r="D144" s="138"/>
      <c r="E144" s="207"/>
      <c r="F144" s="138"/>
      <c r="G144" s="138"/>
      <c r="H144" s="136"/>
      <c r="I144" s="573"/>
      <c r="J144" s="574"/>
      <c r="K144" s="563"/>
      <c r="L144" s="646"/>
      <c r="M144" s="646"/>
      <c r="N144" s="627"/>
      <c r="O144" s="656"/>
      <c r="P144" s="377"/>
      <c r="Q144" s="657"/>
      <c r="R144" s="377"/>
      <c r="S144" s="658"/>
      <c r="T144" s="377"/>
      <c r="U144" s="294"/>
      <c r="W144" s="127"/>
      <c r="Z144" s="138"/>
    </row>
    <row r="145" spans="1:26" s="126" customFormat="1" x14ac:dyDescent="0.3">
      <c r="A145" s="435"/>
      <c r="B145" s="408"/>
      <c r="C145" s="138"/>
      <c r="D145" s="138"/>
      <c r="E145" s="207"/>
      <c r="F145" s="138"/>
      <c r="G145" s="138"/>
      <c r="H145" s="136"/>
      <c r="I145" s="573"/>
      <c r="J145" s="574"/>
      <c r="K145" s="563"/>
      <c r="L145" s="646"/>
      <c r="M145" s="646"/>
      <c r="N145" s="627"/>
      <c r="O145" s="656"/>
      <c r="P145" s="377"/>
      <c r="Q145" s="657"/>
      <c r="R145" s="377"/>
      <c r="S145" s="658"/>
      <c r="T145" s="377"/>
      <c r="U145" s="294"/>
      <c r="W145" s="127"/>
      <c r="Z145" s="138"/>
    </row>
    <row r="146" spans="1:26" s="126" customFormat="1" x14ac:dyDescent="0.3">
      <c r="A146" s="435"/>
      <c r="B146" s="408"/>
      <c r="C146" s="138"/>
      <c r="D146" s="138"/>
      <c r="E146" s="207"/>
      <c r="F146" s="138"/>
      <c r="G146" s="138"/>
      <c r="H146" s="136"/>
      <c r="I146" s="573"/>
      <c r="J146" s="574"/>
      <c r="K146" s="563"/>
      <c r="L146" s="646"/>
      <c r="M146" s="646"/>
      <c r="N146" s="627"/>
      <c r="O146" s="656"/>
      <c r="P146" s="377"/>
      <c r="Q146" s="657"/>
      <c r="R146" s="377"/>
      <c r="S146" s="658"/>
      <c r="T146" s="377"/>
      <c r="U146" s="294"/>
      <c r="W146" s="127"/>
      <c r="Z146" s="138"/>
    </row>
    <row r="147" spans="1:26" s="126" customFormat="1" x14ac:dyDescent="0.3">
      <c r="A147" s="435"/>
      <c r="B147" s="408"/>
      <c r="C147" s="138"/>
      <c r="D147" s="138"/>
      <c r="E147" s="207"/>
      <c r="F147" s="138"/>
      <c r="G147" s="138"/>
      <c r="H147" s="136"/>
      <c r="I147" s="573"/>
      <c r="J147" s="574"/>
      <c r="K147" s="563"/>
      <c r="L147" s="646"/>
      <c r="M147" s="646"/>
      <c r="N147" s="627"/>
      <c r="O147" s="656"/>
      <c r="P147" s="377"/>
      <c r="Q147" s="657"/>
      <c r="R147" s="377"/>
      <c r="S147" s="658"/>
      <c r="T147" s="377"/>
      <c r="U147" s="294"/>
      <c r="W147" s="127"/>
      <c r="Z147" s="138"/>
    </row>
  </sheetData>
  <mergeCells count="1">
    <mergeCell ref="B18:F18"/>
  </mergeCells>
  <printOptions horizontalCentered="1" verticalCentered="1"/>
  <pageMargins left="0.25" right="0.25" top="0.55000000000000004" bottom="0.5" header="0.25" footer="0.25"/>
  <pageSetup scale="51" fitToHeight="0" orientation="landscape" r:id="rId1"/>
  <headerFooter alignWithMargins="0">
    <oddHeader xml:space="preserve">&amp;C&amp;"Arial,Bold"&amp;14    &amp;12PUGET SOUND ENERGY, INC.
Deferred Environmental Cost Summary Electric                     
December 31, 2014
</oddHeader>
    <oddFooter xml:space="preserve">&amp;L&amp;8
&amp;10
&amp;C
Page &amp;P of &amp;N
&amp;R&amp;8&amp;Z&amp;F
Freh Dessalegn
</oddFooter>
  </headerFooter>
  <rowBreaks count="1" manualBreakCount="1">
    <brk id="67" max="16383" man="1"/>
  </rowBreaks>
  <ignoredErrors>
    <ignoredError sqref="B5:F7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Y126"/>
  <sheetViews>
    <sheetView zoomScale="70" zoomScaleNormal="70" zoomScaleSheetLayoutView="80" workbookViewId="0">
      <pane xSplit="6" ySplit="3" topLeftCell="G43" activePane="bottomRight" state="frozen"/>
      <selection pane="topRight" activeCell="G1" sqref="G1"/>
      <selection pane="bottomLeft" activeCell="A4" sqref="A4"/>
      <selection pane="bottomRight" activeCell="W28" sqref="W28"/>
    </sheetView>
  </sheetViews>
  <sheetFormatPr defaultColWidth="17.58203125" defaultRowHeight="13.5" customHeight="1" x14ac:dyDescent="0.25"/>
  <cols>
    <col min="1" max="1" width="1.33203125" style="76" hidden="1" customWidth="1"/>
    <col min="2" max="2" width="10.5" style="470" customWidth="1"/>
    <col min="3" max="3" width="10.08203125" style="1" customWidth="1"/>
    <col min="4" max="4" width="11.83203125" style="12" customWidth="1"/>
    <col min="5" max="5" width="3.08203125" style="29" customWidth="1"/>
    <col min="6" max="6" width="46.5" style="64" customWidth="1"/>
    <col min="7" max="7" width="7.83203125" style="64" customWidth="1"/>
    <col min="8" max="8" width="17.58203125" style="50" bestFit="1" customWidth="1"/>
    <col min="9" max="9" width="3.33203125" style="5" customWidth="1"/>
    <col min="10" max="10" width="16.25" style="543" customWidth="1"/>
    <col min="11" max="11" width="17.58203125" style="50" customWidth="1"/>
    <col min="12" max="12" width="1.8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2.08203125" style="2" customWidth="1"/>
    <col min="17" max="17" width="17" style="404" customWidth="1"/>
    <col min="18" max="18" width="1.5" style="1" customWidth="1"/>
    <col min="19" max="19" width="17.75" style="50" customWidth="1"/>
    <col min="20" max="20" width="2.25" style="7" customWidth="1"/>
    <col min="21" max="16384" width="17.58203125" style="1"/>
  </cols>
  <sheetData>
    <row r="1" spans="1:20" ht="13.5" customHeight="1" x14ac:dyDescent="0.3">
      <c r="B1" s="466"/>
      <c r="C1" s="18"/>
      <c r="D1" s="17"/>
      <c r="E1" s="19"/>
      <c r="F1" s="67"/>
      <c r="G1" s="67"/>
      <c r="H1" s="48" t="s">
        <v>79</v>
      </c>
      <c r="I1" s="20"/>
      <c r="J1" s="522"/>
      <c r="K1" s="48" t="s">
        <v>79</v>
      </c>
      <c r="L1" s="16"/>
      <c r="M1" s="48" t="s">
        <v>81</v>
      </c>
      <c r="N1" s="21"/>
      <c r="O1" s="80" t="s">
        <v>87</v>
      </c>
      <c r="P1" s="14"/>
      <c r="Q1" s="388" t="s">
        <v>83</v>
      </c>
      <c r="R1" s="14"/>
      <c r="S1" s="48" t="s">
        <v>86</v>
      </c>
      <c r="T1" s="1"/>
    </row>
    <row r="2" spans="1:20" s="19" customFormat="1" ht="13.5" customHeight="1" x14ac:dyDescent="0.3">
      <c r="A2" s="440"/>
      <c r="B2" s="385" t="s">
        <v>4</v>
      </c>
      <c r="C2" s="23"/>
      <c r="D2" s="22"/>
      <c r="E2" s="15"/>
      <c r="F2" s="68"/>
      <c r="G2" s="68"/>
      <c r="H2" s="78" t="s">
        <v>6</v>
      </c>
      <c r="I2" s="27"/>
      <c r="J2" s="523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545" t="s">
        <v>88</v>
      </c>
      <c r="R2" s="15"/>
      <c r="S2" s="78" t="s">
        <v>3</v>
      </c>
    </row>
    <row r="3" spans="1:20" s="82" customFormat="1" ht="13.5" customHeight="1" thickBot="1" x14ac:dyDescent="0.35">
      <c r="A3" s="441"/>
      <c r="B3" s="472" t="s">
        <v>62</v>
      </c>
      <c r="C3" s="427" t="s">
        <v>304</v>
      </c>
      <c r="D3" s="24" t="s">
        <v>63</v>
      </c>
      <c r="E3" s="99"/>
      <c r="F3" s="96" t="s">
        <v>5</v>
      </c>
      <c r="G3" s="68"/>
      <c r="H3" s="381">
        <v>42004</v>
      </c>
      <c r="I3" s="98"/>
      <c r="J3" s="524" t="s">
        <v>18</v>
      </c>
      <c r="K3" s="381">
        <v>42094</v>
      </c>
      <c r="L3" s="382"/>
      <c r="M3" s="383">
        <f>K3</f>
        <v>42094</v>
      </c>
      <c r="N3" s="21"/>
      <c r="O3" s="81" t="s">
        <v>82</v>
      </c>
      <c r="P3" s="15"/>
      <c r="Q3" s="546" t="s">
        <v>82</v>
      </c>
      <c r="R3" s="15"/>
      <c r="S3" s="60">
        <f>K3</f>
        <v>42094</v>
      </c>
    </row>
    <row r="4" spans="1:20" s="8" customFormat="1" ht="13.5" customHeight="1" x14ac:dyDescent="0.3">
      <c r="A4" s="442"/>
      <c r="B4" s="356"/>
      <c r="C4" s="4"/>
      <c r="D4" s="13"/>
      <c r="E4" s="100"/>
      <c r="F4" s="65"/>
      <c r="G4" s="65"/>
      <c r="H4" s="16" t="s">
        <v>19</v>
      </c>
      <c r="I4" s="16"/>
      <c r="J4" s="525" t="s">
        <v>20</v>
      </c>
      <c r="K4" s="79" t="s">
        <v>84</v>
      </c>
      <c r="L4" s="51"/>
      <c r="M4" s="16" t="s">
        <v>24</v>
      </c>
      <c r="O4" s="16" t="s">
        <v>28</v>
      </c>
      <c r="Q4" s="547" t="s">
        <v>85</v>
      </c>
      <c r="S4" s="16" t="s">
        <v>78</v>
      </c>
    </row>
    <row r="5" spans="1:20" s="29" customFormat="1" ht="17.25" customHeight="1" x14ac:dyDescent="0.3">
      <c r="A5" s="443"/>
      <c r="B5" s="356"/>
      <c r="C5" s="5"/>
      <c r="D5" s="13"/>
      <c r="F5" s="66" t="s">
        <v>7</v>
      </c>
      <c r="G5" s="66"/>
      <c r="H5" s="51"/>
      <c r="I5" s="16"/>
      <c r="J5" s="526"/>
      <c r="K5" s="51"/>
      <c r="L5" s="51"/>
      <c r="M5" s="51"/>
      <c r="N5" s="8"/>
      <c r="O5" s="51"/>
      <c r="Q5" s="391"/>
      <c r="S5" s="51"/>
    </row>
    <row r="6" spans="1:20" s="29" customFormat="1" ht="7.5" customHeight="1" x14ac:dyDescent="0.3">
      <c r="A6" s="443"/>
      <c r="B6" s="356"/>
      <c r="C6" s="5"/>
      <c r="D6" s="13"/>
      <c r="F6" s="69" t="s">
        <v>0</v>
      </c>
      <c r="G6" s="69"/>
      <c r="H6" s="52"/>
      <c r="I6" s="30"/>
      <c r="J6" s="527"/>
      <c r="K6" s="52"/>
      <c r="L6" s="51"/>
      <c r="M6" s="52"/>
      <c r="N6" s="8"/>
      <c r="O6" s="52"/>
      <c r="Q6" s="393"/>
      <c r="S6" s="52"/>
    </row>
    <row r="7" spans="1:20" ht="25.5" customHeight="1" x14ac:dyDescent="0.3">
      <c r="B7" s="345"/>
      <c r="C7" s="677">
        <v>22840012</v>
      </c>
      <c r="D7" s="10">
        <v>18609572</v>
      </c>
      <c r="E7" s="1"/>
      <c r="F7" s="95" t="s">
        <v>40</v>
      </c>
      <c r="G7" s="70"/>
      <c r="H7" s="54">
        <v>609250</v>
      </c>
      <c r="I7" s="38"/>
      <c r="J7" s="528">
        <v>0</v>
      </c>
      <c r="K7" s="54">
        <f>SUM(H7:J7)</f>
        <v>609250</v>
      </c>
      <c r="L7" s="56"/>
      <c r="M7" s="54">
        <v>0</v>
      </c>
      <c r="N7" s="37"/>
      <c r="O7" s="54">
        <f>K7</f>
        <v>609250</v>
      </c>
      <c r="P7" s="351"/>
      <c r="Q7" s="348">
        <f>SUM(M7:O7)</f>
        <v>609250</v>
      </c>
      <c r="S7" s="54">
        <v>0</v>
      </c>
      <c r="T7" s="1"/>
    </row>
    <row r="8" spans="1:20" ht="27.75" customHeight="1" x14ac:dyDescent="0.3">
      <c r="A8" s="473" t="s">
        <v>310</v>
      </c>
      <c r="B8" s="422">
        <v>18606102</v>
      </c>
      <c r="C8" s="5"/>
      <c r="D8" s="10">
        <v>18608612</v>
      </c>
      <c r="E8" s="1"/>
      <c r="F8" s="70" t="s">
        <v>50</v>
      </c>
      <c r="G8" s="70"/>
      <c r="H8" s="54">
        <v>776531.8</v>
      </c>
      <c r="I8" s="35"/>
      <c r="J8" s="529">
        <v>0</v>
      </c>
      <c r="K8" s="54">
        <f>SUM(H8:J8)</f>
        <v>776531.8</v>
      </c>
      <c r="L8" s="53"/>
      <c r="M8" s="54">
        <f>K8</f>
        <v>776531.8</v>
      </c>
      <c r="N8" s="37"/>
      <c r="O8" s="54">
        <v>0</v>
      </c>
      <c r="P8" s="19"/>
      <c r="Q8" s="348">
        <f>SUM(M8:O8)</f>
        <v>776531.8</v>
      </c>
      <c r="S8" s="54">
        <v>0</v>
      </c>
      <c r="T8" s="1"/>
    </row>
    <row r="9" spans="1:20" ht="16" customHeight="1" x14ac:dyDescent="0.3">
      <c r="B9" s="345"/>
      <c r="C9" s="5"/>
      <c r="D9" s="10"/>
      <c r="E9" s="1"/>
      <c r="F9" s="108" t="s">
        <v>31</v>
      </c>
      <c r="G9" s="108"/>
      <c r="H9" s="63">
        <v>1385781.8</v>
      </c>
      <c r="I9" s="63"/>
      <c r="J9" s="530">
        <f t="shared" ref="J9:S9" si="0">SUM(J7:J8)</f>
        <v>0</v>
      </c>
      <c r="K9" s="63">
        <f>SUM(K7:K8)</f>
        <v>1385781.8</v>
      </c>
      <c r="L9" s="63"/>
      <c r="M9" s="63">
        <f t="shared" si="0"/>
        <v>776531.8</v>
      </c>
      <c r="N9" s="63"/>
      <c r="O9" s="63">
        <f t="shared" si="0"/>
        <v>609250</v>
      </c>
      <c r="P9" s="63"/>
      <c r="Q9" s="362">
        <f t="shared" si="0"/>
        <v>1385781.8</v>
      </c>
      <c r="R9" s="63"/>
      <c r="S9" s="63">
        <f t="shared" si="0"/>
        <v>0</v>
      </c>
      <c r="T9" s="63"/>
    </row>
    <row r="10" spans="1:20" ht="8.25" customHeight="1" x14ac:dyDescent="0.25">
      <c r="B10" s="343"/>
      <c r="C10" s="5"/>
      <c r="D10" s="5"/>
      <c r="E10" s="1"/>
      <c r="F10" s="70"/>
      <c r="G10" s="70"/>
      <c r="H10" s="54"/>
      <c r="I10" s="35"/>
      <c r="J10" s="528"/>
      <c r="K10" s="54"/>
      <c r="L10" s="53"/>
      <c r="M10" s="54"/>
      <c r="N10" s="37"/>
      <c r="O10" s="54"/>
      <c r="P10" s="1"/>
      <c r="Q10" s="348"/>
      <c r="S10" s="54"/>
      <c r="T10" s="1"/>
    </row>
    <row r="11" spans="1:20" ht="16" customHeight="1" x14ac:dyDescent="0.3">
      <c r="A11" s="473" t="s">
        <v>311</v>
      </c>
      <c r="B11" s="343"/>
      <c r="C11" s="677">
        <v>22840022</v>
      </c>
      <c r="D11" s="10">
        <v>18609582</v>
      </c>
      <c r="E11" s="1"/>
      <c r="F11" s="70" t="s">
        <v>41</v>
      </c>
      <c r="G11" s="70"/>
      <c r="H11" s="54">
        <v>1919341.5</v>
      </c>
      <c r="I11" s="38"/>
      <c r="J11" s="528">
        <v>0</v>
      </c>
      <c r="K11" s="54">
        <f>SUM(H11:J11)</f>
        <v>1919341.5</v>
      </c>
      <c r="L11" s="56"/>
      <c r="M11" s="54">
        <v>0</v>
      </c>
      <c r="N11" s="37"/>
      <c r="O11" s="54">
        <f>K11</f>
        <v>1919341.5</v>
      </c>
      <c r="P11" s="351"/>
      <c r="Q11" s="348">
        <f>SUM(M11:O11)</f>
        <v>1919341.5</v>
      </c>
      <c r="S11" s="54">
        <v>0</v>
      </c>
      <c r="T11" s="1"/>
    </row>
    <row r="12" spans="1:20" ht="16" customHeight="1" x14ac:dyDescent="0.3">
      <c r="A12" s="473"/>
      <c r="B12" s="422">
        <v>18607102</v>
      </c>
      <c r="C12" s="5"/>
      <c r="D12" s="10">
        <v>18608712</v>
      </c>
      <c r="E12" s="1"/>
      <c r="F12" s="70" t="s">
        <v>51</v>
      </c>
      <c r="G12" s="70"/>
      <c r="H12" s="54">
        <v>4066899.1</v>
      </c>
      <c r="I12" s="35"/>
      <c r="J12" s="528">
        <v>0</v>
      </c>
      <c r="K12" s="54">
        <f>SUM(H12:J12)</f>
        <v>4066899.1</v>
      </c>
      <c r="L12" s="53"/>
      <c r="M12" s="54">
        <f>K12</f>
        <v>4066899.1</v>
      </c>
      <c r="N12" s="37"/>
      <c r="O12" s="54">
        <v>0</v>
      </c>
      <c r="P12" s="351"/>
      <c r="Q12" s="348">
        <f>SUM(M12:O12)</f>
        <v>4066899.1</v>
      </c>
      <c r="S12" s="54">
        <v>0</v>
      </c>
      <c r="T12" s="1"/>
    </row>
    <row r="13" spans="1:20" ht="16" customHeight="1" x14ac:dyDescent="0.25">
      <c r="B13" s="345"/>
      <c r="C13" s="5"/>
      <c r="D13" s="10">
        <v>18608772</v>
      </c>
      <c r="E13" s="1"/>
      <c r="F13" s="64" t="s">
        <v>247</v>
      </c>
      <c r="H13" s="54">
        <v>-3488999.0999999996</v>
      </c>
      <c r="I13" s="358" t="s">
        <v>296</v>
      </c>
      <c r="J13" s="528"/>
      <c r="K13" s="54">
        <f>SUM(H13:J13)</f>
        <v>-3488999.0999999996</v>
      </c>
      <c r="L13" s="346" t="s">
        <v>296</v>
      </c>
      <c r="M13" s="54">
        <f>K13</f>
        <v>-3488999.0999999996</v>
      </c>
      <c r="N13" s="37"/>
      <c r="O13" s="54">
        <v>0</v>
      </c>
      <c r="P13" s="1"/>
      <c r="Q13" s="348">
        <f>SUM(M13:O13)</f>
        <v>-3488999.0999999996</v>
      </c>
      <c r="S13" s="54">
        <v>0</v>
      </c>
      <c r="T13" s="1"/>
    </row>
    <row r="14" spans="1:20" ht="16" customHeight="1" x14ac:dyDescent="0.25">
      <c r="B14" s="345">
        <v>18607103</v>
      </c>
      <c r="C14" s="5"/>
      <c r="D14" s="10"/>
      <c r="E14" s="1"/>
      <c r="F14" s="357" t="s">
        <v>295</v>
      </c>
      <c r="H14" s="54">
        <v>0</v>
      </c>
      <c r="I14" s="2"/>
      <c r="J14" s="528">
        <v>0</v>
      </c>
      <c r="K14" s="54">
        <f>SUM(H14:J14)</f>
        <v>0</v>
      </c>
      <c r="L14" s="346"/>
      <c r="M14" s="54">
        <v>0</v>
      </c>
      <c r="N14" s="37"/>
      <c r="O14" s="54">
        <v>0</v>
      </c>
      <c r="P14" s="1"/>
      <c r="Q14" s="348">
        <v>0</v>
      </c>
      <c r="S14" s="54">
        <v>0</v>
      </c>
      <c r="T14" s="1"/>
    </row>
    <row r="15" spans="1:20" ht="16" customHeight="1" x14ac:dyDescent="0.25">
      <c r="B15" s="345">
        <v>18607203</v>
      </c>
      <c r="C15" s="5"/>
      <c r="D15" s="10">
        <v>18608742</v>
      </c>
      <c r="E15" s="1" t="s">
        <v>11</v>
      </c>
      <c r="F15" s="64" t="s">
        <v>52</v>
      </c>
      <c r="H15" s="54">
        <v>0</v>
      </c>
      <c r="I15" s="2"/>
      <c r="J15" s="528"/>
      <c r="K15" s="54">
        <f>SUM(H15:J15)</f>
        <v>0</v>
      </c>
      <c r="M15" s="54">
        <f>K15</f>
        <v>0</v>
      </c>
      <c r="N15" s="37"/>
      <c r="O15" s="54">
        <v>0</v>
      </c>
      <c r="P15" s="1"/>
      <c r="Q15" s="348">
        <f>SUM(M15:O15)</f>
        <v>0</v>
      </c>
      <c r="S15" s="54">
        <v>0</v>
      </c>
      <c r="T15" s="1"/>
    </row>
    <row r="16" spans="1:20" ht="16" customHeight="1" x14ac:dyDescent="0.3">
      <c r="B16" s="343"/>
      <c r="C16" s="5"/>
      <c r="D16" s="5"/>
      <c r="E16" s="1"/>
      <c r="F16" s="108" t="s">
        <v>32</v>
      </c>
      <c r="G16" s="108"/>
      <c r="H16" s="63">
        <v>2497241.5</v>
      </c>
      <c r="I16" s="63"/>
      <c r="J16" s="530">
        <f>SUM(J11:J14)</f>
        <v>0</v>
      </c>
      <c r="K16" s="63">
        <f>SUM(K11:K14)</f>
        <v>2497241.5</v>
      </c>
      <c r="L16" s="63"/>
      <c r="M16" s="63">
        <f>SUM(M11:M13)</f>
        <v>577900.00000000047</v>
      </c>
      <c r="N16" s="63"/>
      <c r="O16" s="63">
        <f>SUM(O11:O14)</f>
        <v>1919341.5</v>
      </c>
      <c r="P16" s="63"/>
      <c r="Q16" s="362">
        <f>SUM(Q11:Q13)</f>
        <v>2497241.5</v>
      </c>
      <c r="R16" s="63"/>
      <c r="S16" s="63">
        <f>SUM(S11:S14)</f>
        <v>0</v>
      </c>
      <c r="T16" s="63"/>
    </row>
    <row r="17" spans="1:20" ht="15" customHeight="1" x14ac:dyDescent="0.25">
      <c r="B17" s="343"/>
      <c r="C17" s="5"/>
      <c r="D17" s="5"/>
      <c r="E17" s="1"/>
      <c r="F17" s="70"/>
      <c r="G17" s="70"/>
      <c r="H17" s="54"/>
      <c r="I17" s="35"/>
      <c r="J17" s="528"/>
      <c r="K17" s="54"/>
      <c r="L17" s="53"/>
      <c r="M17" s="54"/>
      <c r="N17" s="37"/>
      <c r="O17" s="54"/>
      <c r="P17" s="1"/>
      <c r="Q17" s="348"/>
      <c r="S17" s="54"/>
      <c r="T17" s="1"/>
    </row>
    <row r="18" spans="1:20" ht="16" customHeight="1" x14ac:dyDescent="0.3">
      <c r="B18" s="356"/>
      <c r="C18" s="677">
        <v>22840032</v>
      </c>
      <c r="D18" s="10">
        <v>18609592</v>
      </c>
      <c r="E18" s="1"/>
      <c r="F18" s="70" t="s">
        <v>42</v>
      </c>
      <c r="G18" s="70"/>
      <c r="H18" s="54">
        <v>3300000.3299999996</v>
      </c>
      <c r="I18" s="38"/>
      <c r="J18" s="528">
        <v>-308</v>
      </c>
      <c r="K18" s="54">
        <f>SUM(H18:J18)</f>
        <v>3299692.3299999996</v>
      </c>
      <c r="L18" s="56"/>
      <c r="M18" s="54">
        <v>0</v>
      </c>
      <c r="N18" s="37"/>
      <c r="O18" s="54">
        <f>K18</f>
        <v>3299692.3299999996</v>
      </c>
      <c r="P18" s="351"/>
      <c r="Q18" s="348">
        <f>SUM(M18:O18)</f>
        <v>3299692.3299999996</v>
      </c>
      <c r="S18" s="54">
        <v>0</v>
      </c>
      <c r="T18" s="1"/>
    </row>
    <row r="19" spans="1:20" ht="16" customHeight="1" x14ac:dyDescent="0.3">
      <c r="A19" s="473" t="s">
        <v>312</v>
      </c>
      <c r="B19" s="422">
        <v>18602102</v>
      </c>
      <c r="C19" s="5"/>
      <c r="D19" s="10">
        <v>18608212</v>
      </c>
      <c r="E19" s="1"/>
      <c r="F19" s="64" t="s">
        <v>53</v>
      </c>
      <c r="H19" s="54">
        <v>1460172.9</v>
      </c>
      <c r="I19" s="2"/>
      <c r="J19" s="528">
        <v>308</v>
      </c>
      <c r="K19" s="54">
        <f>SUM(H19:J19)</f>
        <v>1460480.9</v>
      </c>
      <c r="L19" s="53"/>
      <c r="M19" s="54">
        <f>K19</f>
        <v>1460480.9</v>
      </c>
      <c r="N19" s="7"/>
      <c r="O19" s="54">
        <v>0</v>
      </c>
      <c r="P19" s="19"/>
      <c r="Q19" s="348">
        <f>SUM(M19:O19)</f>
        <v>1460480.9</v>
      </c>
      <c r="S19" s="54">
        <v>0</v>
      </c>
      <c r="T19" s="1"/>
    </row>
    <row r="20" spans="1:20" ht="16" customHeight="1" x14ac:dyDescent="0.3">
      <c r="B20" s="345"/>
      <c r="C20" s="5"/>
      <c r="D20" s="10">
        <v>18608782</v>
      </c>
      <c r="E20" s="1"/>
      <c r="F20" s="64" t="s">
        <v>248</v>
      </c>
      <c r="H20" s="54">
        <v>-801550.75</v>
      </c>
      <c r="I20" s="2" t="s">
        <v>296</v>
      </c>
      <c r="J20" s="528">
        <v>0</v>
      </c>
      <c r="K20" s="54">
        <f>SUM(H20:J20)</f>
        <v>-801550.75</v>
      </c>
      <c r="L20" s="346" t="s">
        <v>296</v>
      </c>
      <c r="M20" s="54">
        <f>K20</f>
        <v>-801550.75</v>
      </c>
      <c r="N20" s="7"/>
      <c r="O20" s="54">
        <v>0</v>
      </c>
      <c r="P20" s="19"/>
      <c r="Q20" s="348">
        <f>SUM(M20:O20)</f>
        <v>-801550.75</v>
      </c>
      <c r="S20" s="54">
        <v>0</v>
      </c>
      <c r="T20" s="1"/>
    </row>
    <row r="21" spans="1:20" ht="16" customHeight="1" x14ac:dyDescent="0.3">
      <c r="B21" s="356"/>
      <c r="C21" s="5"/>
      <c r="D21" s="13"/>
      <c r="E21" s="1"/>
      <c r="F21" s="109" t="s">
        <v>60</v>
      </c>
      <c r="G21" s="108"/>
      <c r="H21" s="63">
        <v>3958622.4799999995</v>
      </c>
      <c r="I21" s="63"/>
      <c r="J21" s="530">
        <f t="shared" ref="J21:S21" si="1">SUM(J18:J20)</f>
        <v>0</v>
      </c>
      <c r="K21" s="63">
        <f>SUM(K18:K20)</f>
        <v>3958622.4799999995</v>
      </c>
      <c r="L21" s="63"/>
      <c r="M21" s="63">
        <f t="shared" si="1"/>
        <v>658930.14999999991</v>
      </c>
      <c r="N21" s="63"/>
      <c r="O21" s="63">
        <f t="shared" si="1"/>
        <v>3299692.3299999996</v>
      </c>
      <c r="P21" s="63"/>
      <c r="Q21" s="362">
        <f t="shared" si="1"/>
        <v>3958622.4799999995</v>
      </c>
      <c r="R21" s="63"/>
      <c r="S21" s="63">
        <f t="shared" si="1"/>
        <v>0</v>
      </c>
      <c r="T21" s="63"/>
    </row>
    <row r="22" spans="1:20" ht="15" customHeight="1" x14ac:dyDescent="0.25">
      <c r="B22" s="356"/>
      <c r="C22" s="5"/>
      <c r="D22" s="13"/>
      <c r="E22" s="1"/>
      <c r="H22" s="55"/>
      <c r="I22" s="2"/>
      <c r="J22" s="531"/>
      <c r="K22" s="55"/>
      <c r="L22" s="62"/>
      <c r="M22" s="55"/>
      <c r="N22" s="7"/>
      <c r="O22" s="55"/>
      <c r="P22" s="1"/>
      <c r="Q22" s="395"/>
      <c r="S22" s="55"/>
      <c r="T22" s="1"/>
    </row>
    <row r="23" spans="1:20" ht="16" customHeight="1" x14ac:dyDescent="0.3">
      <c r="B23" s="343"/>
      <c r="C23" s="677">
        <v>22840042</v>
      </c>
      <c r="D23" s="10">
        <v>18609602</v>
      </c>
      <c r="E23" s="1"/>
      <c r="F23" s="70" t="s">
        <v>43</v>
      </c>
      <c r="G23" s="70"/>
      <c r="H23" s="53">
        <v>238999.97</v>
      </c>
      <c r="I23" s="32"/>
      <c r="J23" s="528">
        <v>-2203.1</v>
      </c>
      <c r="K23" s="53">
        <f>SUM(H23:J23)</f>
        <v>236796.87</v>
      </c>
      <c r="L23" s="56"/>
      <c r="M23" s="53">
        <v>0</v>
      </c>
      <c r="N23" s="37"/>
      <c r="O23" s="53">
        <f>K23</f>
        <v>236796.87</v>
      </c>
      <c r="P23" s="351"/>
      <c r="Q23" s="348">
        <f>SUM(M23:O23)</f>
        <v>236796.87</v>
      </c>
      <c r="R23" s="7"/>
      <c r="S23" s="53">
        <v>0</v>
      </c>
      <c r="T23" s="1"/>
    </row>
    <row r="24" spans="1:20" ht="16" customHeight="1" x14ac:dyDescent="0.3">
      <c r="A24" s="473" t="s">
        <v>296</v>
      </c>
      <c r="B24" s="422">
        <v>18603102</v>
      </c>
      <c r="C24" s="5"/>
      <c r="D24" s="10">
        <v>18608312</v>
      </c>
      <c r="E24" s="1"/>
      <c r="F24" s="64" t="s">
        <v>61</v>
      </c>
      <c r="H24" s="75">
        <v>3946841.93</v>
      </c>
      <c r="I24" s="2"/>
      <c r="J24" s="529">
        <v>2203.1</v>
      </c>
      <c r="K24" s="75">
        <f>SUM(H24:J24)</f>
        <v>3949045.0300000003</v>
      </c>
      <c r="L24" s="53"/>
      <c r="M24" s="75">
        <f>K24</f>
        <v>3949045.0300000003</v>
      </c>
      <c r="N24" s="7"/>
      <c r="O24" s="75">
        <v>0</v>
      </c>
      <c r="P24" s="1"/>
      <c r="Q24" s="348">
        <f>SUM(M24:O24)</f>
        <v>3949045.0300000003</v>
      </c>
      <c r="S24" s="75">
        <v>0</v>
      </c>
      <c r="T24" s="1"/>
    </row>
    <row r="25" spans="1:20" ht="16" customHeight="1" x14ac:dyDescent="0.3">
      <c r="B25" s="356"/>
      <c r="C25" s="5"/>
      <c r="D25" s="13"/>
      <c r="E25" s="1"/>
      <c r="F25" s="109" t="s">
        <v>33</v>
      </c>
      <c r="G25" s="67"/>
      <c r="H25" s="63">
        <v>4185841.9000000004</v>
      </c>
      <c r="I25" s="111"/>
      <c r="J25" s="532">
        <f>SUM(J23:J24)</f>
        <v>0</v>
      </c>
      <c r="K25" s="63">
        <f>SUM(K23:K24)</f>
        <v>4185841.9000000004</v>
      </c>
      <c r="L25" s="63"/>
      <c r="M25" s="63">
        <f>SUM(M23:M24)</f>
        <v>3949045.0300000003</v>
      </c>
      <c r="N25" s="112"/>
      <c r="O25" s="63">
        <f>SUM(O23:O24)</f>
        <v>236796.87</v>
      </c>
      <c r="P25" s="63"/>
      <c r="Q25" s="362">
        <f>SUM(Q23:Q24)</f>
        <v>4185841.9000000004</v>
      </c>
      <c r="R25" s="113"/>
      <c r="S25" s="63">
        <f>SUM(S23:S24)</f>
        <v>0</v>
      </c>
      <c r="T25" s="1"/>
    </row>
    <row r="26" spans="1:20" ht="15" customHeight="1" x14ac:dyDescent="0.25">
      <c r="B26" s="356"/>
      <c r="C26" s="5"/>
      <c r="D26" s="13"/>
      <c r="E26" s="1"/>
      <c r="F26" s="95"/>
      <c r="H26" s="53"/>
      <c r="I26" s="2"/>
      <c r="J26" s="529"/>
      <c r="K26" s="53"/>
      <c r="L26" s="62"/>
      <c r="M26" s="53"/>
      <c r="N26" s="7"/>
      <c r="O26" s="53"/>
      <c r="P26" s="1"/>
      <c r="Q26" s="352"/>
      <c r="S26" s="53"/>
      <c r="T26" s="1"/>
    </row>
    <row r="27" spans="1:20" s="346" customFormat="1" ht="20.25" customHeight="1" x14ac:dyDescent="0.3">
      <c r="A27" s="384"/>
      <c r="B27" s="356"/>
      <c r="C27" s="678">
        <v>22840332</v>
      </c>
      <c r="D27" s="345">
        <v>18609422</v>
      </c>
      <c r="F27" s="347" t="s">
        <v>243</v>
      </c>
      <c r="G27" s="357"/>
      <c r="H27" s="352">
        <v>22239450.449999999</v>
      </c>
      <c r="I27" s="358"/>
      <c r="J27" s="529">
        <v>-183244.06</v>
      </c>
      <c r="K27" s="352">
        <f>SUM(H27:J27)</f>
        <v>22056206.390000001</v>
      </c>
      <c r="L27" s="359"/>
      <c r="M27" s="352">
        <v>0</v>
      </c>
      <c r="N27" s="355"/>
      <c r="O27" s="348">
        <f t="shared" ref="O27" si="2">K27</f>
        <v>22056206.390000001</v>
      </c>
      <c r="P27" s="351"/>
      <c r="Q27" s="348">
        <f t="shared" ref="Q27:Q30" si="3">SUM(M27:O27)</f>
        <v>22056206.390000001</v>
      </c>
      <c r="S27" s="352">
        <v>0</v>
      </c>
    </row>
    <row r="28" spans="1:20" s="346" customFormat="1" ht="16" customHeight="1" x14ac:dyDescent="0.3">
      <c r="A28" s="473" t="s">
        <v>0</v>
      </c>
      <c r="B28" s="421">
        <v>18606302</v>
      </c>
      <c r="C28" s="344"/>
      <c r="D28" s="356">
        <v>18609432</v>
      </c>
      <c r="F28" s="347" t="s">
        <v>242</v>
      </c>
      <c r="G28" s="357"/>
      <c r="H28" s="352">
        <v>4704013.1000000006</v>
      </c>
      <c r="I28" s="358"/>
      <c r="J28" s="529">
        <f>508785.97+885.48-326427.39</f>
        <v>183244.05999999994</v>
      </c>
      <c r="K28" s="352">
        <f t="shared" ref="K28:K30" si="4">SUM(H28:J28)</f>
        <v>4887257.16</v>
      </c>
      <c r="L28" s="384"/>
      <c r="M28" s="352">
        <f>K28</f>
        <v>4887257.16</v>
      </c>
      <c r="N28" s="355"/>
      <c r="O28" s="348">
        <v>0</v>
      </c>
      <c r="Q28" s="348">
        <f t="shared" si="3"/>
        <v>4887257.16</v>
      </c>
      <c r="S28" s="352"/>
    </row>
    <row r="29" spans="1:20" s="346" customFormat="1" ht="16" customHeight="1" x14ac:dyDescent="0.3">
      <c r="A29" s="384"/>
      <c r="B29" s="345">
        <v>18604102</v>
      </c>
      <c r="C29" s="344"/>
      <c r="D29" s="345">
        <v>18608412</v>
      </c>
      <c r="F29" s="347" t="s">
        <v>240</v>
      </c>
      <c r="G29" s="347"/>
      <c r="H29" s="352">
        <v>2651381.7400000002</v>
      </c>
      <c r="I29" s="360"/>
      <c r="J29" s="528"/>
      <c r="K29" s="352">
        <f t="shared" si="4"/>
        <v>2651381.7400000002</v>
      </c>
      <c r="L29" s="352"/>
      <c r="M29" s="348">
        <f>K29</f>
        <v>2651381.7400000002</v>
      </c>
      <c r="N29" s="350"/>
      <c r="O29" s="348">
        <v>0</v>
      </c>
      <c r="P29" s="351"/>
      <c r="Q29" s="348">
        <f t="shared" si="3"/>
        <v>2651381.7400000002</v>
      </c>
      <c r="S29" s="348">
        <v>0</v>
      </c>
    </row>
    <row r="30" spans="1:20" s="355" customFormat="1" ht="16" customHeight="1" x14ac:dyDescent="0.3">
      <c r="A30" s="444"/>
      <c r="B30" s="345">
        <v>18614102</v>
      </c>
      <c r="C30" s="344"/>
      <c r="D30" s="345">
        <v>18609312</v>
      </c>
      <c r="F30" s="347" t="s">
        <v>239</v>
      </c>
      <c r="G30" s="347"/>
      <c r="H30" s="352">
        <v>12405154.710000001</v>
      </c>
      <c r="I30" s="353"/>
      <c r="J30" s="529">
        <v>0</v>
      </c>
      <c r="K30" s="352">
        <f t="shared" si="4"/>
        <v>12405154.710000001</v>
      </c>
      <c r="L30" s="352"/>
      <c r="M30" s="352">
        <f>K30</f>
        <v>12405154.710000001</v>
      </c>
      <c r="N30" s="350"/>
      <c r="O30" s="348">
        <v>0</v>
      </c>
      <c r="P30" s="354"/>
      <c r="Q30" s="348">
        <f t="shared" si="3"/>
        <v>12405154.710000001</v>
      </c>
      <c r="S30" s="352">
        <v>0</v>
      </c>
      <c r="T30" s="346"/>
    </row>
    <row r="31" spans="1:20" s="346" customFormat="1" ht="16" customHeight="1" x14ac:dyDescent="0.3">
      <c r="A31" s="384"/>
      <c r="B31" s="345"/>
      <c r="C31" s="343"/>
      <c r="D31" s="345"/>
      <c r="F31" s="361" t="s">
        <v>241</v>
      </c>
      <c r="G31" s="361"/>
      <c r="H31" s="362">
        <v>42000000</v>
      </c>
      <c r="I31" s="362"/>
      <c r="J31" s="532">
        <f>SUM(J27:J30)</f>
        <v>-5.8207660913467407E-11</v>
      </c>
      <c r="K31" s="362">
        <f>SUM(K27:K30)</f>
        <v>42000000</v>
      </c>
      <c r="L31" s="362"/>
      <c r="M31" s="362">
        <f>SUM(M27:M30)</f>
        <v>19943793.609999999</v>
      </c>
      <c r="N31" s="362"/>
      <c r="O31" s="362">
        <f>SUM(O27:O30)</f>
        <v>22056206.390000001</v>
      </c>
      <c r="P31" s="363"/>
      <c r="Q31" s="362">
        <f>SUM(Q27:Q30)</f>
        <v>42000000</v>
      </c>
      <c r="R31" s="363"/>
      <c r="S31" s="362">
        <f>SUM(S29:S29)</f>
        <v>0</v>
      </c>
    </row>
    <row r="32" spans="1:20" ht="15" customHeight="1" x14ac:dyDescent="0.25">
      <c r="B32" s="345"/>
      <c r="C32" s="5"/>
      <c r="D32" s="10"/>
      <c r="E32" s="1"/>
      <c r="F32" s="70"/>
      <c r="G32" s="70"/>
      <c r="H32" s="54"/>
      <c r="I32" s="35"/>
      <c r="J32" s="528"/>
      <c r="K32" s="54"/>
      <c r="L32" s="53"/>
      <c r="M32" s="54"/>
      <c r="N32" s="37"/>
      <c r="O32" s="54"/>
      <c r="P32" s="1"/>
      <c r="Q32" s="348"/>
      <c r="S32" s="54"/>
      <c r="T32" s="1"/>
    </row>
    <row r="33" spans="1:20" s="7" customFormat="1" ht="16" customHeight="1" x14ac:dyDescent="0.3">
      <c r="A33" s="445"/>
      <c r="B33" s="345"/>
      <c r="C33" s="679">
        <v>22840062</v>
      </c>
      <c r="D33" s="10">
        <v>18609622</v>
      </c>
      <c r="E33" s="1"/>
      <c r="F33" s="70" t="s">
        <v>45</v>
      </c>
      <c r="G33" s="70"/>
      <c r="H33" s="53">
        <v>1300000</v>
      </c>
      <c r="I33" s="35"/>
      <c r="J33" s="528">
        <v>0</v>
      </c>
      <c r="K33" s="53">
        <f>SUM(H33:J33)</f>
        <v>1300000</v>
      </c>
      <c r="L33" s="53"/>
      <c r="M33" s="53">
        <v>0</v>
      </c>
      <c r="N33" s="37"/>
      <c r="O33" s="53">
        <f>K33</f>
        <v>1300000</v>
      </c>
      <c r="P33" s="351"/>
      <c r="Q33" s="348">
        <f>SUM(M33:O33)</f>
        <v>1300000</v>
      </c>
      <c r="S33" s="53">
        <v>0</v>
      </c>
      <c r="T33" s="1"/>
    </row>
    <row r="34" spans="1:20" s="7" customFormat="1" ht="16" customHeight="1" x14ac:dyDescent="0.3">
      <c r="A34" s="474" t="s">
        <v>314</v>
      </c>
      <c r="B34" s="345">
        <v>18612102</v>
      </c>
      <c r="C34" s="4"/>
      <c r="D34" s="10">
        <v>18609512</v>
      </c>
      <c r="F34" s="65" t="s">
        <v>54</v>
      </c>
      <c r="G34" s="65"/>
      <c r="H34" s="53">
        <v>0</v>
      </c>
      <c r="I34" s="31"/>
      <c r="J34" s="529"/>
      <c r="K34" s="53">
        <f>SUM(H34:J34)</f>
        <v>0</v>
      </c>
      <c r="L34" s="53"/>
      <c r="M34" s="53">
        <f>K34</f>
        <v>0</v>
      </c>
      <c r="N34" s="37"/>
      <c r="O34" s="53">
        <v>0</v>
      </c>
      <c r="Q34" s="348">
        <f>SUM(M34:O34)</f>
        <v>0</v>
      </c>
      <c r="S34" s="53">
        <v>0</v>
      </c>
      <c r="T34" s="1"/>
    </row>
    <row r="35" spans="1:20" s="7" customFormat="1" ht="16" customHeight="1" x14ac:dyDescent="0.3">
      <c r="A35" s="445"/>
      <c r="B35" s="345"/>
      <c r="C35" s="4"/>
      <c r="D35" s="10"/>
      <c r="F35" s="110" t="s">
        <v>34</v>
      </c>
      <c r="G35" s="110"/>
      <c r="H35" s="63">
        <v>1300000</v>
      </c>
      <c r="I35" s="111"/>
      <c r="J35" s="532">
        <f>SUM(J33:J34)</f>
        <v>0</v>
      </c>
      <c r="K35" s="63">
        <f>SUM(K33:K34)</f>
        <v>1300000</v>
      </c>
      <c r="L35" s="63"/>
      <c r="M35" s="63">
        <f>SUM(M33:M34)</f>
        <v>0</v>
      </c>
      <c r="N35" s="112"/>
      <c r="O35" s="63">
        <f>SUM(O33:O34)</f>
        <v>1300000</v>
      </c>
      <c r="P35" s="113"/>
      <c r="Q35" s="362">
        <f>SUM(Q33:Q34)</f>
        <v>1300000</v>
      </c>
      <c r="R35" s="113"/>
      <c r="S35" s="63">
        <f>SUM(S33:S34)</f>
        <v>0</v>
      </c>
      <c r="T35" s="1"/>
    </row>
    <row r="36" spans="1:20" s="7" customFormat="1" ht="15" customHeight="1" x14ac:dyDescent="0.3">
      <c r="A36" s="445"/>
      <c r="B36" s="345"/>
      <c r="C36" s="4"/>
      <c r="D36" s="10"/>
      <c r="F36" s="110"/>
      <c r="G36" s="110"/>
      <c r="H36" s="57"/>
      <c r="I36" s="40"/>
      <c r="J36" s="533"/>
      <c r="K36" s="57"/>
      <c r="L36" s="57"/>
      <c r="M36" s="57"/>
      <c r="N36" s="340"/>
      <c r="O36" s="57"/>
      <c r="P36" s="82"/>
      <c r="Q36" s="396"/>
      <c r="R36" s="82"/>
      <c r="S36" s="57"/>
      <c r="T36" s="1"/>
    </row>
    <row r="37" spans="1:20" ht="18" customHeight="1" x14ac:dyDescent="0.3">
      <c r="B37" s="345"/>
      <c r="C37" s="677">
        <v>22840082</v>
      </c>
      <c r="D37" s="10">
        <v>18609642</v>
      </c>
      <c r="E37" s="1"/>
      <c r="F37" s="70" t="s">
        <v>46</v>
      </c>
      <c r="G37" s="70"/>
      <c r="H37" s="54">
        <v>2500000</v>
      </c>
      <c r="I37" s="31"/>
      <c r="J37" s="528">
        <v>-54776.69</v>
      </c>
      <c r="K37" s="54">
        <f>SUM(H37:J37)-1</f>
        <v>2445222.31</v>
      </c>
      <c r="L37" s="53"/>
      <c r="M37" s="53">
        <v>0</v>
      </c>
      <c r="N37" s="33"/>
      <c r="O37" s="53">
        <f>K37</f>
        <v>2445222.31</v>
      </c>
      <c r="P37" s="354"/>
      <c r="Q37" s="352">
        <f>SUM(M37:O37)</f>
        <v>2445222.31</v>
      </c>
      <c r="S37" s="53">
        <v>0</v>
      </c>
      <c r="T37" s="1"/>
    </row>
    <row r="38" spans="1:20" ht="16" customHeight="1" x14ac:dyDescent="0.3">
      <c r="A38" s="473" t="s">
        <v>315</v>
      </c>
      <c r="B38" s="421">
        <v>18601102</v>
      </c>
      <c r="C38" s="5"/>
      <c r="D38" s="13">
        <v>18608112</v>
      </c>
      <c r="E38" s="1"/>
      <c r="F38" s="70" t="s">
        <v>56</v>
      </c>
      <c r="G38" s="70"/>
      <c r="H38" s="54">
        <v>3896458.4299999997</v>
      </c>
      <c r="I38" s="35"/>
      <c r="J38" s="528">
        <v>0</v>
      </c>
      <c r="K38" s="54">
        <f t="shared" ref="K38:K39" si="5">SUM(H38:J38)</f>
        <v>3896458.4299999997</v>
      </c>
      <c r="L38" s="53"/>
      <c r="M38" s="54">
        <f>K38</f>
        <v>3896458.4299999997</v>
      </c>
      <c r="N38" s="7"/>
      <c r="O38" s="54">
        <v>0</v>
      </c>
      <c r="P38" s="354"/>
      <c r="Q38" s="352">
        <f>SUM(M38:O38)</f>
        <v>3896458.4299999997</v>
      </c>
      <c r="S38" s="54">
        <v>0</v>
      </c>
      <c r="T38" s="1"/>
    </row>
    <row r="39" spans="1:20" ht="16" customHeight="1" x14ac:dyDescent="0.25">
      <c r="B39" s="356">
        <v>18601102</v>
      </c>
      <c r="C39" s="5"/>
      <c r="D39" s="13">
        <v>18608112</v>
      </c>
      <c r="E39" s="1"/>
      <c r="F39" s="70" t="s">
        <v>55</v>
      </c>
      <c r="G39" s="70"/>
      <c r="H39" s="54">
        <v>34826945.689999998</v>
      </c>
      <c r="I39" s="35"/>
      <c r="J39" s="528">
        <v>54776.69</v>
      </c>
      <c r="K39" s="54">
        <f t="shared" si="5"/>
        <v>34881722.379999995</v>
      </c>
      <c r="L39" s="53"/>
      <c r="M39" s="54">
        <f>K39</f>
        <v>34881722.379999995</v>
      </c>
      <c r="N39" s="7"/>
      <c r="O39" s="54">
        <v>0</v>
      </c>
      <c r="P39" s="1"/>
      <c r="Q39" s="352">
        <f>SUM(M39:O39)</f>
        <v>34881722.379999995</v>
      </c>
      <c r="S39" s="54">
        <v>0</v>
      </c>
      <c r="T39" s="1"/>
    </row>
    <row r="40" spans="1:20" ht="16" customHeight="1" x14ac:dyDescent="0.3">
      <c r="B40" s="356"/>
      <c r="C40" s="5"/>
      <c r="D40" s="13"/>
      <c r="E40" s="1"/>
      <c r="F40" s="108" t="s">
        <v>35</v>
      </c>
      <c r="G40" s="108"/>
      <c r="H40" s="63">
        <v>41223404.119999997</v>
      </c>
      <c r="I40" s="111"/>
      <c r="J40" s="532">
        <f>SUM(J37:J39)</f>
        <v>0</v>
      </c>
      <c r="K40" s="63">
        <f>SUM(K37:K39)</f>
        <v>41223403.119999997</v>
      </c>
      <c r="L40" s="63"/>
      <c r="M40" s="63">
        <f>SUM(M37:M39)</f>
        <v>38778180.809999995</v>
      </c>
      <c r="N40" s="112"/>
      <c r="O40" s="63">
        <f>SUM(O37:O39)</f>
        <v>2445222.31</v>
      </c>
      <c r="P40" s="113"/>
      <c r="Q40" s="362">
        <f>SUM(Q37:Q39)</f>
        <v>41223403.119999997</v>
      </c>
      <c r="R40" s="113"/>
      <c r="S40" s="63">
        <f>SUM(S37:S39)</f>
        <v>0</v>
      </c>
      <c r="T40" s="1"/>
    </row>
    <row r="41" spans="1:20" ht="9" customHeight="1" x14ac:dyDescent="0.25">
      <c r="B41" s="356"/>
      <c r="C41" s="5"/>
      <c r="D41" s="5"/>
      <c r="E41" s="1"/>
      <c r="F41" s="70"/>
      <c r="G41" s="70"/>
      <c r="H41" s="54"/>
      <c r="I41" s="35"/>
      <c r="J41" s="528"/>
      <c r="K41" s="54"/>
      <c r="L41" s="53"/>
      <c r="M41" s="54"/>
      <c r="N41" s="7"/>
      <c r="O41" s="54"/>
      <c r="P41" s="1"/>
      <c r="Q41" s="348"/>
      <c r="S41" s="54"/>
      <c r="T41" s="1"/>
    </row>
    <row r="42" spans="1:20" s="7" customFormat="1" ht="18" customHeight="1" x14ac:dyDescent="0.3">
      <c r="A42" s="445"/>
      <c r="B42" s="345"/>
      <c r="C42" s="679">
        <v>22840092</v>
      </c>
      <c r="D42" s="10">
        <v>18609652</v>
      </c>
      <c r="E42" s="1"/>
      <c r="F42" s="70" t="s">
        <v>47</v>
      </c>
      <c r="G42" s="70"/>
      <c r="H42" s="53">
        <v>2050000</v>
      </c>
      <c r="I42" s="35"/>
      <c r="J42" s="528">
        <v>0</v>
      </c>
      <c r="K42" s="53">
        <f>SUM(H42:J42)</f>
        <v>2050000</v>
      </c>
      <c r="L42" s="53"/>
      <c r="M42" s="53">
        <v>0</v>
      </c>
      <c r="N42" s="37"/>
      <c r="O42" s="53">
        <f>K42</f>
        <v>2050000</v>
      </c>
      <c r="P42" s="82"/>
      <c r="Q42" s="352">
        <f>SUM(M42:O42)</f>
        <v>2050000</v>
      </c>
      <c r="S42" s="53"/>
      <c r="T42" s="1"/>
    </row>
    <row r="43" spans="1:20" s="7" customFormat="1" ht="16" customHeight="1" x14ac:dyDescent="0.3">
      <c r="A43" s="473" t="s">
        <v>317</v>
      </c>
      <c r="B43" s="422">
        <v>18603202</v>
      </c>
      <c r="C43" s="4"/>
      <c r="D43" s="10">
        <v>18609532</v>
      </c>
      <c r="F43" s="71" t="s">
        <v>57</v>
      </c>
      <c r="G43" s="71"/>
      <c r="H43" s="53">
        <v>231369.84</v>
      </c>
      <c r="I43" s="31"/>
      <c r="J43" s="528">
        <v>0</v>
      </c>
      <c r="K43" s="53">
        <f>SUM(H43:J43)</f>
        <v>231369.84</v>
      </c>
      <c r="L43" s="53"/>
      <c r="M43" s="53">
        <f>K43</f>
        <v>231369.84</v>
      </c>
      <c r="N43" s="37"/>
      <c r="O43" s="53">
        <v>0</v>
      </c>
      <c r="P43" s="82"/>
      <c r="Q43" s="352">
        <f>SUM(M43:O43)</f>
        <v>231369.84</v>
      </c>
      <c r="S43" s="53">
        <v>0</v>
      </c>
    </row>
    <row r="44" spans="1:20" s="7" customFormat="1" ht="16" customHeight="1" x14ac:dyDescent="0.3">
      <c r="A44" s="445"/>
      <c r="B44" s="345"/>
      <c r="C44" s="4"/>
      <c r="D44" s="10"/>
      <c r="F44" s="108" t="s">
        <v>36</v>
      </c>
      <c r="G44" s="108"/>
      <c r="H44" s="63">
        <v>2281369.84</v>
      </c>
      <c r="I44" s="111"/>
      <c r="J44" s="532">
        <f>SUM(J42:J43)</f>
        <v>0</v>
      </c>
      <c r="K44" s="63">
        <f>SUM(K42:K43)</f>
        <v>2281369.84</v>
      </c>
      <c r="L44" s="63"/>
      <c r="M44" s="63">
        <f>SUM(M42:M43)</f>
        <v>231369.84</v>
      </c>
      <c r="N44" s="112"/>
      <c r="O44" s="63">
        <f>SUM(O42:O43)</f>
        <v>2050000</v>
      </c>
      <c r="P44" s="113"/>
      <c r="Q44" s="362">
        <f>SUM(Q42:Q43)</f>
        <v>2281369.84</v>
      </c>
      <c r="R44" s="113"/>
      <c r="S44" s="63">
        <f>SUM(S42:S43)</f>
        <v>0</v>
      </c>
      <c r="T44" s="1"/>
    </row>
    <row r="45" spans="1:20" s="7" customFormat="1" ht="5.25" customHeight="1" x14ac:dyDescent="0.25">
      <c r="A45" s="445"/>
      <c r="B45" s="345"/>
      <c r="C45" s="4"/>
      <c r="D45" s="10"/>
      <c r="F45" s="71"/>
      <c r="G45" s="71"/>
      <c r="H45" s="53"/>
      <c r="I45" s="35"/>
      <c r="J45" s="529"/>
      <c r="K45" s="53"/>
      <c r="L45" s="53"/>
      <c r="M45" s="53"/>
      <c r="N45" s="37"/>
      <c r="O45" s="53"/>
      <c r="Q45" s="352"/>
      <c r="S45" s="53"/>
      <c r="T45" s="1"/>
    </row>
    <row r="46" spans="1:20" s="7" customFormat="1" ht="18" customHeight="1" x14ac:dyDescent="0.3">
      <c r="A46" s="445"/>
      <c r="B46" s="345"/>
      <c r="C46" s="679">
        <v>22840102</v>
      </c>
      <c r="D46" s="10">
        <v>18609662</v>
      </c>
      <c r="E46" s="1"/>
      <c r="F46" s="70" t="s">
        <v>48</v>
      </c>
      <c r="G46" s="70"/>
      <c r="H46" s="53">
        <v>522500.00000000006</v>
      </c>
      <c r="I46" s="35"/>
      <c r="J46" s="528">
        <v>-3128.75</v>
      </c>
      <c r="K46" s="53">
        <f>SUM(H46:J46)</f>
        <v>519371.25000000006</v>
      </c>
      <c r="L46" s="53"/>
      <c r="M46" s="53">
        <v>0</v>
      </c>
      <c r="N46" s="37"/>
      <c r="O46" s="53">
        <f>K46</f>
        <v>519371.25000000006</v>
      </c>
      <c r="P46" s="82"/>
      <c r="Q46" s="352">
        <f>SUM(M46:O46)</f>
        <v>519371.25000000006</v>
      </c>
      <c r="S46" s="53">
        <v>0</v>
      </c>
      <c r="T46" s="1"/>
    </row>
    <row r="47" spans="1:20" s="7" customFormat="1" ht="16" customHeight="1" x14ac:dyDescent="0.3">
      <c r="A47" s="474" t="s">
        <v>318</v>
      </c>
      <c r="B47" s="422">
        <v>18614402</v>
      </c>
      <c r="C47" s="4"/>
      <c r="D47" s="10">
        <v>18609542</v>
      </c>
      <c r="F47" s="71" t="s">
        <v>58</v>
      </c>
      <c r="G47" s="71"/>
      <c r="H47" s="53">
        <v>1239482.9699999997</v>
      </c>
      <c r="I47" s="31"/>
      <c r="J47" s="528">
        <v>3128.75</v>
      </c>
      <c r="K47" s="53">
        <f>SUM(H47:J47)</f>
        <v>1242611.7199999997</v>
      </c>
      <c r="L47" s="53"/>
      <c r="M47" s="53">
        <f>K47</f>
        <v>1242611.7199999997</v>
      </c>
      <c r="N47" s="37"/>
      <c r="O47" s="53">
        <v>0</v>
      </c>
      <c r="Q47" s="352">
        <f>SUM(M47:O47)</f>
        <v>1242611.7199999997</v>
      </c>
      <c r="S47" s="53">
        <v>0</v>
      </c>
    </row>
    <row r="48" spans="1:20" s="7" customFormat="1" ht="16" customHeight="1" x14ac:dyDescent="0.25">
      <c r="A48" s="445"/>
      <c r="B48" s="345"/>
      <c r="C48" s="4"/>
      <c r="D48" s="10">
        <v>18608792</v>
      </c>
      <c r="F48" s="71" t="s">
        <v>249</v>
      </c>
      <c r="G48" s="71"/>
      <c r="H48" s="53">
        <v>-160310.15</v>
      </c>
      <c r="I48" s="31" t="s">
        <v>296</v>
      </c>
      <c r="J48" s="528">
        <v>0</v>
      </c>
      <c r="K48" s="53">
        <f>SUM(H48:J48)</f>
        <v>-160310.15</v>
      </c>
      <c r="L48" s="355" t="s">
        <v>296</v>
      </c>
      <c r="M48" s="53">
        <f>K48</f>
        <v>-160310.15</v>
      </c>
      <c r="N48" s="37"/>
      <c r="O48" s="53">
        <v>0</v>
      </c>
      <c r="Q48" s="352">
        <f>SUM(M48:O48)</f>
        <v>-160310.15</v>
      </c>
      <c r="S48" s="53">
        <v>0</v>
      </c>
    </row>
    <row r="49" spans="1:20" s="7" customFormat="1" ht="16" customHeight="1" x14ac:dyDescent="0.3">
      <c r="A49" s="445"/>
      <c r="B49" s="345"/>
      <c r="C49" s="4"/>
      <c r="D49" s="10"/>
      <c r="F49" s="108" t="s">
        <v>37</v>
      </c>
      <c r="G49" s="108"/>
      <c r="H49" s="362">
        <v>1601672.8199999998</v>
      </c>
      <c r="I49" s="111"/>
      <c r="J49" s="532">
        <f>SUM(J46:J48)</f>
        <v>0</v>
      </c>
      <c r="K49" s="362">
        <f t="shared" ref="K49:S49" si="6">SUM(K46:K48)</f>
        <v>1601672.8199999998</v>
      </c>
      <c r="L49" s="362"/>
      <c r="M49" s="362">
        <f t="shared" si="6"/>
        <v>1082301.5699999998</v>
      </c>
      <c r="N49" s="362"/>
      <c r="O49" s="362">
        <f t="shared" si="6"/>
        <v>519371.25000000006</v>
      </c>
      <c r="P49" s="362"/>
      <c r="Q49" s="362">
        <f t="shared" si="6"/>
        <v>1601672.8199999998</v>
      </c>
      <c r="R49" s="362"/>
      <c r="S49" s="362">
        <f t="shared" si="6"/>
        <v>0</v>
      </c>
      <c r="T49" s="362"/>
    </row>
    <row r="50" spans="1:20" s="7" customFormat="1" ht="8.25" customHeight="1" x14ac:dyDescent="0.25">
      <c r="A50" s="445"/>
      <c r="B50" s="345"/>
      <c r="C50" s="4"/>
      <c r="D50" s="10"/>
      <c r="F50" s="70"/>
      <c r="G50" s="70"/>
      <c r="H50" s="54"/>
      <c r="I50" s="35"/>
      <c r="J50" s="528"/>
      <c r="K50" s="54"/>
      <c r="L50" s="53"/>
      <c r="M50" s="54"/>
      <c r="N50" s="37"/>
      <c r="O50" s="54"/>
      <c r="Q50" s="348"/>
      <c r="S50" s="54"/>
      <c r="T50" s="1"/>
    </row>
    <row r="51" spans="1:20" s="7" customFormat="1" ht="21" customHeight="1" x14ac:dyDescent="0.3">
      <c r="A51" s="445"/>
      <c r="B51" s="345"/>
      <c r="C51" s="679">
        <v>22840112</v>
      </c>
      <c r="D51" s="10">
        <v>18609672</v>
      </c>
      <c r="E51" s="1"/>
      <c r="F51" s="70" t="s">
        <v>49</v>
      </c>
      <c r="G51" s="70"/>
      <c r="H51" s="352">
        <v>200000</v>
      </c>
      <c r="I51" s="35"/>
      <c r="J51" s="528"/>
      <c r="K51" s="352">
        <f>SUM(H51:J51)</f>
        <v>200000</v>
      </c>
      <c r="L51" s="53"/>
      <c r="M51" s="53">
        <v>0</v>
      </c>
      <c r="N51" s="37"/>
      <c r="O51" s="53">
        <f>K51</f>
        <v>200000</v>
      </c>
      <c r="P51" s="354"/>
      <c r="Q51" s="352">
        <f>SUM(M51:O51)</f>
        <v>200000</v>
      </c>
      <c r="S51" s="53">
        <v>0</v>
      </c>
      <c r="T51" s="1"/>
    </row>
    <row r="52" spans="1:20" s="7" customFormat="1" ht="19.5" customHeight="1" x14ac:dyDescent="0.3">
      <c r="A52" s="474" t="s">
        <v>322</v>
      </c>
      <c r="B52" s="345">
        <v>18608302</v>
      </c>
      <c r="C52" s="4"/>
      <c r="D52" s="10">
        <v>18608752</v>
      </c>
      <c r="F52" s="71" t="s">
        <v>59</v>
      </c>
      <c r="G52" s="71"/>
      <c r="H52" s="53">
        <v>2050122.67</v>
      </c>
      <c r="I52" s="31"/>
      <c r="J52" s="528">
        <v>0</v>
      </c>
      <c r="K52" s="53">
        <f>SUM(H52:J52)</f>
        <v>2050122.67</v>
      </c>
      <c r="L52" s="53"/>
      <c r="M52" s="53">
        <f>K52</f>
        <v>2050122.67</v>
      </c>
      <c r="N52" s="37"/>
      <c r="O52" s="53">
        <v>0</v>
      </c>
      <c r="P52" s="82"/>
      <c r="Q52" s="352">
        <f>SUM(M52:O52)</f>
        <v>2050122.67</v>
      </c>
      <c r="S52" s="53">
        <v>0</v>
      </c>
    </row>
    <row r="53" spans="1:20" s="7" customFormat="1" ht="27.75" customHeight="1" x14ac:dyDescent="0.3">
      <c r="A53" s="445"/>
      <c r="B53" s="345">
        <v>18608304</v>
      </c>
      <c r="C53" s="4"/>
      <c r="D53" s="10">
        <v>18608752</v>
      </c>
      <c r="F53" s="71" t="s">
        <v>188</v>
      </c>
      <c r="G53" s="71"/>
      <c r="H53" s="53">
        <v>-1114592.67</v>
      </c>
      <c r="I53" s="31"/>
      <c r="J53" s="528">
        <v>0</v>
      </c>
      <c r="K53" s="53">
        <f>SUM(H53:J53)</f>
        <v>-1114592.67</v>
      </c>
      <c r="L53" s="53"/>
      <c r="M53" s="53">
        <f>K53</f>
        <v>-1114592.67</v>
      </c>
      <c r="N53" s="37"/>
      <c r="O53" s="53">
        <v>0</v>
      </c>
      <c r="P53" s="82"/>
      <c r="Q53" s="352">
        <f>SUM(M53:O53)</f>
        <v>-1114592.67</v>
      </c>
      <c r="S53" s="53">
        <v>0</v>
      </c>
    </row>
    <row r="54" spans="1:20" s="7" customFormat="1" ht="16" customHeight="1" x14ac:dyDescent="0.3">
      <c r="A54" s="445"/>
      <c r="B54" s="345"/>
      <c r="C54" s="4"/>
      <c r="D54" s="10"/>
      <c r="F54" s="108" t="s">
        <v>38</v>
      </c>
      <c r="G54" s="108"/>
      <c r="H54" s="63">
        <v>1135530</v>
      </c>
      <c r="I54" s="111"/>
      <c r="J54" s="532">
        <f>SUM(J51:J53)</f>
        <v>0</v>
      </c>
      <c r="K54" s="63">
        <f>SUM(K51:K53)</f>
        <v>1135530</v>
      </c>
      <c r="L54" s="63"/>
      <c r="M54" s="63">
        <f>SUM(M51:M53)</f>
        <v>935530</v>
      </c>
      <c r="N54" s="112"/>
      <c r="O54" s="63">
        <f>SUM(O51:O53)</f>
        <v>200000</v>
      </c>
      <c r="P54" s="363"/>
      <c r="Q54" s="362">
        <f>SUM(Q51:Q53)</f>
        <v>1135530</v>
      </c>
      <c r="R54" s="113"/>
      <c r="S54" s="63">
        <f>SUM(S51:S53)</f>
        <v>0</v>
      </c>
      <c r="T54" s="1"/>
    </row>
    <row r="55" spans="1:20" s="7" customFormat="1" ht="7.5" customHeight="1" x14ac:dyDescent="0.25">
      <c r="A55" s="445"/>
      <c r="B55" s="345"/>
      <c r="C55" s="4"/>
      <c r="D55" s="10"/>
      <c r="F55" s="70"/>
      <c r="G55" s="70"/>
      <c r="H55" s="54"/>
      <c r="I55" s="35"/>
      <c r="J55" s="528"/>
      <c r="K55" s="54"/>
      <c r="L55" s="53"/>
      <c r="M55" s="54"/>
      <c r="N55" s="37"/>
      <c r="O55" s="54"/>
      <c r="Q55" s="348"/>
      <c r="S55" s="54"/>
      <c r="T55" s="1"/>
    </row>
    <row r="56" spans="1:20" s="7" customFormat="1" ht="21" customHeight="1" x14ac:dyDescent="0.3">
      <c r="A56" s="474" t="s">
        <v>323</v>
      </c>
      <c r="B56" s="345"/>
      <c r="C56" s="4">
        <v>22840162</v>
      </c>
      <c r="D56" s="10">
        <v>18608012</v>
      </c>
      <c r="E56" s="1"/>
      <c r="F56" s="347" t="s">
        <v>297</v>
      </c>
      <c r="G56" s="70"/>
      <c r="H56" s="53">
        <v>299856</v>
      </c>
      <c r="I56" s="35"/>
      <c r="J56" s="528">
        <v>-80329.83</v>
      </c>
      <c r="K56" s="352">
        <f>SUM(H56:J56)</f>
        <v>219526.16999999998</v>
      </c>
      <c r="L56" s="53"/>
      <c r="M56" s="53">
        <v>0</v>
      </c>
      <c r="N56" s="37"/>
      <c r="O56" s="53">
        <f>K56</f>
        <v>219526.16999999998</v>
      </c>
      <c r="P56" s="354"/>
      <c r="Q56" s="352">
        <f>SUM(M56:O56)</f>
        <v>219526.16999999998</v>
      </c>
      <c r="S56" s="53">
        <v>0</v>
      </c>
      <c r="T56" s="1"/>
    </row>
    <row r="57" spans="1:20" s="7" customFormat="1" ht="16" customHeight="1" x14ac:dyDescent="0.3">
      <c r="A57" s="445"/>
      <c r="B57" s="422">
        <v>18607104</v>
      </c>
      <c r="C57" s="4"/>
      <c r="D57" s="10">
        <v>18608002</v>
      </c>
      <c r="F57" s="420" t="s">
        <v>298</v>
      </c>
      <c r="G57" s="71"/>
      <c r="H57" s="53">
        <v>42368.270000000004</v>
      </c>
      <c r="I57" s="31"/>
      <c r="J57" s="528">
        <v>80329.83</v>
      </c>
      <c r="K57" s="53">
        <f>SUM(H57:J57)</f>
        <v>122698.1</v>
      </c>
      <c r="L57" s="53"/>
      <c r="M57" s="53">
        <f>K57</f>
        <v>122698.1</v>
      </c>
      <c r="N57" s="37"/>
      <c r="O57" s="53">
        <v>0</v>
      </c>
      <c r="P57" s="82"/>
      <c r="Q57" s="352">
        <f>SUM(M57:O57)</f>
        <v>122698.1</v>
      </c>
      <c r="S57" s="53">
        <v>0</v>
      </c>
    </row>
    <row r="58" spans="1:20" s="7" customFormat="1" ht="16" customHeight="1" x14ac:dyDescent="0.3">
      <c r="A58" s="445"/>
      <c r="B58" s="345"/>
      <c r="C58" s="4"/>
      <c r="D58" s="10"/>
      <c r="F58" s="361" t="s">
        <v>299</v>
      </c>
      <c r="G58" s="108"/>
      <c r="H58" s="63">
        <v>342224.27</v>
      </c>
      <c r="I58" s="111"/>
      <c r="J58" s="532">
        <f>SUM(J56:J57)</f>
        <v>0</v>
      </c>
      <c r="K58" s="63">
        <f>SUM(K56:K57)</f>
        <v>342224.27</v>
      </c>
      <c r="L58" s="63"/>
      <c r="M58" s="63">
        <f>SUM(M56:M57)</f>
        <v>122698.1</v>
      </c>
      <c r="N58" s="112"/>
      <c r="O58" s="63">
        <f>SUM(O56:O57)</f>
        <v>219526.16999999998</v>
      </c>
      <c r="P58" s="363"/>
      <c r="Q58" s="362">
        <f>SUM(Q56:Q57)</f>
        <v>342224.27</v>
      </c>
      <c r="R58" s="113"/>
      <c r="S58" s="63">
        <f>SUM(S56:S57)</f>
        <v>0</v>
      </c>
      <c r="T58" s="1"/>
    </row>
    <row r="59" spans="1:20" s="7" customFormat="1" ht="20.25" customHeight="1" x14ac:dyDescent="0.3">
      <c r="A59" s="445"/>
      <c r="B59" s="345"/>
      <c r="C59" s="4"/>
      <c r="D59" s="10">
        <v>18608062</v>
      </c>
      <c r="F59" s="70" t="s">
        <v>30</v>
      </c>
      <c r="G59" s="70"/>
      <c r="H59" s="75">
        <v>0</v>
      </c>
      <c r="I59" s="116"/>
      <c r="J59" s="534">
        <v>0</v>
      </c>
      <c r="K59" s="75">
        <f>SUM(H59:J59)</f>
        <v>0</v>
      </c>
      <c r="L59" s="75"/>
      <c r="M59" s="75">
        <v>0</v>
      </c>
      <c r="N59" s="117"/>
      <c r="O59" s="75">
        <v>0</v>
      </c>
      <c r="P59" s="28"/>
      <c r="Q59" s="397">
        <v>0</v>
      </c>
      <c r="R59" s="28"/>
      <c r="S59" s="449">
        <v>-50260052.850000001</v>
      </c>
      <c r="T59" s="1"/>
    </row>
    <row r="60" spans="1:20" s="7" customFormat="1" ht="20.25" hidden="1" customHeight="1" x14ac:dyDescent="0.3">
      <c r="A60" s="445"/>
      <c r="B60" s="345"/>
      <c r="C60" s="4"/>
      <c r="D60" s="10"/>
      <c r="F60" s="323" t="s">
        <v>67</v>
      </c>
      <c r="G60" s="70"/>
      <c r="H60" s="53" t="e">
        <v>#REF!</v>
      </c>
      <c r="I60" s="31"/>
      <c r="J60" s="529"/>
      <c r="K60" s="53"/>
      <c r="L60" s="53"/>
      <c r="M60" s="53"/>
      <c r="N60" s="37"/>
      <c r="O60" s="53"/>
      <c r="P60" s="53"/>
      <c r="Q60" s="396" t="e">
        <f>Q7+Q8+Q11+Q12+Q18+Q19+Q23+Q24+#REF!+Q29+Q33+Q34+#REF!+Q30+Q37+Q38+Q42+Q43+Q46+Q47+Q51+Q52+Q53</f>
        <v>#REF!</v>
      </c>
      <c r="S60" s="53"/>
      <c r="T60" s="1"/>
    </row>
    <row r="61" spans="1:20" s="7" customFormat="1" ht="20.25" hidden="1" customHeight="1" x14ac:dyDescent="0.3">
      <c r="A61" s="445"/>
      <c r="B61" s="345"/>
      <c r="C61" s="4"/>
      <c r="D61" s="10"/>
      <c r="F61" s="323" t="s">
        <v>68</v>
      </c>
      <c r="G61" s="70"/>
      <c r="H61" s="53">
        <v>34826945.689999998</v>
      </c>
      <c r="I61" s="31"/>
      <c r="J61" s="529"/>
      <c r="K61" s="53"/>
      <c r="L61" s="53"/>
      <c r="M61" s="53"/>
      <c r="N61" s="37"/>
      <c r="O61" s="53"/>
      <c r="Q61" s="396">
        <f>Q15+Q39</f>
        <v>34881722.379999995</v>
      </c>
      <c r="S61" s="53"/>
      <c r="T61" s="1"/>
    </row>
    <row r="62" spans="1:20" s="7" customFormat="1" ht="15" customHeight="1" x14ac:dyDescent="0.3">
      <c r="A62" s="445"/>
      <c r="B62" s="343"/>
      <c r="C62" s="5"/>
      <c r="D62" s="5"/>
      <c r="E62" s="1"/>
      <c r="F62" s="101" t="s">
        <v>8</v>
      </c>
      <c r="G62" s="90"/>
      <c r="H62" s="91"/>
      <c r="I62" s="92"/>
      <c r="J62" s="533"/>
      <c r="K62" s="91"/>
      <c r="L62" s="91"/>
      <c r="M62" s="91"/>
      <c r="N62" s="93"/>
      <c r="O62" s="91"/>
      <c r="P62" s="89"/>
      <c r="Q62" s="396"/>
      <c r="R62" s="89"/>
      <c r="S62" s="91"/>
      <c r="T62" s="1"/>
    </row>
    <row r="63" spans="1:20" s="7" customFormat="1" ht="16" customHeight="1" x14ac:dyDescent="0.3">
      <c r="A63" s="445"/>
      <c r="B63" s="345"/>
      <c r="C63" s="677">
        <v>22840122</v>
      </c>
      <c r="D63" s="5">
        <v>18609682</v>
      </c>
      <c r="E63" s="1"/>
      <c r="F63" s="71" t="s">
        <v>64</v>
      </c>
      <c r="G63" s="71"/>
      <c r="H63" s="53">
        <v>140000</v>
      </c>
      <c r="I63" s="31"/>
      <c r="J63" s="529">
        <v>0</v>
      </c>
      <c r="K63" s="53">
        <f t="shared" ref="K63:K75" si="7">SUM(H63:J63)</f>
        <v>140000</v>
      </c>
      <c r="L63" s="53"/>
      <c r="M63" s="53">
        <v>0</v>
      </c>
      <c r="N63" s="37"/>
      <c r="O63" s="53">
        <f>K63</f>
        <v>140000</v>
      </c>
      <c r="P63" s="354"/>
      <c r="Q63" s="352">
        <f t="shared" ref="Q63:Q75" si="8">SUM(M63:O63)</f>
        <v>140000</v>
      </c>
      <c r="S63" s="53">
        <v>0</v>
      </c>
      <c r="T63" s="1"/>
    </row>
    <row r="64" spans="1:20" s="7" customFormat="1" ht="16" customHeight="1" x14ac:dyDescent="0.3">
      <c r="A64" s="474" t="s">
        <v>316</v>
      </c>
      <c r="B64" s="345">
        <v>18230212</v>
      </c>
      <c r="C64" s="5"/>
      <c r="D64" s="5">
        <v>18237112</v>
      </c>
      <c r="E64" s="76"/>
      <c r="F64" s="71" t="s">
        <v>17</v>
      </c>
      <c r="G64" s="71"/>
      <c r="H64" s="53">
        <v>279321.2</v>
      </c>
      <c r="I64" s="31"/>
      <c r="J64" s="529">
        <v>0</v>
      </c>
      <c r="K64" s="53">
        <f t="shared" si="7"/>
        <v>279321.2</v>
      </c>
      <c r="L64" s="53"/>
      <c r="M64" s="53">
        <f>K64</f>
        <v>279321.2</v>
      </c>
      <c r="N64" s="37"/>
      <c r="O64" s="53">
        <v>0</v>
      </c>
      <c r="P64" s="354"/>
      <c r="Q64" s="352">
        <f t="shared" si="8"/>
        <v>279321.2</v>
      </c>
      <c r="S64" s="53">
        <v>0</v>
      </c>
    </row>
    <row r="65" spans="1:20" s="7" customFormat="1" ht="16" customHeight="1" x14ac:dyDescent="0.25">
      <c r="A65" s="445"/>
      <c r="B65" s="345"/>
      <c r="C65" s="5"/>
      <c r="D65" s="5"/>
      <c r="E65" s="76"/>
      <c r="F65" s="71"/>
      <c r="G65" s="71"/>
      <c r="H65" s="367">
        <v>419321.2</v>
      </c>
      <c r="I65" s="367"/>
      <c r="J65" s="535">
        <f t="shared" ref="J65:S65" si="9">SUM(J63:J64)</f>
        <v>0</v>
      </c>
      <c r="K65" s="367">
        <f t="shared" si="9"/>
        <v>419321.2</v>
      </c>
      <c r="L65" s="367"/>
      <c r="M65" s="367">
        <f t="shared" si="9"/>
        <v>279321.2</v>
      </c>
      <c r="N65" s="367"/>
      <c r="O65" s="367">
        <f t="shared" si="9"/>
        <v>140000</v>
      </c>
      <c r="P65" s="367"/>
      <c r="Q65" s="399">
        <f t="shared" si="9"/>
        <v>419321.2</v>
      </c>
      <c r="R65" s="367"/>
      <c r="S65" s="367">
        <f t="shared" si="9"/>
        <v>0</v>
      </c>
    </row>
    <row r="66" spans="1:20" s="7" customFormat="1" ht="16" customHeight="1" x14ac:dyDescent="0.3">
      <c r="A66" s="445"/>
      <c r="B66" s="345"/>
      <c r="C66" s="5"/>
      <c r="D66" s="5"/>
      <c r="E66" s="76"/>
      <c r="F66" s="71"/>
      <c r="G66" s="71"/>
      <c r="H66" s="53"/>
      <c r="I66" s="31"/>
      <c r="J66" s="529"/>
      <c r="K66" s="53"/>
      <c r="L66" s="53"/>
      <c r="M66" s="53"/>
      <c r="N66" s="37"/>
      <c r="O66" s="53"/>
      <c r="P66" s="354"/>
      <c r="Q66" s="352"/>
      <c r="S66" s="53"/>
      <c r="T66" s="1"/>
    </row>
    <row r="67" spans="1:20" s="7" customFormat="1" ht="16" customHeight="1" x14ac:dyDescent="0.3">
      <c r="A67" s="445"/>
      <c r="B67" s="345"/>
      <c r="C67" s="5">
        <v>22840132</v>
      </c>
      <c r="D67" s="5">
        <v>18609692</v>
      </c>
      <c r="E67" s="1"/>
      <c r="F67" s="71" t="s">
        <v>65</v>
      </c>
      <c r="G67" s="71"/>
      <c r="H67" s="53">
        <v>100000</v>
      </c>
      <c r="I67" s="31"/>
      <c r="J67" s="529">
        <v>0</v>
      </c>
      <c r="K67" s="53">
        <f t="shared" si="7"/>
        <v>100000</v>
      </c>
      <c r="L67" s="53"/>
      <c r="M67" s="53">
        <v>0</v>
      </c>
      <c r="N67" s="37"/>
      <c r="O67" s="53">
        <f>K67</f>
        <v>100000</v>
      </c>
      <c r="P67" s="354"/>
      <c r="Q67" s="352">
        <f t="shared" si="8"/>
        <v>100000</v>
      </c>
      <c r="S67" s="53">
        <v>0</v>
      </c>
      <c r="T67" s="1"/>
    </row>
    <row r="68" spans="1:20" s="7" customFormat="1" ht="16" customHeight="1" x14ac:dyDescent="0.3">
      <c r="A68" s="474" t="s">
        <v>325</v>
      </c>
      <c r="B68" s="345">
        <v>18230210</v>
      </c>
      <c r="C68" s="5"/>
      <c r="D68" s="5">
        <v>18236912</v>
      </c>
      <c r="E68" s="76"/>
      <c r="F68" s="71" t="s">
        <v>9</v>
      </c>
      <c r="G68" s="71"/>
      <c r="H68" s="53">
        <v>0</v>
      </c>
      <c r="I68" s="31"/>
      <c r="J68" s="529">
        <v>0</v>
      </c>
      <c r="K68" s="53">
        <f t="shared" si="7"/>
        <v>0</v>
      </c>
      <c r="L68" s="53"/>
      <c r="M68" s="53">
        <v>0</v>
      </c>
      <c r="N68" s="37"/>
      <c r="O68" s="53">
        <v>0</v>
      </c>
      <c r="Q68" s="352">
        <f t="shared" si="8"/>
        <v>0</v>
      </c>
      <c r="S68" s="53">
        <v>0</v>
      </c>
      <c r="T68" s="1"/>
    </row>
    <row r="69" spans="1:20" s="7" customFormat="1" ht="16" customHeight="1" x14ac:dyDescent="0.3">
      <c r="A69" s="445"/>
      <c r="B69" s="345"/>
      <c r="C69" s="5"/>
      <c r="D69" s="5"/>
      <c r="E69" s="76"/>
      <c r="F69" s="71"/>
      <c r="G69" s="71"/>
      <c r="H69" s="367">
        <v>100000</v>
      </c>
      <c r="I69" s="367"/>
      <c r="J69" s="532">
        <f>SUM(J67:J68)</f>
        <v>0</v>
      </c>
      <c r="K69" s="367">
        <f t="shared" ref="K69:S69" si="10">SUM(K67:K68)</f>
        <v>100000</v>
      </c>
      <c r="L69" s="367"/>
      <c r="M69" s="367">
        <f t="shared" si="10"/>
        <v>0</v>
      </c>
      <c r="N69" s="367"/>
      <c r="O69" s="367">
        <f t="shared" si="10"/>
        <v>100000</v>
      </c>
      <c r="P69" s="367"/>
      <c r="Q69" s="399">
        <f t="shared" si="10"/>
        <v>100000</v>
      </c>
      <c r="R69" s="367"/>
      <c r="S69" s="367">
        <f t="shared" si="10"/>
        <v>0</v>
      </c>
      <c r="T69" s="1"/>
    </row>
    <row r="70" spans="1:20" s="7" customFormat="1" ht="16" customHeight="1" x14ac:dyDescent="0.25">
      <c r="A70" s="445"/>
      <c r="B70" s="345"/>
      <c r="C70" s="5"/>
      <c r="D70" s="5"/>
      <c r="E70" s="76"/>
      <c r="F70" s="71"/>
      <c r="G70" s="71"/>
      <c r="H70" s="53"/>
      <c r="I70" s="31"/>
      <c r="J70" s="529"/>
      <c r="K70" s="53"/>
      <c r="L70" s="53"/>
      <c r="M70" s="53"/>
      <c r="N70" s="37"/>
      <c r="O70" s="53"/>
      <c r="Q70" s="352"/>
      <c r="S70" s="53"/>
      <c r="T70" s="1"/>
    </row>
    <row r="71" spans="1:20" s="7" customFormat="1" ht="16" customHeight="1" x14ac:dyDescent="0.25">
      <c r="A71" s="445"/>
      <c r="B71" s="345"/>
      <c r="C71" s="5"/>
      <c r="D71" s="5">
        <v>18237122</v>
      </c>
      <c r="E71" s="76" t="s">
        <v>10</v>
      </c>
      <c r="F71" s="71" t="s">
        <v>21</v>
      </c>
      <c r="G71" s="71"/>
      <c r="H71" s="53">
        <v>169602.13</v>
      </c>
      <c r="I71" s="31"/>
      <c r="J71" s="529">
        <v>0</v>
      </c>
      <c r="K71" s="53">
        <f t="shared" si="7"/>
        <v>169602.13</v>
      </c>
      <c r="L71" s="53"/>
      <c r="M71" s="53">
        <f>K71</f>
        <v>169602.13</v>
      </c>
      <c r="N71" s="37"/>
      <c r="O71" s="53">
        <v>0</v>
      </c>
      <c r="Q71" s="352">
        <f t="shared" si="8"/>
        <v>169602.13</v>
      </c>
      <c r="S71" s="53">
        <v>0</v>
      </c>
      <c r="T71" s="1"/>
    </row>
    <row r="72" spans="1:20" s="7" customFormat="1" ht="16" customHeight="1" x14ac:dyDescent="0.25">
      <c r="A72" s="445"/>
      <c r="B72" s="345"/>
      <c r="C72" s="5"/>
      <c r="D72" s="5">
        <v>18237132</v>
      </c>
      <c r="E72" s="76" t="s">
        <v>10</v>
      </c>
      <c r="F72" s="71" t="s">
        <v>25</v>
      </c>
      <c r="G72" s="71"/>
      <c r="H72" s="53">
        <v>133750.43</v>
      </c>
      <c r="I72" s="31"/>
      <c r="J72" s="529">
        <v>0</v>
      </c>
      <c r="K72" s="53">
        <f t="shared" si="7"/>
        <v>133750.43</v>
      </c>
      <c r="L72" s="53"/>
      <c r="M72" s="53">
        <f>K72</f>
        <v>133750.43</v>
      </c>
      <c r="N72" s="37"/>
      <c r="O72" s="53">
        <v>0</v>
      </c>
      <c r="Q72" s="352">
        <f t="shared" si="8"/>
        <v>133750.43</v>
      </c>
      <c r="S72" s="53">
        <v>0</v>
      </c>
      <c r="T72" s="1"/>
    </row>
    <row r="73" spans="1:20" s="7" customFormat="1" ht="16" customHeight="1" x14ac:dyDescent="0.25">
      <c r="A73" s="445"/>
      <c r="B73" s="345"/>
      <c r="C73" s="5"/>
      <c r="D73" s="5">
        <v>18237142</v>
      </c>
      <c r="E73" s="76" t="s">
        <v>10</v>
      </c>
      <c r="F73" s="71" t="s">
        <v>26</v>
      </c>
      <c r="G73" s="71"/>
      <c r="H73" s="53">
        <v>53995.63</v>
      </c>
      <c r="I73" s="31"/>
      <c r="J73" s="529">
        <v>0</v>
      </c>
      <c r="K73" s="53">
        <f t="shared" si="7"/>
        <v>53995.63</v>
      </c>
      <c r="L73" s="53"/>
      <c r="M73" s="53">
        <f>K73</f>
        <v>53995.63</v>
      </c>
      <c r="N73" s="37"/>
      <c r="O73" s="53">
        <v>0</v>
      </c>
      <c r="Q73" s="352">
        <f t="shared" si="8"/>
        <v>53995.63</v>
      </c>
      <c r="S73" s="53">
        <v>0</v>
      </c>
      <c r="T73" s="1"/>
    </row>
    <row r="74" spans="1:20" s="7" customFormat="1" ht="16" customHeight="1" x14ac:dyDescent="0.25">
      <c r="A74" s="445"/>
      <c r="B74" s="345"/>
      <c r="C74" s="5"/>
      <c r="D74" s="5">
        <v>18237152</v>
      </c>
      <c r="E74" s="76" t="s">
        <v>10</v>
      </c>
      <c r="F74" s="71" t="s">
        <v>27</v>
      </c>
      <c r="G74" s="71"/>
      <c r="H74" s="53">
        <v>67987.45</v>
      </c>
      <c r="I74" s="31"/>
      <c r="J74" s="529">
        <v>0</v>
      </c>
      <c r="K74" s="53">
        <f t="shared" si="7"/>
        <v>67987.45</v>
      </c>
      <c r="L74" s="53"/>
      <c r="M74" s="53">
        <f>K74</f>
        <v>67987.45</v>
      </c>
      <c r="N74" s="37"/>
      <c r="O74" s="53">
        <v>0</v>
      </c>
      <c r="Q74" s="352">
        <f t="shared" si="8"/>
        <v>67987.45</v>
      </c>
      <c r="S74" s="53">
        <v>0</v>
      </c>
      <c r="T74" s="1"/>
    </row>
    <row r="75" spans="1:20" s="7" customFormat="1" ht="16" hidden="1" customHeight="1" x14ac:dyDescent="0.25">
      <c r="A75" s="445"/>
      <c r="B75" s="345"/>
      <c r="C75" s="5"/>
      <c r="D75" s="5">
        <v>18236022</v>
      </c>
      <c r="E75" s="76"/>
      <c r="F75" s="71" t="s">
        <v>29</v>
      </c>
      <c r="G75" s="71"/>
      <c r="H75" s="75">
        <v>0</v>
      </c>
      <c r="I75" s="116"/>
      <c r="J75" s="534">
        <v>0</v>
      </c>
      <c r="K75" s="75">
        <f t="shared" si="7"/>
        <v>0</v>
      </c>
      <c r="L75" s="75"/>
      <c r="M75" s="75">
        <f>K75</f>
        <v>0</v>
      </c>
      <c r="N75" s="117"/>
      <c r="O75" s="75">
        <v>0</v>
      </c>
      <c r="P75" s="28"/>
      <c r="Q75" s="397">
        <f t="shared" si="8"/>
        <v>0</v>
      </c>
      <c r="R75" s="28"/>
      <c r="S75" s="75">
        <v>0</v>
      </c>
      <c r="T75" s="1"/>
    </row>
    <row r="76" spans="1:20" s="7" customFormat="1" ht="15" hidden="1" customHeight="1" x14ac:dyDescent="0.3">
      <c r="A76" s="445"/>
      <c r="B76" s="345"/>
      <c r="C76" s="5"/>
      <c r="D76" s="5"/>
      <c r="E76" s="76"/>
      <c r="F76" s="323" t="s">
        <v>67</v>
      </c>
      <c r="G76" s="71"/>
      <c r="H76" s="53"/>
      <c r="I76" s="31"/>
      <c r="J76" s="529"/>
      <c r="K76" s="53"/>
      <c r="L76" s="53"/>
      <c r="M76" s="53"/>
      <c r="N76" s="37"/>
      <c r="O76" s="53"/>
      <c r="Q76" s="396">
        <f>Q63+Q64+Q67</f>
        <v>519321.2</v>
      </c>
      <c r="S76" s="53">
        <v>0</v>
      </c>
      <c r="T76" s="1"/>
    </row>
    <row r="77" spans="1:20" s="7" customFormat="1" ht="15" hidden="1" customHeight="1" x14ac:dyDescent="0.3">
      <c r="A77" s="445"/>
      <c r="B77" s="345"/>
      <c r="C77" s="5"/>
      <c r="D77" s="5"/>
      <c r="E77" s="76"/>
      <c r="F77" s="323" t="s">
        <v>238</v>
      </c>
      <c r="G77" s="322"/>
      <c r="H77" s="53"/>
      <c r="I77" s="31"/>
      <c r="J77" s="529"/>
      <c r="K77" s="53"/>
      <c r="L77" s="53"/>
      <c r="M77" s="53"/>
      <c r="N77" s="37"/>
      <c r="O77" s="53"/>
      <c r="Q77" s="396">
        <f>Q68+Q71+Q72+Q73+Q74+Q75</f>
        <v>425335.64</v>
      </c>
      <c r="S77" s="53">
        <v>0</v>
      </c>
      <c r="T77" s="1"/>
    </row>
    <row r="78" spans="1:20" ht="24.75" customHeight="1" thickBot="1" x14ac:dyDescent="0.35">
      <c r="B78" s="467"/>
      <c r="C78" s="7"/>
      <c r="D78" s="7"/>
      <c r="E78" s="7"/>
      <c r="F78" s="521"/>
      <c r="G78" s="72"/>
      <c r="H78" s="102">
        <f>SUM(H71:H77)+H64+H68</f>
        <v>704656.84000000008</v>
      </c>
      <c r="I78" s="102"/>
      <c r="J78" s="536">
        <f t="shared" ref="J78" si="11">SUM(J71:J77)+J64+J68</f>
        <v>0</v>
      </c>
      <c r="K78" s="102">
        <f>SUM(K71:K77)+K64+K68</f>
        <v>704656.84000000008</v>
      </c>
      <c r="L78" s="102"/>
      <c r="M78" s="102">
        <f>M65+M69+SUM(M71:M74)</f>
        <v>704656.84000000008</v>
      </c>
      <c r="N78" s="102">
        <f t="shared" ref="N78:P78" si="12">N65+N69+SUM(N71:N74)</f>
        <v>0</v>
      </c>
      <c r="O78" s="102">
        <v>0</v>
      </c>
      <c r="P78" s="102">
        <f t="shared" si="12"/>
        <v>0</v>
      </c>
      <c r="Q78" s="548">
        <f>SUM(Q71:Q74)+Q64+Q68</f>
        <v>704656.84000000008</v>
      </c>
      <c r="R78" s="102">
        <f t="shared" ref="R78:S78" si="13">R65+R69+SUM(R71:R74)</f>
        <v>0</v>
      </c>
      <c r="S78" s="102">
        <f t="shared" si="13"/>
        <v>0</v>
      </c>
      <c r="T78" s="103"/>
    </row>
    <row r="79" spans="1:20" s="7" customFormat="1" ht="15" hidden="1" customHeight="1" thickTop="1" x14ac:dyDescent="0.3">
      <c r="A79" s="445"/>
      <c r="B79" s="468"/>
      <c r="E79" s="29"/>
      <c r="F79" s="323" t="s">
        <v>67</v>
      </c>
      <c r="G79" s="72"/>
      <c r="H79" s="91"/>
      <c r="I79" s="92"/>
      <c r="J79" s="533"/>
      <c r="K79" s="91"/>
      <c r="L79" s="91"/>
      <c r="M79" s="91"/>
      <c r="N79" s="89"/>
      <c r="O79" s="91"/>
      <c r="P79" s="94"/>
      <c r="Q79" s="396" t="e">
        <f>Q60+Q76</f>
        <v>#REF!</v>
      </c>
      <c r="R79" s="89"/>
      <c r="S79" s="91"/>
      <c r="T79" s="103"/>
    </row>
    <row r="80" spans="1:20" s="7" customFormat="1" ht="15" hidden="1" customHeight="1" x14ac:dyDescent="0.3">
      <c r="A80" s="445"/>
      <c r="B80" s="468"/>
      <c r="E80" s="29"/>
      <c r="F80" s="323" t="s">
        <v>238</v>
      </c>
      <c r="G80" s="72"/>
      <c r="H80" s="91"/>
      <c r="I80" s="92"/>
      <c r="J80" s="533"/>
      <c r="K80" s="91"/>
      <c r="L80" s="91"/>
      <c r="M80" s="91"/>
      <c r="N80" s="89"/>
      <c r="O80" s="91"/>
      <c r="P80" s="89"/>
      <c r="Q80" s="396">
        <f>Q61+Q77</f>
        <v>35307058.019999996</v>
      </c>
      <c r="R80" s="89"/>
      <c r="S80" s="91"/>
      <c r="T80" s="103"/>
    </row>
    <row r="81" spans="1:25" s="7" customFormat="1" ht="21.75" customHeight="1" thickTop="1" x14ac:dyDescent="0.3">
      <c r="A81" s="445"/>
      <c r="B81" s="343"/>
      <c r="C81" s="5"/>
      <c r="D81" s="5"/>
      <c r="E81" s="1"/>
      <c r="F81" s="423" t="s">
        <v>329</v>
      </c>
      <c r="G81" s="87"/>
      <c r="H81" s="88">
        <f>H59+H54+H49+H44+H40+H35+H31+H25+H21+H16+H9+H58+H63+H67</f>
        <v>102151688.73</v>
      </c>
      <c r="I81" s="88"/>
      <c r="J81" s="537">
        <f>J59+J54+J49+J44+J40+J35+J31+J25+J21+J16+J9+J58+J65+J69</f>
        <v>-5.8207660913467407E-11</v>
      </c>
      <c r="K81" s="88">
        <f>K59+K54+K49+K44+K40+K35+K31+K25+K21+K16+K9+K58+K63+K67</f>
        <v>102151687.73</v>
      </c>
      <c r="L81" s="88">
        <f t="shared" ref="L81:R81" si="14">L59+L54+L49+L44+L40+L35+L31+L25+L21+L16+L9+L58+L63+L67</f>
        <v>0</v>
      </c>
      <c r="M81" s="88">
        <f>M59+M54+M49+M44+M40+M35+M31+M25+M21+M16+M9+M58+M63+M67</f>
        <v>67056280.909999989</v>
      </c>
      <c r="N81" s="88">
        <f t="shared" si="14"/>
        <v>0</v>
      </c>
      <c r="O81" s="88">
        <f>O59+O54+O49+O44+O40+O35+O31+O25+O21+O16+O9+O58+O63+O67</f>
        <v>35095406.820000008</v>
      </c>
      <c r="P81" s="88">
        <f t="shared" si="14"/>
        <v>0</v>
      </c>
      <c r="Q81" s="398">
        <f>Q59+Q54+Q49+Q44+Q40+Q35+Q31+Q25+Q21+Q16+Q9+Q58+Q63+Q67</f>
        <v>102151687.73</v>
      </c>
      <c r="R81" s="88">
        <f t="shared" si="14"/>
        <v>0</v>
      </c>
      <c r="S81" s="88">
        <f>S59+S54+S49+S44+S40+S35+S31+S25+S21+S16+S9+S58+S63+S67</f>
        <v>-50260052.850000001</v>
      </c>
      <c r="T81" s="1"/>
      <c r="U81" s="39"/>
      <c r="V81" s="39"/>
      <c r="W81" s="39"/>
      <c r="X81" s="39"/>
      <c r="Y81" s="39"/>
    </row>
    <row r="82" spans="1:25" s="7" customFormat="1" ht="11.25" customHeight="1" x14ac:dyDescent="0.3">
      <c r="A82" s="445"/>
      <c r="B82" s="468"/>
      <c r="E82" s="29"/>
      <c r="F82" s="323"/>
      <c r="G82" s="72"/>
      <c r="H82" s="91"/>
      <c r="I82" s="92"/>
      <c r="J82" s="533"/>
      <c r="K82" s="91"/>
      <c r="L82" s="91"/>
      <c r="M82" s="91"/>
      <c r="N82" s="89"/>
      <c r="O82" s="91"/>
      <c r="P82" s="89"/>
      <c r="Q82" s="396"/>
      <c r="R82" s="89"/>
      <c r="S82" s="91"/>
      <c r="T82" s="103"/>
    </row>
    <row r="83" spans="1:25" s="7" customFormat="1" ht="15" customHeight="1" thickBot="1" x14ac:dyDescent="0.35">
      <c r="A83" s="445"/>
      <c r="B83" s="468"/>
      <c r="E83" s="29"/>
      <c r="F83" s="107" t="s">
        <v>23</v>
      </c>
      <c r="G83" s="74"/>
      <c r="H83" s="104">
        <f>H78+H81</f>
        <v>102856345.57000001</v>
      </c>
      <c r="I83" s="104">
        <f t="shared" ref="I83:S83" si="15">I78+I81</f>
        <v>0</v>
      </c>
      <c r="J83" s="538">
        <f t="shared" si="15"/>
        <v>-5.8207660913467407E-11</v>
      </c>
      <c r="K83" s="104">
        <f>K78+K81</f>
        <v>102856344.57000001</v>
      </c>
      <c r="L83" s="104">
        <f t="shared" si="15"/>
        <v>0</v>
      </c>
      <c r="M83" s="104">
        <f>M78+M81</f>
        <v>67760937.749999985</v>
      </c>
      <c r="N83" s="104">
        <f t="shared" si="15"/>
        <v>0</v>
      </c>
      <c r="O83" s="104">
        <f t="shared" si="15"/>
        <v>35095406.820000008</v>
      </c>
      <c r="P83" s="104">
        <f t="shared" si="15"/>
        <v>0</v>
      </c>
      <c r="Q83" s="400">
        <f>Q78+Q81</f>
        <v>102856344.57000001</v>
      </c>
      <c r="R83" s="104">
        <f t="shared" si="15"/>
        <v>0</v>
      </c>
      <c r="S83" s="104">
        <f t="shared" si="15"/>
        <v>-50260052.850000001</v>
      </c>
      <c r="T83" s="103"/>
    </row>
    <row r="84" spans="1:25" s="7" customFormat="1" ht="13.5" customHeight="1" thickTop="1" x14ac:dyDescent="0.3">
      <c r="A84" s="445"/>
      <c r="B84" s="355"/>
      <c r="E84" s="29"/>
      <c r="F84" s="107" t="s">
        <v>328</v>
      </c>
      <c r="G84" s="74"/>
      <c r="H84" s="58"/>
      <c r="I84" s="2"/>
      <c r="J84" s="526"/>
      <c r="K84" s="58"/>
      <c r="L84" s="58"/>
      <c r="M84" s="58"/>
      <c r="O84" s="58"/>
      <c r="P84" s="1"/>
      <c r="Q84" s="401"/>
      <c r="R84" s="1"/>
      <c r="S84" s="58"/>
    </row>
    <row r="85" spans="1:25" s="7" customFormat="1" ht="13.5" customHeight="1" x14ac:dyDescent="0.3">
      <c r="A85" s="445"/>
      <c r="B85" s="355"/>
      <c r="E85" s="29"/>
      <c r="J85" s="539"/>
      <c r="K85" s="58"/>
      <c r="L85" s="58"/>
      <c r="M85" s="58"/>
      <c r="O85" s="58"/>
      <c r="P85" s="1"/>
      <c r="Q85" s="401"/>
      <c r="R85" s="1"/>
      <c r="S85" s="58"/>
    </row>
    <row r="86" spans="1:25" s="7" customFormat="1" ht="13.5" hidden="1" customHeight="1" x14ac:dyDescent="0.3">
      <c r="A86" s="445"/>
      <c r="B86" s="355"/>
      <c r="E86" s="29"/>
      <c r="F86" s="423" t="s">
        <v>307</v>
      </c>
      <c r="G86" s="74"/>
      <c r="H86" s="58"/>
      <c r="I86" s="2"/>
      <c r="J86" s="540">
        <f>J8+J12+J19+J24+J28+J38+J47+J57+J43</f>
        <v>269213.73999999993</v>
      </c>
      <c r="K86" s="58"/>
      <c r="L86" s="58"/>
      <c r="M86" s="58"/>
      <c r="O86" s="58"/>
      <c r="P86" s="1"/>
      <c r="Q86" s="401"/>
      <c r="R86" s="1"/>
      <c r="S86" s="58"/>
    </row>
    <row r="87" spans="1:25" s="7" customFormat="1" ht="23.25" hidden="1" customHeight="1" x14ac:dyDescent="0.3">
      <c r="A87" s="445"/>
      <c r="B87" s="355"/>
      <c r="E87" s="29"/>
      <c r="F87" s="423" t="s">
        <v>300</v>
      </c>
      <c r="G87" s="74"/>
      <c r="H87" s="58">
        <f>H64+H68+H71+H72+H73+H74</f>
        <v>704656.84</v>
      </c>
      <c r="I87" s="58"/>
      <c r="J87" s="540">
        <f>J64+J68+J71+J72+J73+J74</f>
        <v>0</v>
      </c>
      <c r="K87" s="58">
        <f>K64+K68+K71+K72+K73+K74</f>
        <v>704656.84</v>
      </c>
      <c r="L87" s="58"/>
      <c r="M87" s="58"/>
      <c r="O87" s="58"/>
      <c r="P87" s="1"/>
      <c r="Q87" s="401"/>
      <c r="R87" s="1"/>
      <c r="S87" s="58"/>
    </row>
    <row r="88" spans="1:25" s="7" customFormat="1" ht="21.75" hidden="1" customHeight="1" thickBot="1" x14ac:dyDescent="0.35">
      <c r="A88" s="445"/>
      <c r="B88" s="355"/>
      <c r="E88" s="29"/>
      <c r="F88" s="424" t="s">
        <v>301</v>
      </c>
      <c r="G88" s="74"/>
      <c r="H88" s="58">
        <f>H81+H63+H67</f>
        <v>102391688.73</v>
      </c>
      <c r="I88" s="58"/>
      <c r="J88" s="540">
        <f>J81+J63+J67</f>
        <v>-5.8207660913467407E-11</v>
      </c>
      <c r="K88" s="58">
        <f>K81+K63+K67</f>
        <v>102391687.73</v>
      </c>
      <c r="L88" s="58"/>
      <c r="M88" s="58"/>
      <c r="O88" s="58"/>
      <c r="P88" s="1"/>
      <c r="Q88" s="401"/>
      <c r="R88" s="1"/>
      <c r="S88" s="58"/>
    </row>
    <row r="89" spans="1:25" s="7" customFormat="1" ht="17.25" hidden="1" customHeight="1" thickBot="1" x14ac:dyDescent="0.35">
      <c r="A89" s="445"/>
      <c r="B89" s="355"/>
      <c r="E89" s="29"/>
      <c r="F89" s="423" t="s">
        <v>302</v>
      </c>
      <c r="G89" s="74"/>
      <c r="H89" s="425">
        <f>H87+H88</f>
        <v>103096345.57000001</v>
      </c>
      <c r="I89" s="425"/>
      <c r="J89" s="541">
        <f t="shared" ref="J89" si="16">J87+J88</f>
        <v>-5.8207660913467407E-11</v>
      </c>
      <c r="K89" s="425">
        <f>K87+K88</f>
        <v>103096344.57000001</v>
      </c>
      <c r="L89" s="58"/>
      <c r="M89" s="58"/>
      <c r="O89" s="58"/>
      <c r="P89" s="1"/>
      <c r="Q89" s="401"/>
      <c r="R89" s="1"/>
      <c r="S89" s="58"/>
    </row>
    <row r="90" spans="1:25" s="7" customFormat="1" ht="24.75" hidden="1" customHeight="1" x14ac:dyDescent="0.3">
      <c r="A90" s="445"/>
      <c r="B90" s="355"/>
      <c r="E90" s="29"/>
      <c r="F90" s="423"/>
      <c r="G90" s="74"/>
      <c r="H90" s="58"/>
      <c r="I90" s="58"/>
      <c r="J90" s="540"/>
      <c r="K90" s="58"/>
      <c r="L90" s="58"/>
      <c r="M90" s="58"/>
      <c r="N90" s="58"/>
      <c r="O90" s="58"/>
      <c r="P90" s="58"/>
      <c r="Q90" s="401"/>
      <c r="R90" s="1"/>
      <c r="S90" s="58"/>
    </row>
    <row r="91" spans="1:25" s="7" customFormat="1" ht="18" customHeight="1" x14ac:dyDescent="0.3">
      <c r="A91" s="445"/>
      <c r="B91" s="346" t="s">
        <v>39</v>
      </c>
      <c r="E91" s="29"/>
      <c r="G91" s="67"/>
      <c r="J91" s="539"/>
      <c r="L91" s="58"/>
      <c r="M91" s="50"/>
      <c r="O91" s="58"/>
      <c r="P91" s="1"/>
      <c r="Q91" s="401"/>
      <c r="R91" s="1"/>
      <c r="S91" s="58"/>
    </row>
    <row r="92" spans="1:25" ht="13.5" customHeight="1" x14ac:dyDescent="0.25">
      <c r="B92" s="385" t="s">
        <v>233</v>
      </c>
      <c r="C92" s="77"/>
      <c r="D92" s="77"/>
      <c r="E92" s="77"/>
      <c r="F92" s="77"/>
      <c r="G92" s="77"/>
      <c r="H92" s="77"/>
      <c r="I92" s="77"/>
      <c r="J92" s="542"/>
      <c r="K92" s="77"/>
      <c r="L92" s="77"/>
      <c r="M92" s="49"/>
      <c r="T92" s="36"/>
    </row>
    <row r="93" spans="1:25" ht="12.5" x14ac:dyDescent="0.25">
      <c r="B93" s="385" t="s">
        <v>234</v>
      </c>
      <c r="D93" s="9"/>
      <c r="J93" s="529"/>
      <c r="K93" s="49"/>
      <c r="L93" s="49"/>
      <c r="M93" s="49"/>
      <c r="N93" s="35"/>
      <c r="O93" s="49"/>
      <c r="P93" s="35"/>
      <c r="Q93" s="403"/>
      <c r="R93" s="34"/>
      <c r="S93" s="49"/>
      <c r="T93" s="37"/>
    </row>
    <row r="94" spans="1:25" ht="12.5" x14ac:dyDescent="0.25">
      <c r="B94" s="385" t="s">
        <v>246</v>
      </c>
      <c r="D94" s="9"/>
      <c r="J94" s="529"/>
      <c r="K94" s="49"/>
      <c r="L94" s="49"/>
      <c r="M94" s="49"/>
      <c r="N94" s="35"/>
      <c r="O94" s="49"/>
      <c r="P94" s="35"/>
      <c r="Q94" s="403"/>
      <c r="R94" s="34"/>
      <c r="S94" s="49"/>
      <c r="T94" s="37"/>
    </row>
    <row r="95" spans="1:25" ht="12.5" x14ac:dyDescent="0.25">
      <c r="B95" s="385" t="s">
        <v>245</v>
      </c>
      <c r="D95" s="9"/>
      <c r="J95" s="529"/>
      <c r="K95" s="49"/>
      <c r="L95" s="49"/>
      <c r="M95" s="49"/>
      <c r="N95" s="35"/>
      <c r="O95" s="49"/>
      <c r="P95" s="35"/>
      <c r="Q95" s="403"/>
      <c r="R95" s="34"/>
      <c r="S95" s="49"/>
      <c r="T95" s="37"/>
    </row>
    <row r="96" spans="1:25" ht="12.5" x14ac:dyDescent="0.25">
      <c r="B96" s="385" t="s">
        <v>250</v>
      </c>
    </row>
    <row r="97" spans="1:20" ht="13.5" customHeight="1" x14ac:dyDescent="0.25">
      <c r="B97" s="469"/>
      <c r="D97" s="9"/>
      <c r="H97" s="49"/>
      <c r="J97" s="529"/>
      <c r="K97" s="49"/>
      <c r="L97" s="49"/>
      <c r="M97" s="49"/>
      <c r="N97" s="35"/>
      <c r="O97" s="49"/>
      <c r="P97" s="35"/>
      <c r="Q97" s="403"/>
      <c r="R97" s="34"/>
      <c r="S97" s="49"/>
      <c r="T97" s="37"/>
    </row>
    <row r="99" spans="1:20" ht="13.5" customHeight="1" x14ac:dyDescent="0.25">
      <c r="B99" s="469"/>
      <c r="D99" s="9"/>
      <c r="H99" s="49"/>
      <c r="J99" s="529"/>
      <c r="K99" s="49"/>
      <c r="L99" s="49"/>
      <c r="M99" s="49"/>
      <c r="N99" s="35"/>
      <c r="O99" s="49"/>
      <c r="P99" s="35"/>
      <c r="Q99" s="403"/>
      <c r="R99" s="34"/>
      <c r="S99" s="49"/>
      <c r="T99" s="37"/>
    </row>
    <row r="100" spans="1:20" ht="13.5" customHeight="1" x14ac:dyDescent="0.25">
      <c r="B100" s="342"/>
    </row>
    <row r="101" spans="1:20" ht="13.5" customHeight="1" x14ac:dyDescent="0.25">
      <c r="B101" s="469"/>
      <c r="D101" s="9"/>
      <c r="H101" s="49"/>
      <c r="J101" s="529"/>
      <c r="K101" s="49"/>
      <c r="L101" s="49"/>
      <c r="M101" s="49"/>
      <c r="N101" s="35"/>
      <c r="O101" s="49"/>
      <c r="P101" s="35"/>
      <c r="Q101" s="403"/>
      <c r="R101" s="34"/>
      <c r="S101" s="49"/>
      <c r="T101" s="37"/>
    </row>
    <row r="103" spans="1:20" ht="13.5" customHeight="1" x14ac:dyDescent="0.25">
      <c r="B103" s="469"/>
      <c r="D103" s="9"/>
      <c r="H103" s="49"/>
      <c r="J103" s="529"/>
      <c r="K103" s="49"/>
      <c r="L103" s="49"/>
      <c r="M103" s="49"/>
      <c r="N103" s="35"/>
      <c r="O103" s="49"/>
      <c r="P103" s="35"/>
      <c r="Q103" s="403"/>
      <c r="R103" s="34"/>
      <c r="S103" s="49"/>
      <c r="T103" s="37"/>
    </row>
    <row r="104" spans="1:20" ht="13.5" customHeight="1" x14ac:dyDescent="0.25">
      <c r="A104" s="680"/>
    </row>
    <row r="105" spans="1:20" ht="13.5" customHeight="1" x14ac:dyDescent="0.25">
      <c r="B105" s="469"/>
      <c r="D105" s="9"/>
      <c r="H105" s="49"/>
      <c r="J105" s="529"/>
      <c r="K105" s="49"/>
      <c r="L105" s="49"/>
      <c r="M105" s="49"/>
      <c r="N105" s="35"/>
      <c r="O105" s="49"/>
      <c r="P105" s="35"/>
      <c r="Q105" s="403"/>
      <c r="R105" s="34"/>
      <c r="S105" s="49"/>
      <c r="T105" s="37"/>
    </row>
    <row r="107" spans="1:20" ht="13.5" customHeight="1" x14ac:dyDescent="0.25">
      <c r="B107" s="469"/>
      <c r="D107" s="9"/>
      <c r="H107" s="49"/>
      <c r="J107" s="529"/>
      <c r="K107" s="49"/>
      <c r="L107" s="49"/>
      <c r="M107" s="49"/>
      <c r="N107" s="35"/>
      <c r="O107" s="49"/>
      <c r="P107" s="35"/>
      <c r="Q107" s="403"/>
      <c r="R107" s="34"/>
      <c r="S107" s="49"/>
      <c r="T107" s="37"/>
    </row>
    <row r="109" spans="1:20" ht="13.5" customHeight="1" x14ac:dyDescent="0.25">
      <c r="B109" s="469"/>
      <c r="D109" s="9"/>
      <c r="H109" s="49"/>
      <c r="J109" s="529"/>
      <c r="K109" s="49"/>
      <c r="L109" s="49"/>
      <c r="M109" s="49"/>
      <c r="N109" s="35"/>
      <c r="O109" s="49"/>
      <c r="P109" s="35"/>
      <c r="Q109" s="403"/>
      <c r="R109" s="34"/>
      <c r="S109" s="49"/>
      <c r="T109" s="37"/>
    </row>
    <row r="111" spans="1:20" ht="13.5" customHeight="1" x14ac:dyDescent="0.25">
      <c r="B111" s="469"/>
      <c r="D111" s="9"/>
      <c r="H111" s="49"/>
      <c r="J111" s="529"/>
      <c r="K111" s="49"/>
      <c r="L111" s="49"/>
      <c r="M111" s="49"/>
      <c r="N111" s="35"/>
      <c r="O111" s="49"/>
      <c r="P111" s="35"/>
      <c r="Q111" s="403"/>
      <c r="R111" s="34"/>
      <c r="S111" s="49"/>
      <c r="T111" s="37"/>
    </row>
    <row r="112" spans="1:20" ht="13.5" customHeight="1" x14ac:dyDescent="0.25">
      <c r="T112" s="41"/>
    </row>
    <row r="113" spans="1:20" ht="13.5" customHeight="1" x14ac:dyDescent="0.25">
      <c r="B113" s="471"/>
      <c r="D113" s="42"/>
      <c r="H113" s="59"/>
      <c r="J113" s="544"/>
      <c r="K113" s="59"/>
      <c r="L113" s="59"/>
      <c r="M113" s="59"/>
      <c r="N113" s="44"/>
      <c r="O113" s="59"/>
      <c r="P113" s="44"/>
      <c r="Q113" s="403"/>
      <c r="R113" s="34"/>
      <c r="S113" s="49"/>
      <c r="T113" s="41"/>
    </row>
    <row r="114" spans="1:20" ht="13.5" customHeight="1" x14ac:dyDescent="0.25">
      <c r="B114" s="467"/>
      <c r="S114" s="50" t="s">
        <v>0</v>
      </c>
      <c r="T114" s="41"/>
    </row>
    <row r="115" spans="1:20" ht="13.5" customHeight="1" x14ac:dyDescent="0.25">
      <c r="B115" s="471"/>
      <c r="D115" s="42"/>
      <c r="H115" s="59"/>
      <c r="J115" s="544"/>
      <c r="K115" s="59"/>
      <c r="L115" s="59"/>
      <c r="M115" s="59"/>
      <c r="N115" s="44"/>
      <c r="O115" s="59"/>
      <c r="P115" s="44"/>
      <c r="Q115" s="405"/>
      <c r="R115" s="43"/>
      <c r="S115" s="59"/>
      <c r="T115" s="45"/>
    </row>
    <row r="116" spans="1:20" s="19" customFormat="1" ht="13.5" customHeight="1" x14ac:dyDescent="0.3">
      <c r="A116" s="440"/>
      <c r="B116" s="471"/>
      <c r="C116" s="1"/>
      <c r="D116" s="42"/>
      <c r="E116" s="29"/>
      <c r="F116" s="64"/>
      <c r="G116" s="64"/>
      <c r="H116" s="59"/>
      <c r="I116" s="5"/>
      <c r="J116" s="544"/>
      <c r="K116" s="59"/>
      <c r="L116" s="59"/>
      <c r="M116" s="59"/>
      <c r="N116" s="44"/>
      <c r="O116" s="59"/>
      <c r="P116" s="44"/>
      <c r="Q116" s="404"/>
      <c r="R116" s="1"/>
      <c r="S116" s="50"/>
      <c r="T116" s="41"/>
    </row>
    <row r="117" spans="1:20" ht="13.5" customHeight="1" x14ac:dyDescent="0.25">
      <c r="B117" s="471"/>
      <c r="D117" s="42"/>
      <c r="H117" s="59"/>
      <c r="J117" s="544"/>
      <c r="K117" s="59"/>
      <c r="L117" s="59"/>
      <c r="M117" s="59"/>
      <c r="N117" s="35"/>
      <c r="O117" s="59"/>
      <c r="P117" s="35"/>
      <c r="Q117" s="405"/>
      <c r="R117" s="43"/>
      <c r="S117" s="59"/>
      <c r="T117" s="41"/>
    </row>
    <row r="118" spans="1:20" ht="13.5" customHeight="1" x14ac:dyDescent="0.25">
      <c r="B118" s="471"/>
      <c r="D118" s="42"/>
      <c r="H118" s="59"/>
      <c r="J118" s="544"/>
      <c r="K118" s="59"/>
      <c r="L118" s="59"/>
      <c r="M118" s="59"/>
      <c r="N118" s="44"/>
      <c r="O118" s="59"/>
      <c r="P118" s="44"/>
      <c r="Q118" s="405"/>
      <c r="R118" s="43"/>
      <c r="S118" s="59"/>
      <c r="T118" s="41"/>
    </row>
    <row r="119" spans="1:20" s="46" customFormat="1" ht="13.5" customHeight="1" x14ac:dyDescent="0.3">
      <c r="A119" s="446"/>
      <c r="B119" s="471"/>
      <c r="C119" s="1"/>
      <c r="D119" s="42"/>
      <c r="E119" s="29"/>
      <c r="F119" s="64"/>
      <c r="G119" s="64"/>
      <c r="H119" s="59"/>
      <c r="I119" s="5"/>
      <c r="J119" s="544"/>
      <c r="K119" s="59"/>
      <c r="L119" s="59"/>
      <c r="M119" s="59"/>
      <c r="N119" s="35"/>
      <c r="O119" s="59"/>
      <c r="P119" s="35"/>
      <c r="Q119" s="405"/>
      <c r="R119" s="34"/>
      <c r="S119" s="59"/>
      <c r="T119" s="41"/>
    </row>
    <row r="120" spans="1:20" s="7" customFormat="1" ht="13.5" customHeight="1" x14ac:dyDescent="0.3">
      <c r="A120" s="445"/>
      <c r="B120" s="470"/>
      <c r="C120" s="1"/>
      <c r="D120" s="12"/>
      <c r="E120" s="29"/>
      <c r="F120" s="64"/>
      <c r="G120" s="64"/>
      <c r="H120" s="50"/>
      <c r="I120" s="18"/>
      <c r="J120" s="543"/>
      <c r="K120" s="50"/>
      <c r="L120" s="50"/>
      <c r="M120" s="50"/>
      <c r="N120" s="2"/>
      <c r="O120" s="50"/>
      <c r="P120" s="2"/>
      <c r="Q120" s="405"/>
      <c r="R120" s="43"/>
      <c r="S120" s="59"/>
      <c r="T120" s="41"/>
    </row>
    <row r="121" spans="1:20" ht="13.5" customHeight="1" x14ac:dyDescent="0.25">
      <c r="Q121" s="405"/>
      <c r="R121" s="34"/>
      <c r="S121" s="59"/>
      <c r="T121" s="41"/>
    </row>
    <row r="122" spans="1:20" ht="13.5" customHeight="1" x14ac:dyDescent="0.3">
      <c r="C122" s="19"/>
      <c r="I122" s="47"/>
    </row>
    <row r="123" spans="1:20" ht="13.5" customHeight="1" x14ac:dyDescent="0.25">
      <c r="E123" s="8"/>
      <c r="F123" s="65"/>
      <c r="G123" s="65"/>
      <c r="N123" s="6"/>
      <c r="P123" s="6"/>
      <c r="S123" s="50" t="s">
        <v>0</v>
      </c>
    </row>
    <row r="124" spans="1:20" ht="13.5" customHeight="1" x14ac:dyDescent="0.3">
      <c r="C124" s="46"/>
    </row>
    <row r="125" spans="1:20" ht="13.5" customHeight="1" x14ac:dyDescent="0.25">
      <c r="C125" s="7"/>
      <c r="R125" s="7"/>
    </row>
    <row r="126" spans="1:20" ht="13.5" customHeight="1" x14ac:dyDescent="0.25">
      <c r="T126" s="36"/>
    </row>
  </sheetData>
  <printOptions horizontalCentered="1" verticalCentered="1"/>
  <pageMargins left="0.25" right="0.25" top="1.3" bottom="0.5" header="0.75" footer="0.25"/>
  <pageSetup scale="45" fitToHeight="2" orientation="landscape" r:id="rId1"/>
  <headerFooter alignWithMargins="0">
    <oddHeader>&amp;C&amp;"Courier,Bold"&amp;15 &amp;"Arial,Bold"&amp;12 PUGET SOUND ENERGY, INC.
Deferred Environmental Cost Summary Gas                    
December 31, 2014</oddHeader>
    <oddFooter>&amp;LPage &amp;P of &amp;N&amp;R&amp;Z&amp;F 
Freh Dessalegn</oddFooter>
  </headerFooter>
  <rowBreaks count="1" manualBreakCount="1">
    <brk id="61" max="18" man="1"/>
  </rowBreaks>
  <ignoredErrors>
    <ignoredError sqref="K58" formula="1"/>
    <ignoredError sqref="S78 S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36"/>
  <sheetViews>
    <sheetView zoomScale="115" zoomScaleNormal="115" zoomScaleSheetLayoutView="75" workbookViewId="0">
      <selection activeCell="B47" sqref="B47"/>
    </sheetView>
  </sheetViews>
  <sheetFormatPr defaultColWidth="9" defaultRowHeight="12.5" x14ac:dyDescent="0.25"/>
  <cols>
    <col min="1" max="1" width="15.75" style="417" customWidth="1"/>
    <col min="2" max="2" width="24.5" style="417" customWidth="1"/>
    <col min="3" max="3" width="29.58203125" style="417" customWidth="1"/>
    <col min="4" max="4" width="19.83203125" style="417" customWidth="1"/>
    <col min="5" max="5" width="9.75" style="414" bestFit="1" customWidth="1"/>
    <col min="6" max="6" width="9.83203125" style="417" bestFit="1" customWidth="1"/>
    <col min="7" max="16384" width="9" style="417"/>
  </cols>
  <sheetData>
    <row r="1" spans="1:6" ht="31.5" customHeight="1" x14ac:dyDescent="0.25">
      <c r="A1" s="691"/>
      <c r="B1" s="691"/>
      <c r="C1" s="691"/>
      <c r="D1" s="691"/>
    </row>
    <row r="2" spans="1:6" ht="18" customHeight="1" x14ac:dyDescent="0.35">
      <c r="A2" s="692" t="s">
        <v>251</v>
      </c>
      <c r="B2" s="692"/>
      <c r="C2" s="692"/>
      <c r="D2" s="692"/>
    </row>
    <row r="3" spans="1:6" ht="13.15" customHeight="1" x14ac:dyDescent="0.25">
      <c r="A3" s="693" t="s">
        <v>330</v>
      </c>
      <c r="B3" s="694"/>
      <c r="C3" s="694"/>
      <c r="D3" s="694"/>
    </row>
    <row r="4" spans="1:6" ht="41.5" customHeight="1" thickBot="1" x14ac:dyDescent="0.4">
      <c r="A4" s="695"/>
      <c r="B4" s="695"/>
      <c r="C4" s="695"/>
      <c r="D4" s="695"/>
    </row>
    <row r="5" spans="1:6" ht="43.5" customHeight="1" thickBot="1" x14ac:dyDescent="0.3">
      <c r="A5" s="504" t="s">
        <v>252</v>
      </c>
      <c r="B5" s="478"/>
      <c r="C5" s="478" t="s">
        <v>253</v>
      </c>
      <c r="D5" s="505" t="s">
        <v>254</v>
      </c>
    </row>
    <row r="6" spans="1:6" ht="48" customHeight="1" x14ac:dyDescent="0.25">
      <c r="A6" s="506" t="s">
        <v>255</v>
      </c>
      <c r="B6" s="487" t="s">
        <v>256</v>
      </c>
      <c r="C6" s="480" t="s">
        <v>257</v>
      </c>
      <c r="D6" s="516">
        <v>30000</v>
      </c>
    </row>
    <row r="7" spans="1:6" ht="22.9" customHeight="1" x14ac:dyDescent="0.25">
      <c r="A7" s="507" t="s">
        <v>258</v>
      </c>
      <c r="B7" s="487" t="s">
        <v>259</v>
      </c>
      <c r="C7" s="480" t="s">
        <v>260</v>
      </c>
      <c r="D7" s="516">
        <v>0</v>
      </c>
    </row>
    <row r="8" spans="1:6" ht="36.75" customHeight="1" x14ac:dyDescent="0.25">
      <c r="A8" s="508" t="s">
        <v>261</v>
      </c>
      <c r="B8" s="479" t="s">
        <v>262</v>
      </c>
      <c r="C8" s="498" t="s">
        <v>263</v>
      </c>
      <c r="D8" s="517">
        <v>20000</v>
      </c>
    </row>
    <row r="9" spans="1:6" ht="33.65" customHeight="1" x14ac:dyDescent="0.25">
      <c r="A9" s="508" t="s">
        <v>264</v>
      </c>
      <c r="B9" s="479" t="s">
        <v>326</v>
      </c>
      <c r="C9" s="480" t="s">
        <v>265</v>
      </c>
      <c r="D9" s="516">
        <v>258000</v>
      </c>
      <c r="F9" s="3"/>
    </row>
    <row r="10" spans="1:6" ht="88.5" customHeight="1" x14ac:dyDescent="0.25">
      <c r="A10" s="508" t="s">
        <v>266</v>
      </c>
      <c r="B10" s="479" t="s">
        <v>267</v>
      </c>
      <c r="C10" s="480" t="s">
        <v>268</v>
      </c>
      <c r="D10" s="516">
        <v>100000</v>
      </c>
      <c r="F10" s="3"/>
    </row>
    <row r="11" spans="1:6" ht="34.5" customHeight="1" thickBot="1" x14ac:dyDescent="0.3">
      <c r="A11" s="513" t="s">
        <v>269</v>
      </c>
      <c r="B11" s="481" t="s">
        <v>270</v>
      </c>
      <c r="C11" s="503" t="s">
        <v>271</v>
      </c>
      <c r="D11" s="518">
        <v>96000</v>
      </c>
    </row>
    <row r="13" spans="1:6" x14ac:dyDescent="0.25">
      <c r="A13" s="520"/>
      <c r="B13" s="520"/>
      <c r="C13" s="415"/>
      <c r="D13" s="416"/>
    </row>
    <row r="14" spans="1:6" ht="16.5" customHeight="1" x14ac:dyDescent="0.25">
      <c r="A14" s="696" t="s">
        <v>272</v>
      </c>
      <c r="B14" s="696"/>
      <c r="C14" s="482"/>
      <c r="D14" s="483"/>
    </row>
    <row r="15" spans="1:6" ht="17.5" x14ac:dyDescent="0.35">
      <c r="A15" s="692" t="s">
        <v>273</v>
      </c>
      <c r="B15" s="692"/>
      <c r="C15" s="692"/>
      <c r="D15" s="692"/>
    </row>
    <row r="16" spans="1:6" ht="19.5" customHeight="1" thickBot="1" x14ac:dyDescent="0.4">
      <c r="A16" s="486"/>
      <c r="B16" s="485"/>
      <c r="C16" s="482"/>
      <c r="D16" s="483"/>
    </row>
    <row r="17" spans="1:4" ht="42" customHeight="1" thickBot="1" x14ac:dyDescent="0.3">
      <c r="A17" s="504" t="s">
        <v>252</v>
      </c>
      <c r="B17" s="478" t="s">
        <v>274</v>
      </c>
      <c r="C17" s="478" t="s">
        <v>253</v>
      </c>
      <c r="D17" s="505" t="s">
        <v>254</v>
      </c>
    </row>
    <row r="18" spans="1:4" ht="23.5" customHeight="1" x14ac:dyDescent="0.25">
      <c r="A18" s="508" t="s">
        <v>275</v>
      </c>
      <c r="B18" s="479" t="s">
        <v>276</v>
      </c>
      <c r="C18" s="502" t="s">
        <v>277</v>
      </c>
      <c r="D18" s="510">
        <v>0</v>
      </c>
    </row>
    <row r="19" spans="1:4" ht="22.9" customHeight="1" x14ac:dyDescent="0.25">
      <c r="A19" s="508" t="s">
        <v>278</v>
      </c>
      <c r="B19" s="479" t="s">
        <v>276</v>
      </c>
      <c r="C19" s="502" t="s">
        <v>277</v>
      </c>
      <c r="D19" s="510">
        <v>0</v>
      </c>
    </row>
    <row r="20" spans="1:4" ht="22.15" customHeight="1" x14ac:dyDescent="0.25">
      <c r="A20" s="507" t="s">
        <v>279</v>
      </c>
      <c r="B20" s="487" t="s">
        <v>280</v>
      </c>
      <c r="C20" s="498" t="s">
        <v>277</v>
      </c>
      <c r="D20" s="511">
        <v>0</v>
      </c>
    </row>
    <row r="21" spans="1:4" ht="22.15" customHeight="1" x14ac:dyDescent="0.25">
      <c r="A21" s="508" t="s">
        <v>281</v>
      </c>
      <c r="B21" s="479" t="s">
        <v>282</v>
      </c>
      <c r="C21" s="498" t="s">
        <v>277</v>
      </c>
      <c r="D21" s="512">
        <v>0</v>
      </c>
    </row>
    <row r="22" spans="1:4" ht="22.9" customHeight="1" x14ac:dyDescent="0.25">
      <c r="A22" s="508" t="s">
        <v>283</v>
      </c>
      <c r="B22" s="479" t="s">
        <v>284</v>
      </c>
      <c r="C22" s="498" t="s">
        <v>277</v>
      </c>
      <c r="D22" s="509">
        <v>0</v>
      </c>
    </row>
    <row r="23" spans="1:4" ht="25.5" customHeight="1" x14ac:dyDescent="0.25">
      <c r="A23" s="508" t="s">
        <v>285</v>
      </c>
      <c r="B23" s="479" t="s">
        <v>286</v>
      </c>
      <c r="C23" s="502" t="s">
        <v>277</v>
      </c>
      <c r="D23" s="509">
        <v>0</v>
      </c>
    </row>
    <row r="24" spans="1:4" ht="24" customHeight="1" thickBot="1" x14ac:dyDescent="0.3">
      <c r="A24" s="513" t="s">
        <v>287</v>
      </c>
      <c r="B24" s="481" t="s">
        <v>288</v>
      </c>
      <c r="C24" s="514" t="s">
        <v>277</v>
      </c>
      <c r="D24" s="515">
        <v>0</v>
      </c>
    </row>
    <row r="25" spans="1:4" ht="4.9000000000000004" customHeight="1" x14ac:dyDescent="0.25">
      <c r="A25" s="484"/>
      <c r="B25" s="485"/>
      <c r="C25" s="485"/>
      <c r="D25" s="483"/>
    </row>
    <row r="26" spans="1:4" ht="43.5" customHeight="1" x14ac:dyDescent="0.25">
      <c r="A26" s="488" t="s">
        <v>289</v>
      </c>
      <c r="B26" s="690" t="s">
        <v>290</v>
      </c>
      <c r="C26" s="690"/>
      <c r="D26" s="516">
        <f>SUM(D6:D11)</f>
        <v>504000</v>
      </c>
    </row>
    <row r="27" spans="1:4" x14ac:dyDescent="0.25">
      <c r="A27" s="489"/>
      <c r="B27" s="485"/>
      <c r="C27" s="482"/>
      <c r="D27" s="483"/>
    </row>
    <row r="28" spans="1:4" x14ac:dyDescent="0.25">
      <c r="A28" s="490" t="s">
        <v>291</v>
      </c>
      <c r="B28" s="491"/>
      <c r="C28" s="492"/>
      <c r="D28" s="493"/>
    </row>
    <row r="29" spans="1:4" ht="21" customHeight="1" x14ac:dyDescent="0.25">
      <c r="A29" s="494" t="s">
        <v>292</v>
      </c>
      <c r="B29" s="495"/>
      <c r="C29" s="496"/>
      <c r="D29" s="497"/>
    </row>
    <row r="30" spans="1:4" ht="18.75" customHeight="1" x14ac:dyDescent="0.25">
      <c r="A30" s="494" t="s">
        <v>293</v>
      </c>
      <c r="B30" s="495"/>
      <c r="C30" s="496"/>
      <c r="D30" s="497"/>
    </row>
    <row r="31" spans="1:4" ht="19.5" customHeight="1" x14ac:dyDescent="0.25">
      <c r="A31" s="494" t="s">
        <v>294</v>
      </c>
      <c r="B31" s="495"/>
      <c r="C31" s="496"/>
      <c r="D31" s="497"/>
    </row>
    <row r="32" spans="1:4" x14ac:dyDescent="0.25">
      <c r="A32" s="499"/>
      <c r="B32" s="500"/>
      <c r="C32" s="500"/>
      <c r="D32" s="500"/>
    </row>
    <row r="33" spans="1:4" x14ac:dyDescent="0.25">
      <c r="A33" s="501"/>
      <c r="B33" s="501"/>
      <c r="C33" s="501"/>
      <c r="D33" s="501"/>
    </row>
    <row r="34" spans="1:4" x14ac:dyDescent="0.25">
      <c r="A34" s="501"/>
      <c r="B34" s="501"/>
      <c r="C34" s="501"/>
      <c r="D34" s="501"/>
    </row>
    <row r="35" spans="1:4" x14ac:dyDescent="0.25">
      <c r="A35" s="476"/>
      <c r="B35" s="519"/>
      <c r="C35" s="477"/>
      <c r="D35" s="476"/>
    </row>
    <row r="36" spans="1:4" x14ac:dyDescent="0.25">
      <c r="A36" s="476"/>
      <c r="B36" s="519"/>
      <c r="C36" s="477"/>
      <c r="D36" s="476"/>
    </row>
  </sheetData>
  <mergeCells count="7">
    <mergeCell ref="B26:C26"/>
    <mergeCell ref="A1:D1"/>
    <mergeCell ref="A2:D2"/>
    <mergeCell ref="A3:D3"/>
    <mergeCell ref="A4:D4"/>
    <mergeCell ref="A14:B14"/>
    <mergeCell ref="A15:D15"/>
  </mergeCells>
  <printOptions horizontalCentered="1"/>
  <pageMargins left="0.75" right="0.75" top="0" bottom="0" header="0.5" footer="0.5"/>
  <pageSetup scale="75" orientation="portrait" r:id="rId1"/>
  <headerFooter alignWithMargins="0">
    <oddFooter>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G34"/>
  <sheetViews>
    <sheetView zoomScale="85" workbookViewId="0">
      <selection activeCell="G12" sqref="G12"/>
    </sheetView>
  </sheetViews>
  <sheetFormatPr defaultColWidth="9" defaultRowHeight="13.5" customHeight="1" x14ac:dyDescent="0.25"/>
  <cols>
    <col min="1" max="1" width="17.83203125" style="301" customWidth="1"/>
    <col min="2" max="2" width="68.58203125" style="301" customWidth="1"/>
    <col min="3" max="4" width="16.33203125" style="301" customWidth="1"/>
    <col min="5" max="5" width="11" style="331" bestFit="1" customWidth="1"/>
    <col min="6" max="7" width="11" style="301" bestFit="1" customWidth="1"/>
    <col min="8" max="16384" width="9" style="301"/>
  </cols>
  <sheetData>
    <row r="1" spans="1:5" ht="13.5" customHeight="1" x14ac:dyDescent="0.25">
      <c r="A1" s="301" t="s">
        <v>220</v>
      </c>
    </row>
    <row r="2" spans="1:5" ht="19.5" customHeight="1" x14ac:dyDescent="0.25">
      <c r="A2" s="304">
        <v>41455</v>
      </c>
    </row>
    <row r="3" spans="1:5" ht="18" customHeight="1" x14ac:dyDescent="0.3">
      <c r="A3" s="321" t="s">
        <v>235</v>
      </c>
    </row>
    <row r="4" spans="1:5" ht="22.5" customHeight="1" x14ac:dyDescent="0.3">
      <c r="A4" s="305" t="s">
        <v>232</v>
      </c>
    </row>
    <row r="5" spans="1:5" ht="21.7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3">
      <c r="A6" s="147"/>
      <c r="B6" s="145"/>
    </row>
    <row r="7" spans="1:5" ht="13.5" customHeight="1" x14ac:dyDescent="0.25">
      <c r="A7" s="309" t="s">
        <v>95</v>
      </c>
      <c r="B7" s="310" t="s">
        <v>96</v>
      </c>
      <c r="C7" s="311"/>
      <c r="D7" s="311" t="e">
        <f>VLOOKUP(A7,#REF!,7,FALSE)</f>
        <v>#REF!</v>
      </c>
      <c r="E7" s="331" t="e">
        <f>IF(D7&lt;=0,D7*-1)</f>
        <v>#REF!</v>
      </c>
    </row>
    <row r="8" spans="1:5" ht="13.5" customHeight="1" x14ac:dyDescent="0.25">
      <c r="A8" s="309" t="s">
        <v>191</v>
      </c>
      <c r="B8" s="312" t="s">
        <v>207</v>
      </c>
      <c r="C8" s="311" t="e">
        <f>-D7</f>
        <v>#REF!</v>
      </c>
      <c r="D8" s="311"/>
      <c r="E8" s="331" t="e">
        <f t="shared" ref="E8:E14" si="0">C8</f>
        <v>#REF!</v>
      </c>
    </row>
    <row r="9" spans="1:5" ht="13.5" customHeight="1" x14ac:dyDescent="0.25">
      <c r="A9" s="313" t="s">
        <v>100</v>
      </c>
      <c r="B9" s="314" t="s">
        <v>101</v>
      </c>
      <c r="C9" s="311"/>
      <c r="D9" s="311" t="e">
        <f>VLOOKUP(A9,#REF!,7,FALSE)</f>
        <v>#REF!</v>
      </c>
      <c r="E9" s="331" t="e">
        <f>IF(D9&lt;=0,D9*-1)</f>
        <v>#REF!</v>
      </c>
    </row>
    <row r="10" spans="1:5" ht="13.5" customHeight="1" x14ac:dyDescent="0.25">
      <c r="A10" s="313" t="s">
        <v>199</v>
      </c>
      <c r="B10" s="315" t="s">
        <v>208</v>
      </c>
      <c r="C10" s="311" t="e">
        <f>-D9</f>
        <v>#REF!</v>
      </c>
      <c r="D10" s="311"/>
      <c r="E10" s="331" t="e">
        <f t="shared" si="0"/>
        <v>#REF!</v>
      </c>
    </row>
    <row r="11" spans="1:5" ht="13.5" customHeight="1" x14ac:dyDescent="0.25">
      <c r="A11" s="313" t="s">
        <v>105</v>
      </c>
      <c r="B11" s="315" t="s">
        <v>106</v>
      </c>
      <c r="C11" s="311"/>
      <c r="D11" s="311" t="e">
        <f>VLOOKUP(A11,#REF!,7,FALSE)</f>
        <v>#REF!</v>
      </c>
      <c r="E11" s="331" t="e">
        <f>IF(D11&lt;=0,D11*-1)</f>
        <v>#REF!</v>
      </c>
    </row>
    <row r="12" spans="1:5" ht="13.5" customHeight="1" x14ac:dyDescent="0.25">
      <c r="A12" s="313" t="s">
        <v>192</v>
      </c>
      <c r="B12" s="315" t="s">
        <v>209</v>
      </c>
      <c r="C12" s="311" t="e">
        <f>-D11</f>
        <v>#REF!</v>
      </c>
      <c r="D12" s="311"/>
      <c r="E12" s="331" t="e">
        <f t="shared" si="0"/>
        <v>#REF!</v>
      </c>
    </row>
    <row r="13" spans="1:5" ht="13.5" customHeight="1" x14ac:dyDescent="0.25">
      <c r="A13" s="316" t="s">
        <v>107</v>
      </c>
      <c r="B13" s="314" t="s">
        <v>108</v>
      </c>
      <c r="C13" s="311"/>
      <c r="D13" s="311" t="e">
        <f>VLOOKUP(A13,#REF!,7,FALSE)</f>
        <v>#REF!</v>
      </c>
      <c r="E13" s="331" t="e">
        <f>IF(D13&lt;=0,D13*-1)</f>
        <v>#REF!</v>
      </c>
    </row>
    <row r="14" spans="1:5" ht="13.5" customHeight="1" x14ac:dyDescent="0.25">
      <c r="A14" s="313" t="s">
        <v>193</v>
      </c>
      <c r="B14" s="315" t="s">
        <v>210</v>
      </c>
      <c r="C14" s="311" t="e">
        <f>-D13</f>
        <v>#REF!</v>
      </c>
      <c r="D14" s="311"/>
      <c r="E14" s="331" t="e">
        <f t="shared" si="0"/>
        <v>#REF!</v>
      </c>
    </row>
    <row r="15" spans="1:5" ht="13.5" customHeight="1" x14ac:dyDescent="0.25">
      <c r="A15" s="313" t="s">
        <v>113</v>
      </c>
      <c r="B15" s="315" t="s">
        <v>114</v>
      </c>
      <c r="C15" s="311"/>
      <c r="D15" s="311" t="e">
        <f>VLOOKUP(A15,#REF!,7,FALSE)</f>
        <v>#REF!</v>
      </c>
      <c r="E15" s="331" t="e">
        <f>IF(D15&lt;=0,D15*-1)</f>
        <v>#REF!</v>
      </c>
    </row>
    <row r="16" spans="1:5" ht="13.5" customHeight="1" x14ac:dyDescent="0.25">
      <c r="A16" s="313" t="s">
        <v>194</v>
      </c>
      <c r="B16" s="315" t="s">
        <v>211</v>
      </c>
      <c r="C16" s="311" t="e">
        <f>-D15</f>
        <v>#REF!</v>
      </c>
      <c r="D16" s="311"/>
      <c r="E16" s="331" t="e">
        <f t="shared" ref="E16:E32" si="1">C16</f>
        <v>#REF!</v>
      </c>
    </row>
    <row r="17" spans="1:5" ht="13.5" customHeight="1" x14ac:dyDescent="0.25">
      <c r="A17" s="313" t="s">
        <v>116</v>
      </c>
      <c r="B17" s="314" t="s">
        <v>117</v>
      </c>
      <c r="C17" s="311"/>
      <c r="D17" s="311" t="e">
        <f>VLOOKUP(A17,#REF!,7,FALSE)</f>
        <v>#REF!</v>
      </c>
      <c r="E17" s="331" t="e">
        <f>IF(D17&lt;=0,D17*-1)</f>
        <v>#REF!</v>
      </c>
    </row>
    <row r="18" spans="1:5" ht="13.5" customHeight="1" x14ac:dyDescent="0.25">
      <c r="A18" s="313" t="s">
        <v>195</v>
      </c>
      <c r="B18" s="315" t="s">
        <v>212</v>
      </c>
      <c r="C18" s="311" t="e">
        <f>-D17</f>
        <v>#REF!</v>
      </c>
      <c r="D18" s="311"/>
      <c r="E18" s="331" t="e">
        <f t="shared" si="1"/>
        <v>#REF!</v>
      </c>
    </row>
    <row r="19" spans="1:5" ht="13.5" customHeight="1" x14ac:dyDescent="0.25">
      <c r="A19" s="313" t="s">
        <v>122</v>
      </c>
      <c r="B19" s="315" t="s">
        <v>123</v>
      </c>
      <c r="C19" s="311"/>
      <c r="D19" s="311" t="e">
        <f>VLOOKUP(A19,#REF!,7,FALSE)</f>
        <v>#REF!</v>
      </c>
      <c r="E19" s="331" t="e">
        <f>IF(D19&lt;=0,D19*-1)</f>
        <v>#REF!</v>
      </c>
    </row>
    <row r="20" spans="1:5" ht="13.5" customHeight="1" x14ac:dyDescent="0.25">
      <c r="A20" s="313" t="s">
        <v>196</v>
      </c>
      <c r="B20" s="315" t="s">
        <v>213</v>
      </c>
      <c r="C20" s="311" t="e">
        <f>-D19</f>
        <v>#REF!</v>
      </c>
      <c r="D20" s="311"/>
      <c r="E20" s="331" t="e">
        <f t="shared" si="1"/>
        <v>#REF!</v>
      </c>
    </row>
    <row r="21" spans="1:5" ht="13.5" customHeight="1" x14ac:dyDescent="0.25">
      <c r="A21" s="317" t="s">
        <v>128</v>
      </c>
      <c r="B21" s="312" t="s">
        <v>185</v>
      </c>
      <c r="C21" s="311"/>
      <c r="D21" s="311" t="e">
        <f>VLOOKUP(A21,#REF!,7,FALSE)</f>
        <v>#REF!</v>
      </c>
      <c r="E21" s="331" t="e">
        <f>IF(D21&lt;=0,D21*-1)</f>
        <v>#REF!</v>
      </c>
    </row>
    <row r="22" spans="1:5" ht="13.5" customHeight="1" x14ac:dyDescent="0.25">
      <c r="A22" s="313" t="s">
        <v>197</v>
      </c>
      <c r="B22" s="312" t="s">
        <v>214</v>
      </c>
      <c r="C22" s="311" t="e">
        <f>-D21</f>
        <v>#REF!</v>
      </c>
      <c r="D22" s="311"/>
      <c r="E22" s="331" t="e">
        <f t="shared" si="1"/>
        <v>#REF!</v>
      </c>
    </row>
    <row r="23" spans="1:5" ht="13.5" customHeight="1" x14ac:dyDescent="0.25">
      <c r="A23" s="313" t="s">
        <v>131</v>
      </c>
      <c r="B23" s="314" t="s">
        <v>132</v>
      </c>
      <c r="C23" s="311"/>
      <c r="D23" s="311" t="e">
        <f>VLOOKUP(A23,#REF!,7,FALSE)</f>
        <v>#REF!</v>
      </c>
      <c r="E23" s="331" t="e">
        <f>IF(D23&lt;=0,D23*-1)</f>
        <v>#REF!</v>
      </c>
    </row>
    <row r="24" spans="1:5" ht="13.5" customHeight="1" x14ac:dyDescent="0.25">
      <c r="A24" s="313" t="s">
        <v>198</v>
      </c>
      <c r="B24" s="315" t="s">
        <v>215</v>
      </c>
      <c r="C24" s="311" t="e">
        <f>-D23</f>
        <v>#REF!</v>
      </c>
      <c r="D24" s="311"/>
      <c r="E24" s="331" t="e">
        <f t="shared" si="1"/>
        <v>#REF!</v>
      </c>
    </row>
    <row r="25" spans="1:5" ht="13.5" customHeight="1" x14ac:dyDescent="0.25">
      <c r="A25" s="313" t="s">
        <v>137</v>
      </c>
      <c r="B25" s="315" t="s">
        <v>138</v>
      </c>
      <c r="C25" s="311"/>
      <c r="D25" s="311" t="e">
        <f>VLOOKUP(A25,#REF!,7,FALSE)</f>
        <v>#REF!</v>
      </c>
      <c r="E25" s="331" t="e">
        <f>IF(D25&lt;=0,D25*-1)</f>
        <v>#REF!</v>
      </c>
    </row>
    <row r="26" spans="1:5" ht="13.5" customHeight="1" x14ac:dyDescent="0.25">
      <c r="A26" s="313" t="s">
        <v>200</v>
      </c>
      <c r="B26" s="315" t="s">
        <v>216</v>
      </c>
      <c r="C26" s="311" t="e">
        <f>-D25</f>
        <v>#REF!</v>
      </c>
      <c r="D26" s="311"/>
      <c r="E26" s="331" t="e">
        <f t="shared" si="1"/>
        <v>#REF!</v>
      </c>
    </row>
    <row r="27" spans="1:5" ht="13.5" customHeight="1" x14ac:dyDescent="0.25">
      <c r="A27" s="313" t="s">
        <v>146</v>
      </c>
      <c r="B27" s="314" t="s">
        <v>147</v>
      </c>
      <c r="C27" s="311"/>
      <c r="D27" s="311" t="e">
        <f>VLOOKUP(A27,#REF!,7,FALSE)</f>
        <v>#REF!</v>
      </c>
      <c r="E27" s="331" t="e">
        <f>IF(D27&lt;=0,D27*-1)</f>
        <v>#REF!</v>
      </c>
    </row>
    <row r="28" spans="1:5" ht="13.5" customHeight="1" x14ac:dyDescent="0.25">
      <c r="A28" s="313" t="s">
        <v>201</v>
      </c>
      <c r="B28" s="315" t="s">
        <v>217</v>
      </c>
      <c r="C28" s="311" t="e">
        <f>-D27</f>
        <v>#REF!</v>
      </c>
      <c r="D28" s="311"/>
      <c r="E28" s="331" t="e">
        <f t="shared" si="1"/>
        <v>#REF!</v>
      </c>
    </row>
    <row r="29" spans="1:5" ht="13.5" customHeight="1" x14ac:dyDescent="0.25">
      <c r="A29" s="318" t="s">
        <v>154</v>
      </c>
      <c r="B29" s="319" t="s">
        <v>155</v>
      </c>
      <c r="C29" s="311"/>
      <c r="D29" s="311" t="e">
        <f>VLOOKUP(A29,#REF!,7,FALSE)</f>
        <v>#REF!</v>
      </c>
      <c r="E29" s="331" t="e">
        <f>IF(D29&lt;=0,D29*-1)</f>
        <v>#REF!</v>
      </c>
    </row>
    <row r="30" spans="1:5" ht="13.5" customHeight="1" x14ac:dyDescent="0.25">
      <c r="A30" s="318" t="s">
        <v>202</v>
      </c>
      <c r="B30" s="319" t="s">
        <v>218</v>
      </c>
      <c r="C30" s="332" t="e">
        <f>-D29</f>
        <v>#REF!</v>
      </c>
      <c r="D30" s="332"/>
      <c r="E30" s="331" t="e">
        <f t="shared" si="1"/>
        <v>#REF!</v>
      </c>
    </row>
    <row r="31" spans="1:5" ht="13.5" customHeight="1" x14ac:dyDescent="0.25">
      <c r="A31" s="318" t="s">
        <v>160</v>
      </c>
      <c r="B31" s="320" t="s">
        <v>161</v>
      </c>
      <c r="C31" s="332"/>
      <c r="D31" s="332"/>
      <c r="E31" s="331">
        <f>IF(D31&lt;=0,D31*-1)</f>
        <v>0</v>
      </c>
    </row>
    <row r="32" spans="1:5" ht="13.5" customHeight="1" x14ac:dyDescent="0.25">
      <c r="A32" s="318" t="s">
        <v>203</v>
      </c>
      <c r="B32" s="320" t="s">
        <v>219</v>
      </c>
      <c r="C32" s="332">
        <f>-D31</f>
        <v>0</v>
      </c>
      <c r="D32" s="332"/>
      <c r="E32" s="331">
        <f t="shared" si="1"/>
        <v>0</v>
      </c>
    </row>
    <row r="33" spans="2:7" ht="13.5" customHeight="1" thickBot="1" x14ac:dyDescent="0.35">
      <c r="B33" s="303" t="s">
        <v>206</v>
      </c>
      <c r="C33" s="308" t="e">
        <f>SUM(C7:C32)</f>
        <v>#REF!</v>
      </c>
      <c r="D33" s="308" t="e">
        <f>SUM(D7:D32)</f>
        <v>#REF!</v>
      </c>
      <c r="E33" s="331" t="e">
        <f>SUM(E7:E32)</f>
        <v>#REF!</v>
      </c>
      <c r="F33" s="301" t="e">
        <f>E33/2</f>
        <v>#REF!</v>
      </c>
      <c r="G33" s="301">
        <v>284216.90000000002</v>
      </c>
    </row>
    <row r="34" spans="2:7" ht="13.5" customHeight="1" thickTop="1" x14ac:dyDescent="0.25">
      <c r="G34" s="301" t="e">
        <f>G33-F33</f>
        <v>#REF!</v>
      </c>
    </row>
  </sheetData>
  <phoneticPr fontId="8" type="noConversion"/>
  <pageMargins left="0.75" right="0.75" top="0.54" bottom="0.38" header="0.5" footer="0.5"/>
  <pageSetup scale="95" orientation="landscape" r:id="rId1"/>
  <headerFooter alignWithMargins="0">
    <oddFooter>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DA144"/>
  <sheetViews>
    <sheetView zoomScale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" x14ac:dyDescent="0.3"/>
  <cols>
    <col min="1" max="1" width="3.08203125" style="138" customWidth="1"/>
    <col min="2" max="2" width="9.75" style="233" customWidth="1"/>
    <col min="3" max="3" width="1" style="138" customWidth="1"/>
    <col min="4" max="4" width="12.08203125" style="207" customWidth="1"/>
    <col min="5" max="5" width="1" style="138" customWidth="1"/>
    <col min="6" max="6" width="71.5" style="138" customWidth="1"/>
    <col min="7" max="7" width="1.33203125" style="136" customWidth="1"/>
    <col min="8" max="8" width="16.75" style="234" customWidth="1"/>
    <col min="9" max="9" width="1.83203125" style="123" customWidth="1"/>
    <col min="10" max="10" width="14.5" style="242" customWidth="1"/>
    <col min="11" max="11" width="16" style="243" customWidth="1"/>
    <col min="12" max="12" width="2.33203125" style="123" customWidth="1"/>
    <col min="13" max="13" width="16" style="234" customWidth="1"/>
    <col min="14" max="14" width="3.33203125" style="139" customWidth="1"/>
    <col min="15" max="15" width="16" style="126" customWidth="1"/>
    <col min="16" max="16" width="4.33203125" style="139" customWidth="1"/>
    <col min="17" max="17" width="16" style="126" customWidth="1"/>
    <col min="18" max="18" width="3.33203125" style="293" customWidth="1"/>
    <col min="19" max="19" width="14.5" style="126" customWidth="1"/>
    <col min="20" max="20" width="1.5" style="121" customWidth="1"/>
    <col min="21" max="21" width="17" style="126" hidden="1" customWidth="1"/>
    <col min="22" max="22" width="0.25" style="126" customWidth="1"/>
    <col min="23" max="23" width="16.58203125" style="127" hidden="1" customWidth="1"/>
    <col min="24" max="24" width="3.25" style="126" customWidth="1"/>
    <col min="25" max="25" width="16.08203125" style="126" hidden="1" customWidth="1"/>
    <col min="26" max="26" width="0.83203125" style="138" customWidth="1"/>
    <col min="27" max="27" width="17.58203125" style="126"/>
    <col min="28" max="28" width="5" style="126" bestFit="1" customWidth="1"/>
    <col min="29" max="29" width="3.25" style="126" customWidth="1"/>
    <col min="30" max="30" width="15.5" style="126" customWidth="1"/>
    <col min="31" max="31" width="3.25" style="126" customWidth="1"/>
    <col min="32" max="32" width="18.08203125" style="126" customWidth="1"/>
    <col min="33" max="33" width="2.33203125" style="126" customWidth="1"/>
    <col min="34" max="105" width="17.58203125" style="126"/>
    <col min="106" max="16384" width="17.58203125" style="138"/>
  </cols>
  <sheetData>
    <row r="1" spans="1:105" s="121" customFormat="1" x14ac:dyDescent="0.3">
      <c r="A1" s="118"/>
      <c r="B1" s="119"/>
      <c r="C1" s="118"/>
      <c r="D1" s="120"/>
      <c r="E1" s="118"/>
      <c r="H1" s="79" t="s">
        <v>91</v>
      </c>
      <c r="J1" s="122"/>
      <c r="K1" s="79" t="s">
        <v>91</v>
      </c>
      <c r="L1" s="123"/>
      <c r="M1" s="121" t="s">
        <v>81</v>
      </c>
      <c r="O1" s="124" t="s">
        <v>2</v>
      </c>
      <c r="P1" s="123"/>
      <c r="Q1" s="125" t="s">
        <v>83</v>
      </c>
      <c r="S1" s="121" t="s">
        <v>86</v>
      </c>
      <c r="U1" s="126"/>
      <c r="V1" s="126"/>
      <c r="W1" s="127"/>
      <c r="X1" s="126"/>
      <c r="Y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</row>
    <row r="2" spans="1:105" x14ac:dyDescent="0.3">
      <c r="A2" s="128"/>
      <c r="B2" s="129" t="s">
        <v>92</v>
      </c>
      <c r="C2" s="130"/>
      <c r="D2" s="131"/>
      <c r="E2" s="130"/>
      <c r="F2" s="132"/>
      <c r="G2" s="133"/>
      <c r="H2" s="134" t="s">
        <v>6</v>
      </c>
      <c r="I2" s="98"/>
      <c r="J2" s="135" t="s">
        <v>80</v>
      </c>
      <c r="K2" s="134" t="s">
        <v>6</v>
      </c>
      <c r="M2" s="121" t="s">
        <v>3</v>
      </c>
      <c r="N2" s="136"/>
      <c r="O2" s="125" t="s">
        <v>93</v>
      </c>
      <c r="P2" s="136"/>
      <c r="Q2" s="137" t="s">
        <v>93</v>
      </c>
      <c r="R2" s="99"/>
      <c r="S2" s="121" t="s">
        <v>3</v>
      </c>
      <c r="AA2" s="139"/>
      <c r="AB2" s="139"/>
      <c r="AC2" s="139"/>
      <c r="AD2" s="139"/>
      <c r="AE2" s="139"/>
      <c r="AF2" s="139"/>
    </row>
    <row r="3" spans="1:105" ht="13.5" thickBot="1" x14ac:dyDescent="0.35">
      <c r="A3" s="132"/>
      <c r="B3" s="140" t="s">
        <v>62</v>
      </c>
      <c r="C3" s="132"/>
      <c r="D3" s="140" t="s">
        <v>63</v>
      </c>
      <c r="E3" s="132"/>
      <c r="F3" s="96" t="s">
        <v>5</v>
      </c>
      <c r="G3" s="133"/>
      <c r="H3" s="97">
        <v>41455</v>
      </c>
      <c r="I3" s="98"/>
      <c r="J3" s="141" t="s">
        <v>18</v>
      </c>
      <c r="K3" s="381">
        <v>41547</v>
      </c>
      <c r="L3" s="386"/>
      <c r="M3" s="387">
        <f>K3</f>
        <v>41547</v>
      </c>
      <c r="N3" s="136"/>
      <c r="O3" s="143" t="s">
        <v>82</v>
      </c>
      <c r="P3" s="136"/>
      <c r="Q3" s="144" t="s">
        <v>82</v>
      </c>
      <c r="R3" s="99"/>
      <c r="S3" s="142">
        <f>K3</f>
        <v>41547</v>
      </c>
      <c r="AA3" s="139"/>
      <c r="AB3" s="139"/>
      <c r="AC3" s="139"/>
      <c r="AD3" s="139"/>
      <c r="AE3" s="139"/>
      <c r="AF3" s="139"/>
      <c r="AG3" s="139"/>
      <c r="AH3" s="139"/>
      <c r="AI3" s="139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</row>
    <row r="4" spans="1:105" s="145" customFormat="1" ht="12.65" customHeight="1" x14ac:dyDescent="0.3">
      <c r="B4" s="146"/>
      <c r="D4" s="147"/>
      <c r="G4" s="100"/>
      <c r="H4" s="145" t="s">
        <v>94</v>
      </c>
      <c r="I4" s="100"/>
      <c r="J4" s="100" t="s">
        <v>20</v>
      </c>
      <c r="K4" s="79" t="s">
        <v>84</v>
      </c>
      <c r="L4" s="100"/>
      <c r="M4" s="145" t="s">
        <v>24</v>
      </c>
      <c r="N4" s="100"/>
      <c r="O4" s="145" t="s">
        <v>28</v>
      </c>
      <c r="P4" s="186"/>
      <c r="Q4" s="145" t="s">
        <v>85</v>
      </c>
      <c r="R4" s="100"/>
      <c r="S4" s="145" t="s">
        <v>78</v>
      </c>
      <c r="T4" s="100"/>
      <c r="U4" s="148"/>
      <c r="V4" s="148"/>
      <c r="W4" s="148"/>
      <c r="X4" s="148"/>
      <c r="Y4" s="148"/>
      <c r="AA4" s="149"/>
      <c r="AB4" s="149"/>
      <c r="AC4" s="149"/>
      <c r="AD4" s="149"/>
      <c r="AE4" s="149"/>
      <c r="AF4" s="149"/>
      <c r="AG4" s="150"/>
      <c r="AH4" s="150"/>
      <c r="AI4" s="150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52" customFormat="1" ht="28.9" customHeight="1" x14ac:dyDescent="0.3">
      <c r="B5" s="153"/>
      <c r="D5" s="154" t="s">
        <v>95</v>
      </c>
      <c r="F5" s="226" t="s">
        <v>96</v>
      </c>
      <c r="G5" s="155"/>
      <c r="H5" s="156">
        <v>550000</v>
      </c>
      <c r="I5" s="157"/>
      <c r="J5" s="158">
        <v>0</v>
      </c>
      <c r="K5" s="156">
        <f>H5+J5</f>
        <v>550000</v>
      </c>
      <c r="L5" s="236"/>
      <c r="M5" s="159">
        <v>0</v>
      </c>
      <c r="N5" s="160"/>
      <c r="O5" s="156">
        <f>K5</f>
        <v>550000</v>
      </c>
      <c r="P5" s="333" t="s">
        <v>76</v>
      </c>
      <c r="Q5" s="156">
        <f>SUM(M5:P5)</f>
        <v>550000</v>
      </c>
      <c r="R5" s="161"/>
      <c r="S5" s="156">
        <v>0</v>
      </c>
      <c r="T5" s="162"/>
      <c r="U5" s="163"/>
      <c r="V5" s="163"/>
      <c r="W5" s="163"/>
      <c r="X5" s="163"/>
      <c r="Y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</row>
    <row r="6" spans="1:105" s="164" customFormat="1" ht="13.15" customHeight="1" x14ac:dyDescent="0.3">
      <c r="B6" s="165">
        <v>18230009</v>
      </c>
      <c r="D6" s="166" t="s">
        <v>97</v>
      </c>
      <c r="F6" s="167" t="s">
        <v>98</v>
      </c>
      <c r="G6" s="168"/>
      <c r="H6" s="158">
        <v>2140988.39</v>
      </c>
      <c r="I6" s="169"/>
      <c r="J6" s="324">
        <v>0</v>
      </c>
      <c r="K6" s="158">
        <f>H6+J6</f>
        <v>2140988.39</v>
      </c>
      <c r="L6" s="170"/>
      <c r="M6" s="158">
        <f>K6</f>
        <v>2140988.39</v>
      </c>
      <c r="N6" s="171"/>
      <c r="O6" s="159">
        <v>0</v>
      </c>
      <c r="P6" s="325"/>
      <c r="Q6" s="158">
        <f>SUM(M6:P6)</f>
        <v>2140988.39</v>
      </c>
      <c r="R6" s="172"/>
      <c r="S6" s="159">
        <v>0</v>
      </c>
      <c r="T6" s="173"/>
      <c r="U6" s="148"/>
      <c r="V6" s="148"/>
      <c r="W6" s="148"/>
      <c r="X6" s="148"/>
      <c r="Y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</row>
    <row r="7" spans="1:105" s="164" customFormat="1" ht="13.5" customHeight="1" x14ac:dyDescent="0.3">
      <c r="A7" s="174"/>
      <c r="B7" s="146"/>
      <c r="C7" s="174"/>
      <c r="D7" s="147"/>
      <c r="E7" s="174"/>
      <c r="F7" s="175" t="s">
        <v>99</v>
      </c>
      <c r="G7" s="176"/>
      <c r="H7" s="177">
        <f>SUM(H5:H6)</f>
        <v>2690988.39</v>
      </c>
      <c r="I7" s="178"/>
      <c r="J7" s="179">
        <f>SUM(J5:J6)</f>
        <v>0</v>
      </c>
      <c r="K7" s="177">
        <f>SUM(K5:K6)</f>
        <v>2690988.39</v>
      </c>
      <c r="L7" s="180"/>
      <c r="M7" s="177">
        <f>SUM(M5:M6)</f>
        <v>2140988.39</v>
      </c>
      <c r="N7" s="181"/>
      <c r="O7" s="177">
        <f>SUM(O5:O6)</f>
        <v>550000</v>
      </c>
      <c r="P7" s="334"/>
      <c r="Q7" s="177">
        <f>SUM(Q5:Q6)</f>
        <v>2690988.39</v>
      </c>
      <c r="R7" s="181"/>
      <c r="S7" s="182">
        <f>SUM(S5:S6)</f>
        <v>0</v>
      </c>
      <c r="T7" s="173"/>
      <c r="U7" s="148"/>
      <c r="V7" s="148"/>
      <c r="W7" s="183">
        <f>SUM(M7:O7)</f>
        <v>2690988.39</v>
      </c>
      <c r="X7" s="148"/>
      <c r="Y7" s="183">
        <f>SUM(M7:O7)</f>
        <v>2690988.39</v>
      </c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</row>
    <row r="8" spans="1:105" s="184" customFormat="1" ht="9.75" customHeight="1" x14ac:dyDescent="0.3">
      <c r="B8" s="165"/>
      <c r="D8" s="185"/>
      <c r="G8" s="186"/>
      <c r="H8" s="187"/>
      <c r="I8" s="186"/>
      <c r="J8" s="188"/>
      <c r="K8" s="189"/>
      <c r="L8" s="186"/>
      <c r="M8" s="187"/>
      <c r="N8" s="186"/>
      <c r="P8" s="188"/>
      <c r="R8" s="100"/>
      <c r="T8" s="100"/>
      <c r="U8" s="148"/>
      <c r="V8" s="148"/>
      <c r="W8" s="148"/>
      <c r="X8" s="148"/>
      <c r="Y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</row>
    <row r="9" spans="1:105" s="164" customFormat="1" x14ac:dyDescent="0.3">
      <c r="A9" s="174"/>
      <c r="B9" s="146"/>
      <c r="C9" s="174"/>
      <c r="D9" s="185" t="s">
        <v>100</v>
      </c>
      <c r="E9" s="174"/>
      <c r="F9" s="190" t="s">
        <v>101</v>
      </c>
      <c r="G9" s="176"/>
      <c r="H9" s="156">
        <v>120000</v>
      </c>
      <c r="I9" s="191"/>
      <c r="J9" s="158">
        <v>0</v>
      </c>
      <c r="K9" s="158">
        <f>SUM(H9:J9)</f>
        <v>120000</v>
      </c>
      <c r="L9" s="192"/>
      <c r="M9" s="156">
        <v>0</v>
      </c>
      <c r="N9" s="171"/>
      <c r="O9" s="158">
        <f>K9</f>
        <v>120000</v>
      </c>
      <c r="P9" s="333" t="s">
        <v>69</v>
      </c>
      <c r="Q9" s="158">
        <f>SUM(M9:O9)</f>
        <v>120000</v>
      </c>
      <c r="R9" s="172"/>
      <c r="S9" s="158">
        <v>0</v>
      </c>
      <c r="T9" s="173"/>
      <c r="U9" s="148"/>
      <c r="V9" s="148"/>
      <c r="W9" s="148"/>
      <c r="X9" s="148"/>
      <c r="Y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</row>
    <row r="10" spans="1:105" s="164" customFormat="1" ht="13.5" customHeight="1" x14ac:dyDescent="0.3">
      <c r="A10" s="174"/>
      <c r="B10" s="165">
        <v>18230021</v>
      </c>
      <c r="C10" s="174"/>
      <c r="D10" s="166" t="s">
        <v>102</v>
      </c>
      <c r="E10" s="174"/>
      <c r="F10" s="167" t="s">
        <v>103</v>
      </c>
      <c r="G10" s="176"/>
      <c r="H10" s="158">
        <v>79843.87</v>
      </c>
      <c r="I10" s="193"/>
      <c r="J10" s="324">
        <v>0</v>
      </c>
      <c r="K10" s="158">
        <f>H10+J10</f>
        <v>79843.87</v>
      </c>
      <c r="L10" s="193"/>
      <c r="M10" s="158">
        <f>K10</f>
        <v>79843.87</v>
      </c>
      <c r="N10" s="194"/>
      <c r="O10" s="159">
        <v>0</v>
      </c>
      <c r="P10" s="194"/>
      <c r="Q10" s="158">
        <f>SUM(M10:P10)</f>
        <v>79843.87</v>
      </c>
      <c r="R10" s="150"/>
      <c r="S10" s="159">
        <v>0</v>
      </c>
      <c r="T10" s="173"/>
      <c r="U10" s="148"/>
      <c r="V10" s="148"/>
      <c r="W10" s="148"/>
      <c r="X10" s="148"/>
      <c r="Y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</row>
    <row r="11" spans="1:105" s="164" customFormat="1" ht="13.5" customHeight="1" x14ac:dyDescent="0.3">
      <c r="A11" s="174"/>
      <c r="B11" s="146"/>
      <c r="C11" s="174"/>
      <c r="D11" s="147"/>
      <c r="E11" s="174"/>
      <c r="F11" s="175" t="s">
        <v>104</v>
      </c>
      <c r="G11" s="195"/>
      <c r="H11" s="177">
        <f>SUM(H9:H10)</f>
        <v>199843.87</v>
      </c>
      <c r="I11" s="178"/>
      <c r="J11" s="179">
        <f>SUM(J9:J10)</f>
        <v>0</v>
      </c>
      <c r="K11" s="177">
        <f>SUM(K9:K10)</f>
        <v>199843.87</v>
      </c>
      <c r="L11" s="180"/>
      <c r="M11" s="177">
        <f>SUM(M9:M10)</f>
        <v>79843.87</v>
      </c>
      <c r="N11" s="181"/>
      <c r="O11" s="177">
        <f>SUM(O9:O10)</f>
        <v>120000</v>
      </c>
      <c r="P11" s="364"/>
      <c r="Q11" s="177">
        <f>SUM(Q9:Q10)</f>
        <v>199843.87</v>
      </c>
      <c r="R11" s="181"/>
      <c r="S11" s="182">
        <f>SUM(S9:S10)</f>
        <v>0</v>
      </c>
      <c r="T11" s="173"/>
      <c r="U11" s="148"/>
      <c r="V11" s="148"/>
      <c r="W11" s="148"/>
      <c r="X11" s="148"/>
      <c r="Y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</row>
    <row r="12" spans="1:105" s="164" customFormat="1" ht="13.5" customHeight="1" x14ac:dyDescent="0.3">
      <c r="A12" s="174"/>
      <c r="B12" s="146"/>
      <c r="C12" s="174"/>
      <c r="D12" s="147"/>
      <c r="E12" s="174"/>
      <c r="F12" s="167"/>
      <c r="G12" s="195"/>
      <c r="H12" s="196"/>
      <c r="I12" s="191"/>
      <c r="J12" s="197"/>
      <c r="K12" s="196"/>
      <c r="L12" s="192"/>
      <c r="M12" s="196"/>
      <c r="N12" s="171"/>
      <c r="O12" s="196"/>
      <c r="P12" s="325"/>
      <c r="Q12" s="196"/>
      <c r="R12" s="198"/>
      <c r="S12" s="199"/>
      <c r="T12" s="173"/>
      <c r="U12" s="148"/>
      <c r="V12" s="148"/>
      <c r="W12" s="148"/>
      <c r="X12" s="148"/>
      <c r="Y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</row>
    <row r="13" spans="1:105" s="164" customFormat="1" ht="13.5" customHeight="1" x14ac:dyDescent="0.3">
      <c r="B13" s="185"/>
      <c r="D13" s="185" t="s">
        <v>105</v>
      </c>
      <c r="F13" s="167" t="s">
        <v>106</v>
      </c>
      <c r="G13" s="195"/>
      <c r="H13" s="177">
        <v>15000</v>
      </c>
      <c r="I13" s="178"/>
      <c r="J13" s="179">
        <v>0</v>
      </c>
      <c r="K13" s="177">
        <f>SUM(H13:J13)</f>
        <v>15000</v>
      </c>
      <c r="L13" s="180"/>
      <c r="M13" s="177">
        <v>0</v>
      </c>
      <c r="N13" s="181"/>
      <c r="O13" s="177">
        <f>K13</f>
        <v>15000</v>
      </c>
      <c r="P13" s="334" t="s">
        <v>244</v>
      </c>
      <c r="Q13" s="177">
        <f>SUM(M13:P13)</f>
        <v>15000</v>
      </c>
      <c r="R13" s="181"/>
      <c r="S13" s="182">
        <v>0</v>
      </c>
      <c r="T13" s="173"/>
      <c r="U13" s="148"/>
      <c r="V13" s="148"/>
      <c r="W13" s="148"/>
      <c r="X13" s="148"/>
      <c r="Y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</row>
    <row r="14" spans="1:105" s="184" customFormat="1" ht="9.75" customHeight="1" x14ac:dyDescent="0.3">
      <c r="B14" s="165"/>
      <c r="D14" s="147"/>
      <c r="G14" s="186"/>
      <c r="H14" s="187"/>
      <c r="I14" s="186"/>
      <c r="J14" s="188"/>
      <c r="K14" s="189"/>
      <c r="L14" s="372"/>
      <c r="M14" s="187"/>
      <c r="N14" s="186"/>
      <c r="P14" s="188"/>
      <c r="R14" s="100"/>
      <c r="T14" s="100"/>
      <c r="U14" s="148"/>
      <c r="V14" s="148"/>
      <c r="W14" s="148"/>
      <c r="X14" s="148"/>
      <c r="Y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</row>
    <row r="15" spans="1:105" s="164" customFormat="1" ht="13.5" customHeight="1" x14ac:dyDescent="0.3">
      <c r="B15" s="165"/>
      <c r="D15" s="166" t="s">
        <v>107</v>
      </c>
      <c r="F15" s="190" t="s">
        <v>108</v>
      </c>
      <c r="G15" s="176"/>
      <c r="H15" s="156">
        <v>50000</v>
      </c>
      <c r="I15" s="191"/>
      <c r="J15" s="158">
        <v>0</v>
      </c>
      <c r="K15" s="156">
        <f>SUM(H15:J15)</f>
        <v>50000</v>
      </c>
      <c r="L15" s="372"/>
      <c r="M15" s="159">
        <v>0</v>
      </c>
      <c r="N15" s="171"/>
      <c r="O15" s="156">
        <f>K15</f>
        <v>50000</v>
      </c>
      <c r="P15" s="325" t="s">
        <v>71</v>
      </c>
      <c r="Q15" s="156">
        <f>SUM(M15:P15)</f>
        <v>50000</v>
      </c>
      <c r="R15" s="172"/>
      <c r="S15" s="159">
        <v>0</v>
      </c>
      <c r="T15" s="173"/>
      <c r="U15" s="148"/>
      <c r="V15" s="148"/>
      <c r="W15" s="148"/>
      <c r="X15" s="148"/>
      <c r="Y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</row>
    <row r="16" spans="1:105" s="164" customFormat="1" ht="13.5" customHeight="1" x14ac:dyDescent="0.3">
      <c r="B16" s="185" t="s">
        <v>109</v>
      </c>
      <c r="D16" s="185" t="s">
        <v>110</v>
      </c>
      <c r="F16" s="148" t="s">
        <v>111</v>
      </c>
      <c r="G16" s="195"/>
      <c r="H16" s="158">
        <v>198092.16</v>
      </c>
      <c r="I16" s="200"/>
      <c r="J16" s="307">
        <v>0</v>
      </c>
      <c r="K16" s="201">
        <f>H16+J16</f>
        <v>198092.16</v>
      </c>
      <c r="L16" s="372"/>
      <c r="M16" s="202">
        <f>K16</f>
        <v>198092.16</v>
      </c>
      <c r="N16" s="193"/>
      <c r="O16" s="159">
        <v>0</v>
      </c>
      <c r="P16" s="326"/>
      <c r="Q16" s="158">
        <f>SUM(M16:P16)</f>
        <v>198092.16</v>
      </c>
      <c r="R16" s="203"/>
      <c r="S16" s="159">
        <v>0</v>
      </c>
      <c r="T16" s="204"/>
      <c r="U16" s="148"/>
      <c r="V16" s="148"/>
      <c r="W16" s="148"/>
      <c r="X16" s="148"/>
      <c r="Y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</row>
    <row r="17" spans="1:105" ht="13.5" customHeight="1" x14ac:dyDescent="0.3">
      <c r="A17" s="132"/>
      <c r="B17" s="205"/>
      <c r="C17" s="132"/>
      <c r="D17" s="147"/>
      <c r="E17" s="174"/>
      <c r="F17" s="175" t="s">
        <v>112</v>
      </c>
      <c r="G17" s="176"/>
      <c r="H17" s="177">
        <f>SUM(H15:H16)</f>
        <v>248092.16</v>
      </c>
      <c r="I17" s="178"/>
      <c r="J17" s="179">
        <f>SUM(J15:J16)</f>
        <v>0</v>
      </c>
      <c r="K17" s="177">
        <f>SUM(K15:K16)</f>
        <v>248092.16</v>
      </c>
      <c r="L17" s="180"/>
      <c r="M17" s="177">
        <f>SUM(M15:M16)</f>
        <v>198092.16</v>
      </c>
      <c r="N17" s="181"/>
      <c r="O17" s="177">
        <f>SUM(O15:O16)</f>
        <v>50000</v>
      </c>
      <c r="P17" s="334"/>
      <c r="Q17" s="177">
        <f>SUM(Q15:Q16)</f>
        <v>248092.16</v>
      </c>
      <c r="R17" s="181"/>
      <c r="S17" s="182">
        <f>SUM(S15:S16)</f>
        <v>0</v>
      </c>
      <c r="T17" s="206"/>
    </row>
    <row r="18" spans="1:105" s="184" customFormat="1" ht="9.75" customHeight="1" x14ac:dyDescent="0.3">
      <c r="B18" s="165"/>
      <c r="D18" s="185"/>
      <c r="G18" s="186"/>
      <c r="H18" s="187"/>
      <c r="I18" s="186"/>
      <c r="J18" s="188"/>
      <c r="K18" s="189"/>
      <c r="L18" s="372"/>
      <c r="M18" s="187"/>
      <c r="N18" s="186"/>
      <c r="P18" s="188"/>
      <c r="R18" s="100"/>
      <c r="T18" s="100"/>
      <c r="U18" s="148"/>
      <c r="V18" s="148"/>
      <c r="W18" s="148"/>
      <c r="X18" s="148"/>
      <c r="Y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</row>
    <row r="19" spans="1:105" ht="13.5" customHeight="1" x14ac:dyDescent="0.3">
      <c r="A19" s="132"/>
      <c r="B19" s="205"/>
      <c r="C19" s="132"/>
      <c r="D19" s="185" t="s">
        <v>113</v>
      </c>
      <c r="E19" s="174"/>
      <c r="F19" s="167" t="s">
        <v>114</v>
      </c>
      <c r="G19" s="176"/>
      <c r="H19" s="156">
        <v>10000</v>
      </c>
      <c r="I19" s="169"/>
      <c r="J19" s="158">
        <f>IF(J20&gt;0,-J20,0)</f>
        <v>0</v>
      </c>
      <c r="K19" s="156">
        <f>H19+J19</f>
        <v>10000</v>
      </c>
      <c r="L19" s="170"/>
      <c r="M19" s="156">
        <v>0</v>
      </c>
      <c r="N19" s="171"/>
      <c r="O19" s="156">
        <f>K19</f>
        <v>10000</v>
      </c>
      <c r="P19" s="325" t="s">
        <v>244</v>
      </c>
      <c r="Q19" s="156">
        <f>SUM(M19:P19)</f>
        <v>10000</v>
      </c>
      <c r="R19" s="171"/>
      <c r="S19" s="299">
        <v>0</v>
      </c>
      <c r="T19" s="288"/>
    </row>
    <row r="20" spans="1:105" ht="13.5" customHeight="1" x14ac:dyDescent="0.3">
      <c r="A20" s="132"/>
      <c r="B20" s="205"/>
      <c r="C20" s="132"/>
      <c r="D20" s="185"/>
      <c r="E20" s="174"/>
      <c r="F20" s="167" t="s">
        <v>189</v>
      </c>
      <c r="G20" s="176"/>
      <c r="H20" s="156">
        <v>0</v>
      </c>
      <c r="I20" s="191"/>
      <c r="J20" s="202">
        <v>0</v>
      </c>
      <c r="K20" s="201">
        <f>H20+J20</f>
        <v>0</v>
      </c>
      <c r="L20" s="372"/>
      <c r="M20" s="202">
        <f>K20</f>
        <v>0</v>
      </c>
      <c r="N20" s="193"/>
      <c r="O20" s="159">
        <v>0</v>
      </c>
      <c r="P20" s="326"/>
      <c r="Q20" s="158">
        <f>SUM(M20:P20)</f>
        <v>0</v>
      </c>
      <c r="R20" s="203"/>
      <c r="S20" s="159">
        <v>0</v>
      </c>
      <c r="T20" s="206"/>
    </row>
    <row r="21" spans="1:105" ht="13.5" customHeight="1" x14ac:dyDescent="0.3">
      <c r="A21" s="132"/>
      <c r="B21" s="205"/>
      <c r="C21" s="132"/>
      <c r="D21" s="185"/>
      <c r="E21" s="174"/>
      <c r="F21" s="175" t="s">
        <v>190</v>
      </c>
      <c r="G21" s="176"/>
      <c r="H21" s="177">
        <f>SUM(H19:H20)</f>
        <v>10000</v>
      </c>
      <c r="I21" s="178"/>
      <c r="J21" s="179">
        <f>SUM(J19:J20)</f>
        <v>0</v>
      </c>
      <c r="K21" s="177">
        <f>SUM(K19:K20)</f>
        <v>10000</v>
      </c>
      <c r="L21" s="180"/>
      <c r="M21" s="177">
        <f>SUM(M19:M20)</f>
        <v>0</v>
      </c>
      <c r="N21" s="181"/>
      <c r="O21" s="177">
        <f>SUM(O19:O20)</f>
        <v>10000</v>
      </c>
      <c r="P21" s="334"/>
      <c r="Q21" s="177">
        <f>SUM(Q19:Q20)</f>
        <v>10000</v>
      </c>
      <c r="R21" s="181"/>
      <c r="S21" s="182">
        <f>SUM(S19:S20)</f>
        <v>0</v>
      </c>
      <c r="T21" s="206"/>
    </row>
    <row r="22" spans="1:105" ht="10" customHeight="1" x14ac:dyDescent="0.3">
      <c r="B22" s="207"/>
      <c r="F22" s="208"/>
      <c r="H22" s="209"/>
      <c r="I22" s="210"/>
      <c r="J22" s="211"/>
      <c r="K22" s="209"/>
      <c r="L22" s="372"/>
      <c r="M22" s="209"/>
      <c r="N22" s="212"/>
      <c r="O22" s="209"/>
      <c r="P22" s="264"/>
      <c r="Q22" s="209"/>
      <c r="R22" s="213"/>
      <c r="S22" s="209"/>
      <c r="T22" s="206"/>
    </row>
    <row r="23" spans="1:105" s="214" customFormat="1" ht="13.5" customHeight="1" x14ac:dyDescent="0.3">
      <c r="B23" s="215"/>
      <c r="D23" s="215"/>
      <c r="F23" s="214" t="s">
        <v>115</v>
      </c>
      <c r="G23" s="216"/>
      <c r="H23" s="217">
        <f>H7+H11+H13+H17+H21</f>
        <v>3163924.4200000004</v>
      </c>
      <c r="I23" s="218"/>
      <c r="J23" s="217">
        <f>J7+J11+J13+J17+J21</f>
        <v>0</v>
      </c>
      <c r="K23" s="217">
        <f>K7+K11+K13+K17+K21</f>
        <v>3163924.4200000004</v>
      </c>
      <c r="L23" s="219"/>
      <c r="M23" s="217">
        <f>M7+M11+M13+M17+M21</f>
        <v>2418924.4200000004</v>
      </c>
      <c r="N23" s="220"/>
      <c r="O23" s="179">
        <f>O7+O11+O13+O17+O21</f>
        <v>745000</v>
      </c>
      <c r="P23" s="334"/>
      <c r="Q23" s="217">
        <f>Q7+Q11+Q13+Q17+Q21</f>
        <v>3163924.4200000004</v>
      </c>
      <c r="R23" s="220"/>
      <c r="S23" s="217">
        <f>S7+S11+S13+S17+S21</f>
        <v>0</v>
      </c>
      <c r="T23" s="221"/>
      <c r="U23" s="222"/>
      <c r="V23" s="223"/>
      <c r="W23" s="224">
        <f>SUM(M23:O23)</f>
        <v>3163924.4200000004</v>
      </c>
      <c r="X23" s="223"/>
      <c r="Y23" s="222">
        <f>M23+O23</f>
        <v>3163924.4200000004</v>
      </c>
      <c r="AA23" s="222">
        <f>M23+O23</f>
        <v>3163924.4200000004</v>
      </c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</row>
    <row r="24" spans="1:105" s="184" customFormat="1" ht="9.75" customHeight="1" x14ac:dyDescent="0.3">
      <c r="B24" s="165"/>
      <c r="D24" s="185"/>
      <c r="G24" s="186"/>
      <c r="H24" s="187"/>
      <c r="I24" s="186"/>
      <c r="J24" s="188"/>
      <c r="K24" s="189"/>
      <c r="L24" s="186"/>
      <c r="M24" s="187"/>
      <c r="N24" s="186"/>
      <c r="P24" s="188"/>
      <c r="R24" s="100"/>
      <c r="T24" s="100"/>
      <c r="U24" s="148"/>
      <c r="V24" s="148"/>
      <c r="W24" s="148"/>
      <c r="X24" s="148"/>
      <c r="Y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</row>
    <row r="25" spans="1:105" s="164" customFormat="1" ht="13.5" customHeight="1" x14ac:dyDescent="0.3">
      <c r="B25" s="185"/>
      <c r="D25" s="185" t="s">
        <v>116</v>
      </c>
      <c r="F25" s="190" t="s">
        <v>117</v>
      </c>
      <c r="G25" s="195"/>
      <c r="H25" s="202">
        <v>300000</v>
      </c>
      <c r="I25" s="200"/>
      <c r="J25" s="158">
        <v>-4732.5</v>
      </c>
      <c r="K25" s="202">
        <f>SUM(H25:J25)</f>
        <v>295267.5</v>
      </c>
      <c r="L25" s="194"/>
      <c r="M25" s="159">
        <v>0</v>
      </c>
      <c r="N25" s="193"/>
      <c r="O25" s="156">
        <f>K25</f>
        <v>295267.5</v>
      </c>
      <c r="P25" s="170" t="s">
        <v>69</v>
      </c>
      <c r="Q25" s="156">
        <f>SUM(M25:P25)</f>
        <v>295267.5</v>
      </c>
      <c r="R25" s="203"/>
      <c r="S25" s="159">
        <v>0</v>
      </c>
      <c r="T25" s="173"/>
      <c r="U25" s="148"/>
      <c r="V25" s="148"/>
      <c r="W25" s="148"/>
      <c r="X25" s="148"/>
      <c r="Y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</row>
    <row r="26" spans="1:105" s="164" customFormat="1" ht="13.5" customHeight="1" x14ac:dyDescent="0.3">
      <c r="B26" s="185" t="s">
        <v>118</v>
      </c>
      <c r="D26" s="185" t="s">
        <v>119</v>
      </c>
      <c r="F26" s="190" t="s">
        <v>120</v>
      </c>
      <c r="G26" s="195"/>
      <c r="H26" s="202">
        <v>366674.33</v>
      </c>
      <c r="I26" s="200"/>
      <c r="J26" s="369">
        <v>4732.5</v>
      </c>
      <c r="K26" s="202">
        <f>SUM(H26:J26)</f>
        <v>371406.83</v>
      </c>
      <c r="L26" s="194"/>
      <c r="M26" s="156">
        <f>K26</f>
        <v>371406.83</v>
      </c>
      <c r="N26" s="193"/>
      <c r="O26" s="159">
        <v>0</v>
      </c>
      <c r="P26" s="326"/>
      <c r="Q26" s="156">
        <f>SUM(M26:P26)</f>
        <v>371406.83</v>
      </c>
      <c r="R26" s="203"/>
      <c r="S26" s="159">
        <v>0</v>
      </c>
      <c r="T26" s="173"/>
      <c r="U26" s="148"/>
      <c r="V26" s="148"/>
      <c r="W26" s="148"/>
      <c r="X26" s="148"/>
      <c r="Y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</row>
    <row r="27" spans="1:105" s="164" customFormat="1" ht="13.5" customHeight="1" x14ac:dyDescent="0.3">
      <c r="B27" s="185"/>
      <c r="D27" s="185"/>
      <c r="F27" s="175" t="s">
        <v>121</v>
      </c>
      <c r="G27" s="195"/>
      <c r="H27" s="177">
        <f>SUM(H25:H26)</f>
        <v>666674.33000000007</v>
      </c>
      <c r="I27" s="178"/>
      <c r="J27" s="179">
        <f>SUM(J25:J26)</f>
        <v>0</v>
      </c>
      <c r="K27" s="177">
        <f>SUM(K25:K26)</f>
        <v>666674.33000000007</v>
      </c>
      <c r="L27" s="180"/>
      <c r="M27" s="177">
        <f>SUM(M25:M26)</f>
        <v>371406.83</v>
      </c>
      <c r="N27" s="181"/>
      <c r="O27" s="177">
        <f>SUM(O25:O26)</f>
        <v>295267.5</v>
      </c>
      <c r="P27" s="364"/>
      <c r="Q27" s="177">
        <f>SUM(Q25:Q26)</f>
        <v>666674.33000000007</v>
      </c>
      <c r="R27" s="181"/>
      <c r="S27" s="182">
        <f>SUM(S25:S26)</f>
        <v>0</v>
      </c>
      <c r="T27" s="173"/>
      <c r="U27" s="148"/>
      <c r="V27" s="148"/>
      <c r="W27" s="148"/>
      <c r="X27" s="148"/>
      <c r="Y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</row>
    <row r="28" spans="1:105" s="184" customFormat="1" ht="9.75" customHeight="1" x14ac:dyDescent="0.3">
      <c r="B28" s="165"/>
      <c r="D28" s="185"/>
      <c r="G28" s="186"/>
      <c r="H28" s="187"/>
      <c r="I28" s="186"/>
      <c r="J28" s="188"/>
      <c r="K28" s="189"/>
      <c r="L28" s="186"/>
      <c r="M28" s="187"/>
      <c r="N28" s="186"/>
      <c r="P28" s="188"/>
      <c r="R28" s="100"/>
      <c r="T28" s="100"/>
      <c r="U28" s="148"/>
      <c r="V28" s="148"/>
      <c r="W28" s="148"/>
      <c r="X28" s="148"/>
      <c r="Y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</row>
    <row r="29" spans="1:105" s="164" customFormat="1" ht="13.5" customHeight="1" x14ac:dyDescent="0.3">
      <c r="B29" s="185"/>
      <c r="D29" s="185" t="s">
        <v>122</v>
      </c>
      <c r="F29" s="167" t="s">
        <v>123</v>
      </c>
      <c r="G29" s="195"/>
      <c r="H29" s="202">
        <v>499999.99999999994</v>
      </c>
      <c r="I29" s="200"/>
      <c r="J29" s="158">
        <v>-10315.75</v>
      </c>
      <c r="K29" s="202">
        <f>SUM(H29:J29)</f>
        <v>489684.24999999994</v>
      </c>
      <c r="L29" s="194"/>
      <c r="M29" s="159">
        <v>0</v>
      </c>
      <c r="N29" s="193"/>
      <c r="O29" s="156">
        <f>K29</f>
        <v>489684.24999999994</v>
      </c>
      <c r="P29" s="170" t="s">
        <v>69</v>
      </c>
      <c r="Q29" s="156">
        <f>SUM(M29:P29)</f>
        <v>489684.24999999994</v>
      </c>
      <c r="R29" s="203"/>
      <c r="S29" s="159">
        <v>0</v>
      </c>
      <c r="T29" s="173"/>
      <c r="U29" s="148"/>
      <c r="V29" s="148"/>
      <c r="W29" s="148"/>
      <c r="X29" s="148"/>
      <c r="Y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</row>
    <row r="30" spans="1:105" s="164" customFormat="1" ht="13.5" customHeight="1" x14ac:dyDescent="0.3">
      <c r="B30" s="185" t="s">
        <v>124</v>
      </c>
      <c r="D30" s="185" t="s">
        <v>125</v>
      </c>
      <c r="F30" s="190" t="s">
        <v>126</v>
      </c>
      <c r="G30" s="195"/>
      <c r="H30" s="202">
        <v>2242250.92</v>
      </c>
      <c r="I30" s="200"/>
      <c r="J30" s="369">
        <v>10315.75</v>
      </c>
      <c r="K30" s="202">
        <f>SUM(H30:J30)</f>
        <v>2252566.67</v>
      </c>
      <c r="L30" s="194"/>
      <c r="M30" s="156">
        <f>K30</f>
        <v>2252566.67</v>
      </c>
      <c r="N30" s="193"/>
      <c r="O30" s="159">
        <v>0</v>
      </c>
      <c r="P30" s="326"/>
      <c r="Q30" s="156">
        <f>SUM(M30:P30)</f>
        <v>2252566.67</v>
      </c>
      <c r="R30" s="203"/>
      <c r="S30" s="159">
        <v>0</v>
      </c>
      <c r="T30" s="173"/>
      <c r="U30" s="148"/>
      <c r="V30" s="148"/>
      <c r="W30" s="148"/>
      <c r="X30" s="148"/>
      <c r="Y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</row>
    <row r="31" spans="1:105" s="164" customFormat="1" ht="13.5" customHeight="1" x14ac:dyDescent="0.3">
      <c r="B31" s="185"/>
      <c r="D31" s="185"/>
      <c r="F31" s="175" t="s">
        <v>127</v>
      </c>
      <c r="G31" s="195"/>
      <c r="H31" s="177">
        <f>SUM(H29:H30)</f>
        <v>2742250.92</v>
      </c>
      <c r="I31" s="178"/>
      <c r="J31" s="179">
        <f>SUM(J29:J30)</f>
        <v>0</v>
      </c>
      <c r="K31" s="177">
        <f>SUM(K29:K30)</f>
        <v>2742250.92</v>
      </c>
      <c r="L31" s="180"/>
      <c r="M31" s="177">
        <f>SUM(M29:M30)</f>
        <v>2252566.67</v>
      </c>
      <c r="N31" s="181"/>
      <c r="O31" s="177">
        <f>SUM(O29:O30)</f>
        <v>489684.24999999994</v>
      </c>
      <c r="P31" s="334"/>
      <c r="Q31" s="177">
        <f>SUM(Q29:Q30)</f>
        <v>2742250.92</v>
      </c>
      <c r="R31" s="181"/>
      <c r="S31" s="182">
        <f>SUM(S29:S30)</f>
        <v>0</v>
      </c>
      <c r="T31" s="173"/>
      <c r="U31" s="148"/>
      <c r="V31" s="148"/>
      <c r="W31" s="148"/>
      <c r="X31" s="148"/>
      <c r="Y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</row>
    <row r="32" spans="1:105" s="184" customFormat="1" ht="9.75" customHeight="1" x14ac:dyDescent="0.3">
      <c r="B32" s="165"/>
      <c r="D32" s="185"/>
      <c r="G32" s="186"/>
      <c r="H32" s="187"/>
      <c r="I32" s="186"/>
      <c r="J32" s="188"/>
      <c r="K32" s="189"/>
      <c r="L32" s="186"/>
      <c r="M32" s="187"/>
      <c r="N32" s="186"/>
      <c r="P32" s="188"/>
      <c r="R32" s="100"/>
      <c r="T32" s="100"/>
      <c r="U32" s="148"/>
      <c r="V32" s="148"/>
      <c r="W32" s="148"/>
      <c r="X32" s="148"/>
      <c r="Y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</row>
    <row r="33" spans="2:105" s="152" customFormat="1" ht="12.75" customHeight="1" x14ac:dyDescent="0.3">
      <c r="B33" s="225"/>
      <c r="D33" s="225" t="s">
        <v>128</v>
      </c>
      <c r="F33" s="226" t="s">
        <v>185</v>
      </c>
      <c r="G33" s="227"/>
      <c r="H33" s="156">
        <v>1650000</v>
      </c>
      <c r="I33" s="228"/>
      <c r="J33" s="368">
        <v>-62982.93</v>
      </c>
      <c r="K33" s="156">
        <f>SUM(H33:J33)</f>
        <v>1587017.07</v>
      </c>
      <c r="L33" s="229"/>
      <c r="M33" s="156">
        <v>0</v>
      </c>
      <c r="N33" s="230"/>
      <c r="O33" s="156">
        <f>K33</f>
        <v>1587017.07</v>
      </c>
      <c r="P33" s="378" t="s">
        <v>70</v>
      </c>
      <c r="Q33" s="156">
        <f>SUM(M33:P33)</f>
        <v>1587017.07</v>
      </c>
      <c r="R33" s="231"/>
      <c r="S33" s="156">
        <v>0</v>
      </c>
      <c r="T33" s="162"/>
      <c r="U33" s="163"/>
      <c r="V33" s="163"/>
      <c r="W33" s="163"/>
      <c r="X33" s="163"/>
      <c r="Y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</row>
    <row r="34" spans="2:105" s="164" customFormat="1" ht="13.5" customHeight="1" x14ac:dyDescent="0.3">
      <c r="B34" s="185" t="s">
        <v>129</v>
      </c>
      <c r="D34" s="185" t="s">
        <v>130</v>
      </c>
      <c r="F34" s="190" t="s">
        <v>186</v>
      </c>
      <c r="G34" s="195"/>
      <c r="H34" s="202">
        <v>1848154.51</v>
      </c>
      <c r="I34" s="200"/>
      <c r="J34" s="369">
        <v>62982.93</v>
      </c>
      <c r="K34" s="202">
        <f>SUM(H34:J34)</f>
        <v>1911137.44</v>
      </c>
      <c r="L34" s="194"/>
      <c r="M34" s="156">
        <f>K34</f>
        <v>1911137.44</v>
      </c>
      <c r="N34" s="193"/>
      <c r="O34" s="159">
        <v>0</v>
      </c>
      <c r="P34" s="326"/>
      <c r="Q34" s="156">
        <f>SUM(M34:P34)</f>
        <v>1911137.44</v>
      </c>
      <c r="R34" s="203"/>
      <c r="S34" s="159">
        <v>0</v>
      </c>
      <c r="T34" s="173"/>
      <c r="U34" s="148"/>
      <c r="V34" s="148"/>
      <c r="W34" s="148"/>
      <c r="X34" s="148"/>
      <c r="Y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</row>
    <row r="35" spans="2:105" s="164" customFormat="1" ht="13.5" customHeight="1" x14ac:dyDescent="0.3">
      <c r="B35" s="185"/>
      <c r="D35" s="185"/>
      <c r="F35" s="175" t="s">
        <v>187</v>
      </c>
      <c r="G35" s="195"/>
      <c r="H35" s="177">
        <f>SUM(H33:H34)</f>
        <v>3498154.51</v>
      </c>
      <c r="I35" s="178"/>
      <c r="J35" s="179">
        <f>SUM(J33:J34)</f>
        <v>0</v>
      </c>
      <c r="K35" s="177">
        <f>SUM(K33:K34)</f>
        <v>3498154.51</v>
      </c>
      <c r="L35" s="180"/>
      <c r="M35" s="177">
        <f>SUM(M33:M34)</f>
        <v>1911137.44</v>
      </c>
      <c r="N35" s="181"/>
      <c r="O35" s="177">
        <f>SUM(O33:O34)</f>
        <v>1587017.07</v>
      </c>
      <c r="P35" s="334"/>
      <c r="Q35" s="177">
        <f>SUM(Q33:Q34)</f>
        <v>3498154.51</v>
      </c>
      <c r="R35" s="181"/>
      <c r="S35" s="182">
        <f>SUM(S33:S34)</f>
        <v>0</v>
      </c>
      <c r="T35" s="173"/>
      <c r="U35" s="148"/>
      <c r="V35" s="148"/>
      <c r="W35" s="148"/>
      <c r="X35" s="148"/>
      <c r="Y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</row>
    <row r="36" spans="2:105" s="184" customFormat="1" ht="9.75" customHeight="1" x14ac:dyDescent="0.3">
      <c r="B36" s="165"/>
      <c r="D36" s="185"/>
      <c r="G36" s="186"/>
      <c r="H36" s="187"/>
      <c r="I36" s="186"/>
      <c r="J36" s="188"/>
      <c r="K36" s="189"/>
      <c r="L36" s="186"/>
      <c r="M36" s="187"/>
      <c r="N36" s="186"/>
      <c r="P36" s="188"/>
      <c r="R36" s="100"/>
      <c r="T36" s="100"/>
      <c r="U36" s="148"/>
      <c r="V36" s="148"/>
      <c r="W36" s="148"/>
      <c r="X36" s="148"/>
      <c r="Y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</row>
    <row r="37" spans="2:105" s="164" customFormat="1" ht="13.5" customHeight="1" x14ac:dyDescent="0.3">
      <c r="B37" s="185"/>
      <c r="D37" s="185" t="s">
        <v>131</v>
      </c>
      <c r="F37" s="190" t="s">
        <v>132</v>
      </c>
      <c r="G37" s="195"/>
      <c r="H37" s="202">
        <v>250000</v>
      </c>
      <c r="I37" s="200"/>
      <c r="J37" s="158">
        <v>0</v>
      </c>
      <c r="K37" s="202">
        <f>SUM(H37:J37)</f>
        <v>250000</v>
      </c>
      <c r="L37" s="194"/>
      <c r="M37" s="159">
        <v>0</v>
      </c>
      <c r="N37" s="193"/>
      <c r="O37" s="202">
        <f>K37</f>
        <v>250000</v>
      </c>
      <c r="P37" s="378" t="s">
        <v>70</v>
      </c>
      <c r="Q37" s="202">
        <f>SUM(N37:P37)</f>
        <v>250000</v>
      </c>
      <c r="R37" s="203"/>
      <c r="S37" s="159">
        <v>0</v>
      </c>
      <c r="T37" s="173"/>
      <c r="U37" s="148"/>
      <c r="V37" s="148"/>
      <c r="W37" s="148"/>
      <c r="X37" s="148"/>
      <c r="Y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  <c r="BY37" s="148"/>
      <c r="BZ37" s="148"/>
      <c r="CA37" s="148"/>
      <c r="CB37" s="148"/>
      <c r="CC37" s="148"/>
      <c r="CD37" s="148"/>
      <c r="CE37" s="148"/>
      <c r="CF37" s="148"/>
      <c r="CG37" s="148"/>
      <c r="CH37" s="148"/>
      <c r="CI37" s="148"/>
      <c r="CJ37" s="148"/>
      <c r="CK37" s="148"/>
      <c r="CL37" s="148"/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8"/>
      <c r="DA37" s="148"/>
    </row>
    <row r="38" spans="2:105" s="164" customFormat="1" ht="13.5" customHeight="1" x14ac:dyDescent="0.3">
      <c r="B38" s="185" t="s">
        <v>133</v>
      </c>
      <c r="D38" s="185" t="s">
        <v>134</v>
      </c>
      <c r="F38" s="164" t="s">
        <v>135</v>
      </c>
      <c r="G38" s="195"/>
      <c r="H38" s="202">
        <v>659654.59</v>
      </c>
      <c r="I38" s="200"/>
      <c r="J38" s="369">
        <v>0</v>
      </c>
      <c r="K38" s="201">
        <f>SUM(H38:J38)</f>
        <v>659654.59</v>
      </c>
      <c r="L38" s="194"/>
      <c r="M38" s="202">
        <f>K38</f>
        <v>659654.59</v>
      </c>
      <c r="N38" s="193"/>
      <c r="O38" s="159">
        <v>0</v>
      </c>
      <c r="P38" s="326"/>
      <c r="Q38" s="202">
        <f>SUM(M38:P38)</f>
        <v>659654.59</v>
      </c>
      <c r="R38" s="203"/>
      <c r="S38" s="159">
        <v>0</v>
      </c>
      <c r="T38" s="173"/>
      <c r="U38" s="148"/>
      <c r="V38" s="148"/>
      <c r="W38" s="148"/>
      <c r="X38" s="148"/>
      <c r="Y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</row>
    <row r="39" spans="2:105" s="164" customFormat="1" ht="13.5" customHeight="1" x14ac:dyDescent="0.3">
      <c r="B39" s="185"/>
      <c r="D39" s="185"/>
      <c r="F39" s="175" t="s">
        <v>136</v>
      </c>
      <c r="G39" s="195"/>
      <c r="H39" s="177">
        <f>SUM(H37:H38)</f>
        <v>909654.59</v>
      </c>
      <c r="I39" s="178"/>
      <c r="J39" s="179">
        <f>SUM(J37:J38)</f>
        <v>0</v>
      </c>
      <c r="K39" s="177">
        <f>SUM(K37:K38)</f>
        <v>909654.59</v>
      </c>
      <c r="L39" s="180"/>
      <c r="M39" s="177">
        <f>SUM(M37:M38)</f>
        <v>659654.59</v>
      </c>
      <c r="N39" s="181"/>
      <c r="O39" s="177">
        <f>SUM(O37:O38)</f>
        <v>250000</v>
      </c>
      <c r="P39" s="334"/>
      <c r="Q39" s="177">
        <f>SUM(Q37:Q38)</f>
        <v>909654.59</v>
      </c>
      <c r="R39" s="181"/>
      <c r="S39" s="182">
        <f>SUM(S37:S38)</f>
        <v>0</v>
      </c>
      <c r="T39" s="173"/>
      <c r="U39" s="148"/>
      <c r="V39" s="148"/>
      <c r="W39" s="148"/>
      <c r="X39" s="148"/>
      <c r="Y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</row>
    <row r="40" spans="2:105" s="184" customFormat="1" ht="9.75" customHeight="1" x14ac:dyDescent="0.3">
      <c r="B40" s="165"/>
      <c r="D40" s="185"/>
      <c r="G40" s="186"/>
      <c r="H40" s="187"/>
      <c r="I40" s="186"/>
      <c r="J40" s="188"/>
      <c r="K40" s="189"/>
      <c r="L40" s="186"/>
      <c r="M40" s="187"/>
      <c r="N40" s="186"/>
      <c r="P40" s="188"/>
      <c r="R40" s="100"/>
      <c r="T40" s="100"/>
      <c r="U40" s="148"/>
      <c r="V40" s="148"/>
      <c r="W40" s="148"/>
      <c r="X40" s="148"/>
      <c r="Y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</row>
    <row r="41" spans="2:105" s="164" customFormat="1" ht="13.5" customHeight="1" x14ac:dyDescent="0.3">
      <c r="B41" s="185"/>
      <c r="D41" s="185" t="s">
        <v>137</v>
      </c>
      <c r="F41" s="190" t="s">
        <v>138</v>
      </c>
      <c r="G41" s="195"/>
      <c r="H41" s="202">
        <v>75000</v>
      </c>
      <c r="I41" s="200"/>
      <c r="J41" s="158">
        <v>0</v>
      </c>
      <c r="K41" s="202">
        <f>SUM(H41:J41)</f>
        <v>75000</v>
      </c>
      <c r="L41" s="194"/>
      <c r="M41" s="159">
        <v>0</v>
      </c>
      <c r="N41" s="193"/>
      <c r="O41" s="202">
        <f>K41</f>
        <v>75000</v>
      </c>
      <c r="P41" s="378" t="s">
        <v>70</v>
      </c>
      <c r="Q41" s="202">
        <f>SUM(N41:P41)</f>
        <v>75000</v>
      </c>
      <c r="R41" s="203"/>
      <c r="S41" s="159">
        <v>0</v>
      </c>
      <c r="T41" s="173"/>
      <c r="U41" s="148"/>
      <c r="V41" s="148"/>
      <c r="W41" s="148"/>
      <c r="X41" s="148"/>
      <c r="Y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</row>
    <row r="42" spans="2:105" s="164" customFormat="1" ht="13.5" customHeight="1" x14ac:dyDescent="0.3">
      <c r="B42" s="185" t="s">
        <v>139</v>
      </c>
      <c r="D42" s="185" t="s">
        <v>140</v>
      </c>
      <c r="F42" s="164" t="s">
        <v>141</v>
      </c>
      <c r="G42" s="195"/>
      <c r="H42" s="202">
        <v>224879.76</v>
      </c>
      <c r="I42" s="200"/>
      <c r="J42" s="307">
        <v>0</v>
      </c>
      <c r="K42" s="202">
        <f>SUM(H42:J42)</f>
        <v>224879.76</v>
      </c>
      <c r="L42" s="194"/>
      <c r="M42" s="202">
        <f>K42</f>
        <v>224879.76</v>
      </c>
      <c r="N42" s="193"/>
      <c r="O42" s="159">
        <v>0</v>
      </c>
      <c r="P42" s="326"/>
      <c r="Q42" s="202">
        <f>SUM(M42:P42)</f>
        <v>224879.76</v>
      </c>
      <c r="R42" s="203"/>
      <c r="S42" s="159">
        <v>0</v>
      </c>
      <c r="T42" s="173"/>
      <c r="U42" s="148"/>
      <c r="V42" s="148"/>
      <c r="W42" s="148"/>
      <c r="X42" s="148"/>
      <c r="Y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</row>
    <row r="43" spans="2:105" s="164" customFormat="1" ht="13.5" customHeight="1" x14ac:dyDescent="0.3">
      <c r="B43" s="185"/>
      <c r="D43" s="185"/>
      <c r="F43" s="175" t="s">
        <v>142</v>
      </c>
      <c r="G43" s="195"/>
      <c r="H43" s="177">
        <f>SUM(H41:H42)</f>
        <v>299879.76</v>
      </c>
      <c r="I43" s="178"/>
      <c r="J43" s="179">
        <f>SUM(J41:J42)</f>
        <v>0</v>
      </c>
      <c r="K43" s="177">
        <f>SUM(K41:K42)</f>
        <v>299879.76</v>
      </c>
      <c r="L43" s="180"/>
      <c r="M43" s="177">
        <f>SUM(M41:M42)</f>
        <v>224879.76</v>
      </c>
      <c r="N43" s="181"/>
      <c r="O43" s="177">
        <f>SUM(O41:O42)</f>
        <v>75000</v>
      </c>
      <c r="P43" s="334"/>
      <c r="Q43" s="177">
        <f>SUM(Q41:Q42)</f>
        <v>299879.76</v>
      </c>
      <c r="R43" s="181"/>
      <c r="S43" s="182">
        <f>SUM(S41:S42)</f>
        <v>0</v>
      </c>
      <c r="T43" s="173"/>
      <c r="U43" s="148"/>
      <c r="V43" s="148"/>
      <c r="W43" s="148"/>
      <c r="X43" s="148"/>
      <c r="Y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</row>
    <row r="44" spans="2:105" s="184" customFormat="1" ht="9.75" customHeight="1" x14ac:dyDescent="0.3">
      <c r="B44" s="165"/>
      <c r="D44" s="185"/>
      <c r="G44" s="186"/>
      <c r="H44" s="187"/>
      <c r="I44" s="186"/>
      <c r="J44" s="188"/>
      <c r="K44" s="189"/>
      <c r="L44" s="186"/>
      <c r="M44" s="187"/>
      <c r="N44" s="186"/>
      <c r="P44" s="188"/>
      <c r="R44" s="100"/>
      <c r="T44" s="100"/>
      <c r="U44" s="148"/>
      <c r="V44" s="148"/>
      <c r="W44" s="148"/>
      <c r="X44" s="148"/>
      <c r="Y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</row>
    <row r="45" spans="2:105" s="184" customFormat="1" ht="12.75" customHeight="1" x14ac:dyDescent="0.3">
      <c r="B45" s="165">
        <v>18601129</v>
      </c>
      <c r="D45" s="185" t="s">
        <v>143</v>
      </c>
      <c r="F45" s="167" t="s">
        <v>144</v>
      </c>
      <c r="G45" s="186"/>
      <c r="H45" s="187">
        <v>212588.68</v>
      </c>
      <c r="I45" s="186"/>
      <c r="J45" s="307">
        <v>0</v>
      </c>
      <c r="K45" s="232">
        <f>H45+J45</f>
        <v>212588.68</v>
      </c>
      <c r="L45" s="186"/>
      <c r="M45" s="187">
        <f>K45</f>
        <v>212588.68</v>
      </c>
      <c r="N45" s="186"/>
      <c r="O45" s="187">
        <v>0</v>
      </c>
      <c r="P45" s="188" t="s">
        <v>72</v>
      </c>
      <c r="Q45" s="187">
        <f>SUM(M45:P45)</f>
        <v>212588.68</v>
      </c>
      <c r="R45" s="100"/>
      <c r="S45" s="187">
        <v>0</v>
      </c>
      <c r="T45" s="100"/>
      <c r="U45" s="148"/>
      <c r="V45" s="148"/>
      <c r="W45" s="148"/>
      <c r="X45" s="148"/>
      <c r="Y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</row>
    <row r="46" spans="2:105" s="184" customFormat="1" ht="12.75" customHeight="1" x14ac:dyDescent="0.3">
      <c r="B46" s="165"/>
      <c r="D46" s="185"/>
      <c r="F46" s="175" t="s">
        <v>145</v>
      </c>
      <c r="G46" s="186"/>
      <c r="H46" s="177">
        <f>SUM(H45:H45)</f>
        <v>212588.68</v>
      </c>
      <c r="I46" s="178"/>
      <c r="J46" s="179">
        <f>SUM(J45:J45)</f>
        <v>0</v>
      </c>
      <c r="K46" s="177">
        <f>SUM(K45:K45)</f>
        <v>212588.68</v>
      </c>
      <c r="L46" s="180"/>
      <c r="M46" s="177">
        <f>SUM(M45:M45)</f>
        <v>212588.68</v>
      </c>
      <c r="N46" s="181"/>
      <c r="O46" s="177">
        <f>SUM(O45:O45)</f>
        <v>0</v>
      </c>
      <c r="P46" s="334"/>
      <c r="Q46" s="177">
        <f>SUM(Q45:Q45)</f>
        <v>212588.68</v>
      </c>
      <c r="R46" s="181"/>
      <c r="S46" s="182">
        <f>SUM(S45:S45)</f>
        <v>0</v>
      </c>
      <c r="T46" s="100"/>
      <c r="U46" s="148"/>
      <c r="V46" s="148"/>
      <c r="W46" s="148"/>
      <c r="X46" s="148"/>
      <c r="Y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</row>
    <row r="47" spans="2:105" s="184" customFormat="1" ht="9.75" customHeight="1" x14ac:dyDescent="0.3">
      <c r="B47" s="165"/>
      <c r="D47" s="185"/>
      <c r="G47" s="186"/>
      <c r="H47" s="187"/>
      <c r="I47" s="186"/>
      <c r="J47" s="188"/>
      <c r="K47" s="189"/>
      <c r="L47" s="186"/>
      <c r="M47" s="187"/>
      <c r="N47" s="186"/>
      <c r="P47" s="188"/>
      <c r="R47" s="100"/>
      <c r="T47" s="100"/>
      <c r="U47" s="148"/>
      <c r="V47" s="148"/>
      <c r="W47" s="148"/>
      <c r="X47" s="148"/>
      <c r="Y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</row>
    <row r="48" spans="2:105" s="184" customFormat="1" ht="12.75" customHeight="1" x14ac:dyDescent="0.3">
      <c r="B48" s="165"/>
      <c r="D48" s="185" t="s">
        <v>146</v>
      </c>
      <c r="F48" s="190" t="s">
        <v>147</v>
      </c>
      <c r="G48" s="186"/>
      <c r="H48" s="187">
        <v>50000</v>
      </c>
      <c r="I48" s="186"/>
      <c r="J48" s="158">
        <v>0</v>
      </c>
      <c r="K48" s="232">
        <f>SUM(H48:J48)</f>
        <v>50000</v>
      </c>
      <c r="M48" s="187">
        <v>0</v>
      </c>
      <c r="N48" s="186"/>
      <c r="O48" s="187">
        <f>K48</f>
        <v>50000</v>
      </c>
      <c r="P48" s="188" t="s">
        <v>71</v>
      </c>
      <c r="Q48" s="187">
        <f>SUM(M48:O48)</f>
        <v>50000</v>
      </c>
      <c r="R48" s="100"/>
      <c r="S48" s="187">
        <v>0</v>
      </c>
      <c r="T48" s="100"/>
      <c r="U48" s="148"/>
      <c r="V48" s="148"/>
      <c r="W48" s="148"/>
      <c r="X48" s="148"/>
      <c r="Y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</row>
    <row r="49" spans="1:105" s="184" customFormat="1" ht="12.75" customHeight="1" x14ac:dyDescent="0.3">
      <c r="B49" s="165">
        <v>18601130</v>
      </c>
      <c r="D49" s="185" t="s">
        <v>148</v>
      </c>
      <c r="F49" s="190" t="s">
        <v>149</v>
      </c>
      <c r="G49" s="186"/>
      <c r="H49" s="187">
        <v>400495.47</v>
      </c>
      <c r="I49" s="186"/>
      <c r="J49" s="307">
        <v>0</v>
      </c>
      <c r="K49" s="232">
        <f>H49+J49</f>
        <v>400495.47</v>
      </c>
      <c r="L49" s="186"/>
      <c r="M49" s="187">
        <f>K49</f>
        <v>400495.47</v>
      </c>
      <c r="N49" s="186"/>
      <c r="O49" s="187">
        <v>0</v>
      </c>
      <c r="P49" s="188"/>
      <c r="Q49" s="187">
        <f>SUM(M49:P49)</f>
        <v>400495.47</v>
      </c>
      <c r="R49" s="100"/>
      <c r="S49" s="187">
        <v>0</v>
      </c>
      <c r="T49" s="100"/>
      <c r="U49" s="148"/>
      <c r="V49" s="148"/>
      <c r="W49" s="148"/>
      <c r="X49" s="148"/>
      <c r="Y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</row>
    <row r="50" spans="1:105" s="184" customFormat="1" ht="12.75" customHeight="1" x14ac:dyDescent="0.3">
      <c r="B50" s="165"/>
      <c r="D50" s="185"/>
      <c r="F50" s="175" t="s">
        <v>150</v>
      </c>
      <c r="G50" s="186"/>
      <c r="H50" s="177">
        <f>SUM(H48:H49)</f>
        <v>450495.47</v>
      </c>
      <c r="I50" s="178"/>
      <c r="J50" s="179">
        <f>SUM(J48:J49)</f>
        <v>0</v>
      </c>
      <c r="K50" s="177">
        <f>SUM(K48:K49)</f>
        <v>450495.47</v>
      </c>
      <c r="L50" s="180"/>
      <c r="M50" s="177">
        <f>SUM(M48:M49)</f>
        <v>400495.47</v>
      </c>
      <c r="N50" s="181"/>
      <c r="O50" s="177">
        <f>SUM(O48:O49)</f>
        <v>50000</v>
      </c>
      <c r="P50" s="334"/>
      <c r="Q50" s="177">
        <f>SUM(Q48:Q49)</f>
        <v>450495.47</v>
      </c>
      <c r="R50" s="181"/>
      <c r="S50" s="182">
        <f>SUM(S48:S49)</f>
        <v>0</v>
      </c>
      <c r="T50" s="100"/>
      <c r="U50" s="148"/>
      <c r="V50" s="148"/>
      <c r="W50" s="148"/>
      <c r="X50" s="148"/>
      <c r="Y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</row>
    <row r="51" spans="1:105" s="184" customFormat="1" ht="9.75" customHeight="1" x14ac:dyDescent="0.3">
      <c r="B51" s="165"/>
      <c r="D51" s="185"/>
      <c r="G51" s="186"/>
      <c r="H51" s="187"/>
      <c r="I51" s="186"/>
      <c r="J51" s="188"/>
      <c r="K51" s="189"/>
      <c r="L51" s="186"/>
      <c r="M51" s="187"/>
      <c r="N51" s="186"/>
      <c r="P51" s="188"/>
      <c r="R51" s="100"/>
      <c r="T51" s="100"/>
      <c r="U51" s="148"/>
      <c r="V51" s="148"/>
      <c r="W51" s="148"/>
      <c r="X51" s="148"/>
      <c r="Y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</row>
    <row r="52" spans="1:105" s="164" customFormat="1" x14ac:dyDescent="0.3">
      <c r="B52" s="165">
        <v>18601151</v>
      </c>
      <c r="D52" s="185" t="s">
        <v>151</v>
      </c>
      <c r="F52" s="164" t="s">
        <v>152</v>
      </c>
      <c r="G52" s="195"/>
      <c r="H52" s="187">
        <v>111880.23</v>
      </c>
      <c r="I52" s="186"/>
      <c r="J52" s="307">
        <v>0</v>
      </c>
      <c r="K52" s="232">
        <f>H52+J52</f>
        <v>111880.23</v>
      </c>
      <c r="L52" s="372"/>
      <c r="M52" s="187">
        <f>K52</f>
        <v>111880.23</v>
      </c>
      <c r="N52" s="186"/>
      <c r="O52" s="187">
        <v>0</v>
      </c>
      <c r="P52" s="188" t="s">
        <v>72</v>
      </c>
      <c r="Q52" s="187">
        <f>SUM(M52:P52)</f>
        <v>111880.23</v>
      </c>
      <c r="R52" s="100"/>
      <c r="S52" s="187">
        <v>0</v>
      </c>
      <c r="T52" s="100"/>
      <c r="U52" s="148"/>
      <c r="V52" s="148"/>
      <c r="W52" s="148"/>
      <c r="X52" s="148"/>
      <c r="Y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</row>
    <row r="53" spans="1:105" s="164" customFormat="1" x14ac:dyDescent="0.3">
      <c r="B53" s="165"/>
      <c r="D53" s="185"/>
      <c r="F53" s="174" t="s">
        <v>153</v>
      </c>
      <c r="G53" s="195"/>
      <c r="H53" s="177">
        <f>SUM(H52:H52)</f>
        <v>111880.23</v>
      </c>
      <c r="I53" s="178"/>
      <c r="J53" s="179">
        <f>SUM(J52:J52)</f>
        <v>0</v>
      </c>
      <c r="K53" s="177">
        <f>SUM(K52:K52)</f>
        <v>111880.23</v>
      </c>
      <c r="L53" s="180"/>
      <c r="M53" s="177">
        <f>SUM(M52:M52)</f>
        <v>111880.23</v>
      </c>
      <c r="N53" s="181"/>
      <c r="O53" s="177">
        <f>SUM(O52:O52)</f>
        <v>0</v>
      </c>
      <c r="P53" s="334"/>
      <c r="Q53" s="177">
        <f>SUM(Q52:Q52)</f>
        <v>111880.23</v>
      </c>
      <c r="R53" s="181"/>
      <c r="S53" s="182">
        <f>SUM(S52:S52)</f>
        <v>0</v>
      </c>
      <c r="T53" s="100"/>
      <c r="U53" s="148"/>
      <c r="V53" s="148"/>
      <c r="W53" s="148"/>
      <c r="X53" s="148"/>
      <c r="Y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</row>
    <row r="54" spans="1:105" s="184" customFormat="1" ht="9.75" customHeight="1" x14ac:dyDescent="0.3">
      <c r="B54" s="165"/>
      <c r="D54" s="185"/>
      <c r="G54" s="186"/>
      <c r="H54" s="187"/>
      <c r="I54" s="186"/>
      <c r="J54" s="188"/>
      <c r="K54" s="189"/>
      <c r="L54" s="372"/>
      <c r="M54" s="187"/>
      <c r="N54" s="186"/>
      <c r="P54" s="188"/>
      <c r="R54" s="100"/>
      <c r="T54" s="100"/>
      <c r="U54" s="148"/>
      <c r="V54" s="148"/>
      <c r="W54" s="148"/>
      <c r="X54" s="148"/>
      <c r="Y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</row>
    <row r="55" spans="1:105" x14ac:dyDescent="0.3">
      <c r="D55" s="207" t="s">
        <v>154</v>
      </c>
      <c r="F55" s="138" t="s">
        <v>155</v>
      </c>
      <c r="H55" s="234">
        <v>150000</v>
      </c>
      <c r="J55" s="158">
        <v>-1384.55</v>
      </c>
      <c r="K55" s="235">
        <f>SUM(H55:J55)</f>
        <v>148615.45000000001</v>
      </c>
      <c r="L55" s="236"/>
      <c r="M55" s="234">
        <v>0</v>
      </c>
      <c r="N55" s="123"/>
      <c r="O55" s="234">
        <f>K55</f>
        <v>148615.45000000001</v>
      </c>
      <c r="P55" s="379" t="s">
        <v>71</v>
      </c>
      <c r="Q55" s="234">
        <f>SUM(M55:O55)</f>
        <v>148615.45000000001</v>
      </c>
      <c r="R55" s="121"/>
      <c r="S55" s="234">
        <v>0</v>
      </c>
      <c r="W55" s="126"/>
    </row>
    <row r="56" spans="1:105" ht="13.5" customHeight="1" x14ac:dyDescent="0.3">
      <c r="B56" s="207" t="s">
        <v>156</v>
      </c>
      <c r="D56" s="207" t="s">
        <v>157</v>
      </c>
      <c r="F56" s="373" t="s">
        <v>158</v>
      </c>
      <c r="H56" s="209">
        <v>1655.71</v>
      </c>
      <c r="I56" s="210"/>
      <c r="J56" s="369">
        <v>1384.55</v>
      </c>
      <c r="K56" s="235">
        <f>SUM(H56:J56)</f>
        <v>3040.26</v>
      </c>
      <c r="L56" s="236"/>
      <c r="M56" s="237">
        <f>K56</f>
        <v>3040.26</v>
      </c>
      <c r="N56" s="238"/>
      <c r="O56" s="239">
        <v>0</v>
      </c>
      <c r="P56" s="327"/>
      <c r="Q56" s="237">
        <f>SUM(M56:P56)</f>
        <v>3040.26</v>
      </c>
      <c r="R56" s="240"/>
      <c r="S56" s="239">
        <v>0</v>
      </c>
      <c r="T56" s="206"/>
      <c r="W56" s="126"/>
    </row>
    <row r="57" spans="1:105" x14ac:dyDescent="0.3">
      <c r="F57" s="132" t="s">
        <v>159</v>
      </c>
      <c r="H57" s="177">
        <f>SUM(H55:H56)</f>
        <v>151655.71</v>
      </c>
      <c r="I57" s="178"/>
      <c r="J57" s="179">
        <f>SUM(J55:J56)</f>
        <v>0</v>
      </c>
      <c r="K57" s="177">
        <f>SUM(K55:K56)</f>
        <v>151655.71000000002</v>
      </c>
      <c r="L57" s="180"/>
      <c r="M57" s="177">
        <f>SUM(M55:M56)</f>
        <v>3040.26</v>
      </c>
      <c r="N57" s="181"/>
      <c r="O57" s="177">
        <f>SUM(O55:O56)</f>
        <v>148615.45000000001</v>
      </c>
      <c r="P57" s="334"/>
      <c r="Q57" s="177">
        <f>SUM(Q55:Q56)</f>
        <v>151655.71000000002</v>
      </c>
      <c r="R57" s="181"/>
      <c r="S57" s="182">
        <f>SUM(S55:S56)</f>
        <v>0</v>
      </c>
      <c r="W57" s="126"/>
    </row>
    <row r="58" spans="1:105" s="241" customFormat="1" ht="9.75" customHeight="1" x14ac:dyDescent="0.3">
      <c r="B58" s="233"/>
      <c r="D58" s="207"/>
      <c r="G58" s="123"/>
      <c r="H58" s="234"/>
      <c r="I58" s="123"/>
      <c r="J58" s="242"/>
      <c r="K58" s="243"/>
      <c r="L58" s="236"/>
      <c r="M58" s="234"/>
      <c r="N58" s="123"/>
      <c r="P58" s="242"/>
      <c r="R58" s="121"/>
      <c r="T58" s="121"/>
      <c r="U58" s="126"/>
      <c r="V58" s="126"/>
      <c r="W58" s="126"/>
      <c r="X58" s="126"/>
      <c r="Y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</row>
    <row r="59" spans="1:105" s="244" customFormat="1" ht="12.75" customHeight="1" x14ac:dyDescent="0.3">
      <c r="B59" s="245"/>
      <c r="D59" s="207" t="s">
        <v>160</v>
      </c>
      <c r="F59" s="246" t="s">
        <v>161</v>
      </c>
      <c r="G59" s="247"/>
      <c r="H59" s="237">
        <v>80000</v>
      </c>
      <c r="I59" s="248"/>
      <c r="J59" s="158">
        <v>0</v>
      </c>
      <c r="K59" s="237">
        <f>SUM(H59:J59)</f>
        <v>80000</v>
      </c>
      <c r="L59" s="236"/>
      <c r="M59" s="237">
        <v>0</v>
      </c>
      <c r="N59" s="249"/>
      <c r="O59" s="237">
        <f>K59</f>
        <v>80000</v>
      </c>
      <c r="P59" s="380" t="s">
        <v>244</v>
      </c>
      <c r="Q59" s="237">
        <f>SUM(M59:O59)</f>
        <v>80000</v>
      </c>
      <c r="R59" s="250"/>
      <c r="S59" s="237">
        <v>0</v>
      </c>
      <c r="T59" s="251"/>
      <c r="U59" s="252"/>
      <c r="V59" s="252"/>
      <c r="W59" s="252"/>
      <c r="X59" s="252"/>
      <c r="Y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</row>
    <row r="60" spans="1:105" ht="13.5" customHeight="1" x14ac:dyDescent="0.3">
      <c r="A60" s="132"/>
      <c r="B60" s="207" t="s">
        <v>162</v>
      </c>
      <c r="D60" s="207" t="s">
        <v>163</v>
      </c>
      <c r="F60" s="126" t="s">
        <v>164</v>
      </c>
      <c r="G60" s="253"/>
      <c r="H60" s="237">
        <v>0</v>
      </c>
      <c r="I60" s="237"/>
      <c r="J60" s="307">
        <v>0</v>
      </c>
      <c r="K60" s="237">
        <f>SUM(H60:J60)</f>
        <v>0</v>
      </c>
      <c r="L60" s="126"/>
      <c r="M60" s="237">
        <f>K60</f>
        <v>0</v>
      </c>
      <c r="N60" s="254"/>
      <c r="O60" s="237">
        <v>0</v>
      </c>
      <c r="P60" s="328"/>
      <c r="Q60" s="237">
        <f>SUM(M60:P60)</f>
        <v>0</v>
      </c>
      <c r="R60" s="125"/>
      <c r="S60" s="255">
        <v>0</v>
      </c>
      <c r="T60" s="206"/>
      <c r="W60" s="126"/>
    </row>
    <row r="61" spans="1:105" x14ac:dyDescent="0.3">
      <c r="F61" s="132" t="s">
        <v>165</v>
      </c>
      <c r="H61" s="177">
        <f>SUM(H59:H60)</f>
        <v>80000</v>
      </c>
      <c r="I61" s="178"/>
      <c r="J61" s="179">
        <f>SUM(J59:J60)</f>
        <v>0</v>
      </c>
      <c r="K61" s="177">
        <f>SUM(K59:K60)</f>
        <v>80000</v>
      </c>
      <c r="L61" s="180"/>
      <c r="M61" s="177">
        <f>SUM(M59:M60)</f>
        <v>0</v>
      </c>
      <c r="N61" s="181"/>
      <c r="O61" s="177">
        <f>SUM(O59:O60)</f>
        <v>80000</v>
      </c>
      <c r="P61" s="334"/>
      <c r="Q61" s="177">
        <f>SUM(Q59:Q60)</f>
        <v>80000</v>
      </c>
      <c r="R61" s="181"/>
      <c r="S61" s="182">
        <f>SUM(S59:S60)</f>
        <v>0</v>
      </c>
      <c r="W61" s="126"/>
      <c r="AA61" s="222">
        <f>Q23-Q6+Q63+Q67+O69+Q71</f>
        <v>11264170.23</v>
      </c>
      <c r="AD61" s="222" t="s">
        <v>66</v>
      </c>
    </row>
    <row r="62" spans="1:105" s="184" customFormat="1" ht="9.75" customHeight="1" x14ac:dyDescent="0.3">
      <c r="B62" s="165"/>
      <c r="D62" s="185"/>
      <c r="G62" s="186"/>
      <c r="H62" s="187"/>
      <c r="I62" s="186"/>
      <c r="J62" s="188"/>
      <c r="K62" s="189"/>
      <c r="L62" s="372"/>
      <c r="M62" s="187"/>
      <c r="N62" s="186"/>
      <c r="P62" s="188"/>
      <c r="R62" s="100"/>
      <c r="T62" s="100"/>
      <c r="U62" s="148"/>
      <c r="V62" s="148"/>
      <c r="W62" s="148"/>
      <c r="X62" s="148"/>
      <c r="Y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</row>
    <row r="63" spans="1:105" s="214" customFormat="1" ht="13.5" customHeight="1" thickBot="1" x14ac:dyDescent="0.35">
      <c r="B63" s="215"/>
      <c r="D63" s="215"/>
      <c r="F63" s="214" t="s">
        <v>166</v>
      </c>
      <c r="G63" s="216"/>
      <c r="H63" s="256">
        <f>H27+H31+H35+H39+H43+H46+H50+H53+H57+H61</f>
        <v>9123234.2000000011</v>
      </c>
      <c r="I63" s="256"/>
      <c r="J63" s="256">
        <f>J27+J31+J35+J39+J43+J46+J50+J53+J57+J61</f>
        <v>0</v>
      </c>
      <c r="K63" s="256">
        <f>K27+K31+K35+K39+K43+K46+K50+K53+K57+K61</f>
        <v>9123234.2000000011</v>
      </c>
      <c r="L63" s="256"/>
      <c r="M63" s="256">
        <f>M27+M31+M35+M39+M43+M46+M50+M53+M57+M61</f>
        <v>6147649.9299999988</v>
      </c>
      <c r="N63" s="256"/>
      <c r="O63" s="256">
        <f>O27+O31+O35+O39+O43+O46+O50+O53+O57+O61</f>
        <v>2975584.2700000005</v>
      </c>
      <c r="P63" s="335"/>
      <c r="Q63" s="256">
        <f>Q27+Q31+Q35+Q39+Q43+Q46+Q50+Q53+Q57+Q61</f>
        <v>9123234.2000000011</v>
      </c>
      <c r="R63" s="256"/>
      <c r="S63" s="256">
        <f>S27+S31+S35+S39+S43+S46+S50+S53+S57+S61</f>
        <v>0</v>
      </c>
      <c r="T63" s="221"/>
      <c r="U63" s="222"/>
      <c r="V63" s="223"/>
      <c r="W63" s="224">
        <f>SUM(M63:O63)</f>
        <v>9123234.1999999993</v>
      </c>
      <c r="X63" s="223"/>
      <c r="Y63" s="222">
        <f>M63+O63</f>
        <v>9123234.1999999993</v>
      </c>
      <c r="AA63" s="222">
        <f>M63+O63</f>
        <v>9123234.1999999993</v>
      </c>
      <c r="AB63" s="222">
        <f>Q63-AA63</f>
        <v>0</v>
      </c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3"/>
      <c r="CV63" s="223"/>
      <c r="CW63" s="223"/>
      <c r="CX63" s="223"/>
      <c r="CY63" s="223"/>
      <c r="CZ63" s="223"/>
      <c r="DA63" s="223"/>
    </row>
    <row r="64" spans="1:105" s="184" customFormat="1" ht="9.75" customHeight="1" x14ac:dyDescent="0.3">
      <c r="B64" s="165"/>
      <c r="D64" s="185"/>
      <c r="G64" s="186"/>
      <c r="H64" s="187"/>
      <c r="I64" s="186"/>
      <c r="J64" s="188"/>
      <c r="K64" s="189"/>
      <c r="L64" s="374"/>
      <c r="M64" s="187"/>
      <c r="N64" s="186"/>
      <c r="P64" s="188"/>
      <c r="R64" s="100"/>
      <c r="T64" s="100"/>
      <c r="U64" s="148"/>
      <c r="V64" s="148"/>
      <c r="W64" s="148"/>
      <c r="X64" s="148"/>
      <c r="Y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</row>
    <row r="65" spans="1:105" s="214" customFormat="1" ht="13.5" customHeight="1" thickBot="1" x14ac:dyDescent="0.35">
      <c r="B65" s="215"/>
      <c r="D65" s="215"/>
      <c r="F65" s="214" t="s">
        <v>167</v>
      </c>
      <c r="G65" s="216"/>
      <c r="H65" s="257">
        <f>H63+H23</f>
        <v>12287158.620000001</v>
      </c>
      <c r="I65" s="257"/>
      <c r="J65" s="257">
        <f>J63+J23</f>
        <v>0</v>
      </c>
      <c r="K65" s="257">
        <f>K63+K23</f>
        <v>12287158.620000001</v>
      </c>
      <c r="L65" s="257"/>
      <c r="M65" s="257">
        <f>M63+M23</f>
        <v>8566574.3499999996</v>
      </c>
      <c r="N65" s="257"/>
      <c r="O65" s="257">
        <f>O63+O23</f>
        <v>3720584.2700000005</v>
      </c>
      <c r="P65" s="336"/>
      <c r="Q65" s="257">
        <f>Q63+Q23</f>
        <v>12287158.620000001</v>
      </c>
      <c r="R65" s="257"/>
      <c r="S65" s="257">
        <f>S63+S23</f>
        <v>0</v>
      </c>
      <c r="T65" s="221"/>
      <c r="U65" s="222"/>
      <c r="V65" s="223"/>
      <c r="W65" s="224"/>
      <c r="X65" s="223"/>
      <c r="Y65" s="222"/>
      <c r="AA65" s="222">
        <f>SUM(M65:O65)</f>
        <v>12287158.620000001</v>
      </c>
      <c r="AB65" s="222">
        <f>Q65-AA65</f>
        <v>0</v>
      </c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23"/>
      <c r="BM65" s="223"/>
      <c r="BN65" s="223"/>
      <c r="BO65" s="223"/>
      <c r="BP65" s="223"/>
      <c r="BQ65" s="223"/>
      <c r="BR65" s="223"/>
      <c r="BS65" s="223"/>
      <c r="BT65" s="223"/>
      <c r="BU65" s="223"/>
      <c r="BV65" s="223"/>
      <c r="BW65" s="223"/>
      <c r="BX65" s="223"/>
      <c r="BY65" s="223"/>
      <c r="BZ65" s="223"/>
      <c r="CA65" s="223"/>
      <c r="CB65" s="223"/>
      <c r="CC65" s="223"/>
      <c r="CD65" s="223"/>
      <c r="CE65" s="223"/>
      <c r="CF65" s="223"/>
      <c r="CG65" s="223"/>
      <c r="CH65" s="223"/>
      <c r="CI65" s="223"/>
      <c r="CJ65" s="223"/>
      <c r="CK65" s="223"/>
      <c r="CL65" s="223"/>
      <c r="CM65" s="223"/>
      <c r="CN65" s="223"/>
      <c r="CO65" s="223"/>
      <c r="CP65" s="223"/>
      <c r="CQ65" s="223"/>
      <c r="CR65" s="223"/>
      <c r="CS65" s="223"/>
      <c r="CT65" s="223"/>
      <c r="CU65" s="223"/>
      <c r="CV65" s="223"/>
      <c r="CW65" s="223"/>
      <c r="CX65" s="223"/>
      <c r="CY65" s="223"/>
      <c r="CZ65" s="223"/>
      <c r="DA65" s="223"/>
    </row>
    <row r="66" spans="1:105" ht="10" customHeight="1" thickTop="1" x14ac:dyDescent="0.3">
      <c r="D66" s="258"/>
      <c r="F66" s="208"/>
      <c r="G66" s="259"/>
      <c r="H66" s="211"/>
      <c r="I66" s="260"/>
      <c r="J66" s="237"/>
      <c r="K66" s="211"/>
      <c r="L66" s="372"/>
      <c r="M66" s="211"/>
      <c r="N66" s="254"/>
      <c r="O66" s="211"/>
      <c r="P66" s="328"/>
      <c r="Q66" s="239"/>
      <c r="R66" s="261"/>
      <c r="S66" s="211"/>
      <c r="T66" s="206"/>
    </row>
    <row r="67" spans="1:105" ht="13.5" customHeight="1" x14ac:dyDescent="0.25">
      <c r="B67" s="207" t="s">
        <v>168</v>
      </c>
      <c r="C67" s="126"/>
      <c r="D67" s="185" t="s">
        <v>168</v>
      </c>
      <c r="F67" s="126" t="s">
        <v>169</v>
      </c>
      <c r="G67" s="126"/>
      <c r="H67" s="158">
        <v>-453028.42</v>
      </c>
      <c r="I67" s="262"/>
      <c r="J67" s="159">
        <v>0</v>
      </c>
      <c r="K67" s="211">
        <f>H67+J67</f>
        <v>-453028.42</v>
      </c>
      <c r="L67" s="372"/>
      <c r="M67" s="202">
        <v>14971.58</v>
      </c>
      <c r="N67" s="238"/>
      <c r="O67" s="211">
        <f>-K67</f>
        <v>453028.42</v>
      </c>
      <c r="P67" s="406" t="s">
        <v>70</v>
      </c>
      <c r="Q67" s="211">
        <f>SUM(M67:P67)</f>
        <v>468000</v>
      </c>
      <c r="R67" s="338" t="s">
        <v>11</v>
      </c>
      <c r="S67" s="211">
        <v>-350000</v>
      </c>
      <c r="T67" s="263"/>
      <c r="Z67" s="126"/>
    </row>
    <row r="68" spans="1:105" ht="10" customHeight="1" x14ac:dyDescent="0.3">
      <c r="D68" s="258"/>
      <c r="F68" s="208"/>
      <c r="G68" s="259"/>
      <c r="H68" s="211"/>
      <c r="I68" s="260"/>
      <c r="J68" s="237"/>
      <c r="K68" s="211"/>
      <c r="L68" s="264"/>
      <c r="M68" s="211"/>
      <c r="N68" s="254"/>
      <c r="O68" s="211"/>
      <c r="P68" s="328"/>
      <c r="Q68" s="239"/>
      <c r="R68" s="206"/>
      <c r="S68" s="211"/>
      <c r="T68" s="206"/>
    </row>
    <row r="69" spans="1:105" s="126" customFormat="1" ht="13.5" customHeight="1" x14ac:dyDescent="0.3">
      <c r="A69" s="138"/>
      <c r="B69" s="207" t="s">
        <v>170</v>
      </c>
      <c r="D69" s="185" t="s">
        <v>170</v>
      </c>
      <c r="E69" s="138"/>
      <c r="F69" s="126" t="s">
        <v>171</v>
      </c>
      <c r="H69" s="158">
        <v>-500000</v>
      </c>
      <c r="I69" s="262"/>
      <c r="J69" s="349">
        <v>0</v>
      </c>
      <c r="K69" s="211">
        <f>SUM(H69+J69)</f>
        <v>-500000</v>
      </c>
      <c r="L69" s="262"/>
      <c r="M69" s="202">
        <v>14583472.68</v>
      </c>
      <c r="N69" s="375" t="s">
        <v>71</v>
      </c>
      <c r="O69" s="211">
        <f>-K69</f>
        <v>500000</v>
      </c>
      <c r="P69" s="376" t="s">
        <v>10</v>
      </c>
      <c r="Q69" s="211">
        <f>SUM(M69:P69)</f>
        <v>15083472.68</v>
      </c>
      <c r="R69" s="338" t="s">
        <v>11</v>
      </c>
      <c r="S69" s="211">
        <f>-(5000000+3604563+3334000)</f>
        <v>-11938563</v>
      </c>
      <c r="T69" s="263"/>
      <c r="W69" s="127"/>
      <c r="AA69" s="377"/>
    </row>
    <row r="70" spans="1:105" ht="10" customHeight="1" x14ac:dyDescent="0.3">
      <c r="D70" s="185"/>
      <c r="H70" s="211"/>
      <c r="I70" s="210"/>
      <c r="J70" s="211"/>
      <c r="K70" s="211"/>
      <c r="L70" s="266"/>
      <c r="M70" s="202"/>
      <c r="N70" s="254"/>
      <c r="O70" s="211"/>
      <c r="P70" s="328"/>
      <c r="Q70" s="211"/>
      <c r="R70" s="267"/>
      <c r="S70" s="211"/>
      <c r="T70" s="267"/>
    </row>
    <row r="71" spans="1:105" ht="13.5" customHeight="1" x14ac:dyDescent="0.25">
      <c r="B71" s="207" t="s">
        <v>172</v>
      </c>
      <c r="D71" s="185" t="s">
        <v>172</v>
      </c>
      <c r="F71" s="138" t="s">
        <v>173</v>
      </c>
      <c r="H71" s="211">
        <v>-129471.05</v>
      </c>
      <c r="I71" s="210"/>
      <c r="J71" s="159">
        <v>0</v>
      </c>
      <c r="K71" s="211">
        <f>H71+J71</f>
        <v>-129471.05</v>
      </c>
      <c r="L71" s="266"/>
      <c r="M71" s="202">
        <v>20528.95</v>
      </c>
      <c r="N71" s="238"/>
      <c r="O71" s="211">
        <f>-K71</f>
        <v>129471.05</v>
      </c>
      <c r="P71" s="406" t="s">
        <v>244</v>
      </c>
      <c r="Q71" s="211">
        <f>SUM(M71:P71)</f>
        <v>150000</v>
      </c>
      <c r="R71" s="338" t="s">
        <v>11</v>
      </c>
      <c r="S71" s="211">
        <v>-150000</v>
      </c>
      <c r="T71" s="263"/>
    </row>
    <row r="72" spans="1:105" ht="10" customHeight="1" x14ac:dyDescent="0.3">
      <c r="B72" s="207"/>
      <c r="C72" s="126"/>
      <c r="D72" s="185"/>
      <c r="F72" s="126"/>
      <c r="G72" s="126"/>
      <c r="H72" s="158"/>
      <c r="I72" s="262"/>
      <c r="J72" s="211"/>
      <c r="K72" s="211"/>
      <c r="L72" s="262"/>
      <c r="M72" s="202"/>
      <c r="N72" s="238"/>
      <c r="O72" s="211"/>
      <c r="P72" s="327"/>
      <c r="Q72" s="211"/>
      <c r="R72" s="240"/>
      <c r="S72" s="211"/>
      <c r="T72" s="268"/>
      <c r="Z72" s="126"/>
    </row>
    <row r="73" spans="1:105" s="126" customFormat="1" ht="13.5" customHeight="1" x14ac:dyDescent="0.3">
      <c r="A73" s="138"/>
      <c r="B73" s="269"/>
      <c r="D73" s="207" t="s">
        <v>174</v>
      </c>
      <c r="E73" s="138"/>
      <c r="F73" s="208" t="s">
        <v>175</v>
      </c>
      <c r="H73" s="270">
        <v>-4564134.08</v>
      </c>
      <c r="I73" s="271"/>
      <c r="J73" s="272">
        <v>0</v>
      </c>
      <c r="K73" s="270">
        <f>H73+J73</f>
        <v>-4564134.08</v>
      </c>
      <c r="L73" s="271"/>
      <c r="M73" s="272">
        <v>0</v>
      </c>
      <c r="N73" s="271"/>
      <c r="O73" s="272">
        <v>0</v>
      </c>
      <c r="P73" s="329"/>
      <c r="Q73" s="272">
        <f>SUM(M73:P73)</f>
        <v>0</v>
      </c>
      <c r="R73" s="273"/>
      <c r="S73" s="270">
        <f>K73</f>
        <v>-4564134.08</v>
      </c>
      <c r="T73" s="274"/>
      <c r="W73" s="127"/>
    </row>
    <row r="74" spans="1:105" s="184" customFormat="1" ht="9.75" customHeight="1" x14ac:dyDescent="0.3">
      <c r="B74" s="165"/>
      <c r="D74" s="185"/>
      <c r="G74" s="186"/>
      <c r="H74" s="187"/>
      <c r="I74" s="186"/>
      <c r="J74" s="188"/>
      <c r="K74" s="189"/>
      <c r="L74" s="186"/>
      <c r="M74" s="187"/>
      <c r="N74" s="186"/>
      <c r="P74" s="188"/>
      <c r="R74" s="100"/>
      <c r="T74" s="100"/>
      <c r="U74" s="148"/>
      <c r="V74" s="148"/>
      <c r="W74" s="148"/>
      <c r="X74" s="148"/>
      <c r="Y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48"/>
      <c r="CJ74" s="148"/>
      <c r="CK74" s="148"/>
      <c r="CL74" s="148"/>
      <c r="CM74" s="148"/>
      <c r="CN74" s="148"/>
      <c r="CO74" s="148"/>
      <c r="CP74" s="148"/>
      <c r="CQ74" s="148"/>
      <c r="CR74" s="148"/>
      <c r="CS74" s="148"/>
      <c r="CT74" s="148"/>
      <c r="CU74" s="148"/>
      <c r="CV74" s="148"/>
      <c r="CW74" s="148"/>
      <c r="CX74" s="148"/>
      <c r="CY74" s="148"/>
      <c r="CZ74" s="148"/>
      <c r="DA74" s="148"/>
    </row>
    <row r="75" spans="1:105" s="275" customFormat="1" ht="13.5" customHeight="1" thickBot="1" x14ac:dyDescent="0.35">
      <c r="B75" s="276"/>
      <c r="D75" s="277"/>
      <c r="F75" s="214" t="s">
        <v>176</v>
      </c>
      <c r="G75" s="278"/>
      <c r="H75" s="279">
        <f>SUM(H67:H73)</f>
        <v>-5646633.5499999998</v>
      </c>
      <c r="I75" s="279"/>
      <c r="J75" s="279">
        <f>SUM(J67:J73)</f>
        <v>0</v>
      </c>
      <c r="K75" s="279">
        <f>SUM(K67:K73)</f>
        <v>-5646633.5499999998</v>
      </c>
      <c r="L75" s="279"/>
      <c r="M75" s="279">
        <f>SUM(M67:M73)</f>
        <v>14618973.209999999</v>
      </c>
      <c r="N75" s="279"/>
      <c r="O75" s="279">
        <f>SUM(O67:O73)</f>
        <v>1082499.47</v>
      </c>
      <c r="P75" s="337"/>
      <c r="Q75" s="279">
        <f>SUM(Q67:Q73)</f>
        <v>15701472.68</v>
      </c>
      <c r="R75" s="279"/>
      <c r="S75" s="279">
        <f>SUM(S67:S73)</f>
        <v>-17002697.079999998</v>
      </c>
      <c r="T75" s="221"/>
      <c r="U75" s="280">
        <f>SUM(M75:O75)</f>
        <v>15701472.68</v>
      </c>
      <c r="V75" s="281"/>
      <c r="W75" s="282">
        <f>SUM(M73:O75)</f>
        <v>15701472.68</v>
      </c>
      <c r="X75" s="281"/>
      <c r="Y75" s="280">
        <f>SUM(M74:O75)</f>
        <v>15701472.68</v>
      </c>
      <c r="AA75" s="280">
        <f>SUM(M75:O75)</f>
        <v>15701472.68</v>
      </c>
      <c r="AB75" s="222">
        <f>Q75-AA75</f>
        <v>0</v>
      </c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/>
      <c r="BI75" s="281"/>
      <c r="BJ75" s="281"/>
      <c r="BK75" s="281"/>
      <c r="BL75" s="281"/>
      <c r="BM75" s="281"/>
      <c r="BN75" s="281"/>
      <c r="BO75" s="281"/>
      <c r="BP75" s="281"/>
      <c r="BQ75" s="281"/>
      <c r="BR75" s="281"/>
      <c r="BS75" s="281"/>
      <c r="BT75" s="281"/>
      <c r="BU75" s="281"/>
      <c r="BV75" s="281"/>
      <c r="BW75" s="281"/>
      <c r="BX75" s="281"/>
      <c r="BY75" s="281"/>
      <c r="BZ75" s="281"/>
      <c r="CA75" s="281"/>
      <c r="CB75" s="281"/>
      <c r="CC75" s="281"/>
      <c r="CD75" s="281"/>
      <c r="CE75" s="281"/>
      <c r="CF75" s="281"/>
      <c r="CG75" s="281"/>
      <c r="CH75" s="281"/>
      <c r="CI75" s="281"/>
      <c r="CJ75" s="281"/>
      <c r="CK75" s="281"/>
      <c r="CL75" s="281"/>
      <c r="CM75" s="281"/>
      <c r="CN75" s="281"/>
      <c r="CO75" s="281"/>
      <c r="CP75" s="281"/>
      <c r="CQ75" s="281"/>
      <c r="CR75" s="281"/>
      <c r="CS75" s="281"/>
      <c r="CT75" s="281"/>
      <c r="CU75" s="281"/>
      <c r="CV75" s="281"/>
      <c r="CW75" s="281"/>
      <c r="CX75" s="281"/>
      <c r="CY75" s="281"/>
      <c r="CZ75" s="281"/>
      <c r="DA75" s="281"/>
    </row>
    <row r="76" spans="1:105" ht="10" customHeight="1" thickTop="1" x14ac:dyDescent="0.3">
      <c r="F76" s="132"/>
      <c r="G76" s="283"/>
      <c r="H76" s="209"/>
      <c r="I76" s="260"/>
      <c r="J76" s="237"/>
      <c r="K76" s="284"/>
      <c r="L76" s="264"/>
      <c r="M76" s="285"/>
      <c r="N76" s="254"/>
      <c r="O76" s="209"/>
      <c r="P76" s="328"/>
      <c r="Q76" s="209"/>
      <c r="R76" s="261"/>
      <c r="S76" s="209"/>
      <c r="T76" s="206"/>
    </row>
    <row r="77" spans="1:105" s="275" customFormat="1" ht="13.5" customHeight="1" thickBot="1" x14ac:dyDescent="0.35">
      <c r="B77" s="276"/>
      <c r="D77" s="277"/>
      <c r="F77" s="214" t="s">
        <v>177</v>
      </c>
      <c r="G77" s="278"/>
      <c r="H77" s="279">
        <f>H65+H75</f>
        <v>6640525.0700000012</v>
      </c>
      <c r="I77" s="279"/>
      <c r="J77" s="279">
        <f>J65+J75</f>
        <v>0</v>
      </c>
      <c r="K77" s="279">
        <f>K65+K75</f>
        <v>6640525.0700000012</v>
      </c>
      <c r="L77" s="279"/>
      <c r="M77" s="279">
        <f>M65+M75</f>
        <v>23185547.559999999</v>
      </c>
      <c r="N77" s="279"/>
      <c r="O77" s="279">
        <f>O65+O75</f>
        <v>4803083.74</v>
      </c>
      <c r="P77" s="337"/>
      <c r="Q77" s="279">
        <f>Q65+Q75</f>
        <v>27988631.300000001</v>
      </c>
      <c r="R77" s="279"/>
      <c r="S77" s="279">
        <f>S65+S75</f>
        <v>-17002697.079999998</v>
      </c>
      <c r="T77" s="221"/>
      <c r="U77" s="280">
        <f>SUM(M77:O77)</f>
        <v>27988631.299999997</v>
      </c>
      <c r="V77" s="281"/>
      <c r="W77" s="286">
        <f>S23+S75</f>
        <v>-17002697.079999998</v>
      </c>
      <c r="X77" s="281"/>
      <c r="Y77" s="280">
        <f>M77+O77</f>
        <v>27988631.299999997</v>
      </c>
      <c r="AA77" s="280">
        <f>M77+O77</f>
        <v>27988631.299999997</v>
      </c>
      <c r="AB77" s="222">
        <f>Q77-AA77</f>
        <v>0</v>
      </c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281"/>
      <c r="AP77" s="281"/>
      <c r="AQ77" s="281"/>
      <c r="AR77" s="281"/>
      <c r="AS77" s="281"/>
      <c r="AT77" s="281"/>
      <c r="AU77" s="281"/>
      <c r="AV77" s="281"/>
      <c r="AW77" s="281"/>
      <c r="AX77" s="281"/>
      <c r="AY77" s="281"/>
      <c r="AZ77" s="281"/>
      <c r="BA77" s="281"/>
      <c r="BB77" s="281"/>
      <c r="BC77" s="281"/>
      <c r="BD77" s="281"/>
      <c r="BE77" s="281"/>
      <c r="BF77" s="281"/>
      <c r="BG77" s="281"/>
      <c r="BH77" s="281"/>
      <c r="BI77" s="281"/>
      <c r="BJ77" s="281"/>
      <c r="BK77" s="281"/>
      <c r="BL77" s="281"/>
      <c r="BM77" s="281"/>
      <c r="BN77" s="281"/>
      <c r="BO77" s="281"/>
      <c r="BP77" s="281"/>
      <c r="BQ77" s="281"/>
      <c r="BR77" s="281"/>
      <c r="BS77" s="281"/>
      <c r="BT77" s="281"/>
      <c r="BU77" s="281"/>
      <c r="BV77" s="281"/>
      <c r="BW77" s="281"/>
      <c r="BX77" s="281"/>
      <c r="BY77" s="281"/>
      <c r="BZ77" s="281"/>
      <c r="CA77" s="281"/>
      <c r="CB77" s="281"/>
      <c r="CC77" s="281"/>
      <c r="CD77" s="281"/>
      <c r="CE77" s="281"/>
      <c r="CF77" s="281"/>
      <c r="CG77" s="281"/>
      <c r="CH77" s="281"/>
      <c r="CI77" s="281"/>
      <c r="CJ77" s="281"/>
      <c r="CK77" s="281"/>
      <c r="CL77" s="281"/>
      <c r="CM77" s="281"/>
      <c r="CN77" s="281"/>
      <c r="CO77" s="281"/>
      <c r="CP77" s="281"/>
      <c r="CQ77" s="281"/>
      <c r="CR77" s="281"/>
      <c r="CS77" s="281"/>
      <c r="CT77" s="281"/>
      <c r="CU77" s="281"/>
      <c r="CV77" s="281"/>
      <c r="CW77" s="281"/>
      <c r="CX77" s="281"/>
      <c r="CY77" s="281"/>
      <c r="CZ77" s="281"/>
      <c r="DA77" s="281"/>
    </row>
    <row r="78" spans="1:105" ht="12" customHeight="1" thickTop="1" x14ac:dyDescent="0.3">
      <c r="B78" s="233" t="s">
        <v>39</v>
      </c>
      <c r="F78" s="132"/>
      <c r="H78" s="287"/>
      <c r="J78" s="287"/>
      <c r="K78" s="287"/>
      <c r="L78" s="288"/>
      <c r="M78" s="287"/>
      <c r="N78" s="136"/>
      <c r="O78" s="287"/>
      <c r="P78" s="242"/>
      <c r="Q78" s="287"/>
      <c r="R78" s="99"/>
      <c r="S78" s="287"/>
      <c r="T78" s="206"/>
      <c r="W78" s="286"/>
      <c r="AA78" s="262"/>
    </row>
    <row r="79" spans="1:105" ht="12" hidden="1" customHeight="1" x14ac:dyDescent="0.3">
      <c r="F79" s="132"/>
      <c r="H79" s="287"/>
      <c r="J79" s="287"/>
      <c r="K79" s="287">
        <f>H77+J77</f>
        <v>6640525.0700000012</v>
      </c>
      <c r="L79" s="288"/>
      <c r="M79" s="287"/>
      <c r="N79" s="136"/>
      <c r="O79" s="287"/>
      <c r="P79" s="242"/>
      <c r="Q79" s="287">
        <f>M77+O77</f>
        <v>27988631.299999997</v>
      </c>
      <c r="R79" s="99"/>
      <c r="S79" s="287"/>
      <c r="T79" s="206"/>
      <c r="W79" s="286"/>
      <c r="AA79" s="262"/>
    </row>
    <row r="80" spans="1:105" ht="12.75" customHeight="1" x14ac:dyDescent="0.3">
      <c r="A80" s="289" t="s">
        <v>10</v>
      </c>
      <c r="B80" s="290" t="s">
        <v>178</v>
      </c>
      <c r="K80" s="291"/>
      <c r="L80" s="292"/>
      <c r="M80" s="126"/>
      <c r="P80" s="330"/>
      <c r="T80" s="294"/>
    </row>
    <row r="81" spans="1:25" ht="2.15" hidden="1" customHeight="1" x14ac:dyDescent="0.3">
      <c r="A81" s="295" t="s">
        <v>12</v>
      </c>
      <c r="B81" s="233" t="s">
        <v>179</v>
      </c>
      <c r="K81" s="291"/>
      <c r="L81" s="292"/>
      <c r="M81" s="265"/>
      <c r="Q81" s="265"/>
      <c r="S81" s="262"/>
      <c r="T81" s="294"/>
    </row>
    <row r="82" spans="1:25" ht="2.15" hidden="1" customHeight="1" x14ac:dyDescent="0.3">
      <c r="A82" s="295" t="s">
        <v>13</v>
      </c>
      <c r="B82" s="233" t="s">
        <v>180</v>
      </c>
      <c r="K82" s="291"/>
      <c r="L82" s="292"/>
      <c r="M82" s="265"/>
      <c r="Q82" s="265"/>
      <c r="S82" s="262"/>
      <c r="T82" s="294"/>
    </row>
    <row r="83" spans="1:25" ht="2.15" hidden="1" customHeight="1" x14ac:dyDescent="0.3">
      <c r="A83" s="295" t="s">
        <v>14</v>
      </c>
      <c r="B83" s="233" t="s">
        <v>181</v>
      </c>
      <c r="K83" s="291"/>
      <c r="L83" s="292"/>
      <c r="M83" s="126"/>
      <c r="T83" s="294"/>
    </row>
    <row r="84" spans="1:25" ht="2.15" hidden="1" customHeight="1" x14ac:dyDescent="0.3">
      <c r="A84" s="295" t="s">
        <v>15</v>
      </c>
      <c r="B84" s="233" t="s">
        <v>182</v>
      </c>
      <c r="K84" s="291"/>
      <c r="L84" s="292"/>
      <c r="M84" s="265"/>
      <c r="Q84" s="265"/>
      <c r="S84" s="262"/>
      <c r="T84" s="294"/>
    </row>
    <row r="85" spans="1:25" ht="2.15" hidden="1" customHeight="1" x14ac:dyDescent="0.3">
      <c r="A85" s="295" t="s">
        <v>16</v>
      </c>
      <c r="B85" s="233" t="s">
        <v>183</v>
      </c>
      <c r="C85" s="296"/>
      <c r="D85" s="297"/>
      <c r="E85" s="296"/>
      <c r="K85" s="291"/>
      <c r="L85" s="292"/>
      <c r="M85" s="126"/>
      <c r="T85" s="294"/>
    </row>
    <row r="86" spans="1:25" ht="12.75" hidden="1" customHeight="1" x14ac:dyDescent="0.3">
      <c r="A86" s="295"/>
      <c r="C86" s="296"/>
      <c r="D86" s="297"/>
      <c r="E86" s="296"/>
      <c r="K86" s="291"/>
      <c r="L86" s="292"/>
      <c r="M86" s="126"/>
      <c r="T86" s="294"/>
    </row>
    <row r="87" spans="1:25" ht="12.75" customHeight="1" x14ac:dyDescent="0.3">
      <c r="A87" s="289" t="s">
        <v>11</v>
      </c>
      <c r="B87" s="290" t="s">
        <v>184</v>
      </c>
      <c r="K87" s="291"/>
      <c r="L87" s="292"/>
      <c r="M87" s="126"/>
      <c r="T87" s="294"/>
      <c r="Y87" s="262"/>
    </row>
    <row r="88" spans="1:25" ht="12.75" customHeight="1" x14ac:dyDescent="0.3">
      <c r="A88" s="289"/>
      <c r="B88" s="298"/>
      <c r="K88" s="291"/>
      <c r="L88" s="292"/>
      <c r="M88" s="126"/>
      <c r="T88" s="294"/>
      <c r="Y88" s="262"/>
    </row>
    <row r="89" spans="1:25" x14ac:dyDescent="0.3">
      <c r="K89" s="291"/>
      <c r="L89" s="292"/>
      <c r="M89" s="126"/>
      <c r="T89" s="294"/>
    </row>
    <row r="90" spans="1:25" x14ac:dyDescent="0.3">
      <c r="K90" s="291"/>
      <c r="L90" s="292"/>
      <c r="M90" s="126"/>
      <c r="T90" s="294"/>
    </row>
    <row r="91" spans="1:25" x14ac:dyDescent="0.3">
      <c r="K91" s="291"/>
      <c r="L91" s="292"/>
      <c r="M91" s="126"/>
      <c r="T91" s="294"/>
    </row>
    <row r="92" spans="1:25" x14ac:dyDescent="0.3">
      <c r="K92" s="291"/>
      <c r="L92" s="292"/>
      <c r="M92" s="126"/>
      <c r="T92" s="294"/>
    </row>
    <row r="93" spans="1:25" x14ac:dyDescent="0.3">
      <c r="K93" s="291"/>
      <c r="L93" s="292"/>
      <c r="M93" s="126"/>
      <c r="T93" s="294"/>
    </row>
    <row r="94" spans="1:25" x14ac:dyDescent="0.3">
      <c r="K94" s="291"/>
      <c r="L94" s="292"/>
      <c r="T94" s="294"/>
    </row>
    <row r="95" spans="1:25" x14ac:dyDescent="0.3">
      <c r="K95" s="291"/>
      <c r="L95" s="292"/>
      <c r="T95" s="294"/>
    </row>
    <row r="96" spans="1:25" x14ac:dyDescent="0.3">
      <c r="K96" s="291"/>
      <c r="L96" s="292"/>
      <c r="T96" s="294"/>
    </row>
    <row r="97" spans="11:20" x14ac:dyDescent="0.3">
      <c r="K97" s="291"/>
      <c r="L97" s="292"/>
      <c r="T97" s="294"/>
    </row>
    <row r="98" spans="11:20" x14ac:dyDescent="0.3">
      <c r="K98" s="291"/>
      <c r="L98" s="292"/>
      <c r="T98" s="294"/>
    </row>
    <row r="99" spans="11:20" x14ac:dyDescent="0.3">
      <c r="K99" s="291"/>
      <c r="L99" s="292"/>
      <c r="T99" s="294"/>
    </row>
    <row r="100" spans="11:20" x14ac:dyDescent="0.3">
      <c r="K100" s="291"/>
      <c r="L100" s="292"/>
      <c r="T100" s="294"/>
    </row>
    <row r="101" spans="11:20" x14ac:dyDescent="0.3">
      <c r="K101" s="291"/>
      <c r="L101" s="292"/>
      <c r="T101" s="294"/>
    </row>
    <row r="102" spans="11:20" x14ac:dyDescent="0.3">
      <c r="K102" s="291"/>
      <c r="L102" s="292"/>
      <c r="T102" s="294"/>
    </row>
    <row r="103" spans="11:20" x14ac:dyDescent="0.3">
      <c r="K103" s="291"/>
      <c r="L103" s="292"/>
      <c r="T103" s="294"/>
    </row>
    <row r="104" spans="11:20" x14ac:dyDescent="0.3">
      <c r="K104" s="291"/>
      <c r="L104" s="292"/>
      <c r="T104" s="294"/>
    </row>
    <row r="105" spans="11:20" x14ac:dyDescent="0.3">
      <c r="K105" s="291"/>
      <c r="L105" s="292"/>
      <c r="T105" s="294"/>
    </row>
    <row r="106" spans="11:20" x14ac:dyDescent="0.3">
      <c r="K106" s="291"/>
      <c r="L106" s="292"/>
      <c r="T106" s="294"/>
    </row>
    <row r="107" spans="11:20" x14ac:dyDescent="0.3">
      <c r="K107" s="291"/>
      <c r="L107" s="292"/>
      <c r="T107" s="294"/>
    </row>
    <row r="108" spans="11:20" x14ac:dyDescent="0.3">
      <c r="K108" s="291"/>
      <c r="L108" s="292"/>
      <c r="T108" s="294"/>
    </row>
    <row r="109" spans="11:20" x14ac:dyDescent="0.3">
      <c r="K109" s="291"/>
      <c r="L109" s="292"/>
      <c r="T109" s="294"/>
    </row>
    <row r="110" spans="11:20" x14ac:dyDescent="0.3">
      <c r="K110" s="291"/>
      <c r="L110" s="292"/>
      <c r="T110" s="294"/>
    </row>
    <row r="111" spans="11:20" x14ac:dyDescent="0.3">
      <c r="K111" s="291"/>
      <c r="L111" s="292"/>
      <c r="T111" s="294"/>
    </row>
    <row r="112" spans="11:20" x14ac:dyDescent="0.3">
      <c r="K112" s="291"/>
      <c r="L112" s="292"/>
      <c r="T112" s="294"/>
    </row>
    <row r="113" spans="11:20" x14ac:dyDescent="0.3">
      <c r="K113" s="291"/>
      <c r="L113" s="292"/>
      <c r="T113" s="294"/>
    </row>
    <row r="114" spans="11:20" x14ac:dyDescent="0.3">
      <c r="K114" s="291"/>
      <c r="L114" s="292"/>
      <c r="T114" s="294"/>
    </row>
    <row r="115" spans="11:20" x14ac:dyDescent="0.3">
      <c r="K115" s="291"/>
      <c r="L115" s="292"/>
      <c r="T115" s="294"/>
    </row>
    <row r="116" spans="11:20" x14ac:dyDescent="0.3">
      <c r="K116" s="291"/>
      <c r="L116" s="292"/>
      <c r="T116" s="294"/>
    </row>
    <row r="117" spans="11:20" x14ac:dyDescent="0.3">
      <c r="K117" s="291"/>
      <c r="L117" s="292"/>
      <c r="T117" s="294"/>
    </row>
    <row r="118" spans="11:20" x14ac:dyDescent="0.3">
      <c r="K118" s="291"/>
      <c r="L118" s="292"/>
      <c r="T118" s="294"/>
    </row>
    <row r="119" spans="11:20" x14ac:dyDescent="0.3">
      <c r="K119" s="291"/>
      <c r="L119" s="292"/>
      <c r="T119" s="294"/>
    </row>
    <row r="120" spans="11:20" x14ac:dyDescent="0.3">
      <c r="K120" s="291"/>
      <c r="L120" s="292"/>
      <c r="T120" s="294"/>
    </row>
    <row r="121" spans="11:20" x14ac:dyDescent="0.3">
      <c r="K121" s="291"/>
      <c r="L121" s="292"/>
      <c r="T121" s="294"/>
    </row>
    <row r="122" spans="11:20" x14ac:dyDescent="0.3">
      <c r="K122" s="291"/>
      <c r="L122" s="292"/>
      <c r="T122" s="294"/>
    </row>
    <row r="123" spans="11:20" x14ac:dyDescent="0.3">
      <c r="K123" s="291"/>
      <c r="L123" s="292"/>
      <c r="T123" s="294"/>
    </row>
    <row r="124" spans="11:20" x14ac:dyDescent="0.3">
      <c r="K124" s="291"/>
      <c r="L124" s="292"/>
      <c r="T124" s="294"/>
    </row>
    <row r="125" spans="11:20" x14ac:dyDescent="0.3">
      <c r="K125" s="291"/>
      <c r="L125" s="292"/>
      <c r="T125" s="294"/>
    </row>
    <row r="126" spans="11:20" x14ac:dyDescent="0.3">
      <c r="K126" s="291"/>
      <c r="L126" s="292"/>
      <c r="T126" s="294"/>
    </row>
    <row r="127" spans="11:20" x14ac:dyDescent="0.3">
      <c r="K127" s="291"/>
      <c r="L127" s="292"/>
      <c r="T127" s="294"/>
    </row>
    <row r="128" spans="11:20" x14ac:dyDescent="0.3">
      <c r="K128" s="291"/>
      <c r="L128" s="292"/>
      <c r="T128" s="294"/>
    </row>
    <row r="129" spans="11:20" x14ac:dyDescent="0.3">
      <c r="K129" s="291"/>
      <c r="L129" s="292"/>
      <c r="T129" s="294"/>
    </row>
    <row r="130" spans="11:20" x14ac:dyDescent="0.3">
      <c r="K130" s="291"/>
      <c r="L130" s="292"/>
      <c r="T130" s="294"/>
    </row>
    <row r="131" spans="11:20" x14ac:dyDescent="0.3">
      <c r="K131" s="291"/>
      <c r="L131" s="292"/>
      <c r="T131" s="294"/>
    </row>
    <row r="132" spans="11:20" x14ac:dyDescent="0.3">
      <c r="K132" s="291"/>
      <c r="L132" s="292"/>
      <c r="T132" s="294"/>
    </row>
    <row r="133" spans="11:20" x14ac:dyDescent="0.3">
      <c r="K133" s="291"/>
      <c r="L133" s="292"/>
      <c r="T133" s="294"/>
    </row>
    <row r="134" spans="11:20" x14ac:dyDescent="0.3">
      <c r="K134" s="291"/>
      <c r="L134" s="292"/>
      <c r="T134" s="294"/>
    </row>
    <row r="135" spans="11:20" x14ac:dyDescent="0.3">
      <c r="K135" s="291"/>
      <c r="L135" s="292"/>
      <c r="T135" s="294"/>
    </row>
    <row r="136" spans="11:20" x14ac:dyDescent="0.3">
      <c r="K136" s="291"/>
      <c r="L136" s="292"/>
      <c r="T136" s="294"/>
    </row>
    <row r="137" spans="11:20" x14ac:dyDescent="0.3">
      <c r="K137" s="291"/>
      <c r="L137" s="292"/>
      <c r="T137" s="294"/>
    </row>
    <row r="138" spans="11:20" x14ac:dyDescent="0.3">
      <c r="K138" s="291"/>
      <c r="L138" s="292"/>
      <c r="T138" s="294"/>
    </row>
    <row r="139" spans="11:20" x14ac:dyDescent="0.3">
      <c r="K139" s="291"/>
      <c r="L139" s="292"/>
      <c r="T139" s="294"/>
    </row>
    <row r="140" spans="11:20" x14ac:dyDescent="0.3">
      <c r="K140" s="291"/>
      <c r="L140" s="292"/>
      <c r="T140" s="294"/>
    </row>
    <row r="141" spans="11:20" x14ac:dyDescent="0.3">
      <c r="K141" s="291"/>
      <c r="L141" s="292"/>
      <c r="T141" s="294"/>
    </row>
    <row r="142" spans="11:20" x14ac:dyDescent="0.3">
      <c r="K142" s="291"/>
      <c r="L142" s="292"/>
      <c r="T142" s="294"/>
    </row>
    <row r="143" spans="11:20" x14ac:dyDescent="0.3">
      <c r="K143" s="291"/>
      <c r="L143" s="292"/>
      <c r="T143" s="294"/>
    </row>
    <row r="144" spans="11:20" x14ac:dyDescent="0.3">
      <c r="K144" s="291"/>
      <c r="L144" s="292"/>
      <c r="T144" s="294"/>
    </row>
  </sheetData>
  <printOptions horizontalCentered="1" verticalCentered="1"/>
  <pageMargins left="0.25" right="0.25" top="0.55000000000000004" bottom="0.5" header="0.25" footer="0.25"/>
  <pageSetup scale="55" fitToHeight="0" orientation="landscape" r:id="rId1"/>
  <headerFooter alignWithMargins="0">
    <oddHeader xml:space="preserve">&amp;C&amp;"Arial,Bold"&amp;14    &amp;12PUGET SOUND ENERGY, INC.
Deferred Environmental Cost Summary Electric                     
September 30, 2013
</oddHeader>
    <oddFooter xml:space="preserve">&amp;L&amp;8
&amp;10
&amp;C
Page &amp;P of &amp;N
&amp;R&amp;8&amp;Z&amp;F
Rita Lin </oddFooter>
  </headerFooter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M118"/>
  <sheetViews>
    <sheetView zoomScaleNormal="100" zoomScaleSheetLayoutView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7.58203125" defaultRowHeight="13.5" customHeight="1" x14ac:dyDescent="0.25"/>
  <cols>
    <col min="1" max="1" width="1.08203125" style="1" customWidth="1"/>
    <col min="2" max="2" width="11.75" style="11" customWidth="1"/>
    <col min="3" max="3" width="2.75" style="1" customWidth="1"/>
    <col min="4" max="4" width="12" style="12" bestFit="1" customWidth="1"/>
    <col min="5" max="5" width="3.58203125" style="29" bestFit="1" customWidth="1"/>
    <col min="6" max="6" width="55.83203125" style="64" bestFit="1" customWidth="1"/>
    <col min="7" max="7" width="0.83203125" style="64" customWidth="1"/>
    <col min="8" max="8" width="18.33203125" style="50" customWidth="1"/>
    <col min="9" max="9" width="1.75" style="5" customWidth="1"/>
    <col min="10" max="10" width="15.08203125" style="404" customWidth="1"/>
    <col min="11" max="11" width="16.58203125" style="50" customWidth="1"/>
    <col min="12" max="12" width="3.33203125" style="50" customWidth="1"/>
    <col min="13" max="13" width="17" style="50" customWidth="1"/>
    <col min="14" max="14" width="3.33203125" style="2" customWidth="1"/>
    <col min="15" max="15" width="16.58203125" style="50" customWidth="1"/>
    <col min="16" max="16" width="3.75" style="2" customWidth="1"/>
    <col min="17" max="17" width="15.75" style="50" customWidth="1"/>
    <col min="18" max="18" width="1.58203125" style="1" customWidth="1"/>
    <col min="19" max="19" width="15.5" style="50" customWidth="1"/>
    <col min="20" max="20" width="2.25" style="7" customWidth="1"/>
    <col min="21" max="21" width="16.08203125" style="1" customWidth="1"/>
    <col min="22" max="22" width="2.58203125" style="1" hidden="1" customWidth="1"/>
    <col min="23" max="23" width="10.08203125" style="1" hidden="1" customWidth="1"/>
    <col min="24" max="24" width="2.58203125" style="1" hidden="1" customWidth="1"/>
    <col min="25" max="25" width="1.33203125" style="1" bestFit="1" customWidth="1"/>
    <col min="26" max="26" width="3" style="1" hidden="1" customWidth="1"/>
    <col min="27" max="16384" width="17.58203125" style="1"/>
  </cols>
  <sheetData>
    <row r="1" spans="1:20" ht="13.5" customHeight="1" x14ac:dyDescent="0.3">
      <c r="B1" s="17"/>
      <c r="C1" s="18"/>
      <c r="D1" s="17"/>
      <c r="E1" s="19"/>
      <c r="F1" s="67"/>
      <c r="G1" s="67"/>
      <c r="H1" s="48" t="s">
        <v>79</v>
      </c>
      <c r="I1" s="20"/>
      <c r="J1" s="388"/>
      <c r="K1" s="48" t="s">
        <v>79</v>
      </c>
      <c r="L1" s="16"/>
      <c r="M1" s="48" t="s">
        <v>81</v>
      </c>
      <c r="N1" s="21"/>
      <c r="O1" s="80" t="s">
        <v>87</v>
      </c>
      <c r="P1" s="14"/>
      <c r="Q1" s="48" t="s">
        <v>83</v>
      </c>
      <c r="R1" s="14"/>
      <c r="S1" s="48" t="s">
        <v>86</v>
      </c>
      <c r="T1" s="1"/>
    </row>
    <row r="2" spans="1:20" s="19" customFormat="1" ht="13.5" customHeight="1" x14ac:dyDescent="0.3">
      <c r="B2" s="86" t="s">
        <v>4</v>
      </c>
      <c r="C2" s="23"/>
      <c r="D2" s="22"/>
      <c r="E2" s="15"/>
      <c r="F2" s="68"/>
      <c r="G2" s="68"/>
      <c r="H2" s="78" t="s">
        <v>6</v>
      </c>
      <c r="I2" s="27"/>
      <c r="J2" s="389" t="s">
        <v>80</v>
      </c>
      <c r="K2" s="78" t="s">
        <v>6</v>
      </c>
      <c r="L2" s="61"/>
      <c r="M2" s="78" t="s">
        <v>3</v>
      </c>
      <c r="N2" s="21"/>
      <c r="O2" s="80" t="s">
        <v>88</v>
      </c>
      <c r="P2" s="15"/>
      <c r="Q2" s="80" t="s">
        <v>88</v>
      </c>
      <c r="R2" s="15"/>
      <c r="S2" s="78" t="s">
        <v>3</v>
      </c>
    </row>
    <row r="3" spans="1:20" s="82" customFormat="1" ht="13.5" customHeight="1" thickBot="1" x14ac:dyDescent="0.35">
      <c r="A3" s="26"/>
      <c r="B3" s="24" t="s">
        <v>62</v>
      </c>
      <c r="C3" s="25"/>
      <c r="D3" s="24" t="s">
        <v>63</v>
      </c>
      <c r="E3" s="99"/>
      <c r="F3" s="96" t="s">
        <v>5</v>
      </c>
      <c r="G3" s="68"/>
      <c r="H3" s="97">
        <v>41455</v>
      </c>
      <c r="I3" s="98"/>
      <c r="J3" s="390" t="s">
        <v>18</v>
      </c>
      <c r="K3" s="381">
        <v>41547</v>
      </c>
      <c r="L3" s="382"/>
      <c r="M3" s="383">
        <f>K3</f>
        <v>41547</v>
      </c>
      <c r="N3" s="21"/>
      <c r="O3" s="81" t="s">
        <v>82</v>
      </c>
      <c r="P3" s="15"/>
      <c r="Q3" s="81" t="s">
        <v>82</v>
      </c>
      <c r="R3" s="15"/>
      <c r="S3" s="60">
        <f>K3</f>
        <v>41547</v>
      </c>
    </row>
    <row r="4" spans="1:20" s="8" customFormat="1" ht="13.5" customHeight="1" x14ac:dyDescent="0.3">
      <c r="B4" s="13"/>
      <c r="C4" s="4"/>
      <c r="D4" s="13"/>
      <c r="E4" s="100"/>
      <c r="F4" s="65"/>
      <c r="G4" s="65"/>
      <c r="H4" s="16" t="s">
        <v>19</v>
      </c>
      <c r="I4" s="16"/>
      <c r="J4" s="391" t="s">
        <v>20</v>
      </c>
      <c r="K4" s="79" t="s">
        <v>84</v>
      </c>
      <c r="L4" s="51"/>
      <c r="M4" s="16" t="s">
        <v>24</v>
      </c>
      <c r="O4" s="16" t="s">
        <v>28</v>
      </c>
      <c r="Q4" s="100" t="s">
        <v>85</v>
      </c>
      <c r="S4" s="16" t="s">
        <v>78</v>
      </c>
    </row>
    <row r="5" spans="1:20" s="29" customFormat="1" ht="13.5" customHeight="1" x14ac:dyDescent="0.3">
      <c r="B5" s="13"/>
      <c r="C5" s="5"/>
      <c r="D5" s="13"/>
      <c r="F5" s="66" t="s">
        <v>7</v>
      </c>
      <c r="G5" s="66"/>
      <c r="H5" s="51"/>
      <c r="I5" s="16"/>
      <c r="J5" s="392"/>
      <c r="K5" s="51"/>
      <c r="L5" s="51"/>
      <c r="M5" s="51"/>
      <c r="N5" s="8"/>
      <c r="O5" s="51"/>
      <c r="Q5" s="16"/>
      <c r="S5" s="51"/>
    </row>
    <row r="6" spans="1:20" s="29" customFormat="1" ht="13.5" customHeight="1" x14ac:dyDescent="0.3">
      <c r="B6" s="13"/>
      <c r="C6" s="5"/>
      <c r="D6" s="13"/>
      <c r="F6" s="69" t="s">
        <v>0</v>
      </c>
      <c r="G6" s="69"/>
      <c r="H6" s="52"/>
      <c r="I6" s="30"/>
      <c r="J6" s="393"/>
      <c r="K6" s="52"/>
      <c r="L6" s="51"/>
      <c r="M6" s="52"/>
      <c r="N6" s="8"/>
      <c r="O6" s="52"/>
      <c r="Q6" s="52"/>
      <c r="S6" s="52"/>
    </row>
    <row r="7" spans="1:20" ht="13.5" customHeight="1" x14ac:dyDescent="0.3">
      <c r="B7" s="10"/>
      <c r="C7" s="5"/>
      <c r="D7" s="10">
        <v>18609572</v>
      </c>
      <c r="E7" s="1"/>
      <c r="F7" s="95" t="s">
        <v>40</v>
      </c>
      <c r="G7" s="70"/>
      <c r="H7" s="54">
        <v>725000</v>
      </c>
      <c r="I7" s="38"/>
      <c r="J7" s="348">
        <v>0</v>
      </c>
      <c r="K7" s="54">
        <f>SUM(H7:J7)</f>
        <v>725000</v>
      </c>
      <c r="L7" s="56"/>
      <c r="M7" s="54">
        <v>0</v>
      </c>
      <c r="N7" s="37"/>
      <c r="O7" s="54">
        <f>K7</f>
        <v>725000</v>
      </c>
      <c r="P7" s="351" t="s">
        <v>73</v>
      </c>
      <c r="Q7" s="54">
        <f>SUM(M7:O7)</f>
        <v>725000</v>
      </c>
      <c r="S7" s="54">
        <v>0</v>
      </c>
      <c r="T7" s="1"/>
    </row>
    <row r="8" spans="1:20" ht="13.5" customHeight="1" x14ac:dyDescent="0.3">
      <c r="B8" s="10">
        <v>18606102</v>
      </c>
      <c r="C8" s="5"/>
      <c r="D8" s="10">
        <v>18608612</v>
      </c>
      <c r="E8" s="1"/>
      <c r="F8" s="70" t="s">
        <v>50</v>
      </c>
      <c r="G8" s="70"/>
      <c r="H8" s="54">
        <v>775086.8</v>
      </c>
      <c r="I8" s="35"/>
      <c r="J8" s="352">
        <v>0</v>
      </c>
      <c r="K8" s="54">
        <f>SUM(H8:J8)</f>
        <v>775086.8</v>
      </c>
      <c r="L8" s="53"/>
      <c r="M8" s="54">
        <f>K8</f>
        <v>775086.8</v>
      </c>
      <c r="N8" s="37"/>
      <c r="O8" s="54">
        <v>0</v>
      </c>
      <c r="P8" s="19"/>
      <c r="Q8" s="54">
        <f>SUM(M8:O8)</f>
        <v>775086.8</v>
      </c>
      <c r="S8" s="54">
        <v>0</v>
      </c>
      <c r="T8" s="1"/>
    </row>
    <row r="9" spans="1:20" ht="13.5" customHeight="1" x14ac:dyDescent="0.3">
      <c r="B9" s="10"/>
      <c r="C9" s="5"/>
      <c r="D9" s="10"/>
      <c r="E9" s="1"/>
      <c r="F9" s="108" t="s">
        <v>31</v>
      </c>
      <c r="G9" s="108"/>
      <c r="H9" s="63">
        <f>SUM(H7:H8)</f>
        <v>1500086.8</v>
      </c>
      <c r="I9" s="111"/>
      <c r="J9" s="362">
        <f>SUM(J7:J8)</f>
        <v>0</v>
      </c>
      <c r="K9" s="63">
        <f>SUM(K7:K8)</f>
        <v>1500086.8</v>
      </c>
      <c r="L9" s="63"/>
      <c r="M9" s="63">
        <f>SUM(M7:M8)</f>
        <v>775086.8</v>
      </c>
      <c r="N9" s="112"/>
      <c r="O9" s="63">
        <f>SUM(O7:O8)</f>
        <v>725000</v>
      </c>
      <c r="P9" s="113"/>
      <c r="Q9" s="63">
        <f>SUM(Q7:Q8)</f>
        <v>1500086.8</v>
      </c>
      <c r="R9" s="113"/>
      <c r="S9" s="63">
        <f>SUM(S7:S8)</f>
        <v>0</v>
      </c>
      <c r="T9" s="1"/>
    </row>
    <row r="10" spans="1:20" ht="13.5" customHeight="1" x14ac:dyDescent="0.25">
      <c r="B10" s="5"/>
      <c r="C10" s="5"/>
      <c r="D10" s="5"/>
      <c r="E10" s="1"/>
      <c r="F10" s="70"/>
      <c r="G10" s="70"/>
      <c r="H10" s="54"/>
      <c r="I10" s="35"/>
      <c r="J10" s="348"/>
      <c r="K10" s="54"/>
      <c r="L10" s="53"/>
      <c r="M10" s="54"/>
      <c r="N10" s="37"/>
      <c r="O10" s="54"/>
      <c r="P10" s="1"/>
      <c r="Q10" s="54"/>
      <c r="S10" s="54"/>
      <c r="T10" s="1"/>
    </row>
    <row r="11" spans="1:20" ht="13.5" customHeight="1" x14ac:dyDescent="0.3">
      <c r="B11" s="5"/>
      <c r="C11" s="5"/>
      <c r="D11" s="10">
        <v>18609582</v>
      </c>
      <c r="E11" s="1"/>
      <c r="F11" s="70" t="s">
        <v>41</v>
      </c>
      <c r="G11" s="70"/>
      <c r="H11" s="54">
        <v>1500000</v>
      </c>
      <c r="I11" s="38"/>
      <c r="J11" s="348">
        <v>-1418.7</v>
      </c>
      <c r="K11" s="54">
        <f>SUM(H11:J11)</f>
        <v>1498581.3</v>
      </c>
      <c r="L11" s="56"/>
      <c r="M11" s="54">
        <v>0</v>
      </c>
      <c r="N11" s="37"/>
      <c r="O11" s="54">
        <f>K11</f>
        <v>1498581.3</v>
      </c>
      <c r="P11" s="351" t="s">
        <v>74</v>
      </c>
      <c r="Q11" s="54">
        <f>SUM(M11:O11)</f>
        <v>1498581.3</v>
      </c>
      <c r="S11" s="54">
        <v>0</v>
      </c>
      <c r="T11" s="1"/>
    </row>
    <row r="12" spans="1:20" ht="13.5" customHeight="1" x14ac:dyDescent="0.3">
      <c r="B12" s="10">
        <v>18607102</v>
      </c>
      <c r="C12" s="5"/>
      <c r="D12" s="10">
        <v>18608712</v>
      </c>
      <c r="E12" s="1"/>
      <c r="F12" s="70" t="s">
        <v>51</v>
      </c>
      <c r="G12" s="70"/>
      <c r="H12" s="54">
        <v>4057470.15</v>
      </c>
      <c r="I12" s="35"/>
      <c r="J12" s="348">
        <v>1418.7</v>
      </c>
      <c r="K12" s="54">
        <f>SUM(H12:J12)</f>
        <v>4058888.85</v>
      </c>
      <c r="L12" s="53"/>
      <c r="M12" s="54">
        <f>K12</f>
        <v>4058888.85</v>
      </c>
      <c r="N12" s="37"/>
      <c r="O12" s="54">
        <v>0</v>
      </c>
      <c r="P12" s="351"/>
      <c r="Q12" s="54">
        <f>SUM(M12:O12)</f>
        <v>4058888.85</v>
      </c>
      <c r="S12" s="54">
        <v>0</v>
      </c>
      <c r="T12" s="1"/>
    </row>
    <row r="13" spans="1:20" ht="13.5" customHeight="1" x14ac:dyDescent="0.25">
      <c r="B13" s="10">
        <v>18607203</v>
      </c>
      <c r="C13" s="5"/>
      <c r="D13" s="10">
        <v>18608742</v>
      </c>
      <c r="E13" s="1" t="s">
        <v>11</v>
      </c>
      <c r="F13" s="64" t="s">
        <v>52</v>
      </c>
      <c r="H13" s="54">
        <v>4499203.59</v>
      </c>
      <c r="I13" s="2"/>
      <c r="J13" s="348">
        <v>0</v>
      </c>
      <c r="K13" s="54">
        <f>SUM(H13:J13)</f>
        <v>4499203.59</v>
      </c>
      <c r="L13" s="53"/>
      <c r="M13" s="54">
        <f>K13</f>
        <v>4499203.59</v>
      </c>
      <c r="N13" s="37"/>
      <c r="O13" s="54">
        <v>0</v>
      </c>
      <c r="P13" s="1"/>
      <c r="Q13" s="54">
        <f>SUM(M13:O13)</f>
        <v>4499203.59</v>
      </c>
      <c r="S13" s="54">
        <v>0</v>
      </c>
      <c r="T13" s="1"/>
    </row>
    <row r="14" spans="1:20" ht="13.5" customHeight="1" x14ac:dyDescent="0.3">
      <c r="B14" s="5"/>
      <c r="C14" s="5"/>
      <c r="D14" s="5"/>
      <c r="E14" s="1"/>
      <c r="F14" s="108" t="s">
        <v>32</v>
      </c>
      <c r="G14" s="108"/>
      <c r="H14" s="63">
        <f>SUM(H11:H13)</f>
        <v>10056673.74</v>
      </c>
      <c r="I14" s="111"/>
      <c r="J14" s="362">
        <f>SUM(J11:J13)</f>
        <v>0</v>
      </c>
      <c r="K14" s="63">
        <f>SUM(K11:K13)</f>
        <v>10056673.74</v>
      </c>
      <c r="L14" s="63"/>
      <c r="M14" s="63">
        <f>SUM(M11:M13)</f>
        <v>8558092.4399999995</v>
      </c>
      <c r="N14" s="112"/>
      <c r="O14" s="63">
        <f>SUM(O11:O13)</f>
        <v>1498581.3</v>
      </c>
      <c r="P14" s="113"/>
      <c r="Q14" s="63">
        <f>SUM(Q11:Q13)</f>
        <v>10056673.74</v>
      </c>
      <c r="R14" s="113"/>
      <c r="S14" s="63">
        <f>SUM(S11:S13)</f>
        <v>0</v>
      </c>
      <c r="T14" s="1"/>
    </row>
    <row r="15" spans="1:20" ht="13.5" customHeight="1" x14ac:dyDescent="0.25">
      <c r="B15" s="5"/>
      <c r="C15" s="5"/>
      <c r="D15" s="5"/>
      <c r="E15" s="1"/>
      <c r="F15" s="70"/>
      <c r="G15" s="70"/>
      <c r="H15" s="54"/>
      <c r="I15" s="35"/>
      <c r="J15" s="348"/>
      <c r="K15" s="54"/>
      <c r="L15" s="53"/>
      <c r="M15" s="54"/>
      <c r="N15" s="37"/>
      <c r="O15" s="54"/>
      <c r="P15" s="1"/>
      <c r="Q15" s="54"/>
      <c r="S15" s="54"/>
      <c r="T15" s="1"/>
    </row>
    <row r="16" spans="1:20" ht="13.5" customHeight="1" x14ac:dyDescent="0.3">
      <c r="B16" s="13"/>
      <c r="C16" s="5"/>
      <c r="D16" s="10">
        <v>18609592</v>
      </c>
      <c r="E16" s="1"/>
      <c r="F16" s="70" t="s">
        <v>42</v>
      </c>
      <c r="G16" s="70"/>
      <c r="H16" s="54">
        <v>3000000</v>
      </c>
      <c r="I16" s="38"/>
      <c r="J16" s="348">
        <v>-7214.83</v>
      </c>
      <c r="K16" s="54">
        <f>SUM(H16:J16)</f>
        <v>2992785.17</v>
      </c>
      <c r="L16" s="56"/>
      <c r="M16" s="54">
        <v>0</v>
      </c>
      <c r="N16" s="37"/>
      <c r="O16" s="54">
        <f>K16</f>
        <v>2992785.17</v>
      </c>
      <c r="P16" s="351" t="s">
        <v>74</v>
      </c>
      <c r="Q16" s="54">
        <f>SUM(M16:O16)</f>
        <v>2992785.17</v>
      </c>
      <c r="S16" s="54">
        <v>0</v>
      </c>
      <c r="T16" s="1"/>
    </row>
    <row r="17" spans="2:20" ht="13.5" customHeight="1" x14ac:dyDescent="0.3">
      <c r="B17" s="10">
        <v>18602102</v>
      </c>
      <c r="C17" s="5"/>
      <c r="D17" s="10">
        <v>18608212</v>
      </c>
      <c r="E17" s="1"/>
      <c r="F17" s="64" t="s">
        <v>53</v>
      </c>
      <c r="H17" s="54">
        <v>1431540.23</v>
      </c>
      <c r="I17" s="2"/>
      <c r="J17" s="394">
        <v>7214.83</v>
      </c>
      <c r="K17" s="54">
        <f>SUM(H17:J17)</f>
        <v>1438755.06</v>
      </c>
      <c r="L17" s="53"/>
      <c r="M17" s="54">
        <f>K17</f>
        <v>1438755.06</v>
      </c>
      <c r="N17" s="7"/>
      <c r="O17" s="54">
        <v>0</v>
      </c>
      <c r="P17" s="19"/>
      <c r="Q17" s="54">
        <f>SUM(M17:O17)</f>
        <v>1438755.06</v>
      </c>
      <c r="S17" s="54">
        <v>0</v>
      </c>
      <c r="T17" s="1"/>
    </row>
    <row r="18" spans="2:20" ht="13.5" customHeight="1" x14ac:dyDescent="0.3">
      <c r="B18" s="13"/>
      <c r="C18" s="5"/>
      <c r="D18" s="13"/>
      <c r="E18" s="1"/>
      <c r="F18" s="109" t="s">
        <v>60</v>
      </c>
      <c r="G18" s="108"/>
      <c r="H18" s="63">
        <f>SUM(H16:H17)</f>
        <v>4431540.2300000004</v>
      </c>
      <c r="I18" s="111"/>
      <c r="J18" s="362">
        <f>SUM(J16:J17)</f>
        <v>0</v>
      </c>
      <c r="K18" s="63">
        <f>SUM(K16:K17)</f>
        <v>4431540.2300000004</v>
      </c>
      <c r="L18" s="63"/>
      <c r="M18" s="63">
        <f>SUM(M16:M17)</f>
        <v>1438755.06</v>
      </c>
      <c r="N18" s="112"/>
      <c r="O18" s="63">
        <f>SUM(O16:O17)</f>
        <v>2992785.17</v>
      </c>
      <c r="P18" s="113"/>
      <c r="Q18" s="63">
        <f>SUM(Q16:Q17)</f>
        <v>4431540.2300000004</v>
      </c>
      <c r="R18" s="113"/>
      <c r="S18" s="63">
        <f>SUM(S16:S17)</f>
        <v>0</v>
      </c>
      <c r="T18" s="1"/>
    </row>
    <row r="19" spans="2:20" ht="13.5" customHeight="1" x14ac:dyDescent="0.25">
      <c r="B19" s="13"/>
      <c r="C19" s="5"/>
      <c r="D19" s="13"/>
      <c r="E19" s="1"/>
      <c r="H19" s="55"/>
      <c r="I19" s="2"/>
      <c r="J19" s="395"/>
      <c r="K19" s="55"/>
      <c r="L19" s="62"/>
      <c r="M19" s="55"/>
      <c r="N19" s="7"/>
      <c r="O19" s="55"/>
      <c r="P19" s="1"/>
      <c r="Q19" s="55"/>
      <c r="S19" s="55"/>
      <c r="T19" s="1"/>
    </row>
    <row r="20" spans="2:20" ht="13.5" customHeight="1" x14ac:dyDescent="0.3">
      <c r="B20" s="5"/>
      <c r="C20" s="5"/>
      <c r="D20" s="10">
        <v>18609602</v>
      </c>
      <c r="E20" s="1"/>
      <c r="F20" s="70" t="s">
        <v>43</v>
      </c>
      <c r="G20" s="70"/>
      <c r="H20" s="53">
        <v>250000</v>
      </c>
      <c r="I20" s="32"/>
      <c r="J20" s="348">
        <v>0</v>
      </c>
      <c r="K20" s="53">
        <f>SUM(H20:J20)</f>
        <v>250000</v>
      </c>
      <c r="L20" s="56"/>
      <c r="M20" s="53">
        <v>0</v>
      </c>
      <c r="N20" s="37"/>
      <c r="O20" s="53">
        <f>K20</f>
        <v>250000</v>
      </c>
      <c r="P20" s="351" t="s">
        <v>74</v>
      </c>
      <c r="Q20" s="54">
        <f>SUM(M20:O20)</f>
        <v>250000</v>
      </c>
      <c r="R20" s="7"/>
      <c r="S20" s="53">
        <v>0</v>
      </c>
      <c r="T20" s="1"/>
    </row>
    <row r="21" spans="2:20" ht="13.5" customHeight="1" x14ac:dyDescent="0.25">
      <c r="B21" s="10">
        <v>18603102</v>
      </c>
      <c r="C21" s="5"/>
      <c r="D21" s="10">
        <v>18608312</v>
      </c>
      <c r="E21" s="1"/>
      <c r="F21" s="64" t="s">
        <v>61</v>
      </c>
      <c r="H21" s="75">
        <v>3929425.9</v>
      </c>
      <c r="I21" s="2"/>
      <c r="J21" s="352">
        <v>0</v>
      </c>
      <c r="K21" s="75">
        <f>SUM(H21:J21)</f>
        <v>3929425.9</v>
      </c>
      <c r="L21" s="53"/>
      <c r="M21" s="75">
        <f>K21</f>
        <v>3929425.9</v>
      </c>
      <c r="N21" s="7"/>
      <c r="O21" s="75">
        <v>0</v>
      </c>
      <c r="P21" s="1"/>
      <c r="Q21" s="54">
        <f>SUM(M21:O21)</f>
        <v>3929425.9</v>
      </c>
      <c r="S21" s="75">
        <v>0</v>
      </c>
      <c r="T21" s="1"/>
    </row>
    <row r="22" spans="2:20" ht="13.5" customHeight="1" x14ac:dyDescent="0.3">
      <c r="B22" s="13"/>
      <c r="C22" s="5"/>
      <c r="D22" s="13"/>
      <c r="E22" s="1"/>
      <c r="F22" s="109" t="s">
        <v>33</v>
      </c>
      <c r="G22" s="67"/>
      <c r="H22" s="63">
        <f>SUM(H20:H21)</f>
        <v>4179425.9</v>
      </c>
      <c r="I22" s="111"/>
      <c r="J22" s="362">
        <f>SUM(J20:J21)</f>
        <v>0</v>
      </c>
      <c r="K22" s="63">
        <f>SUM(K20:K21)</f>
        <v>4179425.9</v>
      </c>
      <c r="L22" s="63"/>
      <c r="M22" s="63">
        <f>SUM(M20:M21)</f>
        <v>3929425.9</v>
      </c>
      <c r="N22" s="112"/>
      <c r="O22" s="63">
        <f>SUM(O20:O21)</f>
        <v>250000</v>
      </c>
      <c r="P22" s="63"/>
      <c r="Q22" s="63">
        <f>SUM(Q20:Q21)</f>
        <v>4179425.9</v>
      </c>
      <c r="R22" s="113"/>
      <c r="S22" s="63">
        <f>SUM(S20:S21)</f>
        <v>0</v>
      </c>
      <c r="T22" s="1"/>
    </row>
    <row r="23" spans="2:20" ht="14.25" customHeight="1" x14ac:dyDescent="0.25">
      <c r="B23" s="13"/>
      <c r="C23" s="5"/>
      <c r="D23" s="13"/>
      <c r="E23" s="1"/>
      <c r="F23" s="95"/>
      <c r="H23" s="53"/>
      <c r="I23" s="2"/>
      <c r="J23" s="352"/>
      <c r="K23" s="53"/>
      <c r="L23" s="62"/>
      <c r="M23" s="53"/>
      <c r="N23" s="7"/>
      <c r="O23" s="53"/>
      <c r="P23" s="1"/>
      <c r="Q23" s="53"/>
      <c r="S23" s="53"/>
      <c r="T23" s="1"/>
    </row>
    <row r="24" spans="2:20" s="346" customFormat="1" ht="13.5" customHeight="1" x14ac:dyDescent="0.3">
      <c r="B24" s="356"/>
      <c r="C24" s="344"/>
      <c r="D24" s="345">
        <v>18609422</v>
      </c>
      <c r="F24" s="347" t="s">
        <v>243</v>
      </c>
      <c r="G24" s="357"/>
      <c r="H24" s="352">
        <v>23000000</v>
      </c>
      <c r="I24" s="358"/>
      <c r="J24" s="348">
        <v>-97690.89</v>
      </c>
      <c r="K24" s="352">
        <f t="shared" ref="K24:K27" si="0">SUM(H24:J24)</f>
        <v>22902309.109999999</v>
      </c>
      <c r="L24" s="359"/>
      <c r="M24" s="352">
        <v>0</v>
      </c>
      <c r="N24" s="355"/>
      <c r="O24" s="348">
        <f t="shared" ref="O24" si="1">K24</f>
        <v>22902309.109999999</v>
      </c>
      <c r="P24" s="351" t="s">
        <v>74</v>
      </c>
      <c r="Q24" s="348">
        <f t="shared" ref="Q24:Q27" si="2">SUM(M24:O24)</f>
        <v>22902309.109999999</v>
      </c>
      <c r="S24" s="352">
        <v>0</v>
      </c>
    </row>
    <row r="25" spans="2:20" s="346" customFormat="1" ht="13.5" customHeight="1" x14ac:dyDescent="0.25">
      <c r="B25" s="356">
        <v>18606302</v>
      </c>
      <c r="C25" s="344"/>
      <c r="D25" s="356">
        <v>18609432</v>
      </c>
      <c r="F25" s="347" t="s">
        <v>242</v>
      </c>
      <c r="G25" s="357"/>
      <c r="H25" s="352">
        <v>1199945.8700000001</v>
      </c>
      <c r="I25" s="358"/>
      <c r="J25" s="348">
        <v>97690.89</v>
      </c>
      <c r="K25" s="352">
        <f t="shared" si="0"/>
        <v>1297636.76</v>
      </c>
      <c r="L25" s="384" t="s">
        <v>12</v>
      </c>
      <c r="M25" s="352">
        <f>K25</f>
        <v>1297636.76</v>
      </c>
      <c r="N25" s="355"/>
      <c r="O25" s="348">
        <v>0</v>
      </c>
      <c r="Q25" s="348">
        <f t="shared" si="2"/>
        <v>1297636.76</v>
      </c>
      <c r="S25" s="352">
        <v>0</v>
      </c>
    </row>
    <row r="26" spans="2:20" s="346" customFormat="1" ht="13.5" customHeight="1" x14ac:dyDescent="0.3">
      <c r="B26" s="345">
        <v>18604102</v>
      </c>
      <c r="C26" s="344"/>
      <c r="D26" s="345">
        <v>18608412</v>
      </c>
      <c r="F26" s="347" t="s">
        <v>240</v>
      </c>
      <c r="G26" s="347"/>
      <c r="H26" s="348">
        <v>2651381.7400000002</v>
      </c>
      <c r="I26" s="360"/>
      <c r="J26" s="348">
        <v>0</v>
      </c>
      <c r="K26" s="352">
        <f t="shared" si="0"/>
        <v>2651381.7400000002</v>
      </c>
      <c r="L26" s="352"/>
      <c r="M26" s="348">
        <f>K26</f>
        <v>2651381.7400000002</v>
      </c>
      <c r="N26" s="350"/>
      <c r="O26" s="348">
        <v>0</v>
      </c>
      <c r="P26" s="351"/>
      <c r="Q26" s="348">
        <f t="shared" si="2"/>
        <v>2651381.7400000002</v>
      </c>
      <c r="S26" s="348">
        <v>0</v>
      </c>
    </row>
    <row r="27" spans="2:20" s="355" customFormat="1" ht="13.5" customHeight="1" x14ac:dyDescent="0.3">
      <c r="B27" s="345">
        <v>18614102</v>
      </c>
      <c r="C27" s="344"/>
      <c r="D27" s="345">
        <v>18609312</v>
      </c>
      <c r="F27" s="347" t="s">
        <v>239</v>
      </c>
      <c r="G27" s="347"/>
      <c r="H27" s="352">
        <v>12405154.710000001</v>
      </c>
      <c r="I27" s="353"/>
      <c r="J27" s="352">
        <v>0</v>
      </c>
      <c r="K27" s="352">
        <f t="shared" si="0"/>
        <v>12405154.710000001</v>
      </c>
      <c r="L27" s="352"/>
      <c r="M27" s="352">
        <f>K27</f>
        <v>12405154.710000001</v>
      </c>
      <c r="N27" s="350"/>
      <c r="O27" s="348">
        <v>0</v>
      </c>
      <c r="P27" s="354"/>
      <c r="Q27" s="348">
        <f t="shared" si="2"/>
        <v>12405154.710000001</v>
      </c>
      <c r="S27" s="352">
        <v>0</v>
      </c>
      <c r="T27" s="346"/>
    </row>
    <row r="28" spans="2:20" s="346" customFormat="1" ht="13.5" customHeight="1" x14ac:dyDescent="0.3">
      <c r="B28" s="345"/>
      <c r="C28" s="343"/>
      <c r="D28" s="345"/>
      <c r="F28" s="361" t="s">
        <v>241</v>
      </c>
      <c r="G28" s="361"/>
      <c r="H28" s="362">
        <f>SUM(H24:H27)</f>
        <v>39256482.32</v>
      </c>
      <c r="I28" s="362"/>
      <c r="J28" s="362">
        <f>SUM(J24:J27)</f>
        <v>0</v>
      </c>
      <c r="K28" s="362">
        <f>SUM(K24:K27)</f>
        <v>39256482.32</v>
      </c>
      <c r="L28" s="362"/>
      <c r="M28" s="362">
        <f>SUM(M24:M27)</f>
        <v>16354173.210000001</v>
      </c>
      <c r="N28" s="362"/>
      <c r="O28" s="362">
        <f>SUM(O24:O27)</f>
        <v>22902309.109999999</v>
      </c>
      <c r="P28" s="363"/>
      <c r="Q28" s="362">
        <f>SUM(Q24:Q27)</f>
        <v>39256482.32</v>
      </c>
      <c r="R28" s="363"/>
      <c r="S28" s="362">
        <f>SUM(S26:S26)</f>
        <v>0</v>
      </c>
    </row>
    <row r="29" spans="2:20" ht="13.5" customHeight="1" x14ac:dyDescent="0.25">
      <c r="B29" s="10"/>
      <c r="C29" s="5"/>
      <c r="D29" s="10"/>
      <c r="E29" s="1"/>
      <c r="F29" s="70"/>
      <c r="G29" s="70"/>
      <c r="H29" s="54"/>
      <c r="I29" s="35"/>
      <c r="J29" s="348"/>
      <c r="K29" s="54"/>
      <c r="L29" s="53"/>
      <c r="M29" s="54"/>
      <c r="N29" s="37"/>
      <c r="O29" s="54"/>
      <c r="P29" s="1"/>
      <c r="Q29" s="54"/>
      <c r="S29" s="54"/>
      <c r="T29" s="1"/>
    </row>
    <row r="30" spans="2:20" s="7" customFormat="1" ht="13.5" customHeight="1" x14ac:dyDescent="0.3">
      <c r="B30" s="10"/>
      <c r="C30" s="4"/>
      <c r="D30" s="10">
        <v>18609622</v>
      </c>
      <c r="E30" s="1"/>
      <c r="F30" s="70" t="s">
        <v>45</v>
      </c>
      <c r="G30" s="70"/>
      <c r="H30" s="53">
        <f>1000000</f>
        <v>1000000</v>
      </c>
      <c r="I30" s="35"/>
      <c r="J30" s="348">
        <v>0</v>
      </c>
      <c r="K30" s="53">
        <f>SUM(H30:J30)</f>
        <v>1000000</v>
      </c>
      <c r="L30" s="53"/>
      <c r="M30" s="53">
        <v>0</v>
      </c>
      <c r="N30" s="37"/>
      <c r="O30" s="53">
        <f>K30</f>
        <v>1000000</v>
      </c>
      <c r="P30" s="351" t="s">
        <v>75</v>
      </c>
      <c r="Q30" s="54">
        <f>SUM(M30:O30)</f>
        <v>1000000</v>
      </c>
      <c r="S30" s="53">
        <v>0</v>
      </c>
      <c r="T30" s="1"/>
    </row>
    <row r="31" spans="2:20" s="7" customFormat="1" ht="13.5" customHeight="1" x14ac:dyDescent="0.25">
      <c r="B31" s="10">
        <v>18612102</v>
      </c>
      <c r="C31" s="4"/>
      <c r="D31" s="10">
        <v>18609512</v>
      </c>
      <c r="F31" s="65" t="s">
        <v>54</v>
      </c>
      <c r="G31" s="65"/>
      <c r="H31" s="53">
        <v>0</v>
      </c>
      <c r="I31" s="31"/>
      <c r="J31" s="352">
        <v>0</v>
      </c>
      <c r="K31" s="53">
        <f>SUM(H31:J31)</f>
        <v>0</v>
      </c>
      <c r="L31" s="53"/>
      <c r="M31" s="53">
        <f>K31</f>
        <v>0</v>
      </c>
      <c r="N31" s="37"/>
      <c r="O31" s="53">
        <v>0</v>
      </c>
      <c r="Q31" s="54">
        <f>SUM(M31:O31)</f>
        <v>0</v>
      </c>
      <c r="S31" s="53">
        <v>0</v>
      </c>
      <c r="T31" s="1"/>
    </row>
    <row r="32" spans="2:20" s="7" customFormat="1" ht="13.5" customHeight="1" x14ac:dyDescent="0.3">
      <c r="B32" s="10"/>
      <c r="C32" s="4"/>
      <c r="D32" s="10"/>
      <c r="F32" s="110" t="s">
        <v>34</v>
      </c>
      <c r="G32" s="110"/>
      <c r="H32" s="63">
        <f>SUM(H30:H31)</f>
        <v>1000000</v>
      </c>
      <c r="I32" s="111"/>
      <c r="J32" s="362">
        <f>SUM(J30:J31)</f>
        <v>0</v>
      </c>
      <c r="K32" s="63">
        <f>SUM(K30:K31)</f>
        <v>1000000</v>
      </c>
      <c r="L32" s="63"/>
      <c r="M32" s="63">
        <f>SUM(M30:M31)</f>
        <v>0</v>
      </c>
      <c r="N32" s="112"/>
      <c r="O32" s="63">
        <f>SUM(O30:O31)</f>
        <v>1000000</v>
      </c>
      <c r="P32" s="113"/>
      <c r="Q32" s="63">
        <f>SUM(Q30:Q31)</f>
        <v>1000000</v>
      </c>
      <c r="R32" s="113"/>
      <c r="S32" s="63">
        <f>SUM(S30:S31)</f>
        <v>0</v>
      </c>
      <c r="T32" s="1"/>
    </row>
    <row r="33" spans="2:20" s="7" customFormat="1" ht="13.5" customHeight="1" x14ac:dyDescent="0.3">
      <c r="B33" s="10"/>
      <c r="C33" s="4"/>
      <c r="D33" s="10"/>
      <c r="F33" s="110"/>
      <c r="G33" s="110"/>
      <c r="H33" s="57"/>
      <c r="I33" s="40"/>
      <c r="J33" s="396"/>
      <c r="K33" s="57"/>
      <c r="L33" s="57"/>
      <c r="M33" s="57"/>
      <c r="N33" s="340"/>
      <c r="O33" s="57"/>
      <c r="P33" s="82"/>
      <c r="Q33" s="57"/>
      <c r="R33" s="82"/>
      <c r="S33" s="57"/>
      <c r="T33" s="1"/>
    </row>
    <row r="34" spans="2:20" s="7" customFormat="1" ht="13.5" customHeight="1" x14ac:dyDescent="0.25">
      <c r="B34" s="10"/>
      <c r="C34" s="4"/>
      <c r="D34" s="10"/>
      <c r="F34" s="71"/>
      <c r="G34" s="71"/>
      <c r="H34" s="53"/>
      <c r="I34" s="35"/>
      <c r="J34" s="352"/>
      <c r="K34" s="53"/>
      <c r="L34" s="53"/>
      <c r="M34" s="53"/>
      <c r="N34" s="37"/>
      <c r="O34" s="53"/>
      <c r="Q34" s="53"/>
      <c r="S34" s="53"/>
      <c r="T34" s="1"/>
    </row>
    <row r="35" spans="2:20" ht="13.5" customHeight="1" x14ac:dyDescent="0.3">
      <c r="B35" s="10"/>
      <c r="C35" s="5"/>
      <c r="D35" s="10">
        <v>18609642</v>
      </c>
      <c r="E35" s="1"/>
      <c r="F35" s="70" t="s">
        <v>46</v>
      </c>
      <c r="G35" s="70"/>
      <c r="H35" s="53">
        <v>400000</v>
      </c>
      <c r="I35" s="31"/>
      <c r="J35" s="348">
        <v>-51630.91</v>
      </c>
      <c r="K35" s="54">
        <f>SUM(H35:J35)</f>
        <v>348369.08999999997</v>
      </c>
      <c r="L35" s="53"/>
      <c r="M35" s="53">
        <v>0</v>
      </c>
      <c r="N35" s="33"/>
      <c r="O35" s="53">
        <f>K35</f>
        <v>348369.08999999997</v>
      </c>
      <c r="P35" s="354" t="s">
        <v>75</v>
      </c>
      <c r="Q35" s="53">
        <f>SUM(M35:O35)</f>
        <v>348369.08999999997</v>
      </c>
      <c r="S35" s="53">
        <v>0</v>
      </c>
      <c r="T35" s="1"/>
    </row>
    <row r="36" spans="2:20" ht="13.5" customHeight="1" x14ac:dyDescent="0.3">
      <c r="B36" s="13">
        <v>18601102</v>
      </c>
      <c r="C36" s="5"/>
      <c r="D36" s="13">
        <v>18608112</v>
      </c>
      <c r="E36" s="1"/>
      <c r="F36" s="70" t="s">
        <v>56</v>
      </c>
      <c r="G36" s="70"/>
      <c r="H36" s="371">
        <v>3606789.62</v>
      </c>
      <c r="I36" s="35"/>
      <c r="J36" s="348">
        <v>51630.91</v>
      </c>
      <c r="K36" s="54">
        <f>SUM(H36:J36)</f>
        <v>3658420.5300000003</v>
      </c>
      <c r="L36" s="53"/>
      <c r="M36" s="54">
        <f>K36</f>
        <v>3658420.5300000003</v>
      </c>
      <c r="N36" s="7"/>
      <c r="O36" s="54">
        <v>0</v>
      </c>
      <c r="P36" s="354"/>
      <c r="Q36" s="53">
        <f>SUM(M36:O36)</f>
        <v>3658420.5300000003</v>
      </c>
      <c r="S36" s="54">
        <v>0</v>
      </c>
      <c r="T36" s="1"/>
    </row>
    <row r="37" spans="2:20" ht="13.5" customHeight="1" x14ac:dyDescent="0.25">
      <c r="B37" s="13">
        <v>18601102</v>
      </c>
      <c r="C37" s="5"/>
      <c r="D37" s="13">
        <v>18608112</v>
      </c>
      <c r="E37" s="1"/>
      <c r="F37" s="70" t="s">
        <v>55</v>
      </c>
      <c r="G37" s="70"/>
      <c r="H37" s="54">
        <v>34826945.689999998</v>
      </c>
      <c r="I37" s="35"/>
      <c r="J37" s="348">
        <v>0</v>
      </c>
      <c r="K37" s="54">
        <f>SUM(H37:J37)</f>
        <v>34826945.689999998</v>
      </c>
      <c r="L37" s="53"/>
      <c r="M37" s="54">
        <f>K37</f>
        <v>34826945.689999998</v>
      </c>
      <c r="N37" s="7"/>
      <c r="O37" s="54">
        <v>0</v>
      </c>
      <c r="P37" s="1"/>
      <c r="Q37" s="53">
        <f>SUM(M37:O37)</f>
        <v>34826945.689999998</v>
      </c>
      <c r="S37" s="54">
        <v>0</v>
      </c>
      <c r="T37" s="1"/>
    </row>
    <row r="38" spans="2:20" ht="13.5" customHeight="1" x14ac:dyDescent="0.3">
      <c r="B38" s="13"/>
      <c r="C38" s="5"/>
      <c r="D38" s="13"/>
      <c r="E38" s="1"/>
      <c r="F38" s="108" t="s">
        <v>35</v>
      </c>
      <c r="G38" s="108"/>
      <c r="H38" s="63">
        <f>SUM(H35:H37)</f>
        <v>38833735.309999995</v>
      </c>
      <c r="I38" s="111"/>
      <c r="J38" s="362">
        <f>SUM(J35:J37)</f>
        <v>0</v>
      </c>
      <c r="K38" s="63">
        <f>SUM(K35:K37)</f>
        <v>38833735.309999995</v>
      </c>
      <c r="L38" s="63"/>
      <c r="M38" s="63">
        <f>SUM(M35:M37)</f>
        <v>38485366.219999999</v>
      </c>
      <c r="N38" s="112"/>
      <c r="O38" s="63">
        <f>SUM(O35:O37)</f>
        <v>348369.08999999997</v>
      </c>
      <c r="P38" s="113"/>
      <c r="Q38" s="63">
        <f>SUM(Q35:Q37)</f>
        <v>38833735.309999995</v>
      </c>
      <c r="R38" s="113"/>
      <c r="S38" s="63">
        <f>SUM(S35:S37)</f>
        <v>0</v>
      </c>
      <c r="T38" s="1"/>
    </row>
    <row r="39" spans="2:20" ht="13.5" customHeight="1" x14ac:dyDescent="0.25">
      <c r="B39" s="13"/>
      <c r="C39" s="5"/>
      <c r="D39" s="5"/>
      <c r="E39" s="1"/>
      <c r="F39" s="70"/>
      <c r="G39" s="70"/>
      <c r="H39" s="54"/>
      <c r="I39" s="35"/>
      <c r="J39" s="348"/>
      <c r="K39" s="54"/>
      <c r="L39" s="53"/>
      <c r="M39" s="54"/>
      <c r="N39" s="7"/>
      <c r="O39" s="54"/>
      <c r="P39" s="1"/>
      <c r="Q39" s="54"/>
      <c r="S39" s="54"/>
      <c r="T39" s="1"/>
    </row>
    <row r="40" spans="2:20" s="7" customFormat="1" ht="13.5" customHeight="1" x14ac:dyDescent="0.3">
      <c r="B40" s="10"/>
      <c r="C40" s="4"/>
      <c r="D40" s="10">
        <v>18609652</v>
      </c>
      <c r="E40" s="1"/>
      <c r="F40" s="70" t="s">
        <v>47</v>
      </c>
      <c r="G40" s="70"/>
      <c r="H40" s="53">
        <v>1270000</v>
      </c>
      <c r="I40" s="35"/>
      <c r="J40" s="348">
        <v>0</v>
      </c>
      <c r="K40" s="53">
        <f>SUM(H40:J40)</f>
        <v>1270000</v>
      </c>
      <c r="L40" s="53"/>
      <c r="M40" s="53">
        <v>0</v>
      </c>
      <c r="N40" s="37"/>
      <c r="O40" s="53">
        <f>K40</f>
        <v>1270000</v>
      </c>
      <c r="P40" s="82" t="s">
        <v>76</v>
      </c>
      <c r="Q40" s="53">
        <f>SUM(M40:O40)</f>
        <v>1270000</v>
      </c>
      <c r="S40" s="53"/>
      <c r="T40" s="1"/>
    </row>
    <row r="41" spans="2:20" s="7" customFormat="1" ht="13.5" customHeight="1" x14ac:dyDescent="0.3">
      <c r="B41" s="10">
        <v>18603202</v>
      </c>
      <c r="C41" s="4"/>
      <c r="D41" s="10">
        <v>18609532</v>
      </c>
      <c r="F41" s="71" t="s">
        <v>57</v>
      </c>
      <c r="G41" s="71"/>
      <c r="H41" s="53">
        <v>230349.84</v>
      </c>
      <c r="I41" s="31"/>
      <c r="J41" s="348">
        <v>0</v>
      </c>
      <c r="K41" s="53">
        <f>SUM(H41:J41)</f>
        <v>230349.84</v>
      </c>
      <c r="L41" s="53"/>
      <c r="M41" s="53">
        <f>K41</f>
        <v>230349.84</v>
      </c>
      <c r="N41" s="37"/>
      <c r="O41" s="53">
        <v>0</v>
      </c>
      <c r="P41" s="82"/>
      <c r="Q41" s="53">
        <f>SUM(M41:O41)</f>
        <v>230349.84</v>
      </c>
      <c r="S41" s="53">
        <v>0</v>
      </c>
    </row>
    <row r="42" spans="2:20" s="7" customFormat="1" ht="13.5" customHeight="1" x14ac:dyDescent="0.3">
      <c r="B42" s="10"/>
      <c r="C42" s="4"/>
      <c r="D42" s="10"/>
      <c r="F42" s="108" t="s">
        <v>36</v>
      </c>
      <c r="G42" s="108"/>
      <c r="H42" s="63">
        <f>SUM(H40:H41)</f>
        <v>1500349.84</v>
      </c>
      <c r="I42" s="111"/>
      <c r="J42" s="362">
        <f>SUM(J40:J41)</f>
        <v>0</v>
      </c>
      <c r="K42" s="63">
        <f>SUM(K40:K41)</f>
        <v>1500349.84</v>
      </c>
      <c r="L42" s="63"/>
      <c r="M42" s="63">
        <f>SUM(M40:M41)</f>
        <v>230349.84</v>
      </c>
      <c r="N42" s="112"/>
      <c r="O42" s="63">
        <f>SUM(O40:O41)</f>
        <v>1270000</v>
      </c>
      <c r="P42" s="113"/>
      <c r="Q42" s="63">
        <f>SUM(Q40:Q41)</f>
        <v>1500349.84</v>
      </c>
      <c r="R42" s="113"/>
      <c r="S42" s="63">
        <f>SUM(S40:S41)</f>
        <v>0</v>
      </c>
      <c r="T42" s="1"/>
    </row>
    <row r="43" spans="2:20" s="7" customFormat="1" ht="13.5" customHeight="1" x14ac:dyDescent="0.25">
      <c r="B43" s="10"/>
      <c r="C43" s="4"/>
      <c r="D43" s="10"/>
      <c r="F43" s="71"/>
      <c r="G43" s="71"/>
      <c r="H43" s="53"/>
      <c r="I43" s="35"/>
      <c r="J43" s="352"/>
      <c r="K43" s="53"/>
      <c r="L43" s="53"/>
      <c r="M43" s="53"/>
      <c r="N43" s="37"/>
      <c r="O43" s="53"/>
      <c r="Q43" s="53"/>
      <c r="S43" s="53"/>
      <c r="T43" s="1"/>
    </row>
    <row r="44" spans="2:20" s="7" customFormat="1" ht="13.5" customHeight="1" x14ac:dyDescent="0.3">
      <c r="B44" s="10"/>
      <c r="C44" s="4"/>
      <c r="D44" s="10">
        <v>18609662</v>
      </c>
      <c r="E44" s="1"/>
      <c r="F44" s="70" t="s">
        <v>48</v>
      </c>
      <c r="G44" s="70"/>
      <c r="H44" s="53">
        <v>250000</v>
      </c>
      <c r="I44" s="35"/>
      <c r="J44" s="348">
        <v>-3486.23</v>
      </c>
      <c r="K44" s="53">
        <f>SUM(H44:J44)</f>
        <v>246513.77</v>
      </c>
      <c r="L44" s="53"/>
      <c r="M44" s="53">
        <v>0</v>
      </c>
      <c r="N44" s="37"/>
      <c r="O44" s="53">
        <f>K44</f>
        <v>246513.77</v>
      </c>
      <c r="P44" s="82" t="s">
        <v>76</v>
      </c>
      <c r="Q44" s="53">
        <f>SUM(M44:O44)</f>
        <v>246513.77</v>
      </c>
      <c r="S44" s="53">
        <v>0</v>
      </c>
      <c r="T44" s="1"/>
    </row>
    <row r="45" spans="2:20" s="7" customFormat="1" ht="13.5" customHeight="1" x14ac:dyDescent="0.25">
      <c r="B45" s="10">
        <v>18614402</v>
      </c>
      <c r="C45" s="4"/>
      <c r="D45" s="10">
        <v>18609542</v>
      </c>
      <c r="F45" s="71" t="s">
        <v>58</v>
      </c>
      <c r="G45" s="71"/>
      <c r="H45" s="53">
        <v>1155342.1599999999</v>
      </c>
      <c r="I45" s="31"/>
      <c r="J45" s="348">
        <v>3486.23</v>
      </c>
      <c r="K45" s="53">
        <f>SUM(H45:J45)</f>
        <v>1158828.3899999999</v>
      </c>
      <c r="L45" s="53"/>
      <c r="M45" s="53">
        <f>K45</f>
        <v>1158828.3899999999</v>
      </c>
      <c r="N45" s="37"/>
      <c r="O45" s="53">
        <v>0</v>
      </c>
      <c r="Q45" s="53">
        <f>SUM(M45:O45)</f>
        <v>1158828.3899999999</v>
      </c>
      <c r="S45" s="53">
        <v>0</v>
      </c>
    </row>
    <row r="46" spans="2:20" s="7" customFormat="1" ht="13.5" customHeight="1" x14ac:dyDescent="0.3">
      <c r="B46" s="10"/>
      <c r="C46" s="4"/>
      <c r="D46" s="10"/>
      <c r="F46" s="108" t="s">
        <v>37</v>
      </c>
      <c r="G46" s="108"/>
      <c r="H46" s="63">
        <f>SUM(H44:H45)</f>
        <v>1405342.16</v>
      </c>
      <c r="I46" s="111"/>
      <c r="J46" s="362">
        <f>SUM(J44:J45)</f>
        <v>0</v>
      </c>
      <c r="K46" s="63">
        <f>SUM(K44:K45)</f>
        <v>1405342.16</v>
      </c>
      <c r="L46" s="63"/>
      <c r="M46" s="63">
        <f>SUM(M44:M45)</f>
        <v>1158828.3899999999</v>
      </c>
      <c r="N46" s="112"/>
      <c r="O46" s="63">
        <f>SUM(O44:O45)</f>
        <v>246513.77</v>
      </c>
      <c r="P46" s="363"/>
      <c r="Q46" s="63">
        <f>SUM(Q44:Q45)</f>
        <v>1405342.16</v>
      </c>
      <c r="R46" s="113"/>
      <c r="S46" s="63">
        <f>SUM(S44:S45)</f>
        <v>0</v>
      </c>
      <c r="T46" s="1"/>
    </row>
    <row r="47" spans="2:20" s="7" customFormat="1" ht="13.5" customHeight="1" x14ac:dyDescent="0.25">
      <c r="B47" s="10"/>
      <c r="C47" s="4"/>
      <c r="D47" s="10"/>
      <c r="F47" s="70"/>
      <c r="G47" s="70"/>
      <c r="H47" s="54"/>
      <c r="I47" s="35"/>
      <c r="J47" s="348"/>
      <c r="K47" s="54"/>
      <c r="L47" s="53"/>
      <c r="M47" s="54"/>
      <c r="N47" s="37"/>
      <c r="O47" s="54"/>
      <c r="Q47" s="54"/>
      <c r="S47" s="54"/>
      <c r="T47" s="1"/>
    </row>
    <row r="48" spans="2:20" s="7" customFormat="1" ht="13.5" customHeight="1" x14ac:dyDescent="0.3">
      <c r="B48" s="10"/>
      <c r="C48" s="4"/>
      <c r="D48" s="10">
        <v>18609672</v>
      </c>
      <c r="E48" s="1"/>
      <c r="F48" s="70" t="s">
        <v>49</v>
      </c>
      <c r="G48" s="70"/>
      <c r="H48" s="53">
        <v>300000</v>
      </c>
      <c r="I48" s="35"/>
      <c r="J48" s="348">
        <v>0</v>
      </c>
      <c r="K48" s="352">
        <f>SUM(H48:J48)</f>
        <v>300000</v>
      </c>
      <c r="L48" s="53"/>
      <c r="M48" s="53">
        <v>0</v>
      </c>
      <c r="N48" s="37"/>
      <c r="O48" s="53">
        <f>K48</f>
        <v>300000</v>
      </c>
      <c r="P48" s="354" t="s">
        <v>76</v>
      </c>
      <c r="Q48" s="352">
        <f>SUM(M48:O48)</f>
        <v>300000</v>
      </c>
      <c r="S48" s="53">
        <v>0</v>
      </c>
      <c r="T48" s="1"/>
    </row>
    <row r="49" spans="2:39" s="7" customFormat="1" ht="13" x14ac:dyDescent="0.3">
      <c r="B49" s="10">
        <v>18608302</v>
      </c>
      <c r="C49" s="4"/>
      <c r="D49" s="10">
        <v>18608752</v>
      </c>
      <c r="F49" s="71" t="s">
        <v>59</v>
      </c>
      <c r="G49" s="71"/>
      <c r="H49" s="53">
        <v>2050122.67</v>
      </c>
      <c r="I49" s="31"/>
      <c r="J49" s="348">
        <v>0</v>
      </c>
      <c r="K49" s="53">
        <f>SUM(H49:J49)</f>
        <v>2050122.67</v>
      </c>
      <c r="L49" s="53"/>
      <c r="M49" s="53">
        <f>K49</f>
        <v>2050122.67</v>
      </c>
      <c r="N49" s="37"/>
      <c r="O49" s="53">
        <v>0</v>
      </c>
      <c r="P49" s="82"/>
      <c r="Q49" s="53">
        <f>SUM(M49:O49)</f>
        <v>2050122.67</v>
      </c>
      <c r="S49" s="53">
        <v>0</v>
      </c>
    </row>
    <row r="50" spans="2:39" s="7" customFormat="1" ht="13.5" customHeight="1" x14ac:dyDescent="0.3">
      <c r="B50" s="10">
        <v>18608304</v>
      </c>
      <c r="C50" s="4"/>
      <c r="D50" s="10">
        <v>18608752</v>
      </c>
      <c r="F50" s="71" t="s">
        <v>188</v>
      </c>
      <c r="G50" s="71"/>
      <c r="H50" s="53">
        <v>-1114592.67</v>
      </c>
      <c r="I50" s="31"/>
      <c r="J50" s="348">
        <v>0</v>
      </c>
      <c r="K50" s="53">
        <f>SUM(H50:J50)</f>
        <v>-1114592.67</v>
      </c>
      <c r="L50" s="53"/>
      <c r="M50" s="53">
        <f>K50</f>
        <v>-1114592.67</v>
      </c>
      <c r="N50" s="37"/>
      <c r="O50" s="53">
        <v>0</v>
      </c>
      <c r="P50" s="82"/>
      <c r="Q50" s="53">
        <f>SUM(M50:O50)</f>
        <v>-1114592.67</v>
      </c>
      <c r="S50" s="53">
        <v>0</v>
      </c>
    </row>
    <row r="51" spans="2:39" s="7" customFormat="1" ht="13.5" customHeight="1" x14ac:dyDescent="0.3">
      <c r="B51" s="10"/>
      <c r="C51" s="4"/>
      <c r="D51" s="10"/>
      <c r="F51" s="108" t="s">
        <v>38</v>
      </c>
      <c r="G51" s="108"/>
      <c r="H51" s="63">
        <f>SUM(H48:H50)</f>
        <v>1235530</v>
      </c>
      <c r="I51" s="111"/>
      <c r="J51" s="362">
        <f>SUM(J48:J50)</f>
        <v>0</v>
      </c>
      <c r="K51" s="63">
        <f>SUM(K48:K50)</f>
        <v>1235530</v>
      </c>
      <c r="L51" s="63"/>
      <c r="M51" s="63">
        <f>SUM(M48:M50)</f>
        <v>935530</v>
      </c>
      <c r="N51" s="112"/>
      <c r="O51" s="63">
        <f>SUM(O48:O50)</f>
        <v>300000</v>
      </c>
      <c r="P51" s="363"/>
      <c r="Q51" s="63">
        <f>SUM(Q48:Q50)</f>
        <v>1235530</v>
      </c>
      <c r="R51" s="113"/>
      <c r="S51" s="63">
        <f>SUM(S48:S50)</f>
        <v>0</v>
      </c>
      <c r="T51" s="1"/>
      <c r="AA51" s="83"/>
    </row>
    <row r="52" spans="2:39" s="7" customFormat="1" ht="13.5" customHeight="1" x14ac:dyDescent="0.25">
      <c r="B52" s="10"/>
      <c r="C52" s="4"/>
      <c r="D52" s="10"/>
      <c r="F52" s="70"/>
      <c r="G52" s="70"/>
      <c r="H52" s="54"/>
      <c r="I52" s="35"/>
      <c r="J52" s="348"/>
      <c r="K52" s="54"/>
      <c r="L52" s="53"/>
      <c r="M52" s="54"/>
      <c r="N52" s="37"/>
      <c r="O52" s="54"/>
      <c r="Q52" s="54"/>
      <c r="S52" s="54"/>
      <c r="T52" s="1"/>
    </row>
    <row r="53" spans="2:39" s="7" customFormat="1" ht="13.5" customHeight="1" x14ac:dyDescent="0.3">
      <c r="B53" s="10"/>
      <c r="C53" s="4"/>
      <c r="D53" s="10">
        <v>18608062</v>
      </c>
      <c r="F53" s="70" t="s">
        <v>30</v>
      </c>
      <c r="G53" s="70"/>
      <c r="H53" s="75"/>
      <c r="I53" s="116"/>
      <c r="J53" s="397"/>
      <c r="K53" s="75"/>
      <c r="L53" s="75"/>
      <c r="M53" s="75"/>
      <c r="N53" s="117"/>
      <c r="O53" s="75"/>
      <c r="P53" s="28"/>
      <c r="Q53" s="75"/>
      <c r="R53" s="28"/>
      <c r="S53" s="75" t="e">
        <f>#REF!</f>
        <v>#REF!</v>
      </c>
      <c r="T53" s="1"/>
      <c r="AA53" s="85" t="e">
        <f>Q57-#REF!-Q13-#REF!-#REF!-#REF!-#REF!-#REF!-Q37-#REF!-#REF!-#REF!-#REF!-#REF!+Q60+Q61+Q64</f>
        <v>#REF!</v>
      </c>
      <c r="AC53" s="94" t="s">
        <v>66</v>
      </c>
    </row>
    <row r="54" spans="2:39" s="7" customFormat="1" ht="13.5" customHeight="1" x14ac:dyDescent="0.3">
      <c r="B54" s="10"/>
      <c r="C54" s="4"/>
      <c r="D54" s="10"/>
      <c r="F54" s="70"/>
      <c r="G54" s="70"/>
      <c r="H54" s="53"/>
      <c r="I54" s="31"/>
      <c r="J54" s="352"/>
      <c r="K54" s="53"/>
      <c r="L54" s="53"/>
      <c r="M54" s="53"/>
      <c r="N54" s="37"/>
      <c r="O54" s="53"/>
      <c r="Q54" s="53"/>
      <c r="S54" s="53"/>
      <c r="T54" s="1"/>
      <c r="AA54" s="85"/>
      <c r="AC54" s="94"/>
    </row>
    <row r="55" spans="2:39" s="7" customFormat="1" ht="13.5" hidden="1" customHeight="1" x14ac:dyDescent="0.3">
      <c r="B55" s="10"/>
      <c r="C55" s="4"/>
      <c r="D55" s="10"/>
      <c r="F55" s="323" t="s">
        <v>67</v>
      </c>
      <c r="G55" s="70"/>
      <c r="H55" s="53"/>
      <c r="I55" s="31"/>
      <c r="J55" s="352"/>
      <c r="K55" s="53"/>
      <c r="L55" s="53"/>
      <c r="M55" s="53"/>
      <c r="N55" s="37"/>
      <c r="O55" s="53"/>
      <c r="P55" s="53"/>
      <c r="Q55" s="91" t="e">
        <f>Q7+Q8+Q11+Q12+Q16+Q17+Q20+Q21+#REF!+Q26+Q30+Q31+#REF!+Q27+Q35+Q36+Q40+Q41+Q44+Q45+Q48+Q49+Q50</f>
        <v>#REF!</v>
      </c>
      <c r="S55" s="53"/>
      <c r="T55" s="1"/>
      <c r="AA55" s="85"/>
      <c r="AC55" s="94"/>
    </row>
    <row r="56" spans="2:39" s="7" customFormat="1" ht="13.5" hidden="1" customHeight="1" x14ac:dyDescent="0.3">
      <c r="B56" s="10"/>
      <c r="C56" s="4"/>
      <c r="D56" s="10"/>
      <c r="F56" s="323" t="s">
        <v>68</v>
      </c>
      <c r="G56" s="70"/>
      <c r="H56" s="53"/>
      <c r="I56" s="31"/>
      <c r="J56" s="352"/>
      <c r="K56" s="53"/>
      <c r="L56" s="53"/>
      <c r="M56" s="53"/>
      <c r="N56" s="37"/>
      <c r="O56" s="53"/>
      <c r="Q56" s="91">
        <f>Q13+Q37</f>
        <v>39326149.280000001</v>
      </c>
      <c r="S56" s="53"/>
      <c r="T56" s="1"/>
      <c r="AA56" s="85"/>
      <c r="AC56" s="94"/>
    </row>
    <row r="57" spans="2:39" s="7" customFormat="1" ht="13.5" customHeight="1" x14ac:dyDescent="0.3">
      <c r="B57" s="5"/>
      <c r="C57" s="5"/>
      <c r="D57" s="5"/>
      <c r="E57" s="1"/>
      <c r="F57" s="107" t="s">
        <v>236</v>
      </c>
      <c r="G57" s="87"/>
      <c r="H57" s="88">
        <f>H53+H51+H46+H42+H38+H32+H28+H22+H18+H14+H9</f>
        <v>103399166.3</v>
      </c>
      <c r="I57" s="88"/>
      <c r="J57" s="398">
        <f>J53+J51+J46+J42+J38+J32+J28+J22+J18+J14+J9</f>
        <v>0</v>
      </c>
      <c r="K57" s="88">
        <f>K53+K51+K46+K42+K38+K32+K28+K22+K18+K14+K9</f>
        <v>103399166.3</v>
      </c>
      <c r="L57" s="88"/>
      <c r="M57" s="88">
        <f>M53+M51+M46+M42+M38+M32+M28+M22+M18+M14+M9</f>
        <v>71865607.859999999</v>
      </c>
      <c r="N57" s="88"/>
      <c r="O57" s="88">
        <f>O53+O51+O46+O42+O38+O32+O28+O22+O18+O14+O9</f>
        <v>31533558.440000001</v>
      </c>
      <c r="P57" s="88"/>
      <c r="Q57" s="88">
        <f>Q53+Q51+Q46+Q42+Q38+Q32+Q28+Q22+Q18+Q14+Q9</f>
        <v>103399166.3</v>
      </c>
      <c r="R57" s="88">
        <f>R53+R51+R46+R42+R38+R32+R28+R22+R18+R14+R9</f>
        <v>0</v>
      </c>
      <c r="S57" s="88" t="e">
        <f>S53+S51+S46+S42+S38+S32+S28+S22+S18+S14+S9</f>
        <v>#REF!</v>
      </c>
      <c r="T57" s="1"/>
      <c r="U57" s="39"/>
      <c r="V57" s="39"/>
      <c r="W57" s="39"/>
      <c r="X57" s="39"/>
      <c r="Y57" s="39"/>
      <c r="Z57" s="39"/>
      <c r="AA57" s="85">
        <f>M57+O57</f>
        <v>103399166.3</v>
      </c>
      <c r="AB57" s="85">
        <f>Q57-AA57</f>
        <v>0</v>
      </c>
      <c r="AC57" s="84" t="s">
        <v>89</v>
      </c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spans="2:39" s="7" customFormat="1" ht="13.5" customHeight="1" x14ac:dyDescent="0.3">
      <c r="B58" s="5"/>
      <c r="C58" s="5"/>
      <c r="D58" s="5"/>
      <c r="E58" s="1"/>
      <c r="F58" s="90"/>
      <c r="G58" s="90"/>
      <c r="H58" s="91"/>
      <c r="I58" s="92"/>
      <c r="J58" s="396"/>
      <c r="K58" s="91"/>
      <c r="L58" s="91"/>
      <c r="M58" s="91"/>
      <c r="N58" s="93"/>
      <c r="O58" s="91"/>
      <c r="P58" s="89"/>
      <c r="Q58" s="91"/>
      <c r="R58" s="89"/>
      <c r="S58" s="91"/>
      <c r="T58" s="1"/>
      <c r="AA58" s="85"/>
      <c r="AB58" s="94"/>
      <c r="AC58" s="94"/>
    </row>
    <row r="59" spans="2:39" s="7" customFormat="1" ht="13.5" customHeight="1" x14ac:dyDescent="0.3">
      <c r="B59" s="5"/>
      <c r="C59" s="5"/>
      <c r="D59" s="5"/>
      <c r="E59" s="1"/>
      <c r="F59" s="101" t="s">
        <v>8</v>
      </c>
      <c r="G59" s="90"/>
      <c r="H59" s="91"/>
      <c r="I59" s="92"/>
      <c r="J59" s="396"/>
      <c r="K59" s="91"/>
      <c r="L59" s="91"/>
      <c r="M59" s="91"/>
      <c r="N59" s="93"/>
      <c r="O59" s="91"/>
      <c r="P59" s="89"/>
      <c r="Q59" s="91"/>
      <c r="R59" s="89"/>
      <c r="S59" s="91"/>
      <c r="T59" s="1"/>
      <c r="AA59" s="85"/>
      <c r="AB59" s="94"/>
      <c r="AC59" s="94"/>
    </row>
    <row r="60" spans="2:39" s="7" customFormat="1" ht="13.5" customHeight="1" x14ac:dyDescent="0.3">
      <c r="B60" s="10"/>
      <c r="C60" s="5"/>
      <c r="D60" s="5">
        <v>18609682</v>
      </c>
      <c r="E60" s="1"/>
      <c r="F60" s="71" t="s">
        <v>64</v>
      </c>
      <c r="G60" s="71"/>
      <c r="H60" s="53">
        <v>70000</v>
      </c>
      <c r="I60" s="31"/>
      <c r="J60" s="352">
        <v>0</v>
      </c>
      <c r="K60" s="53">
        <f t="shared" ref="K60:K72" si="3">SUM(H60:J60)</f>
        <v>70000</v>
      </c>
      <c r="L60" s="53"/>
      <c r="M60" s="53">
        <v>0</v>
      </c>
      <c r="N60" s="37"/>
      <c r="O60" s="53">
        <f>K60</f>
        <v>70000</v>
      </c>
      <c r="P60" s="354" t="s">
        <v>75</v>
      </c>
      <c r="Q60" s="53">
        <f t="shared" ref="Q60:Q72" si="4">SUM(M60:O60)</f>
        <v>70000</v>
      </c>
      <c r="S60" s="53">
        <v>0</v>
      </c>
      <c r="T60" s="1"/>
    </row>
    <row r="61" spans="2:39" s="7" customFormat="1" ht="13.5" customHeight="1" x14ac:dyDescent="0.3">
      <c r="B61" s="10">
        <v>18230212</v>
      </c>
      <c r="C61" s="5"/>
      <c r="D61" s="5">
        <v>18237112</v>
      </c>
      <c r="E61" s="76"/>
      <c r="F61" s="71" t="s">
        <v>17</v>
      </c>
      <c r="G61" s="71"/>
      <c r="H61" s="53">
        <v>279321.2</v>
      </c>
      <c r="I61" s="31"/>
      <c r="J61" s="352">
        <v>0</v>
      </c>
      <c r="K61" s="53">
        <f t="shared" si="3"/>
        <v>279321.2</v>
      </c>
      <c r="L61" s="53"/>
      <c r="M61" s="53">
        <f>K61</f>
        <v>279321.2</v>
      </c>
      <c r="N61" s="37"/>
      <c r="O61" s="53">
        <v>0</v>
      </c>
      <c r="P61" s="354"/>
      <c r="Q61" s="53">
        <f t="shared" si="4"/>
        <v>279321.2</v>
      </c>
      <c r="S61" s="53">
        <v>0</v>
      </c>
    </row>
    <row r="62" spans="2:39" s="7" customFormat="1" ht="13.5" customHeight="1" x14ac:dyDescent="0.25">
      <c r="B62" s="10"/>
      <c r="C62" s="5"/>
      <c r="D62" s="5"/>
      <c r="E62" s="76"/>
      <c r="F62" s="71"/>
      <c r="G62" s="71"/>
      <c r="H62" s="367">
        <f>SUM(H60:H61)</f>
        <v>349321.2</v>
      </c>
      <c r="I62" s="367"/>
      <c r="J62" s="399">
        <f t="shared" ref="J62:S62" si="5">SUM(J60:J61)</f>
        <v>0</v>
      </c>
      <c r="K62" s="367">
        <f t="shared" si="5"/>
        <v>349321.2</v>
      </c>
      <c r="L62" s="367">
        <f t="shared" si="5"/>
        <v>0</v>
      </c>
      <c r="M62" s="367">
        <f t="shared" si="5"/>
        <v>279321.2</v>
      </c>
      <c r="N62" s="367"/>
      <c r="O62" s="367">
        <f t="shared" si="5"/>
        <v>70000</v>
      </c>
      <c r="P62" s="367"/>
      <c r="Q62" s="367">
        <f t="shared" si="5"/>
        <v>349321.2</v>
      </c>
      <c r="R62" s="367"/>
      <c r="S62" s="367">
        <f t="shared" si="5"/>
        <v>0</v>
      </c>
    </row>
    <row r="63" spans="2:39" s="7" customFormat="1" ht="13.5" customHeight="1" x14ac:dyDescent="0.3">
      <c r="B63" s="10"/>
      <c r="C63" s="5"/>
      <c r="D63" s="5"/>
      <c r="E63" s="76"/>
      <c r="F63" s="71"/>
      <c r="G63" s="71"/>
      <c r="H63" s="53"/>
      <c r="I63" s="31"/>
      <c r="J63" s="352"/>
      <c r="K63" s="53"/>
      <c r="L63" s="53"/>
      <c r="M63" s="53"/>
      <c r="N63" s="37"/>
      <c r="O63" s="53"/>
      <c r="P63" s="354"/>
      <c r="Q63" s="53"/>
      <c r="S63" s="53"/>
      <c r="T63" s="1"/>
    </row>
    <row r="64" spans="2:39" s="7" customFormat="1" ht="13.5" customHeight="1" x14ac:dyDescent="0.3">
      <c r="B64" s="10"/>
      <c r="C64" s="5"/>
      <c r="D64" s="5">
        <v>18609692</v>
      </c>
      <c r="E64" s="1"/>
      <c r="F64" s="71" t="s">
        <v>65</v>
      </c>
      <c r="G64" s="71"/>
      <c r="H64" s="53">
        <v>50000</v>
      </c>
      <c r="I64" s="31"/>
      <c r="J64" s="352">
        <v>0</v>
      </c>
      <c r="K64" s="53">
        <f t="shared" si="3"/>
        <v>50000</v>
      </c>
      <c r="L64" s="53"/>
      <c r="M64" s="53">
        <v>0</v>
      </c>
      <c r="N64" s="37"/>
      <c r="O64" s="53">
        <f>K64</f>
        <v>50000</v>
      </c>
      <c r="P64" s="354" t="s">
        <v>244</v>
      </c>
      <c r="Q64" s="53">
        <f t="shared" si="4"/>
        <v>50000</v>
      </c>
      <c r="S64" s="53">
        <v>0</v>
      </c>
      <c r="T64" s="1"/>
    </row>
    <row r="65" spans="2:29" s="7" customFormat="1" ht="13.5" customHeight="1" x14ac:dyDescent="0.25">
      <c r="B65" s="10">
        <v>18230210</v>
      </c>
      <c r="C65" s="5"/>
      <c r="D65" s="5">
        <v>18236912</v>
      </c>
      <c r="E65" s="76"/>
      <c r="F65" s="71" t="s">
        <v>9</v>
      </c>
      <c r="G65" s="71"/>
      <c r="H65" s="53">
        <v>0</v>
      </c>
      <c r="I65" s="31"/>
      <c r="J65" s="352">
        <v>0</v>
      </c>
      <c r="K65" s="53">
        <f t="shared" si="3"/>
        <v>0</v>
      </c>
      <c r="L65" s="53"/>
      <c r="M65" s="53">
        <v>0</v>
      </c>
      <c r="N65" s="37"/>
      <c r="O65" s="53">
        <v>0</v>
      </c>
      <c r="Q65" s="53">
        <f t="shared" si="4"/>
        <v>0</v>
      </c>
      <c r="S65" s="53">
        <v>0</v>
      </c>
      <c r="T65" s="1"/>
    </row>
    <row r="66" spans="2:29" s="7" customFormat="1" ht="13.5" customHeight="1" x14ac:dyDescent="0.3">
      <c r="B66" s="10"/>
      <c r="C66" s="5"/>
      <c r="D66" s="5"/>
      <c r="E66" s="76"/>
      <c r="F66" s="71"/>
      <c r="G66" s="71"/>
      <c r="H66" s="367">
        <f>SUM(H64:H65)</f>
        <v>50000</v>
      </c>
      <c r="I66" s="367"/>
      <c r="J66" s="362">
        <f t="shared" ref="J66:S66" si="6">SUM(J64:J65)</f>
        <v>0</v>
      </c>
      <c r="K66" s="367">
        <f t="shared" si="6"/>
        <v>50000</v>
      </c>
      <c r="L66" s="367">
        <f t="shared" si="6"/>
        <v>0</v>
      </c>
      <c r="M66" s="367">
        <f t="shared" si="6"/>
        <v>0</v>
      </c>
      <c r="N66" s="367"/>
      <c r="O66" s="367">
        <f t="shared" si="6"/>
        <v>50000</v>
      </c>
      <c r="P66" s="367"/>
      <c r="Q66" s="367">
        <f t="shared" si="6"/>
        <v>50000</v>
      </c>
      <c r="R66" s="367"/>
      <c r="S66" s="367">
        <f t="shared" si="6"/>
        <v>0</v>
      </c>
      <c r="T66" s="1"/>
    </row>
    <row r="67" spans="2:29" s="7" customFormat="1" ht="13.5" customHeight="1" x14ac:dyDescent="0.25">
      <c r="B67" s="10"/>
      <c r="C67" s="5"/>
      <c r="D67" s="5"/>
      <c r="E67" s="76"/>
      <c r="F67" s="71"/>
      <c r="G67" s="71"/>
      <c r="H67" s="53"/>
      <c r="I67" s="31"/>
      <c r="J67" s="352"/>
      <c r="K67" s="53"/>
      <c r="L67" s="53"/>
      <c r="M67" s="53"/>
      <c r="N67" s="37"/>
      <c r="O67" s="53"/>
      <c r="Q67" s="53"/>
      <c r="S67" s="53"/>
      <c r="T67" s="1"/>
    </row>
    <row r="68" spans="2:29" s="7" customFormat="1" ht="13.5" customHeight="1" x14ac:dyDescent="0.25">
      <c r="B68" s="10"/>
      <c r="C68" s="5"/>
      <c r="D68" s="5">
        <v>18237122</v>
      </c>
      <c r="E68" s="76" t="s">
        <v>10</v>
      </c>
      <c r="F68" s="71" t="s">
        <v>21</v>
      </c>
      <c r="G68" s="71"/>
      <c r="H68" s="53">
        <v>169602.13</v>
      </c>
      <c r="I68" s="31"/>
      <c r="J68" s="352">
        <v>0</v>
      </c>
      <c r="K68" s="53">
        <f t="shared" si="3"/>
        <v>169602.13</v>
      </c>
      <c r="L68" s="53"/>
      <c r="M68" s="53">
        <f>K68</f>
        <v>169602.13</v>
      </c>
      <c r="N68" s="37"/>
      <c r="O68" s="53">
        <v>0</v>
      </c>
      <c r="Q68" s="53">
        <f t="shared" si="4"/>
        <v>169602.13</v>
      </c>
      <c r="S68" s="53">
        <v>0</v>
      </c>
      <c r="T68" s="1"/>
    </row>
    <row r="69" spans="2:29" s="7" customFormat="1" ht="13.5" customHeight="1" x14ac:dyDescent="0.25">
      <c r="B69" s="10"/>
      <c r="C69" s="5"/>
      <c r="D69" s="5">
        <v>18237132</v>
      </c>
      <c r="E69" s="76" t="s">
        <v>10</v>
      </c>
      <c r="F69" s="71" t="s">
        <v>25</v>
      </c>
      <c r="G69" s="71"/>
      <c r="H69" s="53">
        <v>133750.43</v>
      </c>
      <c r="I69" s="31"/>
      <c r="J69" s="352">
        <v>0</v>
      </c>
      <c r="K69" s="53">
        <f t="shared" si="3"/>
        <v>133750.43</v>
      </c>
      <c r="L69" s="53"/>
      <c r="M69" s="53">
        <f>K69</f>
        <v>133750.43</v>
      </c>
      <c r="N69" s="37"/>
      <c r="O69" s="53">
        <v>0</v>
      </c>
      <c r="Q69" s="53">
        <f t="shared" si="4"/>
        <v>133750.43</v>
      </c>
      <c r="S69" s="53">
        <v>0</v>
      </c>
      <c r="T69" s="1"/>
    </row>
    <row r="70" spans="2:29" s="7" customFormat="1" ht="13.5" customHeight="1" x14ac:dyDescent="0.25">
      <c r="B70" s="10"/>
      <c r="C70" s="5"/>
      <c r="D70" s="5">
        <v>18237142</v>
      </c>
      <c r="E70" s="76" t="s">
        <v>10</v>
      </c>
      <c r="F70" s="71" t="s">
        <v>26</v>
      </c>
      <c r="G70" s="71"/>
      <c r="H70" s="53">
        <v>53995.63</v>
      </c>
      <c r="I70" s="31"/>
      <c r="J70" s="352">
        <v>0</v>
      </c>
      <c r="K70" s="53">
        <f t="shared" si="3"/>
        <v>53995.63</v>
      </c>
      <c r="L70" s="53"/>
      <c r="M70" s="53">
        <f>K70</f>
        <v>53995.63</v>
      </c>
      <c r="N70" s="37"/>
      <c r="O70" s="53">
        <v>0</v>
      </c>
      <c r="Q70" s="53">
        <f t="shared" si="4"/>
        <v>53995.63</v>
      </c>
      <c r="S70" s="53">
        <v>0</v>
      </c>
      <c r="T70" s="1"/>
    </row>
    <row r="71" spans="2:29" s="7" customFormat="1" ht="12.75" customHeight="1" x14ac:dyDescent="0.25">
      <c r="B71" s="10"/>
      <c r="C71" s="5"/>
      <c r="D71" s="5">
        <v>18237152</v>
      </c>
      <c r="E71" s="76" t="s">
        <v>10</v>
      </c>
      <c r="F71" s="71" t="s">
        <v>27</v>
      </c>
      <c r="G71" s="71"/>
      <c r="H71" s="53">
        <v>67987.45</v>
      </c>
      <c r="I71" s="31"/>
      <c r="J71" s="352">
        <v>0</v>
      </c>
      <c r="K71" s="53">
        <f t="shared" si="3"/>
        <v>67987.45</v>
      </c>
      <c r="L71" s="53"/>
      <c r="M71" s="53">
        <f>K71</f>
        <v>67987.45</v>
      </c>
      <c r="N71" s="37"/>
      <c r="O71" s="53">
        <v>0</v>
      </c>
      <c r="Q71" s="53">
        <f t="shared" si="4"/>
        <v>67987.45</v>
      </c>
      <c r="S71" s="53">
        <v>0</v>
      </c>
      <c r="T71" s="1"/>
    </row>
    <row r="72" spans="2:29" s="7" customFormat="1" ht="12.75" hidden="1" customHeight="1" x14ac:dyDescent="0.25">
      <c r="B72" s="10"/>
      <c r="C72" s="5"/>
      <c r="D72" s="5">
        <v>18236022</v>
      </c>
      <c r="E72" s="76"/>
      <c r="F72" s="71" t="s">
        <v>29</v>
      </c>
      <c r="G72" s="71"/>
      <c r="H72" s="75">
        <v>0</v>
      </c>
      <c r="I72" s="116"/>
      <c r="J72" s="397">
        <v>0</v>
      </c>
      <c r="K72" s="75">
        <f t="shared" si="3"/>
        <v>0</v>
      </c>
      <c r="L72" s="75"/>
      <c r="M72" s="75">
        <f>K72</f>
        <v>0</v>
      </c>
      <c r="N72" s="117"/>
      <c r="O72" s="75">
        <v>0</v>
      </c>
      <c r="P72" s="28"/>
      <c r="Q72" s="75">
        <f t="shared" si="4"/>
        <v>0</v>
      </c>
      <c r="R72" s="28"/>
      <c r="S72" s="75">
        <v>0</v>
      </c>
      <c r="T72" s="1"/>
    </row>
    <row r="73" spans="2:29" s="7" customFormat="1" ht="12.75" hidden="1" customHeight="1" x14ac:dyDescent="0.3">
      <c r="B73" s="10"/>
      <c r="C73" s="5"/>
      <c r="D73" s="5"/>
      <c r="E73" s="76"/>
      <c r="F73" s="323" t="s">
        <v>67</v>
      </c>
      <c r="G73" s="71"/>
      <c r="H73" s="53"/>
      <c r="I73" s="31"/>
      <c r="J73" s="352"/>
      <c r="K73" s="53"/>
      <c r="L73" s="53"/>
      <c r="M73" s="53"/>
      <c r="N73" s="37"/>
      <c r="O73" s="53"/>
      <c r="Q73" s="91">
        <f>Q60+Q61+Q64</f>
        <v>399321.2</v>
      </c>
      <c r="S73" s="53">
        <v>0</v>
      </c>
      <c r="T73" s="1"/>
    </row>
    <row r="74" spans="2:29" s="7" customFormat="1" ht="12.75" hidden="1" customHeight="1" x14ac:dyDescent="0.3">
      <c r="B74" s="10"/>
      <c r="C74" s="5"/>
      <c r="D74" s="5"/>
      <c r="E74" s="76"/>
      <c r="F74" s="323" t="s">
        <v>238</v>
      </c>
      <c r="G74" s="322"/>
      <c r="H74" s="53"/>
      <c r="I74" s="31"/>
      <c r="J74" s="352"/>
      <c r="K74" s="53"/>
      <c r="L74" s="53"/>
      <c r="M74" s="53"/>
      <c r="N74" s="37"/>
      <c r="O74" s="53"/>
      <c r="Q74" s="91">
        <f>Q65+Q68+Q69+Q70+Q71+Q72</f>
        <v>425335.64</v>
      </c>
      <c r="S74" s="53">
        <v>0</v>
      </c>
      <c r="T74" s="1"/>
    </row>
    <row r="75" spans="2:29" ht="16.5" customHeight="1" thickBot="1" x14ac:dyDescent="0.35">
      <c r="B75" s="12"/>
      <c r="C75" s="7"/>
      <c r="D75" s="7"/>
      <c r="E75" s="7"/>
      <c r="F75" s="90" t="s">
        <v>1</v>
      </c>
      <c r="G75" s="72"/>
      <c r="H75" s="102">
        <f>I83+H62+H66+SUM(H68:H71)</f>
        <v>824656.84000000008</v>
      </c>
      <c r="I75" s="102"/>
      <c r="J75" s="399">
        <f>K83+J62+J66+SUM(J68:J71)</f>
        <v>0</v>
      </c>
      <c r="K75" s="102">
        <f>K62+K66+SUM(K68:K71)</f>
        <v>824656.84000000008</v>
      </c>
      <c r="L75" s="102"/>
      <c r="M75" s="102">
        <f>M62+M66+SUM(M68:M71)</f>
        <v>704656.84000000008</v>
      </c>
      <c r="N75" s="102"/>
      <c r="O75" s="102">
        <f>O62+O66+SUM(O68:O71)</f>
        <v>120000</v>
      </c>
      <c r="P75" s="102"/>
      <c r="Q75" s="102">
        <f>Q62+Q66+SUM(Q68:Q71)</f>
        <v>824656.84000000008</v>
      </c>
      <c r="R75" s="102"/>
      <c r="S75" s="102">
        <f>S62+S66+SUM(S68:S71)</f>
        <v>0</v>
      </c>
      <c r="T75" s="103"/>
      <c r="Z75" s="7"/>
    </row>
    <row r="76" spans="2:29" s="7" customFormat="1" ht="13.5" hidden="1" customHeight="1" x14ac:dyDescent="0.3">
      <c r="B76" s="8"/>
      <c r="E76" s="29"/>
      <c r="F76" s="323" t="s">
        <v>67</v>
      </c>
      <c r="G76" s="72"/>
      <c r="H76" s="91"/>
      <c r="I76" s="92"/>
      <c r="J76" s="396"/>
      <c r="K76" s="91"/>
      <c r="L76" s="91"/>
      <c r="M76" s="91"/>
      <c r="N76" s="89"/>
      <c r="O76" s="91"/>
      <c r="P76" s="94"/>
      <c r="Q76" s="91" t="e">
        <f>Q55+Q73</f>
        <v>#REF!</v>
      </c>
      <c r="R76" s="89"/>
      <c r="S76" s="91"/>
      <c r="T76" s="103"/>
      <c r="Z76" s="1"/>
    </row>
    <row r="77" spans="2:29" s="7" customFormat="1" ht="13.5" hidden="1" customHeight="1" x14ac:dyDescent="0.3">
      <c r="B77" s="8"/>
      <c r="E77" s="29"/>
      <c r="F77" s="323" t="s">
        <v>238</v>
      </c>
      <c r="G77" s="72"/>
      <c r="H77" s="91"/>
      <c r="I77" s="92"/>
      <c r="J77" s="396"/>
      <c r="K77" s="91"/>
      <c r="L77" s="91"/>
      <c r="M77" s="91"/>
      <c r="N77" s="89"/>
      <c r="O77" s="91"/>
      <c r="P77" s="89"/>
      <c r="Q77" s="91">
        <f>Q56+Q74</f>
        <v>39751484.920000002</v>
      </c>
      <c r="R77" s="89"/>
      <c r="S77" s="91"/>
      <c r="T77" s="103"/>
      <c r="Z77" s="1"/>
    </row>
    <row r="78" spans="2:29" s="7" customFormat="1" ht="13.5" customHeight="1" thickTop="1" x14ac:dyDescent="0.3">
      <c r="B78" s="8"/>
      <c r="E78" s="29"/>
      <c r="F78" s="323"/>
      <c r="G78" s="72"/>
      <c r="H78" s="91"/>
      <c r="I78" s="92"/>
      <c r="J78" s="396"/>
      <c r="K78" s="91"/>
      <c r="L78" s="91"/>
      <c r="M78" s="91"/>
      <c r="N78" s="89"/>
      <c r="O78" s="91"/>
      <c r="P78" s="89"/>
      <c r="Q78" s="91"/>
      <c r="R78" s="89"/>
      <c r="S78" s="91"/>
      <c r="T78" s="103"/>
      <c r="Z78" s="1"/>
    </row>
    <row r="79" spans="2:29" s="7" customFormat="1" ht="13.5" customHeight="1" thickBot="1" x14ac:dyDescent="0.35">
      <c r="B79" s="8"/>
      <c r="E79" s="29"/>
      <c r="F79" s="107" t="s">
        <v>23</v>
      </c>
      <c r="G79" s="74"/>
      <c r="H79" s="104">
        <f>SUM(H57+H75)</f>
        <v>104223823.14</v>
      </c>
      <c r="I79" s="104">
        <f>SUM(I57+I75)</f>
        <v>0</v>
      </c>
      <c r="J79" s="400">
        <f>SUM(J57+J75)</f>
        <v>0</v>
      </c>
      <c r="K79" s="104">
        <f>SUM(K57+K75)</f>
        <v>104223823.14</v>
      </c>
      <c r="L79" s="106"/>
      <c r="M79" s="104">
        <f>SUM(M57+M75)</f>
        <v>72570264.700000003</v>
      </c>
      <c r="N79" s="114"/>
      <c r="O79" s="105">
        <f>SUM(O57+O75)</f>
        <v>31653558.440000001</v>
      </c>
      <c r="P79" s="114"/>
      <c r="Q79" s="105">
        <f>SUM(Q57+Q75)</f>
        <v>104223823.14</v>
      </c>
      <c r="R79" s="115"/>
      <c r="S79" s="105" t="e">
        <f>SUM(S57+S75)</f>
        <v>#REF!</v>
      </c>
      <c r="T79" s="103"/>
      <c r="Z79" s="1"/>
      <c r="AA79" s="85">
        <f>M79+O79</f>
        <v>104223823.14</v>
      </c>
      <c r="AB79" s="85">
        <f>Q79-AA79</f>
        <v>0</v>
      </c>
      <c r="AC79" s="84" t="s">
        <v>89</v>
      </c>
    </row>
    <row r="80" spans="2:29" s="7" customFormat="1" ht="13.5" customHeight="1" thickTop="1" x14ac:dyDescent="0.3">
      <c r="E80" s="29"/>
      <c r="F80" s="107" t="s">
        <v>22</v>
      </c>
      <c r="G80" s="74"/>
      <c r="H80" s="58"/>
      <c r="I80" s="2"/>
      <c r="J80" s="401"/>
      <c r="K80" s="58"/>
      <c r="L80" s="58"/>
      <c r="M80" s="58"/>
      <c r="O80" s="58"/>
      <c r="P80" s="1"/>
      <c r="Q80" s="58"/>
      <c r="R80" s="1"/>
      <c r="S80" s="58"/>
      <c r="Z80" s="1"/>
      <c r="AA80" s="85" t="e">
        <f>Q79+S79</f>
        <v>#REF!</v>
      </c>
      <c r="AC80" s="94" t="s">
        <v>90</v>
      </c>
    </row>
    <row r="81" spans="2:29" s="7" customFormat="1" ht="13.5" customHeight="1" x14ac:dyDescent="0.3">
      <c r="E81" s="29"/>
      <c r="F81" s="107"/>
      <c r="G81" s="74"/>
      <c r="H81" s="58"/>
      <c r="I81" s="2"/>
      <c r="J81" s="401"/>
      <c r="K81" s="58"/>
      <c r="L81" s="58"/>
      <c r="M81" s="58"/>
      <c r="O81" s="58"/>
      <c r="P81" s="1"/>
      <c r="Q81" s="58"/>
      <c r="R81" s="1"/>
      <c r="S81" s="58"/>
      <c r="Z81" s="1"/>
      <c r="AA81" s="85"/>
      <c r="AC81" s="94"/>
    </row>
    <row r="82" spans="2:29" s="7" customFormat="1" ht="13.5" customHeight="1" x14ac:dyDescent="0.3">
      <c r="E82" s="29"/>
      <c r="F82" s="107"/>
      <c r="G82" s="74"/>
      <c r="H82" s="58"/>
      <c r="I82" s="2"/>
      <c r="J82" s="401"/>
      <c r="K82" s="58"/>
      <c r="L82" s="58"/>
      <c r="M82" s="58"/>
      <c r="O82" s="58"/>
      <c r="P82" s="1"/>
      <c r="Q82" s="58"/>
      <c r="R82" s="1"/>
      <c r="S82" s="58"/>
      <c r="Z82" s="1"/>
      <c r="AA82" s="85"/>
      <c r="AC82" s="94"/>
    </row>
    <row r="83" spans="2:29" s="7" customFormat="1" ht="13.5" customHeight="1" x14ac:dyDescent="0.3">
      <c r="B83" s="1" t="s">
        <v>39</v>
      </c>
      <c r="E83" s="29"/>
      <c r="F83" s="101"/>
      <c r="G83" s="67"/>
      <c r="H83" s="58"/>
      <c r="I83" s="2"/>
      <c r="J83" s="401"/>
      <c r="K83" s="58"/>
      <c r="L83" s="58"/>
      <c r="M83" s="58"/>
      <c r="O83" s="58"/>
      <c r="P83" s="1"/>
      <c r="Q83" s="58"/>
      <c r="R83" s="1"/>
      <c r="S83" s="58"/>
      <c r="Z83" s="1"/>
    </row>
    <row r="84" spans="2:29" ht="13.5" customHeight="1" x14ac:dyDescent="0.25">
      <c r="B84" s="73" t="s">
        <v>233</v>
      </c>
      <c r="C84" s="77"/>
      <c r="D84" s="77"/>
      <c r="E84" s="77"/>
      <c r="F84" s="77"/>
      <c r="G84" s="77"/>
      <c r="H84" s="77"/>
      <c r="I84" s="77"/>
      <c r="J84" s="402"/>
      <c r="K84" s="77"/>
      <c r="L84" s="77"/>
      <c r="M84" s="77"/>
      <c r="T84" s="36"/>
    </row>
    <row r="85" spans="2:29" ht="12.5" x14ac:dyDescent="0.25">
      <c r="B85" s="385" t="s">
        <v>234</v>
      </c>
      <c r="D85" s="9"/>
      <c r="J85" s="403"/>
      <c r="K85" s="49"/>
      <c r="L85" s="49"/>
      <c r="M85" s="49"/>
      <c r="N85" s="35"/>
      <c r="O85" s="49"/>
      <c r="P85" s="35"/>
      <c r="Q85" s="49"/>
      <c r="R85" s="34"/>
      <c r="S85" s="49"/>
      <c r="T85" s="37"/>
    </row>
    <row r="86" spans="2:29" ht="12.5" x14ac:dyDescent="0.25">
      <c r="B86" s="385" t="s">
        <v>246</v>
      </c>
      <c r="D86" s="9"/>
      <c r="J86" s="403"/>
      <c r="K86" s="49"/>
      <c r="L86" s="49"/>
      <c r="M86" s="49"/>
      <c r="N86" s="35"/>
      <c r="O86" s="49"/>
      <c r="P86" s="35"/>
      <c r="Q86" s="49"/>
      <c r="R86" s="34"/>
      <c r="S86" s="49"/>
      <c r="T86" s="37"/>
    </row>
    <row r="87" spans="2:29" ht="12.5" x14ac:dyDescent="0.25">
      <c r="B87" s="385" t="s">
        <v>245</v>
      </c>
      <c r="D87" s="9"/>
      <c r="J87" s="403"/>
      <c r="K87" s="49"/>
      <c r="L87" s="49"/>
      <c r="M87" s="49"/>
      <c r="N87" s="35"/>
      <c r="O87" s="49"/>
      <c r="P87" s="35"/>
      <c r="Q87" s="49"/>
      <c r="R87" s="34"/>
      <c r="S87" s="49"/>
      <c r="T87" s="37"/>
    </row>
    <row r="88" spans="2:29" ht="12.5" x14ac:dyDescent="0.25"/>
    <row r="89" spans="2:29" ht="13.5" customHeight="1" x14ac:dyDescent="0.25">
      <c r="B89" s="9"/>
      <c r="D89" s="9"/>
      <c r="H89" s="49"/>
      <c r="J89" s="403"/>
      <c r="K89" s="49"/>
      <c r="L89" s="49"/>
      <c r="M89" s="49"/>
      <c r="N89" s="35"/>
      <c r="O89" s="49"/>
      <c r="P89" s="35"/>
      <c r="Q89" s="49"/>
      <c r="R89" s="34"/>
      <c r="S89" s="49"/>
      <c r="T89" s="37"/>
    </row>
    <row r="91" spans="2:29" ht="13.5" customHeight="1" x14ac:dyDescent="0.25">
      <c r="B91" s="9"/>
      <c r="D91" s="9"/>
      <c r="H91" s="49"/>
      <c r="J91" s="403"/>
      <c r="K91" s="49"/>
      <c r="L91" s="49"/>
      <c r="M91" s="49"/>
      <c r="N91" s="35"/>
      <c r="O91" s="49"/>
      <c r="P91" s="35"/>
      <c r="Q91" s="49"/>
      <c r="R91" s="34"/>
      <c r="S91" s="49"/>
      <c r="T91" s="37"/>
    </row>
    <row r="93" spans="2:29" ht="13.5" customHeight="1" x14ac:dyDescent="0.25">
      <c r="B93" s="9"/>
      <c r="D93" s="9"/>
      <c r="H93" s="49"/>
      <c r="J93" s="403"/>
      <c r="K93" s="49"/>
      <c r="L93" s="49"/>
      <c r="M93" s="49"/>
      <c r="N93" s="35"/>
      <c r="O93" s="49"/>
      <c r="P93" s="35"/>
      <c r="Q93" s="49"/>
      <c r="R93" s="34"/>
      <c r="S93" s="49"/>
      <c r="T93" s="37"/>
    </row>
    <row r="95" spans="2:29" ht="13.5" customHeight="1" x14ac:dyDescent="0.25">
      <c r="B95" s="9"/>
      <c r="D95" s="9"/>
      <c r="H95" s="49"/>
      <c r="J95" s="403"/>
      <c r="K95" s="49"/>
      <c r="L95" s="49"/>
      <c r="M95" s="49"/>
      <c r="N95" s="35"/>
      <c r="O95" s="49"/>
      <c r="P95" s="35"/>
      <c r="Q95" s="49"/>
      <c r="R95" s="34"/>
      <c r="S95" s="49"/>
      <c r="T95" s="37"/>
    </row>
    <row r="97" spans="2:26" ht="13.5" customHeight="1" x14ac:dyDescent="0.25">
      <c r="B97" s="9"/>
      <c r="D97" s="9"/>
      <c r="H97" s="49"/>
      <c r="J97" s="403"/>
      <c r="K97" s="49"/>
      <c r="L97" s="49"/>
      <c r="M97" s="49"/>
      <c r="N97" s="35"/>
      <c r="O97" s="49"/>
      <c r="P97" s="35"/>
      <c r="Q97" s="49"/>
      <c r="R97" s="34"/>
      <c r="S97" s="49"/>
      <c r="T97" s="37"/>
    </row>
    <row r="99" spans="2:26" ht="13.5" customHeight="1" x14ac:dyDescent="0.25">
      <c r="B99" s="9"/>
      <c r="D99" s="9"/>
      <c r="H99" s="49"/>
      <c r="J99" s="403"/>
      <c r="K99" s="49"/>
      <c r="L99" s="49"/>
      <c r="M99" s="49"/>
      <c r="N99" s="35"/>
      <c r="O99" s="49"/>
      <c r="P99" s="35"/>
      <c r="Q99" s="49"/>
      <c r="R99" s="34"/>
      <c r="S99" s="49"/>
      <c r="T99" s="37"/>
    </row>
    <row r="101" spans="2:26" ht="13.5" customHeight="1" x14ac:dyDescent="0.25">
      <c r="B101" s="9"/>
      <c r="D101" s="9"/>
      <c r="H101" s="49"/>
      <c r="J101" s="403"/>
      <c r="K101" s="49"/>
      <c r="L101" s="49"/>
      <c r="M101" s="49"/>
      <c r="N101" s="35"/>
      <c r="O101" s="49"/>
      <c r="P101" s="35"/>
      <c r="Q101" s="49"/>
      <c r="R101" s="34"/>
      <c r="S101" s="49"/>
      <c r="T101" s="37"/>
    </row>
    <row r="103" spans="2:26" ht="13.5" customHeight="1" x14ac:dyDescent="0.25">
      <c r="B103" s="9"/>
      <c r="D103" s="9"/>
      <c r="H103" s="49"/>
      <c r="J103" s="403"/>
      <c r="K103" s="49"/>
      <c r="L103" s="49"/>
      <c r="M103" s="49"/>
      <c r="N103" s="35"/>
      <c r="O103" s="49"/>
      <c r="P103" s="35"/>
      <c r="Q103" s="49"/>
      <c r="R103" s="34"/>
      <c r="S103" s="49"/>
      <c r="T103" s="37"/>
    </row>
    <row r="104" spans="2:26" ht="13.5" customHeight="1" x14ac:dyDescent="0.25">
      <c r="T104" s="41"/>
    </row>
    <row r="105" spans="2:26" ht="13.5" customHeight="1" x14ac:dyDescent="0.25">
      <c r="B105" s="42"/>
      <c r="D105" s="42"/>
      <c r="H105" s="59"/>
      <c r="J105" s="405"/>
      <c r="K105" s="59"/>
      <c r="L105" s="59"/>
      <c r="M105" s="59"/>
      <c r="N105" s="44"/>
      <c r="O105" s="59"/>
      <c r="P105" s="44"/>
      <c r="Q105" s="49"/>
      <c r="R105" s="34"/>
      <c r="S105" s="49"/>
      <c r="T105" s="41"/>
    </row>
    <row r="106" spans="2:26" ht="13.5" customHeight="1" x14ac:dyDescent="0.25">
      <c r="B106" s="12"/>
      <c r="S106" s="50" t="s">
        <v>0</v>
      </c>
      <c r="T106" s="41"/>
    </row>
    <row r="107" spans="2:26" ht="13.5" customHeight="1" x14ac:dyDescent="0.25">
      <c r="B107" s="42"/>
      <c r="D107" s="42"/>
      <c r="H107" s="59"/>
      <c r="J107" s="405"/>
      <c r="K107" s="59"/>
      <c r="L107" s="59"/>
      <c r="M107" s="59"/>
      <c r="N107" s="44"/>
      <c r="O107" s="59"/>
      <c r="P107" s="44"/>
      <c r="Q107" s="59"/>
      <c r="R107" s="43"/>
      <c r="S107" s="59"/>
      <c r="T107" s="45"/>
    </row>
    <row r="108" spans="2:26" s="19" customFormat="1" ht="13.5" customHeight="1" x14ac:dyDescent="0.3">
      <c r="B108" s="42"/>
      <c r="C108" s="1"/>
      <c r="D108" s="42"/>
      <c r="E108" s="29"/>
      <c r="F108" s="64"/>
      <c r="G108" s="64"/>
      <c r="H108" s="59"/>
      <c r="I108" s="5"/>
      <c r="J108" s="405"/>
      <c r="K108" s="59"/>
      <c r="L108" s="59"/>
      <c r="M108" s="59"/>
      <c r="N108" s="44"/>
      <c r="O108" s="59"/>
      <c r="P108" s="44"/>
      <c r="Q108" s="50"/>
      <c r="R108" s="1"/>
      <c r="S108" s="50"/>
      <c r="T108" s="41"/>
      <c r="U108" s="1"/>
      <c r="V108" s="1"/>
      <c r="W108" s="1"/>
      <c r="X108" s="1"/>
      <c r="Y108" s="1"/>
      <c r="Z108" s="1"/>
    </row>
    <row r="109" spans="2:26" ht="13.5" customHeight="1" x14ac:dyDescent="0.25">
      <c r="B109" s="42"/>
      <c r="D109" s="42"/>
      <c r="H109" s="59"/>
      <c r="J109" s="405"/>
      <c r="K109" s="59"/>
      <c r="L109" s="59"/>
      <c r="M109" s="59"/>
      <c r="N109" s="35"/>
      <c r="O109" s="59"/>
      <c r="P109" s="35"/>
      <c r="Q109" s="59"/>
      <c r="R109" s="43"/>
      <c r="S109" s="59"/>
      <c r="T109" s="41"/>
    </row>
    <row r="110" spans="2:26" ht="13.5" customHeight="1" x14ac:dyDescent="0.25">
      <c r="B110" s="42"/>
      <c r="D110" s="42"/>
      <c r="H110" s="59"/>
      <c r="J110" s="405"/>
      <c r="K110" s="59"/>
      <c r="L110" s="59"/>
      <c r="M110" s="59"/>
      <c r="N110" s="44"/>
      <c r="O110" s="59"/>
      <c r="P110" s="44"/>
      <c r="Q110" s="59"/>
      <c r="R110" s="43"/>
      <c r="S110" s="59"/>
      <c r="T110" s="41"/>
    </row>
    <row r="111" spans="2:26" s="46" customFormat="1" ht="13.5" customHeight="1" x14ac:dyDescent="0.3">
      <c r="B111" s="42"/>
      <c r="C111" s="1"/>
      <c r="D111" s="42"/>
      <c r="E111" s="29"/>
      <c r="F111" s="64"/>
      <c r="G111" s="64"/>
      <c r="H111" s="59"/>
      <c r="I111" s="5"/>
      <c r="J111" s="405"/>
      <c r="K111" s="59"/>
      <c r="L111" s="59"/>
      <c r="M111" s="59"/>
      <c r="N111" s="35"/>
      <c r="O111" s="59"/>
      <c r="P111" s="35"/>
      <c r="Q111" s="59"/>
      <c r="R111" s="34"/>
      <c r="S111" s="59"/>
      <c r="T111" s="41"/>
      <c r="U111" s="1"/>
      <c r="V111" s="1"/>
      <c r="W111" s="1"/>
      <c r="X111" s="1"/>
      <c r="Y111" s="1"/>
      <c r="Z111" s="19"/>
    </row>
    <row r="112" spans="2:26" s="7" customFormat="1" ht="13.5" customHeight="1" x14ac:dyDescent="0.3">
      <c r="B112" s="11"/>
      <c r="C112" s="1"/>
      <c r="D112" s="12"/>
      <c r="E112" s="29"/>
      <c r="F112" s="64"/>
      <c r="G112" s="64"/>
      <c r="H112" s="50"/>
      <c r="I112" s="18"/>
      <c r="J112" s="404"/>
      <c r="K112" s="50"/>
      <c r="L112" s="50"/>
      <c r="M112" s="50"/>
      <c r="N112" s="2"/>
      <c r="O112" s="50"/>
      <c r="P112" s="2"/>
      <c r="Q112" s="59"/>
      <c r="R112" s="43"/>
      <c r="S112" s="59"/>
      <c r="T112" s="41"/>
      <c r="U112" s="1"/>
      <c r="V112" s="1"/>
      <c r="W112" s="1"/>
      <c r="X112" s="1"/>
      <c r="Y112" s="1"/>
      <c r="Z112" s="1"/>
    </row>
    <row r="113" spans="3:26" ht="13.5" customHeight="1" x14ac:dyDescent="0.3">
      <c r="Q113" s="59"/>
      <c r="R113" s="34"/>
      <c r="S113" s="59"/>
      <c r="T113" s="41"/>
      <c r="U113" s="41" t="s">
        <v>0</v>
      </c>
      <c r="V113" s="7"/>
      <c r="W113" s="7"/>
      <c r="X113" s="7"/>
      <c r="Y113" s="41" t="s">
        <v>0</v>
      </c>
      <c r="Z113" s="46"/>
    </row>
    <row r="114" spans="3:26" ht="13.5" customHeight="1" x14ac:dyDescent="0.3">
      <c r="C114" s="19"/>
      <c r="I114" s="47"/>
      <c r="U114" s="7"/>
      <c r="V114" s="7"/>
      <c r="W114" s="7"/>
      <c r="X114" s="7"/>
      <c r="Y114" s="7"/>
      <c r="Z114" s="7"/>
    </row>
    <row r="115" spans="3:26" ht="13.5" customHeight="1" x14ac:dyDescent="0.25">
      <c r="E115" s="8"/>
      <c r="F115" s="65"/>
      <c r="G115" s="65"/>
      <c r="N115" s="6"/>
      <c r="P115" s="6"/>
      <c r="S115" s="50" t="s">
        <v>0</v>
      </c>
      <c r="U115" s="7"/>
      <c r="V115" s="7"/>
      <c r="W115" s="7"/>
      <c r="X115" s="7"/>
      <c r="Y115" s="7"/>
    </row>
    <row r="116" spans="3:26" ht="13.5" customHeight="1" x14ac:dyDescent="0.3">
      <c r="C116" s="46"/>
    </row>
    <row r="117" spans="3:26" ht="13.5" customHeight="1" x14ac:dyDescent="0.25">
      <c r="C117" s="7"/>
      <c r="R117" s="7"/>
    </row>
    <row r="118" spans="3:26" ht="13.5" customHeight="1" x14ac:dyDescent="0.25">
      <c r="T118" s="36"/>
    </row>
  </sheetData>
  <printOptions horizontalCentered="1" verticalCentered="1"/>
  <pageMargins left="0.25" right="0.25" top="1.3" bottom="0.5" header="0.75" footer="0.25"/>
  <pageSetup scale="55" fitToHeight="2" orientation="landscape" r:id="rId1"/>
  <headerFooter alignWithMargins="0">
    <oddHeader>&amp;C&amp;"Courier,Bold"&amp;15 &amp;"Arial,Bold"&amp;12 PUGET SOUND ENERGY, INC.
Deferred Environmental Cost Summary Gas                    
September 30, 2013</oddHeader>
    <oddFooter>&amp;LPage &amp;P of &amp;N&amp;R&amp;Z&amp;F 
Rita Lin</oddFooter>
  </headerFooter>
  <rowBreaks count="1" manualBreakCount="1">
    <brk id="58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B2" sqref="B2"/>
    </sheetView>
  </sheetViews>
  <sheetFormatPr defaultColWidth="9" defaultRowHeight="13.5" customHeight="1" x14ac:dyDescent="0.25"/>
  <cols>
    <col min="1" max="1" width="26.08203125" style="300" customWidth="1"/>
    <col min="2" max="2" width="51.08203125" style="300" customWidth="1"/>
    <col min="3" max="3" width="14.75" style="301" customWidth="1"/>
    <col min="4" max="4" width="13.08203125" style="301" bestFit="1" customWidth="1"/>
    <col min="5" max="5" width="16" style="300" bestFit="1" customWidth="1"/>
    <col min="6" max="6" width="16.5" style="300" customWidth="1"/>
    <col min="7" max="16384" width="9" style="300"/>
  </cols>
  <sheetData>
    <row r="1" spans="1:5" ht="13.5" customHeight="1" x14ac:dyDescent="0.25">
      <c r="A1" s="301" t="s">
        <v>221</v>
      </c>
    </row>
    <row r="2" spans="1:5" ht="13.5" customHeight="1" x14ac:dyDescent="0.25">
      <c r="A2" s="304">
        <f>' Gas 9-30-13'!K3</f>
        <v>41547</v>
      </c>
    </row>
    <row r="3" spans="1:5" ht="22.15" customHeight="1" x14ac:dyDescent="0.25">
      <c r="A3" s="370" t="s">
        <v>77</v>
      </c>
    </row>
    <row r="4" spans="1:5" ht="13.5" customHeight="1" x14ac:dyDescent="0.3">
      <c r="A4" s="305" t="s">
        <v>232</v>
      </c>
      <c r="E4" s="341"/>
    </row>
    <row r="5" spans="1:5" ht="13.5" customHeight="1" thickBot="1" x14ac:dyDescent="0.35">
      <c r="A5" s="96" t="s">
        <v>63</v>
      </c>
      <c r="B5" s="96" t="s">
        <v>5</v>
      </c>
      <c r="C5" s="96" t="s">
        <v>204</v>
      </c>
      <c r="D5" s="96" t="s">
        <v>205</v>
      </c>
      <c r="E5" s="331" t="s">
        <v>237</v>
      </c>
    </row>
    <row r="6" spans="1:5" ht="13.5" customHeight="1" x14ac:dyDescent="0.25">
      <c r="A6" s="10">
        <v>18609572</v>
      </c>
      <c r="B6" s="95" t="s">
        <v>40</v>
      </c>
      <c r="D6" s="301">
        <f>VLOOKUP(A6,' Gas 9-30-13'!$D$7:$J$59,7,FALSE)</f>
        <v>0</v>
      </c>
      <c r="E6" s="300">
        <f>IF(D6&lt;=0,D6*-1)</f>
        <v>0</v>
      </c>
    </row>
    <row r="7" spans="1:5" ht="13.5" customHeight="1" x14ac:dyDescent="0.25">
      <c r="A7" s="5">
        <v>22840012</v>
      </c>
      <c r="B7" s="95" t="s">
        <v>222</v>
      </c>
      <c r="C7" s="301">
        <f>-D6</f>
        <v>0</v>
      </c>
      <c r="E7" s="300">
        <f t="shared" ref="E7:E13" si="0">C7</f>
        <v>0</v>
      </c>
    </row>
    <row r="8" spans="1:5" ht="13.5" customHeight="1" x14ac:dyDescent="0.25">
      <c r="A8" s="10">
        <v>18609582</v>
      </c>
      <c r="B8" s="70" t="s">
        <v>41</v>
      </c>
      <c r="D8" s="301">
        <f>VLOOKUP(A8,' Gas 9-30-13'!$D$7:$J$59,7,FALSE)</f>
        <v>-1418.7</v>
      </c>
      <c r="E8" s="300">
        <f>IF(D8&lt;=0,D8*-1)</f>
        <v>1418.7</v>
      </c>
    </row>
    <row r="9" spans="1:5" ht="13.5" customHeight="1" x14ac:dyDescent="0.25">
      <c r="A9" s="5">
        <v>22840022</v>
      </c>
      <c r="B9" s="70" t="s">
        <v>223</v>
      </c>
      <c r="C9" s="301">
        <f>-D8</f>
        <v>1418.7</v>
      </c>
      <c r="E9" s="300">
        <f t="shared" si="0"/>
        <v>1418.7</v>
      </c>
    </row>
    <row r="10" spans="1:5" ht="13.5" customHeight="1" x14ac:dyDescent="0.25">
      <c r="A10" s="10">
        <v>18609592</v>
      </c>
      <c r="B10" s="70" t="s">
        <v>42</v>
      </c>
      <c r="D10" s="301">
        <f>VLOOKUP(A10,' Gas 9-30-13'!$D$7:$J$59,7,FALSE)</f>
        <v>-7214.83</v>
      </c>
      <c r="E10" s="300">
        <f>IF(D10&lt;=0,D10*-1)</f>
        <v>7214.83</v>
      </c>
    </row>
    <row r="11" spans="1:5" ht="13.5" customHeight="1" x14ac:dyDescent="0.25">
      <c r="A11" s="13">
        <v>22840032</v>
      </c>
      <c r="B11" s="70" t="s">
        <v>224</v>
      </c>
      <c r="C11" s="301">
        <f>-D10</f>
        <v>7214.83</v>
      </c>
      <c r="E11" s="300">
        <f t="shared" si="0"/>
        <v>7214.83</v>
      </c>
    </row>
    <row r="12" spans="1:5" ht="13.5" customHeight="1" x14ac:dyDescent="0.25">
      <c r="A12" s="10">
        <v>18609602</v>
      </c>
      <c r="B12" s="70" t="s">
        <v>43</v>
      </c>
      <c r="D12" s="301">
        <f>VLOOKUP(A12,' Gas 9-30-13'!$D$7:$J$59,7,FALSE)</f>
        <v>0</v>
      </c>
      <c r="E12" s="300">
        <f>IF(D12&lt;=0,D12*-1)</f>
        <v>0</v>
      </c>
    </row>
    <row r="13" spans="1:5" ht="13.5" customHeight="1" x14ac:dyDescent="0.25">
      <c r="A13" s="13">
        <v>22840042</v>
      </c>
      <c r="B13" s="70" t="s">
        <v>225</v>
      </c>
      <c r="C13" s="301">
        <f>-D12</f>
        <v>0</v>
      </c>
      <c r="E13" s="300">
        <f t="shared" si="0"/>
        <v>0</v>
      </c>
    </row>
    <row r="14" spans="1:5" ht="13.5" customHeight="1" x14ac:dyDescent="0.25">
      <c r="A14" s="339">
        <v>18609422</v>
      </c>
      <c r="B14" s="70" t="s">
        <v>44</v>
      </c>
      <c r="C14" s="366"/>
      <c r="D14" s="366">
        <f>VLOOKUP(A14,' Gas 9-30-13'!$D$7:$J$59,7,FALSE)</f>
        <v>-97690.89</v>
      </c>
      <c r="E14" s="300">
        <f>E15</f>
        <v>97690.89</v>
      </c>
    </row>
    <row r="15" spans="1:5" ht="13.5" customHeight="1" x14ac:dyDescent="0.25">
      <c r="A15" s="339">
        <v>22840332</v>
      </c>
      <c r="B15" s="70" t="s">
        <v>226</v>
      </c>
      <c r="C15" s="366">
        <f>-D14</f>
        <v>97690.89</v>
      </c>
      <c r="D15" s="366"/>
      <c r="E15" s="300">
        <f>SUM(' Gas 9-30-13'!J25:J27)</f>
        <v>97690.89</v>
      </c>
    </row>
    <row r="16" spans="1:5" s="342" customFormat="1" ht="13.5" customHeight="1" x14ac:dyDescent="0.25">
      <c r="A16" s="10">
        <v>18609622</v>
      </c>
      <c r="B16" s="70" t="s">
        <v>45</v>
      </c>
      <c r="C16" s="1"/>
      <c r="D16" s="1">
        <f>VLOOKUP(A16,' Gas 9-30-13'!$D$7:$J$59,7,FALSE)</f>
        <v>0</v>
      </c>
      <c r="E16" s="342">
        <f>IF(D16&lt;=0,D16*-1)</f>
        <v>0</v>
      </c>
    </row>
    <row r="17" spans="1:6" ht="13.5" customHeight="1" x14ac:dyDescent="0.25">
      <c r="A17" s="10">
        <v>22840062</v>
      </c>
      <c r="B17" s="70" t="s">
        <v>227</v>
      </c>
      <c r="C17" s="301">
        <f>-D16</f>
        <v>0</v>
      </c>
      <c r="E17" s="300">
        <f>C17</f>
        <v>0</v>
      </c>
    </row>
    <row r="18" spans="1:6" ht="13.5" customHeight="1" x14ac:dyDescent="0.25">
      <c r="A18" s="10">
        <v>18609642</v>
      </c>
      <c r="B18" s="70" t="s">
        <v>46</v>
      </c>
      <c r="D18" s="301">
        <f>VLOOKUP(A18,' Gas 9-30-13'!$D$7:$J$59,7,FALSE)</f>
        <v>-51630.91</v>
      </c>
      <c r="E18" s="300">
        <f>IF(D18&lt;=0,D18*-1)</f>
        <v>51630.91</v>
      </c>
    </row>
    <row r="19" spans="1:6" ht="13.5" customHeight="1" x14ac:dyDescent="0.25">
      <c r="A19" s="5">
        <v>22840082</v>
      </c>
      <c r="B19" s="70" t="s">
        <v>228</v>
      </c>
      <c r="C19" s="301">
        <f>-D18</f>
        <v>51630.91</v>
      </c>
      <c r="E19" s="300">
        <f>C19</f>
        <v>51630.91</v>
      </c>
    </row>
    <row r="20" spans="1:6" ht="13.5" customHeight="1" x14ac:dyDescent="0.25">
      <c r="A20" s="10">
        <v>18609652</v>
      </c>
      <c r="B20" s="70" t="s">
        <v>47</v>
      </c>
      <c r="D20" s="301">
        <f>VLOOKUP(A20,' Gas 9-30-13'!$D$7:$J$59,7,FALSE)</f>
        <v>0</v>
      </c>
      <c r="E20" s="300">
        <f>IF(D20&lt;=0,D20*-1)</f>
        <v>0</v>
      </c>
    </row>
    <row r="21" spans="1:6" ht="13.5" customHeight="1" x14ac:dyDescent="0.25">
      <c r="A21" s="10">
        <v>22840092</v>
      </c>
      <c r="B21" s="70" t="s">
        <v>229</v>
      </c>
      <c r="C21" s="301">
        <f>-D20</f>
        <v>0</v>
      </c>
      <c r="E21" s="300">
        <f>C21</f>
        <v>0</v>
      </c>
    </row>
    <row r="22" spans="1:6" ht="13.5" customHeight="1" x14ac:dyDescent="0.25">
      <c r="A22" s="10">
        <v>18609662</v>
      </c>
      <c r="B22" s="70" t="s">
        <v>48</v>
      </c>
      <c r="C22" s="365"/>
      <c r="D22" s="365">
        <f>VLOOKUP(A22,' Gas 9-30-13'!$D$7:$J$59,7,FALSE)</f>
        <v>-3486.23</v>
      </c>
      <c r="E22" s="300">
        <f>IF(D22&lt;=0,D22*-1)</f>
        <v>3486.23</v>
      </c>
    </row>
    <row r="23" spans="1:6" ht="13.5" customHeight="1" x14ac:dyDescent="0.25">
      <c r="A23" s="10">
        <v>22840102</v>
      </c>
      <c r="B23" s="70" t="s">
        <v>230</v>
      </c>
      <c r="C23" s="365">
        <f>-D22</f>
        <v>3486.23</v>
      </c>
      <c r="D23" s="365"/>
      <c r="E23" s="300">
        <f>C23</f>
        <v>3486.23</v>
      </c>
    </row>
    <row r="24" spans="1:6" ht="13.5" customHeight="1" x14ac:dyDescent="0.25">
      <c r="A24" s="10">
        <v>18609672</v>
      </c>
      <c r="B24" s="70" t="s">
        <v>49</v>
      </c>
      <c r="D24" s="301">
        <f>VLOOKUP(A24,' Gas 9-30-13'!$D$7:$J$59,7,FALSE)</f>
        <v>0</v>
      </c>
      <c r="E24" s="300">
        <f>IF(D24&lt;=0,D24*-1)</f>
        <v>0</v>
      </c>
    </row>
    <row r="25" spans="1:6" ht="13.5" customHeight="1" x14ac:dyDescent="0.25">
      <c r="A25" s="10">
        <v>22840112</v>
      </c>
      <c r="B25" s="70" t="s">
        <v>231</v>
      </c>
      <c r="C25" s="301">
        <f>-D24</f>
        <v>0</v>
      </c>
      <c r="E25" s="300">
        <f>C25</f>
        <v>0</v>
      </c>
    </row>
    <row r="26" spans="1:6" ht="13.5" customHeight="1" thickBot="1" x14ac:dyDescent="0.35">
      <c r="B26" s="302" t="s">
        <v>206</v>
      </c>
      <c r="C26" s="306">
        <f>SUM(C7:C25)</f>
        <v>161441.56000000003</v>
      </c>
      <c r="D26" s="306">
        <f>SUM(D6:D25)</f>
        <v>-161441.56000000003</v>
      </c>
      <c r="E26" s="300">
        <f>SUM(E6:E25)</f>
        <v>322883.12</v>
      </c>
      <c r="F26" s="300">
        <f>E26/2</f>
        <v>161441.56</v>
      </c>
    </row>
    <row r="27" spans="1:6" ht="13.5" customHeight="1" thickTop="1" x14ac:dyDescent="0.25"/>
    <row r="28" spans="1:6" ht="13.5" customHeight="1" x14ac:dyDescent="0.25">
      <c r="A28" s="10"/>
    </row>
    <row r="29" spans="1:6" ht="13.5" customHeight="1" x14ac:dyDescent="0.25">
      <c r="A29" s="10"/>
    </row>
  </sheetData>
  <phoneticPr fontId="8" type="noConversion"/>
  <pageMargins left="0.75" right="0.75" top="0.48" bottom="0.5" header="0.5" footer="0.5"/>
  <pageSetup orientation="landscape" r:id="rId1"/>
  <headerFooter alignWithMargins="0">
    <oddFooter>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9" sqref="G39"/>
    </sheetView>
  </sheetViews>
  <sheetFormatPr defaultRowHeight="12.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D0EF971E833E5449B7392DE745257B4" ma:contentTypeVersion="160" ma:contentTypeDescription="" ma:contentTypeScope="" ma:versionID="f78b98941d55e908d189eb8242c508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1992-07-09T07:00:00+00:00</OpenedDate>
    <Date1 xmlns="dc463f71-b30c-4ab2-9473-d307f9d35888">2015-04-07T07:00:00+00:00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Washington Natural Gas Company</CaseCompanyNames>
    <DocketNumber xmlns="dc463f71-b30c-4ab2-9473-d307f9d35888">920781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CB2F19C-DDCD-4344-A0FE-F054213FD9B1}"/>
</file>

<file path=customXml/itemProps2.xml><?xml version="1.0" encoding="utf-8"?>
<ds:datastoreItem xmlns:ds="http://schemas.openxmlformats.org/officeDocument/2006/customXml" ds:itemID="{D16AA07E-861D-4F28-8655-03CCF37200F1}"/>
</file>

<file path=customXml/itemProps3.xml><?xml version="1.0" encoding="utf-8"?>
<ds:datastoreItem xmlns:ds="http://schemas.openxmlformats.org/officeDocument/2006/customXml" ds:itemID="{717D2B15-631D-4401-8909-8A6CF23F4EF3}"/>
</file>

<file path=customXml/itemProps4.xml><?xml version="1.0" encoding="utf-8"?>
<ds:datastoreItem xmlns:ds="http://schemas.openxmlformats.org/officeDocument/2006/customXml" ds:itemID="{CB312034-9D47-4086-8316-810F9E2B6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Elec 03-31-15</vt:lpstr>
      <vt:lpstr>Gas 03-31-15</vt:lpstr>
      <vt:lpstr>03.31.15 UST</vt:lpstr>
      <vt:lpstr>Elec JE Template</vt:lpstr>
      <vt:lpstr> Elec 09-30-13 (2)</vt:lpstr>
      <vt:lpstr> Gas 9-30-13</vt:lpstr>
      <vt:lpstr>Gas JE Template</vt:lpstr>
      <vt:lpstr>Sheet1</vt:lpstr>
      <vt:lpstr>' Elec 09-30-13 (2)'!Print_Area</vt:lpstr>
      <vt:lpstr>' Gas 9-30-13'!Print_Area</vt:lpstr>
      <vt:lpstr>'03.31.15 UST'!Print_Area</vt:lpstr>
      <vt:lpstr>'Elec 03-31-15'!Print_Area</vt:lpstr>
      <vt:lpstr>'Elec JE Template'!Print_Area</vt:lpstr>
      <vt:lpstr>'Gas 03-31-15'!Print_Area</vt:lpstr>
      <vt:lpstr>'Gas JE Template'!Print_Area</vt:lpstr>
      <vt:lpstr>' Elec 09-30-13 (2)'!Print_Titles</vt:lpstr>
      <vt:lpstr>' Gas 9-30-13'!Print_Titles</vt:lpstr>
      <vt:lpstr>'Elec 03-31-15'!Print_Titles</vt:lpstr>
      <vt:lpstr>'Gas 03-31-15'!Print_Titles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W. Eldredge</dc:creator>
  <cp:lastModifiedBy>Jennifer Snyder</cp:lastModifiedBy>
  <cp:lastPrinted>2015-03-30T22:13:58Z</cp:lastPrinted>
  <dcterms:created xsi:type="dcterms:W3CDTF">1996-12-31T23:13:19Z</dcterms:created>
  <dcterms:modified xsi:type="dcterms:W3CDTF">2015-04-07T23:19:06Z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0x0101006E56B4D1795A2E4DB2F0B01679ED314A001D0EF971E833E5449B7392DE745257B4</vt:lpwstr>
  </property>
  <property fmtid="{D5CDD505-2E9C-101B-9397-08002B2CF9AE}" pid="3" name="_docset_NoMedatataSyncRequired">
    <vt:lpwstr>False</vt:lpwstr>
  </property>
</Properties>
</file>