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8240" windowHeight="12780" tabRatio="805" activeTab="7"/>
  </bookViews>
  <sheets>
    <sheet name="Summary for Table" sheetId="9" r:id="rId1"/>
    <sheet name="Summary Amortization" sheetId="2" r:id="rId2"/>
    <sheet name="Colstrip Capital" sheetId="1" r:id="rId3"/>
    <sheet name="Colstrip - Capital Detail" sheetId="4" r:id="rId4"/>
    <sheet name="Colstrip NPC" sheetId="5" r:id="rId5"/>
    <sheet name="Hydro NPC" sheetId="7" r:id="rId6"/>
    <sheet name="Depreciation" sheetId="8" r:id="rId7"/>
    <sheet name="Variables" sheetId="3" r:id="rId8"/>
  </sheets>
  <externalReferences>
    <externalReference r:id="rId9"/>
  </externalReferences>
  <definedNames>
    <definedName name="_xlnm.Print_Area" localSheetId="3">'Colstrip - Capital Detail'!$A$1:$F$37</definedName>
    <definedName name="_xlnm.Print_Area" localSheetId="2">'Colstrip Capital'!$A$1:$E$30</definedName>
    <definedName name="_xlnm.Print_Area" localSheetId="4">'Colstrip NPC'!$A$1:$K$30</definedName>
    <definedName name="_xlnm.Print_Area" localSheetId="6">Depreciation!$A$1:$E$23</definedName>
    <definedName name="_xlnm.Print_Area" localSheetId="5">'Hydro NPC'!$A$1:$R$27</definedName>
    <definedName name="_xlnm.Print_Area" localSheetId="1">'Summary Amortization'!$A$1:$K$46</definedName>
    <definedName name="_xlnm.Print_Area" localSheetId="7">Variables!$A$1:$I$74</definedName>
  </definedNames>
  <calcPr calcId="145621" iterate="1"/>
</workbook>
</file>

<file path=xl/calcChain.xml><?xml version="1.0" encoding="utf-8"?>
<calcChain xmlns="http://schemas.openxmlformats.org/spreadsheetml/2006/main">
  <c r="D15" i="9" l="1"/>
  <c r="D13" i="9"/>
  <c r="D11" i="9"/>
  <c r="D9" i="9"/>
  <c r="D17" i="9" s="1"/>
  <c r="A2" i="2" l="1"/>
  <c r="A1" i="2"/>
  <c r="D33" i="4" l="1"/>
  <c r="C33" i="4"/>
  <c r="D21" i="1" l="1"/>
  <c r="D17" i="1"/>
  <c r="D15" i="1"/>
  <c r="D9" i="1"/>
  <c r="D8" i="1"/>
  <c r="F36" i="4"/>
  <c r="D36" i="4"/>
  <c r="C36" i="4"/>
  <c r="C26" i="4"/>
  <c r="C27" i="4" s="1"/>
  <c r="C25" i="4"/>
  <c r="F25" i="4" s="1"/>
  <c r="F24" i="4"/>
  <c r="C24" i="4"/>
  <c r="C28" i="4" l="1"/>
  <c r="F27" i="4"/>
  <c r="F26" i="4"/>
  <c r="H31" i="2"/>
  <c r="C29" i="4" l="1"/>
  <c r="F28" i="4"/>
  <c r="F29" i="4" l="1"/>
  <c r="C30" i="4"/>
  <c r="C31" i="4" l="1"/>
  <c r="F30" i="4"/>
  <c r="C32" i="4" l="1"/>
  <c r="F32" i="4" s="1"/>
  <c r="F31" i="4"/>
  <c r="C10" i="2" l="1"/>
  <c r="G42" i="2"/>
  <c r="G41" i="2"/>
  <c r="G40" i="2"/>
  <c r="G39" i="2"/>
  <c r="G38" i="2"/>
  <c r="G37" i="2"/>
  <c r="G36" i="2"/>
  <c r="G35" i="2"/>
  <c r="G34" i="2"/>
  <c r="G33" i="2"/>
  <c r="G32" i="2"/>
  <c r="G31" i="2"/>
  <c r="A42" i="2"/>
  <c r="A41" i="2"/>
  <c r="A40" i="2"/>
  <c r="A38" i="2"/>
  <c r="A37" i="2"/>
  <c r="A36" i="2"/>
  <c r="A35" i="2"/>
  <c r="A34" i="2"/>
  <c r="A33" i="2"/>
  <c r="A32" i="2"/>
  <c r="A31" i="2"/>
  <c r="G9" i="2"/>
  <c r="D11" i="8"/>
  <c r="D13" i="8" s="1"/>
  <c r="D10" i="8"/>
  <c r="N17" i="2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C11" i="7" l="1"/>
  <c r="C20" i="7"/>
  <c r="E7" i="7"/>
  <c r="F7" i="7" s="1"/>
  <c r="G7" i="7" s="1"/>
  <c r="H7" i="7" s="1"/>
  <c r="I7" i="7" s="1"/>
  <c r="J7" i="7" s="1"/>
  <c r="K7" i="7" s="1"/>
  <c r="L7" i="7" s="1"/>
  <c r="M7" i="7" s="1"/>
  <c r="N7" i="7" s="1"/>
  <c r="O7" i="7" s="1"/>
  <c r="Q7" i="7" s="1"/>
  <c r="R7" i="7" s="1"/>
  <c r="M11" i="2"/>
  <c r="M12" i="2" s="1"/>
  <c r="M13" i="2" s="1"/>
  <c r="M14" i="2" s="1"/>
  <c r="M15" i="2" s="1"/>
  <c r="M16" i="2" s="1"/>
  <c r="D19" i="1"/>
  <c r="C22" i="5"/>
  <c r="E14" i="5" s="1"/>
  <c r="C21" i="5"/>
  <c r="I14" i="5" l="1"/>
  <c r="J14" i="5"/>
  <c r="G14" i="5"/>
  <c r="K14" i="5"/>
  <c r="D14" i="5"/>
  <c r="H14" i="5"/>
  <c r="L13" i="7"/>
  <c r="H13" i="7"/>
  <c r="D13" i="7"/>
  <c r="O13" i="7"/>
  <c r="K13" i="7"/>
  <c r="G13" i="7"/>
  <c r="F13" i="7"/>
  <c r="N13" i="7"/>
  <c r="J13" i="7"/>
  <c r="M13" i="7"/>
  <c r="I13" i="7"/>
  <c r="E13" i="7"/>
  <c r="F14" i="5"/>
  <c r="M17" i="2"/>
  <c r="D17" i="2" s="1"/>
  <c r="G23" i="3"/>
  <c r="G22" i="3"/>
  <c r="G21" i="3"/>
  <c r="I18" i="3"/>
  <c r="G14" i="3" s="1"/>
  <c r="I14" i="3" s="1"/>
  <c r="C15" i="3"/>
  <c r="I12" i="3"/>
  <c r="C15" i="8" l="1"/>
  <c r="C24" i="7"/>
  <c r="D23" i="1"/>
  <c r="C26" i="5"/>
  <c r="C16" i="8"/>
  <c r="C27" i="5"/>
  <c r="C25" i="7"/>
  <c r="D24" i="1"/>
  <c r="C17" i="8"/>
  <c r="C26" i="7"/>
  <c r="D25" i="1"/>
  <c r="C28" i="5"/>
  <c r="M18" i="2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C13" i="7"/>
  <c r="G13" i="3"/>
  <c r="I13" i="3" s="1"/>
  <c r="I15" i="3" s="1"/>
  <c r="D12" i="1" s="1"/>
  <c r="E15" i="3"/>
  <c r="I31" i="2" s="1"/>
  <c r="I41" i="2" l="1"/>
  <c r="I39" i="2"/>
  <c r="I37" i="2"/>
  <c r="I42" i="2"/>
  <c r="I36" i="2"/>
  <c r="I34" i="2"/>
  <c r="I40" i="2"/>
  <c r="I32" i="2"/>
  <c r="I38" i="2"/>
  <c r="I35" i="2"/>
  <c r="I33" i="2"/>
  <c r="C29" i="5"/>
  <c r="K16" i="5" s="1"/>
  <c r="C27" i="7"/>
  <c r="Q15" i="7" s="1"/>
  <c r="E29" i="2" s="1"/>
  <c r="D26" i="1"/>
  <c r="C18" i="8"/>
  <c r="D20" i="8" s="1"/>
  <c r="D22" i="8" s="1"/>
  <c r="F16" i="2" s="1"/>
  <c r="C11" i="5"/>
  <c r="C10" i="5"/>
  <c r="K12" i="5"/>
  <c r="J12" i="5"/>
  <c r="I12" i="5"/>
  <c r="H12" i="5"/>
  <c r="G12" i="5"/>
  <c r="F12" i="5"/>
  <c r="E12" i="5"/>
  <c r="D12" i="5"/>
  <c r="K7" i="5"/>
  <c r="E7" i="5"/>
  <c r="F7" i="5" s="1"/>
  <c r="G7" i="5" s="1"/>
  <c r="H7" i="5" s="1"/>
  <c r="I7" i="5" s="1"/>
  <c r="G45" i="3"/>
  <c r="G44" i="3"/>
  <c r="G43" i="3"/>
  <c r="G68" i="3"/>
  <c r="G67" i="3"/>
  <c r="G66" i="3"/>
  <c r="I40" i="3"/>
  <c r="G36" i="3" s="1"/>
  <c r="C37" i="3"/>
  <c r="E36" i="3"/>
  <c r="E35" i="3"/>
  <c r="E34" i="3"/>
  <c r="F9" i="4"/>
  <c r="C9" i="4"/>
  <c r="C10" i="4" s="1"/>
  <c r="C11" i="4" s="1"/>
  <c r="F8" i="4"/>
  <c r="D8" i="4" s="1"/>
  <c r="D9" i="4" s="1"/>
  <c r="A1" i="4"/>
  <c r="F15" i="7" l="1"/>
  <c r="E18" i="2" s="1"/>
  <c r="E15" i="7"/>
  <c r="E17" i="2" s="1"/>
  <c r="D16" i="5"/>
  <c r="D10" i="2" s="1"/>
  <c r="G10" i="2" s="1"/>
  <c r="E16" i="5"/>
  <c r="D11" i="2" s="1"/>
  <c r="G11" i="2" s="1"/>
  <c r="F16" i="5"/>
  <c r="D12" i="2" s="1"/>
  <c r="G12" i="2" s="1"/>
  <c r="J16" i="5"/>
  <c r="D16" i="2" s="1"/>
  <c r="H16" i="5"/>
  <c r="D14" i="2" s="1"/>
  <c r="G14" i="2" s="1"/>
  <c r="G16" i="5"/>
  <c r="D13" i="2" s="1"/>
  <c r="G13" i="2" s="1"/>
  <c r="J15" i="7"/>
  <c r="E22" i="2" s="1"/>
  <c r="K15" i="7"/>
  <c r="E23" i="2" s="1"/>
  <c r="I16" i="5"/>
  <c r="D15" i="2" s="1"/>
  <c r="G15" i="2" s="1"/>
  <c r="H15" i="7"/>
  <c r="E20" i="2" s="1"/>
  <c r="D15" i="7"/>
  <c r="E16" i="2" s="1"/>
  <c r="N15" i="7"/>
  <c r="E26" i="2" s="1"/>
  <c r="M15" i="7"/>
  <c r="E25" i="2" s="1"/>
  <c r="L15" i="7"/>
  <c r="E24" i="2" s="1"/>
  <c r="O15" i="7"/>
  <c r="E27" i="2" s="1"/>
  <c r="R15" i="7"/>
  <c r="E30" i="2" s="1"/>
  <c r="G15" i="7"/>
  <c r="E19" i="2" s="1"/>
  <c r="I15" i="7"/>
  <c r="E21" i="2" s="1"/>
  <c r="P15" i="7"/>
  <c r="E28" i="2" s="1"/>
  <c r="F20" i="2"/>
  <c r="F21" i="2"/>
  <c r="F25" i="2"/>
  <c r="F29" i="2"/>
  <c r="G29" i="2" s="1"/>
  <c r="F23" i="2"/>
  <c r="G23" i="2" s="1"/>
  <c r="F17" i="2"/>
  <c r="F27" i="2"/>
  <c r="F30" i="2"/>
  <c r="F28" i="2"/>
  <c r="F19" i="2"/>
  <c r="F22" i="2"/>
  <c r="F24" i="2"/>
  <c r="F26" i="2"/>
  <c r="G26" i="2" s="1"/>
  <c r="F18" i="2"/>
  <c r="I36" i="3"/>
  <c r="G35" i="3"/>
  <c r="I35" i="3" s="1"/>
  <c r="C12" i="5"/>
  <c r="E37" i="3"/>
  <c r="I15" i="2" s="1"/>
  <c r="I34" i="3"/>
  <c r="F11" i="4"/>
  <c r="C12" i="4"/>
  <c r="C13" i="4" s="1"/>
  <c r="F13" i="4" s="1"/>
  <c r="F10" i="4"/>
  <c r="D10" i="4" s="1"/>
  <c r="D11" i="4" s="1"/>
  <c r="G18" i="2" l="1"/>
  <c r="F12" i="4"/>
  <c r="C14" i="4"/>
  <c r="G19" i="2"/>
  <c r="G20" i="2"/>
  <c r="D43" i="2"/>
  <c r="G16" i="2"/>
  <c r="G30" i="2"/>
  <c r="G22" i="2"/>
  <c r="G24" i="2"/>
  <c r="I29" i="2"/>
  <c r="I18" i="2"/>
  <c r="I19" i="2"/>
  <c r="I28" i="2"/>
  <c r="I17" i="2"/>
  <c r="I22" i="2"/>
  <c r="I26" i="2"/>
  <c r="I24" i="2"/>
  <c r="I30" i="2"/>
  <c r="I23" i="2"/>
  <c r="I16" i="2"/>
  <c r="I21" i="2"/>
  <c r="I27" i="2"/>
  <c r="I20" i="2"/>
  <c r="I25" i="2"/>
  <c r="G21" i="2"/>
  <c r="G27" i="2"/>
  <c r="G25" i="2"/>
  <c r="E43" i="2"/>
  <c r="C15" i="7"/>
  <c r="G28" i="2"/>
  <c r="F43" i="2"/>
  <c r="I37" i="3"/>
  <c r="C14" i="5"/>
  <c r="C15" i="4"/>
  <c r="F14" i="4"/>
  <c r="D12" i="4"/>
  <c r="D13" i="4" s="1"/>
  <c r="D14" i="4" s="1"/>
  <c r="C16" i="5" l="1"/>
  <c r="F15" i="4"/>
  <c r="C16" i="4"/>
  <c r="C17" i="4" l="1"/>
  <c r="F16" i="4"/>
  <c r="D15" i="4"/>
  <c r="D16" i="4" s="1"/>
  <c r="C18" i="4" l="1"/>
  <c r="F17" i="4"/>
  <c r="D17" i="4" s="1"/>
  <c r="C19" i="4" l="1"/>
  <c r="C21" i="4"/>
  <c r="F18" i="4"/>
  <c r="F19" i="4" l="1"/>
  <c r="C22" i="4"/>
  <c r="F21" i="4"/>
  <c r="D18" i="4"/>
  <c r="D19" i="4" s="1"/>
  <c r="C23" i="4" l="1"/>
  <c r="F22" i="4"/>
  <c r="D21" i="4"/>
  <c r="F23" i="4" l="1"/>
  <c r="D22" i="4"/>
  <c r="D23" i="4" l="1"/>
  <c r="D24" i="4" s="1"/>
  <c r="D25" i="4" s="1"/>
  <c r="D26" i="4" s="1"/>
  <c r="D27" i="4" s="1"/>
  <c r="D28" i="4" s="1"/>
  <c r="D29" i="4" s="1"/>
  <c r="D30" i="4" s="1"/>
  <c r="D31" i="4" s="1"/>
  <c r="D32" i="4" s="1"/>
  <c r="F33" i="4"/>
  <c r="D10" i="1" l="1"/>
  <c r="D13" i="1" s="1"/>
  <c r="D28" i="1" s="1"/>
  <c r="G17" i="2" l="1"/>
  <c r="G43" i="2" s="1"/>
  <c r="I63" i="3" l="1"/>
  <c r="G59" i="3" s="1"/>
  <c r="C60" i="3"/>
  <c r="E59" i="3"/>
  <c r="E58" i="3"/>
  <c r="E57" i="3"/>
  <c r="I57" i="3" s="1"/>
  <c r="G58" i="3" l="1"/>
  <c r="I58" i="3" s="1"/>
  <c r="I59" i="3"/>
  <c r="E60" i="3"/>
  <c r="I9" i="2" s="1"/>
  <c r="A30" i="2"/>
  <c r="A29" i="2"/>
  <c r="A27" i="2"/>
  <c r="A26" i="2"/>
  <c r="A25" i="2"/>
  <c r="A24" i="2"/>
  <c r="A23" i="2"/>
  <c r="A22" i="2"/>
  <c r="A21" i="2"/>
  <c r="A20" i="2"/>
  <c r="A19" i="2"/>
  <c r="A18" i="2"/>
  <c r="A17" i="2"/>
  <c r="A15" i="2"/>
  <c r="A14" i="2"/>
  <c r="A13" i="2"/>
  <c r="A12" i="2"/>
  <c r="A11" i="2"/>
  <c r="A10" i="2"/>
  <c r="I13" i="2" l="1"/>
  <c r="I10" i="2"/>
  <c r="I11" i="2"/>
  <c r="I14" i="2"/>
  <c r="I12" i="2"/>
  <c r="I60" i="3"/>
  <c r="J10" i="2" l="1"/>
  <c r="K10" i="2" s="1"/>
  <c r="C11" i="2" l="1"/>
  <c r="J11" i="2" s="1"/>
  <c r="K11" i="2" s="1"/>
  <c r="C12" i="2" s="1"/>
  <c r="J12" i="2" s="1"/>
  <c r="K12" i="2" l="1"/>
  <c r="C13" i="2" s="1"/>
  <c r="J13" i="2" s="1"/>
  <c r="K13" i="2" l="1"/>
  <c r="C14" i="2" s="1"/>
  <c r="J14" i="2" s="1"/>
  <c r="K14" i="2" l="1"/>
  <c r="C15" i="2" s="1"/>
  <c r="J15" i="2" s="1"/>
  <c r="K15" i="2" l="1"/>
  <c r="C16" i="2" s="1"/>
  <c r="J16" i="2" s="1"/>
  <c r="K16" i="2" l="1"/>
  <c r="C17" i="2" s="1"/>
  <c r="J17" i="2" s="1"/>
  <c r="K17" i="2" l="1"/>
  <c r="C18" i="2" s="1"/>
  <c r="J18" i="2" s="1"/>
  <c r="K18" i="2" l="1"/>
  <c r="C19" i="2" s="1"/>
  <c r="J19" i="2" s="1"/>
  <c r="K19" i="2" l="1"/>
  <c r="C20" i="2" s="1"/>
  <c r="J20" i="2" s="1"/>
  <c r="K20" i="2" l="1"/>
  <c r="C21" i="2" s="1"/>
  <c r="J21" i="2" s="1"/>
  <c r="K21" i="2" l="1"/>
  <c r="C22" i="2" s="1"/>
  <c r="J22" i="2" s="1"/>
  <c r="K22" i="2" l="1"/>
  <c r="C23" i="2" s="1"/>
  <c r="J23" i="2" s="1"/>
  <c r="K23" i="2" l="1"/>
  <c r="C24" i="2" s="1"/>
  <c r="J24" i="2" s="1"/>
  <c r="K24" i="2" l="1"/>
  <c r="C25" i="2" s="1"/>
  <c r="J25" i="2" s="1"/>
  <c r="K25" i="2" l="1"/>
  <c r="C26" i="2" s="1"/>
  <c r="J26" i="2" s="1"/>
  <c r="K26" i="2" l="1"/>
  <c r="C27" i="2" s="1"/>
  <c r="J27" i="2" s="1"/>
  <c r="K27" i="2" l="1"/>
  <c r="C28" i="2" s="1"/>
  <c r="J28" i="2" s="1"/>
  <c r="K28" i="2" l="1"/>
  <c r="C29" i="2" s="1"/>
  <c r="J29" i="2" s="1"/>
  <c r="K29" i="2" l="1"/>
  <c r="C30" i="2" s="1"/>
  <c r="J30" i="2" s="1"/>
  <c r="K30" i="2" l="1"/>
  <c r="H52" i="2" l="1"/>
  <c r="H53" i="2" s="1"/>
  <c r="C31" i="2"/>
  <c r="J31" i="2" l="1"/>
  <c r="K31" i="2" s="1"/>
  <c r="C32" i="2" s="1"/>
  <c r="H34" i="2"/>
  <c r="H37" i="2"/>
  <c r="H38" i="2"/>
  <c r="H36" i="2"/>
  <c r="H35" i="2"/>
  <c r="H39" i="2"/>
  <c r="H42" i="2"/>
  <c r="H41" i="2"/>
  <c r="H33" i="2"/>
  <c r="H32" i="2"/>
  <c r="H40" i="2"/>
  <c r="H43" i="2" l="1"/>
  <c r="J32" i="2"/>
  <c r="K32" i="2" s="1"/>
  <c r="C33" i="2" s="1"/>
  <c r="J33" i="2" s="1"/>
  <c r="K33" i="2" l="1"/>
  <c r="C34" i="2" s="1"/>
  <c r="J34" i="2" s="1"/>
  <c r="K34" i="2" l="1"/>
  <c r="C35" i="2" s="1"/>
  <c r="J35" i="2" s="1"/>
  <c r="K35" i="2" l="1"/>
  <c r="C36" i="2" s="1"/>
  <c r="J36" i="2" s="1"/>
  <c r="K36" i="2" l="1"/>
  <c r="C37" i="2" s="1"/>
  <c r="J37" i="2" s="1"/>
  <c r="K37" i="2" l="1"/>
  <c r="C38" i="2" s="1"/>
  <c r="J38" i="2" s="1"/>
  <c r="K38" i="2" l="1"/>
  <c r="C39" i="2" s="1"/>
  <c r="J39" i="2" s="1"/>
  <c r="K39" i="2" l="1"/>
  <c r="C40" i="2" s="1"/>
  <c r="J40" i="2" s="1"/>
  <c r="K40" i="2" l="1"/>
  <c r="C41" i="2" s="1"/>
  <c r="J41" i="2" s="1"/>
  <c r="K41" i="2" l="1"/>
  <c r="C42" i="2" s="1"/>
  <c r="J42" i="2" s="1"/>
  <c r="J43" i="2" l="1"/>
  <c r="K42" i="2" l="1"/>
</calcChain>
</file>

<file path=xl/sharedStrings.xml><?xml version="1.0" encoding="utf-8"?>
<sst xmlns="http://schemas.openxmlformats.org/spreadsheetml/2006/main" count="290" uniqueCount="121">
  <si>
    <t>Total</t>
  </si>
  <si>
    <t>Net Rate Base</t>
  </si>
  <si>
    <t>Accumulated Depreciation</t>
  </si>
  <si>
    <t>Pre-Tax Return on Rate Base</t>
  </si>
  <si>
    <t>Depreciation</t>
  </si>
  <si>
    <t>Depreciation expense</t>
  </si>
  <si>
    <t>WUTC Regulatory Fee</t>
  </si>
  <si>
    <t>Bad Debt Percentage</t>
  </si>
  <si>
    <t>Revenue Tax</t>
  </si>
  <si>
    <t>Total Revenue Requirement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</si>
  <si>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</si>
  <si>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</si>
  <si>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</si>
  <si>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</si>
  <si>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</si>
  <si>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</si>
  <si>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</si>
  <si>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</si>
  <si>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</si>
  <si>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</si>
  <si>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</si>
  <si>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</si>
  <si>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Deferrals</t>
  </si>
  <si>
    <t>Hydro</t>
  </si>
  <si>
    <t>Interest</t>
  </si>
  <si>
    <t>Ending Balance</t>
  </si>
  <si>
    <t>Pre-Tax</t>
  </si>
  <si>
    <t>Capital</t>
  </si>
  <si>
    <t>Embedded</t>
  </si>
  <si>
    <t>Weighted</t>
  </si>
  <si>
    <t>Revenue</t>
  </si>
  <si>
    <t>Structure</t>
  </si>
  <si>
    <t>Cost</t>
  </si>
  <si>
    <t>Bump-up</t>
  </si>
  <si>
    <t>Requirement</t>
  </si>
  <si>
    <t>Debt</t>
  </si>
  <si>
    <t>Preferred</t>
  </si>
  <si>
    <t>Common</t>
  </si>
  <si>
    <t>Merged Effective Tax Rate</t>
  </si>
  <si>
    <t>Pre-Tax Bump-up Factor</t>
  </si>
  <si>
    <t>Revenue Sensitive Items - UE 111190</t>
  </si>
  <si>
    <t>WCA Allocation Factors - UE 111190</t>
  </si>
  <si>
    <t xml:space="preserve">Washington CAGW Factor </t>
  </si>
  <si>
    <t>Capital Cost and Structure Ordered from UE-111190</t>
  </si>
  <si>
    <t>In-Service Date</t>
  </si>
  <si>
    <t>Depreciation Rate</t>
  </si>
  <si>
    <t>Plant in Service</t>
  </si>
  <si>
    <t>Depreciation Expense</t>
  </si>
  <si>
    <t>CY 2014</t>
  </si>
  <si>
    <t>2014 Ending Bal.</t>
  </si>
  <si>
    <t>CY 2015</t>
  </si>
  <si>
    <t>2015 Ending Bal.</t>
  </si>
  <si>
    <t>Capital Cost and Structure Ordered from UE-130043</t>
  </si>
  <si>
    <t>Revenue Sensitive Items - UE 130043</t>
  </si>
  <si>
    <t>WCA Allocation Factors - UE 130043</t>
  </si>
  <si>
    <t>PacifiCorp</t>
  </si>
  <si>
    <t>Total Revenue Requirement Calculation</t>
  </si>
  <si>
    <t>Washington</t>
  </si>
  <si>
    <t>Variable Cost Savings</t>
  </si>
  <si>
    <t>Replacement Power Cost</t>
  </si>
  <si>
    <t>System:</t>
  </si>
  <si>
    <t>Factors</t>
  </si>
  <si>
    <t>CAGW</t>
  </si>
  <si>
    <t>CAEW</t>
  </si>
  <si>
    <t>Net Replacement Power Cost</t>
  </si>
  <si>
    <t>Washington Net Replacement Power Cost</t>
  </si>
  <si>
    <t xml:space="preserve">Washington CAEW Factor </t>
  </si>
  <si>
    <t>Revenue Sensitive Items</t>
  </si>
  <si>
    <t>UE 131389</t>
  </si>
  <si>
    <t>UE 131389 Colstrip Deferral - Net Replacement Power Costs</t>
  </si>
  <si>
    <t>UE 131389 Colstrip Deferral - Cost of Service on Invested Capital</t>
  </si>
  <si>
    <t>Capital Cost and Structure Requested in UE-14xxxx</t>
  </si>
  <si>
    <t>Revenue Sensitive Items - UE14xxxx</t>
  </si>
  <si>
    <t>WCA Allocation Factors - UE 14xxxx</t>
  </si>
  <si>
    <t>UE-14xxxx</t>
  </si>
  <si>
    <t>Factor - CAGW from UE 14xxxx</t>
  </si>
  <si>
    <t>Pre-Tax Return from UE 14xxxxx</t>
  </si>
  <si>
    <t>WA Revenue Requirement Before Franchise Tax &amp; Bad Debt</t>
  </si>
  <si>
    <t>Colstrip index</t>
  </si>
  <si>
    <t>Hydro index</t>
  </si>
  <si>
    <t>UE 132350 Depreciation Deferral</t>
  </si>
  <si>
    <t>Annual amount per Order 01</t>
  </si>
  <si>
    <t>Deferral for calendar year 2014</t>
  </si>
  <si>
    <t>Deferral for January-March 2015</t>
  </si>
  <si>
    <t>Total Deferral</t>
  </si>
  <si>
    <t>($s)</t>
  </si>
  <si>
    <t>Monthly Deferral</t>
  </si>
  <si>
    <t>Amortization</t>
  </si>
  <si>
    <t>Amortization Schedule - Deferrals for Colstrip Outage, Hydro, and Depreciation</t>
  </si>
  <si>
    <t>UE 140094</t>
  </si>
  <si>
    <t>UE 132350</t>
  </si>
  <si>
    <t>goal seek to determine amortization</t>
  </si>
  <si>
    <t>set cell M42 to zero by changing J45</t>
  </si>
  <si>
    <t>reasonableness check</t>
  </si>
  <si>
    <t>Deferrals for Colstrip Outage, Hydro, and Depreciation</t>
  </si>
  <si>
    <t>Effective cost of capital and factors during deferral and amortization periods</t>
  </si>
  <si>
    <t>Capital Investment (in service February 2014)</t>
  </si>
  <si>
    <t>Test Year</t>
  </si>
  <si>
    <t>TME Mar 2015</t>
  </si>
  <si>
    <t>Test Year TME Mar 15</t>
  </si>
  <si>
    <t>System revenue requirement</t>
  </si>
  <si>
    <t>Total Washington Revenue Requirement</t>
  </si>
  <si>
    <t>UE 140094 Hydro Deferral - Replacement Power Costs</t>
  </si>
  <si>
    <t>Beg Balance</t>
  </si>
  <si>
    <t>Interest Rate [1]</t>
  </si>
  <si>
    <t>[1] Interest rates reflects total authorized weighted average cost of capital in effect at time of deferral</t>
  </si>
  <si>
    <t>Deferral</t>
  </si>
  <si>
    <t>Colstrip</t>
  </si>
  <si>
    <t>Washington General Rate Case - December 2013</t>
  </si>
  <si>
    <t>Request to Amortize Deferred Amounts</t>
  </si>
  <si>
    <t>Ref page 8</t>
  </si>
  <si>
    <t>Ref page 4</t>
  </si>
  <si>
    <t>Ref page 3</t>
  </si>
  <si>
    <t>Colstrip Deferral - UE-131384</t>
  </si>
  <si>
    <t>Hydro Deferral - UE-140094</t>
  </si>
  <si>
    <t>Depreciation Deferral - UE-132350</t>
  </si>
  <si>
    <t>Amount to</t>
  </si>
  <si>
    <t>Amortize</t>
  </si>
  <si>
    <t>Summary of Deferred Amounts ($s)</t>
  </si>
  <si>
    <t>Ref page 1</t>
  </si>
  <si>
    <t>Ref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</si>
</sst>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[$-409]mmm\-yy;@"/>
    <numFmt numFmtId="167" formatCode="0.000%"/>
    <numFmt numFmtId="168" formatCode="_-* #,##0\ &quot;F&quot;_-;\-* #,##0\ &quot;F&quot;_-;_-* &quot;-&quot;\ &quot;F&quot;_-;_-@_-"/>
    <numFmt numFmtId="169" formatCode="_(* #,##0.00_);[Red]_(* \(#,##0.00\);_(* &quot;-&quot;??_);_(@_)"/>
    <numFmt numFmtId="170" formatCode="&quot;$&quot;###0;[Red]\(&quot;$&quot;###0\)"/>
    <numFmt numFmtId="171" formatCode="&quot;$&quot;#,##0\ ;\(&quot;$&quot;#,##0\)"/>
    <numFmt numFmtId="172" formatCode="mmmm\ d\,\ yyyy"/>
    <numFmt numFmtId="173" formatCode="########\-###\-###"/>
    <numFmt numFmtId="174" formatCode="0.0"/>
    <numFmt numFmtId="175" formatCode="#,##0.000;[Red]\-#,##0.000"/>
    <numFmt numFmtId="176" formatCode="_(* #,##0_);[Red]_(* \(#,##0\);_(* &quot;-&quot;_);_(@_)"/>
    <numFmt numFmtId="177" formatCode="#,##0.0_);\(#,##0.0\);\-\ ;"/>
    <numFmt numFmtId="178" formatCode="#,##0.0000"/>
    <numFmt numFmtId="179" formatCode="mmm\ dd\,\ yyyy"/>
    <numFmt numFmtId="180" formatCode="General_)"/>
    <numFmt numFmtId="181" formatCode="0.00000000000000000%"/>
  </numFmts>
  <fonts count="78"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  <family val="2"/>
    </font>
    <font>
      <sz val="10"/>
      <color theme="1"/>
      <name val="Arial"/>
      <family val="2"/>
    </font>
    <font>
      <sz val="10"/>
      <color indexed="24"/>
      <name val="Courier New"/>
      <family val="3"/>
    </font>
    <font>
      <sz val="10"/>
      <name val="Helv"/>
    </font>
    <font>
      <sz val="10"/>
      <color theme="1"/>
      <name val="Times New Roman"/>
      <family val="2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8"/>
      <name val="Arial"/>
      <family val="2"/>
    </font>
    <font>
      <sz val="12"/>
      <color indexed="12"/>
      <name val="Times New Roman"/>
      <family val="1"/>
    </font>
    <font>
      <sz val="9"/>
      <name val="Helv"/>
    </font>
    <font>
      <sz val="12"/>
      <name val="Arial"/>
      <family val="2"/>
    </font>
    <font>
      <sz val="12"/>
      <name val="Times New Roman"/>
      <family val="1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sz val="10"/>
      <name val="LinePrinter"/>
    </font>
    <font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sz val="11"/>
      <color indexed="60"/>
      <name val="Calibri"/>
      <family val="2"/>
    </font>
    <font>
      <sz val="12"/>
      <color theme="1"/>
      <name val="Times New Roman"/>
      <family val="2"/>
    </font>
    <font>
      <sz val="11"/>
      <color theme="1"/>
      <name val="Comic Sans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rgb="FF0000FF"/>
      <name val="Tahoma"/>
      <family val="2"/>
    </font>
    <font>
      <u/>
      <sz val="8"/>
      <name val="Tahoma"/>
      <family val="2"/>
    </font>
    <font>
      <sz val="8"/>
      <name val="Tahoma"/>
      <family val="2"/>
    </font>
    <font>
      <u/>
      <sz val="10"/>
      <color theme="1"/>
      <name val="Tahoma"/>
      <family val="2"/>
    </font>
    <font>
      <u/>
      <sz val="8"/>
      <color theme="1"/>
      <name val="Tahoma"/>
      <family val="2"/>
    </font>
    <font>
      <b/>
      <u/>
      <sz val="10"/>
      <color theme="1"/>
      <name val="Tahoma"/>
      <family val="2"/>
    </font>
    <font>
      <b/>
      <u/>
      <sz val="10"/>
      <name val="Tahoma"/>
      <family val="2"/>
    </font>
    <font>
      <sz val="1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8"/>
      <color theme="1"/>
      <name val="Tahoma"/>
      <family val="2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9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" fontId="7" fillId="0" borderId="0"/>
    <xf numFmtId="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8" fillId="0" borderId="0" applyFont="0" applyFill="0" applyBorder="0" applyAlignment="0" applyProtection="0"/>
    <xf numFmtId="170" fontId="13" fillId="0" borderId="0" applyFont="0" applyFill="0" applyBorder="0" applyProtection="0">
      <alignment horizontal="right"/>
    </xf>
    <xf numFmtId="5" fontId="11" fillId="0" borderId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/>
    <xf numFmtId="0" fontId="11" fillId="0" borderId="0"/>
    <xf numFmtId="2" fontId="10" fillId="0" borderId="0" applyFont="0" applyFill="0" applyBorder="0" applyAlignment="0" applyProtection="0"/>
    <xf numFmtId="0" fontId="11" fillId="0" borderId="0"/>
    <xf numFmtId="0" fontId="14" fillId="0" borderId="0" applyFont="0" applyFill="0" applyBorder="0" applyAlignment="0" applyProtection="0">
      <alignment horizontal="left"/>
    </xf>
    <xf numFmtId="38" fontId="15" fillId="2" borderId="0" applyNumberFormat="0" applyBorder="0" applyAlignment="0" applyProtection="0"/>
    <xf numFmtId="0" fontId="16" fillId="0" borderId="0"/>
    <xf numFmtId="0" fontId="17" fillId="0" borderId="3" applyNumberFormat="0" applyAlignment="0" applyProtection="0">
      <alignment horizontal="left" vertical="center"/>
    </xf>
    <xf numFmtId="0" fontId="17" fillId="0" borderId="1">
      <alignment horizontal="left" vertical="center"/>
    </xf>
    <xf numFmtId="167" fontId="2" fillId="0" borderId="0">
      <protection locked="0"/>
    </xf>
    <xf numFmtId="167" fontId="2" fillId="0" borderId="0">
      <protection locked="0"/>
    </xf>
    <xf numFmtId="10" fontId="15" fillId="3" borderId="4" applyNumberFormat="0" applyBorder="0" applyAlignment="0" applyProtection="0"/>
    <xf numFmtId="38" fontId="5" fillId="0" borderId="0">
      <alignment horizontal="left" wrapText="1"/>
    </xf>
    <xf numFmtId="38" fontId="18" fillId="0" borderId="0">
      <alignment horizontal="left" wrapText="1"/>
    </xf>
    <xf numFmtId="173" fontId="2" fillId="0" borderId="0"/>
    <xf numFmtId="174" fontId="19" fillId="0" borderId="0" applyNumberFormat="0" applyFill="0" applyBorder="0" applyAlignment="0" applyProtection="0"/>
    <xf numFmtId="164" fontId="20" fillId="0" borderId="0" applyFont="0" applyAlignment="0" applyProtection="0"/>
    <xf numFmtId="0" fontId="15" fillId="0" borderId="5" applyNumberFormat="0" applyBorder="0" applyAlignment="0"/>
    <xf numFmtId="175" fontId="2" fillId="0" borderId="0"/>
    <xf numFmtId="0" fontId="21" fillId="0" borderId="0"/>
    <xf numFmtId="41" fontId="2" fillId="0" borderId="0"/>
    <xf numFmtId="0" fontId="3" fillId="0" borderId="0"/>
    <xf numFmtId="0" fontId="9" fillId="0" borderId="0"/>
    <xf numFmtId="0" fontId="9" fillId="0" borderId="0"/>
    <xf numFmtId="0" fontId="2" fillId="0" borderId="0"/>
    <xf numFmtId="41" fontId="21" fillId="0" borderId="0"/>
    <xf numFmtId="0" fontId="22" fillId="0" borderId="0"/>
    <xf numFmtId="0" fontId="2" fillId="0" borderId="0"/>
    <xf numFmtId="0" fontId="3" fillId="0" borderId="0"/>
    <xf numFmtId="0" fontId="3" fillId="0" borderId="0"/>
    <xf numFmtId="0" fontId="2" fillId="0" borderId="0"/>
    <xf numFmtId="176" fontId="2" fillId="0" borderId="0"/>
    <xf numFmtId="0" fontId="3" fillId="0" borderId="0"/>
    <xf numFmtId="0" fontId="12" fillId="0" borderId="0"/>
    <xf numFmtId="0" fontId="3" fillId="0" borderId="0"/>
    <xf numFmtId="41" fontId="2" fillId="0" borderId="0"/>
    <xf numFmtId="0" fontId="23" fillId="0" borderId="0" applyFill="0" applyBorder="0" applyProtection="0"/>
    <xf numFmtId="37" fontId="11" fillId="0" borderId="0"/>
    <xf numFmtId="177" fontId="23" fillId="0" borderId="0" applyFont="0" applyFill="0" applyBorder="0" applyProtection="0"/>
    <xf numFmtId="12" fontId="17" fillId="4" borderId="6">
      <alignment horizontal="left"/>
    </xf>
    <xf numFmtId="0" fontId="11" fillId="0" borderId="0"/>
    <xf numFmtId="0" fontId="11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/>
    <xf numFmtId="4" fontId="25" fillId="5" borderId="7" applyNumberFormat="0" applyProtection="0">
      <alignment vertical="center"/>
    </xf>
    <xf numFmtId="4" fontId="26" fillId="6" borderId="7" applyNumberFormat="0" applyProtection="0">
      <alignment vertical="center"/>
    </xf>
    <xf numFmtId="4" fontId="25" fillId="6" borderId="7" applyNumberFormat="0" applyProtection="0">
      <alignment horizontal="left" vertical="center" indent="1"/>
    </xf>
    <xf numFmtId="0" fontId="25" fillId="6" borderId="7" applyNumberFormat="0" applyProtection="0">
      <alignment horizontal="left" vertical="top" indent="1"/>
    </xf>
    <xf numFmtId="4" fontId="25" fillId="7" borderId="7" applyNumberFormat="0" applyProtection="0"/>
    <xf numFmtId="4" fontId="27" fillId="8" borderId="7" applyNumberFormat="0" applyProtection="0">
      <alignment horizontal="right" vertical="center"/>
    </xf>
    <xf numFmtId="4" fontId="27" fillId="9" borderId="7" applyNumberFormat="0" applyProtection="0">
      <alignment horizontal="right" vertical="center"/>
    </xf>
    <xf numFmtId="4" fontId="27" fillId="10" borderId="7" applyNumberFormat="0" applyProtection="0">
      <alignment horizontal="right" vertical="center"/>
    </xf>
    <xf numFmtId="4" fontId="27" fillId="11" borderId="7" applyNumberFormat="0" applyProtection="0">
      <alignment horizontal="right" vertical="center"/>
    </xf>
    <xf numFmtId="4" fontId="27" fillId="12" borderId="7" applyNumberFormat="0" applyProtection="0">
      <alignment horizontal="right" vertical="center"/>
    </xf>
    <xf numFmtId="4" fontId="27" fillId="13" borderId="7" applyNumberFormat="0" applyProtection="0">
      <alignment horizontal="right" vertical="center"/>
    </xf>
    <xf numFmtId="4" fontId="27" fillId="14" borderId="7" applyNumberFormat="0" applyProtection="0">
      <alignment horizontal="right" vertical="center"/>
    </xf>
    <xf numFmtId="4" fontId="27" fillId="15" borderId="7" applyNumberFormat="0" applyProtection="0">
      <alignment horizontal="right" vertical="center"/>
    </xf>
    <xf numFmtId="4" fontId="27" fillId="16" borderId="7" applyNumberFormat="0" applyProtection="0">
      <alignment horizontal="right" vertical="center"/>
    </xf>
    <xf numFmtId="4" fontId="25" fillId="17" borderId="8" applyNumberFormat="0" applyProtection="0">
      <alignment horizontal="left" vertical="center" indent="1"/>
    </xf>
    <xf numFmtId="4" fontId="27" fillId="18" borderId="0" applyNumberFormat="0" applyProtection="0">
      <alignment horizontal="left" indent="1"/>
    </xf>
    <xf numFmtId="4" fontId="28" fillId="19" borderId="0" applyNumberFormat="0" applyProtection="0">
      <alignment horizontal="left" vertical="center" indent="1"/>
    </xf>
    <xf numFmtId="4" fontId="27" fillId="20" borderId="7" applyNumberFormat="0" applyProtection="0">
      <alignment horizontal="right" vertical="center"/>
    </xf>
    <xf numFmtId="4" fontId="29" fillId="21" borderId="0" applyNumberFormat="0" applyProtection="0">
      <alignment horizontal="left" indent="1"/>
    </xf>
    <xf numFmtId="4" fontId="30" fillId="22" borderId="0" applyNumberFormat="0" applyProtection="0"/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top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top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top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top" indent="1"/>
    </xf>
    <xf numFmtId="4" fontId="27" fillId="3" borderId="7" applyNumberFormat="0" applyProtection="0">
      <alignment vertical="center"/>
    </xf>
    <xf numFmtId="4" fontId="31" fillId="3" borderId="7" applyNumberFormat="0" applyProtection="0">
      <alignment vertical="center"/>
    </xf>
    <xf numFmtId="4" fontId="27" fillId="3" borderId="7" applyNumberFormat="0" applyProtection="0">
      <alignment horizontal="left" vertical="center" indent="1"/>
    </xf>
    <xf numFmtId="0" fontId="27" fillId="3" borderId="7" applyNumberFormat="0" applyProtection="0">
      <alignment horizontal="left" vertical="top" indent="1"/>
    </xf>
    <xf numFmtId="4" fontId="27" fillId="0" borderId="7" applyNumberFormat="0" applyProtection="0">
      <alignment horizontal="right" vertical="center"/>
    </xf>
    <xf numFmtId="4" fontId="31" fillId="18" borderId="7" applyNumberFormat="0" applyProtection="0">
      <alignment horizontal="right" vertical="center"/>
    </xf>
    <xf numFmtId="4" fontId="27" fillId="0" borderId="7" applyNumberFormat="0" applyProtection="0">
      <alignment horizontal="left" vertical="center" indent="1"/>
    </xf>
    <xf numFmtId="0" fontId="27" fillId="7" borderId="7" applyNumberFormat="0" applyProtection="0">
      <alignment horizontal="left" vertical="top"/>
    </xf>
    <xf numFmtId="4" fontId="32" fillId="25" borderId="0" applyNumberFormat="0" applyProtection="0">
      <alignment horizontal="left"/>
    </xf>
    <xf numFmtId="4" fontId="32" fillId="25" borderId="0" applyNumberFormat="0" applyProtection="0">
      <alignment horizontal="left"/>
    </xf>
    <xf numFmtId="4" fontId="33" fillId="18" borderId="7" applyNumberFormat="0" applyProtection="0">
      <alignment horizontal="right" vertical="center"/>
    </xf>
    <xf numFmtId="37" fontId="34" fillId="26" borderId="0" applyNumberFormat="0" applyFont="0" applyBorder="0" applyAlignment="0" applyProtection="0"/>
    <xf numFmtId="178" fontId="2" fillId="0" borderId="9">
      <alignment horizontal="justify" vertical="top" wrapText="1"/>
    </xf>
    <xf numFmtId="0" fontId="2" fillId="0" borderId="0">
      <alignment horizontal="left" wrapText="1"/>
    </xf>
    <xf numFmtId="179" fontId="2" fillId="0" borderId="0" applyFill="0" applyBorder="0" applyAlignment="0" applyProtection="0">
      <alignment wrapText="1"/>
    </xf>
    <xf numFmtId="0" fontId="4" fillId="0" borderId="0" applyNumberFormat="0" applyFill="0" applyBorder="0">
      <alignment horizontal="center" wrapText="1"/>
    </xf>
    <xf numFmtId="0" fontId="4" fillId="0" borderId="0" applyNumberFormat="0" applyFill="0" applyBorder="0">
      <alignment horizontal="center" wrapText="1"/>
    </xf>
    <xf numFmtId="38" fontId="2" fillId="0" borderId="0">
      <alignment horizontal="left" wrapText="1"/>
    </xf>
    <xf numFmtId="0" fontId="4" fillId="0" borderId="4">
      <alignment horizontal="center" vertical="center" wrapText="1"/>
    </xf>
    <xf numFmtId="0" fontId="11" fillId="0" borderId="10"/>
    <xf numFmtId="180" fontId="35" fillId="0" borderId="0">
      <alignment horizontal="left"/>
    </xf>
    <xf numFmtId="0" fontId="11" fillId="0" borderId="11"/>
    <xf numFmtId="37" fontId="15" fillId="6" borderId="0" applyNumberFormat="0" applyBorder="0" applyAlignment="0" applyProtection="0"/>
    <xf numFmtId="37" fontId="15" fillId="0" borderId="0"/>
    <xf numFmtId="37" fontId="15" fillId="6" borderId="0" applyNumberFormat="0" applyBorder="0" applyAlignment="0" applyProtection="0"/>
    <xf numFmtId="3" fontId="36" fillId="27" borderId="12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7" fillId="28" borderId="0" applyNumberFormat="0" applyBorder="0" applyAlignment="0" applyProtection="0"/>
    <xf numFmtId="0" fontId="37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7" fillId="29" borderId="0" applyNumberFormat="0" applyBorder="0" applyAlignment="0" applyProtection="0"/>
    <xf numFmtId="0" fontId="37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1" borderId="0" applyNumberFormat="0" applyBorder="0" applyAlignment="0" applyProtection="0"/>
    <xf numFmtId="0" fontId="37" fillId="33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2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9" fillId="38" borderId="4" applyNumberFormat="0" applyBorder="0" applyAlignment="0" applyProtection="0"/>
    <xf numFmtId="166" fontId="39" fillId="38" borderId="4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" fillId="39" borderId="0" applyNumberFormat="0" applyBorder="0" applyAlignment="0" applyProtection="0"/>
    <xf numFmtId="166" fontId="4" fillId="39" borderId="0" applyNumberFormat="0" applyBorder="0" applyAlignment="0" applyProtection="0"/>
    <xf numFmtId="0" fontId="41" fillId="40" borderId="13" applyNumberFormat="0" applyAlignment="0" applyProtection="0"/>
    <xf numFmtId="0" fontId="41" fillId="40" borderId="13" applyNumberFormat="0" applyAlignment="0" applyProtection="0"/>
    <xf numFmtId="0" fontId="41" fillId="40" borderId="13" applyNumberFormat="0" applyAlignment="0" applyProtection="0"/>
    <xf numFmtId="0" fontId="41" fillId="40" borderId="13" applyNumberFormat="0" applyAlignment="0" applyProtection="0"/>
    <xf numFmtId="0" fontId="41" fillId="40" borderId="13" applyNumberFormat="0" applyAlignment="0" applyProtection="0"/>
    <xf numFmtId="0" fontId="42" fillId="41" borderId="14" applyNumberFormat="0" applyAlignment="0" applyProtection="0"/>
    <xf numFmtId="0" fontId="42" fillId="41" borderId="14" applyNumberFormat="0" applyAlignment="0" applyProtection="0"/>
    <xf numFmtId="0" fontId="42" fillId="41" borderId="14" applyNumberFormat="0" applyAlignment="0" applyProtection="0"/>
    <xf numFmtId="0" fontId="42" fillId="41" borderId="14" applyNumberFormat="0" applyAlignment="0" applyProtection="0"/>
    <xf numFmtId="0" fontId="42" fillId="41" borderId="14" applyNumberFormat="0" applyAlignment="0" applyProtection="0"/>
    <xf numFmtId="166" fontId="6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41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1" fillId="0" borderId="0"/>
    <xf numFmtId="166" fontId="11" fillId="0" borderId="0"/>
    <xf numFmtId="37" fontId="2" fillId="0" borderId="0" applyFill="0" applyBorder="0" applyAlignment="0" applyProtection="0"/>
    <xf numFmtId="166" fontId="1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11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2" fillId="0" borderId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38" fontId="15" fillId="2" borderId="0" applyNumberFormat="0" applyBorder="0" applyAlignment="0" applyProtection="0"/>
    <xf numFmtId="38" fontId="15" fillId="2" borderId="0" applyNumberFormat="0" applyBorder="0" applyAlignment="0" applyProtection="0"/>
    <xf numFmtId="166" fontId="16" fillId="0" borderId="0"/>
    <xf numFmtId="166" fontId="17" fillId="0" borderId="3" applyNumberFormat="0" applyAlignment="0" applyProtection="0">
      <alignment horizontal="left" vertical="center"/>
    </xf>
    <xf numFmtId="166" fontId="17" fillId="0" borderId="1">
      <alignment horizontal="left" vertical="center"/>
    </xf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0" fontId="15" fillId="3" borderId="4" applyNumberFormat="0" applyBorder="0" applyAlignment="0" applyProtection="0"/>
    <xf numFmtId="10" fontId="15" fillId="3" borderId="4" applyNumberFormat="0" applyBorder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42" borderId="0"/>
    <xf numFmtId="166" fontId="49" fillId="42" borderId="0"/>
    <xf numFmtId="0" fontId="49" fillId="43" borderId="0"/>
    <xf numFmtId="166" fontId="49" fillId="43" borderId="0"/>
    <xf numFmtId="0" fontId="4" fillId="44" borderId="17" applyBorder="0"/>
    <xf numFmtId="0" fontId="2" fillId="45" borderId="18" applyNumberFormat="0" applyFont="0" applyBorder="0" applyAlignment="0" applyProtection="0"/>
    <xf numFmtId="166" fontId="2" fillId="45" borderId="18" applyNumberFormat="0" applyFon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15" fillId="0" borderId="5" applyNumberFormat="0" applyBorder="0" applyAlignment="0"/>
    <xf numFmtId="0" fontId="15" fillId="0" borderId="5" applyNumberFormat="0" applyBorder="0" applyAlignment="0"/>
    <xf numFmtId="175" fontId="2" fillId="0" borderId="0"/>
    <xf numFmtId="175" fontId="2" fillId="0" borderId="0"/>
    <xf numFmtId="0" fontId="2" fillId="0" borderId="0"/>
    <xf numFmtId="0" fontId="1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41" fontId="43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41" fontId="43" fillId="0" borderId="0"/>
    <xf numFmtId="41" fontId="43" fillId="0" borderId="0"/>
    <xf numFmtId="41" fontId="43" fillId="0" borderId="0"/>
    <xf numFmtId="41" fontId="43" fillId="0" borderId="0"/>
    <xf numFmtId="41" fontId="43" fillId="0" borderId="0"/>
    <xf numFmtId="41" fontId="43" fillId="0" borderId="0"/>
    <xf numFmtId="0" fontId="52" fillId="0" borderId="0"/>
    <xf numFmtId="41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3" fillId="0" borderId="0"/>
    <xf numFmtId="0" fontId="3" fillId="0" borderId="0"/>
    <xf numFmtId="0" fontId="2" fillId="46" borderId="19" applyNumberFormat="0" applyFont="0" applyAlignment="0" applyProtection="0"/>
    <xf numFmtId="0" fontId="2" fillId="46" borderId="19" applyNumberFormat="0" applyFont="0" applyAlignment="0" applyProtection="0"/>
    <xf numFmtId="0" fontId="2" fillId="46" borderId="19" applyNumberFormat="0" applyFont="0" applyAlignment="0" applyProtection="0"/>
    <xf numFmtId="0" fontId="2" fillId="46" borderId="19" applyNumberFormat="0" applyFont="0" applyAlignment="0" applyProtection="0"/>
    <xf numFmtId="0" fontId="2" fillId="46" borderId="19" applyNumberFormat="0" applyFont="0" applyAlignment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177" fontId="23" fillId="0" borderId="0" applyFont="0" applyFill="0" applyBorder="0" applyProtection="0"/>
    <xf numFmtId="0" fontId="53" fillId="40" borderId="20" applyNumberFormat="0" applyAlignment="0" applyProtection="0"/>
    <xf numFmtId="0" fontId="53" fillId="40" borderId="20" applyNumberFormat="0" applyAlignment="0" applyProtection="0"/>
    <xf numFmtId="0" fontId="53" fillId="40" borderId="20" applyNumberFormat="0" applyAlignment="0" applyProtection="0"/>
    <xf numFmtId="0" fontId="53" fillId="40" borderId="20" applyNumberFormat="0" applyAlignment="0" applyProtection="0"/>
    <xf numFmtId="0" fontId="53" fillId="40" borderId="20" applyNumberFormat="0" applyAlignment="0" applyProtection="0"/>
    <xf numFmtId="166" fontId="11" fillId="0" borderId="0"/>
    <xf numFmtId="166" fontId="1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1" fillId="0" borderId="0" applyFont="0" applyFill="0" applyBorder="0" applyAlignment="0" applyProtection="0"/>
    <xf numFmtId="4" fontId="25" fillId="6" borderId="7" applyNumberFormat="0" applyProtection="0">
      <alignment horizontal="left" vertical="center" indent="1"/>
    </xf>
    <xf numFmtId="4" fontId="25" fillId="7" borderId="7" applyNumberFormat="0" applyProtection="0"/>
    <xf numFmtId="4" fontId="27" fillId="18" borderId="0" applyNumberFormat="0" applyProtection="0">
      <alignment horizontal="left" indent="1"/>
    </xf>
    <xf numFmtId="4" fontId="28" fillId="19" borderId="0" applyNumberFormat="0" applyProtection="0">
      <alignment horizontal="left" vertical="center" indent="1"/>
    </xf>
    <xf numFmtId="4" fontId="28" fillId="19" borderId="0" applyNumberFormat="0" applyProtection="0">
      <alignment horizontal="left" vertical="center" indent="1"/>
    </xf>
    <xf numFmtId="4" fontId="29" fillId="21" borderId="0" applyNumberFormat="0" applyProtection="0">
      <alignment horizontal="left" indent="1"/>
    </xf>
    <xf numFmtId="4" fontId="29" fillId="21" borderId="0" applyNumberFormat="0" applyProtection="0">
      <alignment horizontal="left" indent="1"/>
    </xf>
    <xf numFmtId="4" fontId="29" fillId="21" borderId="0" applyNumberFormat="0" applyProtection="0">
      <alignment horizontal="left" indent="1"/>
    </xf>
    <xf numFmtId="4" fontId="30" fillId="22" borderId="0" applyNumberFormat="0" applyProtection="0"/>
    <xf numFmtId="4" fontId="30" fillId="22" borderId="0" applyNumberFormat="0" applyProtection="0"/>
    <xf numFmtId="4" fontId="30" fillId="22" borderId="0" applyNumberFormat="0" applyProtection="0"/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center" indent="1"/>
    </xf>
    <xf numFmtId="0" fontId="2" fillId="19" borderId="7" applyNumberFormat="0" applyProtection="0">
      <alignment horizontal="left" vertical="top" indent="1"/>
    </xf>
    <xf numFmtId="0" fontId="2" fillId="19" borderId="7" applyNumberFormat="0" applyProtection="0">
      <alignment horizontal="left" vertical="top" indent="1"/>
    </xf>
    <xf numFmtId="0" fontId="2" fillId="19" borderId="7" applyNumberFormat="0" applyProtection="0">
      <alignment horizontal="left" vertical="top" indent="1"/>
    </xf>
    <xf numFmtId="0" fontId="2" fillId="19" borderId="7" applyNumberFormat="0" applyProtection="0">
      <alignment horizontal="left" vertical="top" indent="1"/>
    </xf>
    <xf numFmtId="0" fontId="2" fillId="19" borderId="7" applyNumberFormat="0" applyProtection="0">
      <alignment horizontal="left" vertical="top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center" indent="1"/>
    </xf>
    <xf numFmtId="0" fontId="2" fillId="7" borderId="7" applyNumberFormat="0" applyProtection="0">
      <alignment horizontal="left" vertical="top" indent="1"/>
    </xf>
    <xf numFmtId="0" fontId="2" fillId="7" borderId="7" applyNumberFormat="0" applyProtection="0">
      <alignment horizontal="left" vertical="top" indent="1"/>
    </xf>
    <xf numFmtId="0" fontId="2" fillId="7" borderId="7" applyNumberFormat="0" applyProtection="0">
      <alignment horizontal="left" vertical="top" indent="1"/>
    </xf>
    <xf numFmtId="0" fontId="2" fillId="7" borderId="7" applyNumberFormat="0" applyProtection="0">
      <alignment horizontal="left" vertical="top" indent="1"/>
    </xf>
    <xf numFmtId="0" fontId="2" fillId="7" borderId="7" applyNumberFormat="0" applyProtection="0">
      <alignment horizontal="left" vertical="top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center" indent="1"/>
    </xf>
    <xf numFmtId="0" fontId="2" fillId="23" borderId="7" applyNumberFormat="0" applyProtection="0">
      <alignment horizontal="left" vertical="top" indent="1"/>
    </xf>
    <xf numFmtId="0" fontId="2" fillId="23" borderId="7" applyNumberFormat="0" applyProtection="0">
      <alignment horizontal="left" vertical="top" indent="1"/>
    </xf>
    <xf numFmtId="0" fontId="2" fillId="23" borderId="7" applyNumberFormat="0" applyProtection="0">
      <alignment horizontal="left" vertical="top" indent="1"/>
    </xf>
    <xf numFmtId="0" fontId="2" fillId="23" borderId="7" applyNumberFormat="0" applyProtection="0">
      <alignment horizontal="left" vertical="top" indent="1"/>
    </xf>
    <xf numFmtId="0" fontId="2" fillId="23" borderId="7" applyNumberFormat="0" applyProtection="0">
      <alignment horizontal="left" vertical="top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center" indent="1"/>
    </xf>
    <xf numFmtId="0" fontId="2" fillId="24" borderId="7" applyNumberFormat="0" applyProtection="0">
      <alignment horizontal="left" vertical="top" indent="1"/>
    </xf>
    <xf numFmtId="0" fontId="2" fillId="24" borderId="7" applyNumberFormat="0" applyProtection="0">
      <alignment horizontal="left" vertical="top" indent="1"/>
    </xf>
    <xf numFmtId="0" fontId="2" fillId="24" borderId="7" applyNumberFormat="0" applyProtection="0">
      <alignment horizontal="left" vertical="top" indent="1"/>
    </xf>
    <xf numFmtId="0" fontId="2" fillId="24" borderId="7" applyNumberFormat="0" applyProtection="0">
      <alignment horizontal="left" vertical="top" indent="1"/>
    </xf>
    <xf numFmtId="0" fontId="2" fillId="24" borderId="7" applyNumberFormat="0" applyProtection="0">
      <alignment horizontal="left" vertical="top" indent="1"/>
    </xf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left" vertical="center" indent="1"/>
    </xf>
    <xf numFmtId="0" fontId="27" fillId="7" borderId="7" applyNumberFormat="0" applyProtection="0">
      <alignment horizontal="left" vertical="top"/>
    </xf>
    <xf numFmtId="4" fontId="32" fillId="25" borderId="0" applyNumberFormat="0" applyProtection="0">
      <alignment horizontal="left"/>
    </xf>
    <xf numFmtId="4" fontId="32" fillId="25" borderId="0" applyNumberFormat="0" applyProtection="0">
      <alignment horizontal="left"/>
    </xf>
    <xf numFmtId="0" fontId="54" fillId="0" borderId="0" applyNumberFormat="0" applyFill="0" applyBorder="0" applyAlignment="0" applyProtection="0"/>
    <xf numFmtId="178" fontId="2" fillId="0" borderId="9">
      <alignment horizontal="justify" vertical="top" wrapText="1"/>
    </xf>
    <xf numFmtId="178" fontId="2" fillId="0" borderId="9">
      <alignment horizontal="justify" vertical="top" wrapText="1"/>
    </xf>
    <xf numFmtId="166" fontId="2" fillId="0" borderId="0">
      <alignment horizontal="left" wrapText="1"/>
    </xf>
    <xf numFmtId="0" fontId="4" fillId="0" borderId="0" applyNumberFormat="0" applyFill="0" applyBorder="0">
      <alignment horizontal="center" wrapText="1"/>
    </xf>
    <xf numFmtId="0" fontId="4" fillId="0" borderId="0" applyNumberFormat="0" applyFill="0" applyBorder="0">
      <alignment horizontal="center" wrapText="1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" fillId="0" borderId="4">
      <alignment horizontal="center" vertical="center" wrapText="1"/>
    </xf>
    <xf numFmtId="166" fontId="11" fillId="0" borderId="10"/>
    <xf numFmtId="166" fontId="11" fillId="0" borderId="11"/>
    <xf numFmtId="38" fontId="27" fillId="0" borderId="21" applyFill="0" applyBorder="0" applyAlignment="0" applyProtection="0">
      <protection locked="0"/>
    </xf>
    <xf numFmtId="37" fontId="15" fillId="6" borderId="0" applyNumberFormat="0" applyBorder="0" applyAlignment="0" applyProtection="0"/>
    <xf numFmtId="37" fontId="15" fillId="6" borderId="0" applyNumberFormat="0" applyBorder="0" applyAlignment="0" applyProtection="0"/>
    <xf numFmtId="37" fontId="15" fillId="0" borderId="0"/>
    <xf numFmtId="37" fontId="15" fillId="0" borderId="0"/>
    <xf numFmtId="37" fontId="15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/>
    <xf numFmtId="0" fontId="2" fillId="0" borderId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2" fillId="0" borderId="0"/>
    <xf numFmtId="9" fontId="2" fillId="0" borderId="0" applyFont="0" applyFill="0" applyBorder="0" applyAlignment="0" applyProtection="0"/>
    <xf numFmtId="0" fontId="57" fillId="0" borderId="0"/>
    <xf numFmtId="0" fontId="56" fillId="0" borderId="0"/>
    <xf numFmtId="4" fontId="25" fillId="6" borderId="7" applyNumberFormat="0" applyProtection="0">
      <alignment horizontal="left" vertical="center" indent="1"/>
    </xf>
    <xf numFmtId="4" fontId="25" fillId="6" borderId="7" applyNumberFormat="0" applyProtection="0">
      <alignment horizontal="left" vertical="center" indent="1"/>
    </xf>
    <xf numFmtId="4" fontId="25" fillId="6" borderId="7" applyNumberFormat="0" applyProtection="0">
      <alignment horizontal="left" vertical="center" indent="1"/>
    </xf>
    <xf numFmtId="4" fontId="25" fillId="6" borderId="7" applyNumberFormat="0" applyProtection="0">
      <alignment horizontal="left" vertical="center" indent="1"/>
    </xf>
    <xf numFmtId="4" fontId="25" fillId="6" borderId="7" applyNumberFormat="0" applyProtection="0">
      <alignment horizontal="left" vertical="center" indent="1"/>
    </xf>
    <xf numFmtId="4" fontId="25" fillId="7" borderId="7" applyNumberFormat="0" applyProtection="0"/>
    <xf numFmtId="4" fontId="25" fillId="7" borderId="7" applyNumberFormat="0" applyProtection="0"/>
    <xf numFmtId="4" fontId="25" fillId="7" borderId="7" applyNumberFormat="0" applyProtection="0"/>
    <xf numFmtId="4" fontId="25" fillId="7" borderId="7" applyNumberFormat="0" applyProtection="0"/>
    <xf numFmtId="4" fontId="25" fillId="7" borderId="7" applyNumberFormat="0" applyProtection="0"/>
    <xf numFmtId="4" fontId="27" fillId="18" borderId="0" applyNumberFormat="0" applyProtection="0">
      <alignment horizontal="left" indent="1"/>
    </xf>
    <xf numFmtId="4" fontId="27" fillId="18" borderId="0" applyNumberFormat="0" applyProtection="0">
      <alignment horizontal="left" indent="1"/>
    </xf>
    <xf numFmtId="4" fontId="27" fillId="18" borderId="0" applyNumberFormat="0" applyProtection="0">
      <alignment horizontal="left" indent="1"/>
    </xf>
    <xf numFmtId="4" fontId="27" fillId="18" borderId="0" applyNumberFormat="0" applyProtection="0">
      <alignment horizontal="left" indent="1"/>
    </xf>
    <xf numFmtId="4" fontId="27" fillId="18" borderId="0" applyNumberFormat="0" applyProtection="0">
      <alignment horizontal="left" indent="1"/>
    </xf>
    <xf numFmtId="4" fontId="28" fillId="19" borderId="0" applyNumberFormat="0" applyProtection="0">
      <alignment horizontal="left" vertical="center" indent="1"/>
    </xf>
    <xf numFmtId="4" fontId="28" fillId="19" borderId="0" applyNumberFormat="0" applyProtection="0">
      <alignment horizontal="left" vertical="center" indent="1"/>
    </xf>
    <xf numFmtId="4" fontId="29" fillId="21" borderId="0" applyNumberFormat="0" applyProtection="0">
      <alignment horizontal="left" indent="1"/>
    </xf>
    <xf numFmtId="4" fontId="29" fillId="21" borderId="0" applyNumberFormat="0" applyProtection="0">
      <alignment horizontal="left" indent="1"/>
    </xf>
    <xf numFmtId="4" fontId="29" fillId="21" borderId="0" applyNumberFormat="0" applyProtection="0">
      <alignment horizontal="left" indent="1"/>
    </xf>
    <xf numFmtId="4" fontId="29" fillId="21" borderId="0" applyNumberFormat="0" applyProtection="0">
      <alignment horizontal="left" indent="1"/>
    </xf>
    <xf numFmtId="4" fontId="30" fillId="22" borderId="0" applyNumberFormat="0" applyProtection="0"/>
    <xf numFmtId="4" fontId="30" fillId="22" borderId="0" applyNumberFormat="0" applyProtection="0"/>
    <xf numFmtId="4" fontId="30" fillId="22" borderId="0" applyNumberFormat="0" applyProtection="0"/>
    <xf numFmtId="4" fontId="30" fillId="22" borderId="0" applyNumberFormat="0" applyProtection="0"/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right" vertical="center"/>
    </xf>
    <xf numFmtId="4" fontId="27" fillId="0" borderId="7" applyNumberFormat="0" applyProtection="0">
      <alignment horizontal="left" vertical="center" indent="1"/>
    </xf>
    <xf numFmtId="4" fontId="27" fillId="0" borderId="7" applyNumberFormat="0" applyProtection="0">
      <alignment horizontal="left" vertical="center" indent="1"/>
    </xf>
    <xf numFmtId="4" fontId="27" fillId="0" borderId="7" applyNumberFormat="0" applyProtection="0">
      <alignment horizontal="left" vertical="center" indent="1"/>
    </xf>
    <xf numFmtId="4" fontId="27" fillId="0" borderId="7" applyNumberFormat="0" applyProtection="0">
      <alignment horizontal="left" vertical="center" indent="1"/>
    </xf>
    <xf numFmtId="4" fontId="27" fillId="0" borderId="7" applyNumberFormat="0" applyProtection="0">
      <alignment horizontal="left" vertical="center" indent="1"/>
    </xf>
    <xf numFmtId="0" fontId="27" fillId="7" borderId="7" applyNumberFormat="0" applyProtection="0">
      <alignment horizontal="left" vertical="top"/>
    </xf>
    <xf numFmtId="0" fontId="27" fillId="7" borderId="7" applyNumberFormat="0" applyProtection="0">
      <alignment horizontal="left" vertical="top"/>
    </xf>
    <xf numFmtId="0" fontId="27" fillId="7" borderId="7" applyNumberFormat="0" applyProtection="0">
      <alignment horizontal="left" vertical="top"/>
    </xf>
    <xf numFmtId="0" fontId="27" fillId="7" borderId="7" applyNumberFormat="0" applyProtection="0">
      <alignment horizontal="left" vertical="top"/>
    </xf>
    <xf numFmtId="0" fontId="27" fillId="7" borderId="7" applyNumberFormat="0" applyProtection="0">
      <alignment horizontal="left" vertical="top"/>
    </xf>
    <xf numFmtId="4" fontId="32" fillId="25" borderId="0" applyNumberFormat="0" applyProtection="0">
      <alignment horizontal="left"/>
    </xf>
    <xf numFmtId="4" fontId="32" fillId="25" borderId="0" applyNumberFormat="0" applyProtection="0">
      <alignment horizontal="left"/>
    </xf>
    <xf numFmtId="4" fontId="32" fillId="25" borderId="0" applyNumberFormat="0" applyProtection="0">
      <alignment horizontal="left"/>
    </xf>
    <xf numFmtId="4" fontId="32" fillId="25" borderId="0" applyNumberFormat="0" applyProtection="0">
      <alignment horizontal="lef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3" fillId="0" borderId="0"/>
    <xf numFmtId="0" fontId="3" fillId="0" borderId="0"/>
    <xf numFmtId="9" fontId="2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7" fillId="0" borderId="0"/>
    <xf numFmtId="43" fontId="5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9" fillId="0" borderId="0"/>
    <xf numFmtId="4" fontId="27" fillId="47" borderId="7" applyNumberFormat="0" applyProtection="0">
      <alignment horizontal="left" vertical="center" indent="1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7" fillId="0" borderId="0"/>
    <xf numFmtId="0" fontId="37" fillId="0" borderId="0"/>
    <xf numFmtId="0" fontId="2" fillId="0" borderId="0"/>
    <xf numFmtId="0" fontId="74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8">
    <xf numFmtId="0" fontId="0" fillId="0" borderId="0" xfId="0"/>
    <xf numFmtId="37" fontId="0" fillId="0" borderId="0" xfId="0" applyNumberFormat="1"/>
    <xf numFmtId="0" fontId="58" fillId="0" borderId="0" xfId="1" applyFont="1"/>
    <xf numFmtId="0" fontId="0" fillId="0" borderId="0" xfId="0" applyFont="1"/>
    <xf numFmtId="0" fontId="0" fillId="0" borderId="0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0" fontId="63" fillId="0" borderId="2" xfId="3" applyNumberFormat="1" applyFont="1" applyBorder="1"/>
    <xf numFmtId="167" fontId="63" fillId="0" borderId="2" xfId="3" applyNumberFormat="1" applyFont="1" applyBorder="1"/>
    <xf numFmtId="10" fontId="63" fillId="0" borderId="0" xfId="3" applyNumberFormat="1" applyFont="1" applyBorder="1"/>
    <xf numFmtId="10" fontId="63" fillId="0" borderId="0" xfId="0" applyNumberFormat="1" applyFont="1" applyFill="1" applyBorder="1" applyAlignment="1">
      <alignment horizontal="center"/>
    </xf>
    <xf numFmtId="165" fontId="63" fillId="0" borderId="0" xfId="3" applyNumberFormat="1" applyFont="1" applyFill="1"/>
    <xf numFmtId="0" fontId="64" fillId="0" borderId="0" xfId="421" applyFont="1"/>
    <xf numFmtId="0" fontId="65" fillId="0" borderId="0" xfId="421" applyFont="1" applyAlignment="1">
      <alignment horizontal="center"/>
    </xf>
    <xf numFmtId="0" fontId="65" fillId="0" borderId="0" xfId="421" applyFont="1"/>
    <xf numFmtId="0" fontId="65" fillId="0" borderId="0" xfId="421" applyFont="1" applyBorder="1"/>
    <xf numFmtId="0" fontId="66" fillId="0" borderId="0" xfId="421" applyFont="1"/>
    <xf numFmtId="166" fontId="65" fillId="0" borderId="0" xfId="421" applyNumberFormat="1" applyFont="1" applyAlignment="1">
      <alignment horizontal="center"/>
    </xf>
    <xf numFmtId="167" fontId="65" fillId="0" borderId="0" xfId="3" applyNumberFormat="1" applyFont="1" applyFill="1" applyAlignment="1">
      <alignment horizontal="center"/>
    </xf>
    <xf numFmtId="9" fontId="65" fillId="0" borderId="0" xfId="3" applyFont="1"/>
    <xf numFmtId="0" fontId="65" fillId="0" borderId="0" xfId="421" applyFont="1" applyAlignment="1">
      <alignment horizontal="center" wrapText="1"/>
    </xf>
    <xf numFmtId="0" fontId="66" fillId="0" borderId="1" xfId="421" applyFont="1" applyBorder="1" applyAlignment="1">
      <alignment horizontal="center" wrapText="1"/>
    </xf>
    <xf numFmtId="0" fontId="66" fillId="0" borderId="0" xfId="421" applyFont="1" applyBorder="1" applyAlignment="1">
      <alignment horizontal="center" wrapText="1"/>
    </xf>
    <xf numFmtId="17" fontId="65" fillId="0" borderId="0" xfId="421" applyNumberFormat="1" applyFont="1" applyAlignment="1">
      <alignment horizontal="center"/>
    </xf>
    <xf numFmtId="164" fontId="66" fillId="0" borderId="0" xfId="2" applyNumberFormat="1" applyFont="1" applyBorder="1" applyAlignment="1">
      <alignment horizontal="center" wrapText="1"/>
    </xf>
    <xf numFmtId="164" fontId="65" fillId="0" borderId="0" xfId="2" applyNumberFormat="1" applyFont="1"/>
    <xf numFmtId="164" fontId="65" fillId="0" borderId="0" xfId="2" applyNumberFormat="1" applyFont="1" applyBorder="1"/>
    <xf numFmtId="164" fontId="65" fillId="0" borderId="0" xfId="2" applyNumberFormat="1" applyFont="1" applyBorder="1" applyAlignment="1">
      <alignment horizontal="center" wrapText="1"/>
    </xf>
    <xf numFmtId="164" fontId="67" fillId="0" borderId="0" xfId="2" applyNumberFormat="1" applyFont="1"/>
    <xf numFmtId="14" fontId="65" fillId="0" borderId="0" xfId="421" applyNumberFormat="1" applyFont="1"/>
    <xf numFmtId="0" fontId="66" fillId="0" borderId="0" xfId="421" applyFont="1" applyAlignment="1">
      <alignment horizontal="center"/>
    </xf>
    <xf numFmtId="164" fontId="66" fillId="0" borderId="22" xfId="2" applyNumberFormat="1" applyFont="1" applyBorder="1" applyAlignment="1">
      <alignment horizontal="center" vertical="center" wrapText="1"/>
    </xf>
    <xf numFmtId="164" fontId="66" fillId="0" borderId="0" xfId="2" applyNumberFormat="1" applyFont="1" applyBorder="1" applyAlignment="1">
      <alignment horizontal="center" vertical="center" wrapText="1"/>
    </xf>
    <xf numFmtId="164" fontId="66" fillId="48" borderId="22" xfId="2" applyNumberFormat="1" applyFont="1" applyFill="1" applyBorder="1" applyAlignment="1">
      <alignment horizontal="center" vertical="center" wrapText="1"/>
    </xf>
    <xf numFmtId="164" fontId="65" fillId="0" borderId="0" xfId="2" applyNumberFormat="1" applyFont="1" applyFill="1" applyBorder="1" applyAlignment="1">
      <alignment horizontal="center" wrapText="1"/>
    </xf>
    <xf numFmtId="0" fontId="68" fillId="0" borderId="0" xfId="421" applyFont="1" applyAlignment="1">
      <alignment horizontal="center"/>
    </xf>
    <xf numFmtId="164" fontId="66" fillId="49" borderId="22" xfId="2" applyNumberFormat="1" applyFont="1" applyFill="1" applyBorder="1" applyAlignment="1">
      <alignment horizontal="center" vertical="center" wrapText="1"/>
    </xf>
    <xf numFmtId="0" fontId="69" fillId="0" borderId="0" xfId="421" applyFont="1" applyAlignment="1">
      <alignment horizontal="center" wrapText="1"/>
    </xf>
    <xf numFmtId="0" fontId="66" fillId="0" borderId="0" xfId="421" applyFont="1" applyAlignment="1">
      <alignment horizontal="centerContinuous"/>
    </xf>
    <xf numFmtId="164" fontId="66" fillId="0" borderId="0" xfId="421" applyNumberFormat="1" applyFont="1"/>
    <xf numFmtId="37" fontId="63" fillId="0" borderId="0" xfId="0" applyNumberFormat="1" applyFont="1"/>
    <xf numFmtId="37" fontId="70" fillId="0" borderId="0" xfId="0" applyNumberFormat="1" applyFont="1"/>
    <xf numFmtId="167" fontId="0" fillId="0" borderId="0" xfId="673" applyNumberFormat="1" applyFont="1"/>
    <xf numFmtId="37" fontId="0" fillId="0" borderId="0" xfId="0" applyNumberFormat="1" applyAlignment="1">
      <alignment horizontal="center"/>
    </xf>
    <xf numFmtId="37" fontId="7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37" fontId="0" fillId="0" borderId="2" xfId="0" applyNumberFormat="1" applyBorder="1"/>
    <xf numFmtId="37" fontId="61" fillId="0" borderId="0" xfId="0" applyNumberFormat="1" applyFont="1"/>
    <xf numFmtId="37" fontId="72" fillId="0" borderId="0" xfId="0" applyNumberFormat="1" applyFont="1"/>
    <xf numFmtId="37" fontId="0" fillId="0" borderId="0" xfId="0" applyNumberFormat="1" applyFont="1"/>
    <xf numFmtId="167" fontId="0" fillId="0" borderId="2" xfId="673" applyNumberFormat="1" applyFont="1" applyBorder="1"/>
    <xf numFmtId="37" fontId="0" fillId="0" borderId="22" xfId="0" applyNumberFormat="1" applyBorder="1"/>
    <xf numFmtId="17" fontId="4" fillId="0" borderId="0" xfId="1" applyNumberFormat="1" applyFont="1" applyFill="1" applyBorder="1" applyAlignment="1">
      <alignment horizontal="centerContinuous" wrapText="1"/>
    </xf>
    <xf numFmtId="37" fontId="0" fillId="0" borderId="2" xfId="0" applyNumberFormat="1" applyBorder="1" applyAlignment="1">
      <alignment horizontal="center"/>
    </xf>
    <xf numFmtId="37" fontId="61" fillId="0" borderId="22" xfId="0" applyNumberFormat="1" applyFont="1" applyBorder="1"/>
    <xf numFmtId="37" fontId="61" fillId="0" borderId="24" xfId="0" applyNumberFormat="1" applyFont="1" applyBorder="1" applyAlignment="1">
      <alignment horizontal="center"/>
    </xf>
    <xf numFmtId="37" fontId="61" fillId="0" borderId="25" xfId="0" applyNumberFormat="1" applyFont="1" applyBorder="1" applyAlignment="1">
      <alignment horizontal="center"/>
    </xf>
    <xf numFmtId="37" fontId="61" fillId="0" borderId="26" xfId="0" applyNumberFormat="1" applyFont="1" applyBorder="1" applyAlignment="1">
      <alignment horizontal="center"/>
    </xf>
    <xf numFmtId="37" fontId="61" fillId="0" borderId="25" xfId="0" applyNumberFormat="1" applyFont="1" applyBorder="1"/>
    <xf numFmtId="37" fontId="61" fillId="0" borderId="26" xfId="0" applyNumberFormat="1" applyFont="1" applyBorder="1"/>
    <xf numFmtId="37" fontId="61" fillId="0" borderId="27" xfId="0" applyNumberFormat="1" applyFont="1" applyBorder="1"/>
    <xf numFmtId="37" fontId="61" fillId="0" borderId="28" xfId="0" applyNumberFormat="1" applyFont="1" applyBorder="1"/>
    <xf numFmtId="17" fontId="4" fillId="0" borderId="23" xfId="1" applyNumberFormat="1" applyFont="1" applyFill="1" applyBorder="1" applyAlignment="1">
      <alignment horizontal="centerContinuous" wrapText="1"/>
    </xf>
    <xf numFmtId="37" fontId="0" fillId="0" borderId="29" xfId="0" applyNumberFormat="1" applyBorder="1" applyAlignment="1">
      <alignment horizontal="center"/>
    </xf>
    <xf numFmtId="37" fontId="0" fillId="0" borderId="0" xfId="0" applyNumberFormat="1" applyBorder="1"/>
    <xf numFmtId="0" fontId="0" fillId="0" borderId="0" xfId="0" applyNumberFormat="1" applyBorder="1" applyAlignment="1">
      <alignment horizontal="center"/>
    </xf>
    <xf numFmtId="10" fontId="0" fillId="0" borderId="2" xfId="673" applyNumberFormat="1" applyFont="1" applyBorder="1"/>
    <xf numFmtId="167" fontId="0" fillId="0" borderId="0" xfId="673" applyNumberFormat="1" applyFont="1" applyBorder="1"/>
    <xf numFmtId="37" fontId="0" fillId="0" borderId="0" xfId="0" quotePrefix="1" applyNumberFormat="1" applyBorder="1"/>
    <xf numFmtId="37" fontId="61" fillId="0" borderId="0" xfId="0" applyNumberFormat="1" applyFont="1" applyBorder="1" applyAlignment="1">
      <alignment horizontal="center"/>
    </xf>
    <xf numFmtId="0" fontId="0" fillId="0" borderId="2" xfId="0" applyFont="1" applyBorder="1"/>
    <xf numFmtId="37" fontId="0" fillId="0" borderId="30" xfId="0" quotePrefix="1" applyNumberFormat="1" applyBorder="1"/>
    <xf numFmtId="37" fontId="0" fillId="0" borderId="32" xfId="0" applyNumberFormat="1" applyBorder="1"/>
    <xf numFmtId="37" fontId="0" fillId="0" borderId="18" xfId="0" applyNumberFormat="1" applyBorder="1"/>
    <xf numFmtId="37" fontId="0" fillId="0" borderId="17" xfId="0" applyNumberFormat="1" applyBorder="1"/>
    <xf numFmtId="37" fontId="0" fillId="0" borderId="33" xfId="0" applyNumberFormat="1" applyBorder="1"/>
    <xf numFmtId="37" fontId="0" fillId="0" borderId="34" xfId="0" applyNumberFormat="1" applyBorder="1"/>
    <xf numFmtId="0" fontId="60" fillId="50" borderId="1" xfId="0" applyFont="1" applyFill="1" applyBorder="1"/>
    <xf numFmtId="0" fontId="62" fillId="50" borderId="1" xfId="0" applyFont="1" applyFill="1" applyBorder="1"/>
    <xf numFmtId="0" fontId="0" fillId="0" borderId="31" xfId="0" applyFont="1" applyBorder="1"/>
    <xf numFmtId="0" fontId="0" fillId="0" borderId="32" xfId="0" applyFont="1" applyBorder="1"/>
    <xf numFmtId="0" fontId="0" fillId="0" borderId="18" xfId="0" applyFont="1" applyBorder="1"/>
    <xf numFmtId="0" fontId="0" fillId="0" borderId="1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167" fontId="63" fillId="0" borderId="0" xfId="3" applyNumberFormat="1" applyFont="1" applyBorder="1"/>
    <xf numFmtId="10" fontId="63" fillId="0" borderId="17" xfId="3" applyNumberFormat="1" applyFont="1" applyBorder="1"/>
    <xf numFmtId="10" fontId="0" fillId="0" borderId="0" xfId="0" applyNumberFormat="1" applyFont="1" applyBorder="1"/>
    <xf numFmtId="10" fontId="63" fillId="0" borderId="34" xfId="3" applyNumberFormat="1" applyFont="1" applyBorder="1"/>
    <xf numFmtId="10" fontId="0" fillId="0" borderId="17" xfId="0" applyNumberFormat="1" applyFont="1" applyBorder="1"/>
    <xf numFmtId="0" fontId="0" fillId="0" borderId="17" xfId="0" applyFont="1" applyBorder="1"/>
    <xf numFmtId="167" fontId="0" fillId="0" borderId="17" xfId="0" applyNumberFormat="1" applyFont="1" applyBorder="1"/>
    <xf numFmtId="167" fontId="0" fillId="0" borderId="0" xfId="0" applyNumberFormat="1" applyFont="1" applyBorder="1"/>
    <xf numFmtId="0" fontId="64" fillId="0" borderId="18" xfId="0" applyFont="1" applyBorder="1"/>
    <xf numFmtId="167" fontId="0" fillId="0" borderId="0" xfId="3" applyNumberFormat="1" applyFont="1" applyBorder="1"/>
    <xf numFmtId="165" fontId="63" fillId="0" borderId="0" xfId="3" applyNumberFormat="1" applyFont="1" applyFill="1" applyBorder="1"/>
    <xf numFmtId="181" fontId="0" fillId="0" borderId="0" xfId="0" applyNumberFormat="1" applyFont="1" applyBorder="1"/>
    <xf numFmtId="0" fontId="0" fillId="0" borderId="33" xfId="0" applyFont="1" applyBorder="1"/>
    <xf numFmtId="165" fontId="63" fillId="0" borderId="34" xfId="3" applyNumberFormat="1" applyFont="1" applyFill="1" applyBorder="1"/>
    <xf numFmtId="0" fontId="64" fillId="0" borderId="30" xfId="0" applyFont="1" applyBorder="1"/>
    <xf numFmtId="0" fontId="0" fillId="0" borderId="34" xfId="0" applyFont="1" applyBorder="1"/>
    <xf numFmtId="0" fontId="73" fillId="0" borderId="0" xfId="1" applyFont="1"/>
    <xf numFmtId="17" fontId="64" fillId="0" borderId="0" xfId="1" applyNumberFormat="1" applyFont="1" applyFill="1" applyBorder="1" applyAlignment="1">
      <alignment horizontal="centerContinuous" wrapText="1"/>
    </xf>
    <xf numFmtId="37" fontId="0" fillId="0" borderId="2" xfId="0" applyNumberFormat="1" applyFont="1" applyBorder="1"/>
    <xf numFmtId="17" fontId="64" fillId="0" borderId="2" xfId="1" quotePrefix="1" applyNumberFormat="1" applyFont="1" applyFill="1" applyBorder="1" applyAlignment="1">
      <alignment horizontal="center" wrapText="1"/>
    </xf>
    <xf numFmtId="0" fontId="66" fillId="0" borderId="35" xfId="421" applyFont="1" applyBorder="1" applyAlignment="1">
      <alignment horizontal="center"/>
    </xf>
    <xf numFmtId="164" fontId="66" fillId="0" borderId="1" xfId="421" applyNumberFormat="1" applyFont="1" applyBorder="1"/>
    <xf numFmtId="0" fontId="66" fillId="0" borderId="1" xfId="421" applyFont="1" applyBorder="1"/>
    <xf numFmtId="164" fontId="66" fillId="0" borderId="36" xfId="421" applyNumberFormat="1" applyFont="1" applyBorder="1"/>
    <xf numFmtId="165" fontId="0" fillId="0" borderId="2" xfId="673" applyNumberFormat="1" applyFont="1" applyBorder="1"/>
    <xf numFmtId="37" fontId="75" fillId="0" borderId="0" xfId="0" applyNumberFormat="1" applyFont="1" applyAlignment="1">
      <alignment horizontal="center"/>
    </xf>
    <xf numFmtId="37" fontId="0" fillId="0" borderId="0" xfId="0" applyNumberFormat="1" applyAlignment="1">
      <alignment horizontal="center" wrapText="1"/>
    </xf>
    <xf numFmtId="37" fontId="61" fillId="0" borderId="0" xfId="0" applyNumberFormat="1" applyFont="1" applyAlignment="1">
      <alignment horizontal="center" wrapText="1"/>
    </xf>
    <xf numFmtId="37" fontId="0" fillId="0" borderId="0" xfId="0" applyNumberFormat="1" applyBorder="1" applyAlignment="1">
      <alignment horizontal="center" wrapText="1"/>
    </xf>
    <xf numFmtId="37" fontId="75" fillId="0" borderId="31" xfId="0" applyNumberFormat="1" applyFont="1" applyBorder="1"/>
    <xf numFmtId="37" fontId="75" fillId="0" borderId="0" xfId="0" applyNumberFormat="1" applyFont="1" applyBorder="1"/>
    <xf numFmtId="37" fontId="61" fillId="0" borderId="0" xfId="0" quotePrefix="1" applyNumberFormat="1" applyFont="1" applyBorder="1"/>
    <xf numFmtId="37" fontId="61" fillId="0" borderId="0" xfId="0" applyNumberFormat="1" applyFont="1" applyBorder="1" applyAlignment="1">
      <alignment horizontal="center" wrapText="1"/>
    </xf>
    <xf numFmtId="37" fontId="61" fillId="0" borderId="2" xfId="0" applyNumberFormat="1" applyFont="1" applyBorder="1" applyAlignment="1">
      <alignment horizontal="center"/>
    </xf>
    <xf numFmtId="0" fontId="76" fillId="0" borderId="0" xfId="0" applyFont="1" applyAlignment="1">
      <alignment horizontal="right"/>
    </xf>
    <xf numFmtId="0" fontId="77" fillId="0" borderId="0" xfId="0" applyFont="1" applyAlignment="1">
      <alignment horizontal="right"/>
    </xf>
    <xf numFmtId="37" fontId="0" fillId="0" borderId="0" xfId="0" applyNumberFormat="1" applyFont="1" applyAlignment="1">
      <alignment horizontal="right"/>
    </xf>
    <xf numFmtId="37" fontId="61" fillId="0" borderId="0" xfId="0" applyNumberFormat="1" applyFont="1" applyAlignment="1">
      <alignment horizontal="center"/>
    </xf>
    <xf numFmtId="37" fontId="61" fillId="0" borderId="37" xfId="0" applyNumberFormat="1" applyFont="1" applyBorder="1"/>
    <xf numFmtId="37" fontId="61" fillId="0" borderId="0" xfId="0" quotePrefix="1" applyNumberFormat="1" applyFont="1"/>
    <xf numFmtId="37" fontId="0" fillId="0" borderId="0" xfId="0" applyNumberFormat="1" applyAlignment="1">
      <alignment horizontal="right"/>
    </xf>
    <xf numFmtId="37" fontId="0" fillId="0" borderId="0" xfId="0" quotePrefix="1" applyNumberFormat="1" applyBorder="1" applyAlignment="1">
      <alignment horizontal="right"/>
    </xf>
    <xf numFmtId="0" fontId="66" fillId="2" borderId="0" xfId="421" applyFont="1" applyFill="1" applyAlignment="1">
      <alignment horizontal="center" vertical="center" textRotation="90"/>
    </xf>
  </cellXfs>
  <cellStyles count="693">
    <cellStyle name="20% - Accent1 2" xfId="159"/>
    <cellStyle name="20% - Accent1 3" xfId="160"/>
    <cellStyle name="20% - Accent1 4" xfId="161"/>
    <cellStyle name="20% - Accent1 5" xfId="162"/>
    <cellStyle name="20% - Accent1 6" xfId="163"/>
    <cellStyle name="20% - Accent2 2" xfId="164"/>
    <cellStyle name="20% - Accent2 3" xfId="165"/>
    <cellStyle name="20% - Accent2 4" xfId="166"/>
    <cellStyle name="20% - Accent2 5" xfId="167"/>
    <cellStyle name="20% - Accent2 6" xfId="168"/>
    <cellStyle name="20% - Accent3 2" xfId="169"/>
    <cellStyle name="20% - Accent3 3" xfId="170"/>
    <cellStyle name="20% - Accent3 4" xfId="171"/>
    <cellStyle name="20% - Accent3 5" xfId="172"/>
    <cellStyle name="20% - Accent3 6" xfId="173"/>
    <cellStyle name="20% - Accent4 2" xfId="174"/>
    <cellStyle name="20% - Accent4 3" xfId="175"/>
    <cellStyle name="20% - Accent4 4" xfId="176"/>
    <cellStyle name="20% - Accent4 5" xfId="177"/>
    <cellStyle name="20% - Accent4 6" xfId="178"/>
    <cellStyle name="20% - Accent5 2" xfId="179"/>
    <cellStyle name="20% - Accent5 3" xfId="180"/>
    <cellStyle name="20% - Accent5 4" xfId="181"/>
    <cellStyle name="20% - Accent5 5" xfId="182"/>
    <cellStyle name="20% - Accent5 6" xfId="183"/>
    <cellStyle name="20% - Accent6 2" xfId="184"/>
    <cellStyle name="20% - Accent6 3" xfId="185"/>
    <cellStyle name="20% - Accent6 4" xfId="186"/>
    <cellStyle name="20% - Accent6 5" xfId="187"/>
    <cellStyle name="20% - Accent6 6" xfId="188"/>
    <cellStyle name="40% - Accent1 2" xfId="189"/>
    <cellStyle name="40% - Accent1 3" xfId="190"/>
    <cellStyle name="40% - Accent1 4" xfId="191"/>
    <cellStyle name="40% - Accent1 5" xfId="192"/>
    <cellStyle name="40% - Accent1 6" xfId="193"/>
    <cellStyle name="40% - Accent2 2" xfId="194"/>
    <cellStyle name="40% - Accent2 3" xfId="195"/>
    <cellStyle name="40% - Accent2 4" xfId="196"/>
    <cellStyle name="40% - Accent2 5" xfId="197"/>
    <cellStyle name="40% - Accent2 6" xfId="198"/>
    <cellStyle name="40% - Accent3 2" xfId="199"/>
    <cellStyle name="40% - Accent3 3" xfId="200"/>
    <cellStyle name="40% - Accent3 4" xfId="201"/>
    <cellStyle name="40% - Accent3 5" xfId="202"/>
    <cellStyle name="40% - Accent3 6" xfId="203"/>
    <cellStyle name="40% - Accent4 2" xfId="204"/>
    <cellStyle name="40% - Accent4 3" xfId="205"/>
    <cellStyle name="40% - Accent4 4" xfId="206"/>
    <cellStyle name="40% - Accent4 5" xfId="207"/>
    <cellStyle name="40% - Accent4 6" xfId="208"/>
    <cellStyle name="40% - Accent5 2" xfId="209"/>
    <cellStyle name="40% - Accent5 3" xfId="210"/>
    <cellStyle name="40% - Accent5 4" xfId="211"/>
    <cellStyle name="40% - Accent5 5" xfId="212"/>
    <cellStyle name="40% - Accent5 6" xfId="213"/>
    <cellStyle name="40% - Accent6 2" xfId="214"/>
    <cellStyle name="40% - Accent6 3" xfId="215"/>
    <cellStyle name="40% - Accent6 4" xfId="216"/>
    <cellStyle name="40% - Accent6 5" xfId="217"/>
    <cellStyle name="40% - Accent6 6" xfId="218"/>
    <cellStyle name="60% - Accent1 2" xfId="219"/>
    <cellStyle name="60% - Accent1 3" xfId="220"/>
    <cellStyle name="60% - Accent1 4" xfId="221"/>
    <cellStyle name="60% - Accent1 5" xfId="222"/>
    <cellStyle name="60% - Accent1 6" xfId="223"/>
    <cellStyle name="60% - Accent2 2" xfId="224"/>
    <cellStyle name="60% - Accent2 3" xfId="225"/>
    <cellStyle name="60% - Accent2 4" xfId="226"/>
    <cellStyle name="60% - Accent2 5" xfId="227"/>
    <cellStyle name="60% - Accent2 6" xfId="228"/>
    <cellStyle name="60% - Accent3 2" xfId="229"/>
    <cellStyle name="60% - Accent3 3" xfId="230"/>
    <cellStyle name="60% - Accent3 4" xfId="231"/>
    <cellStyle name="60% - Accent3 5" xfId="232"/>
    <cellStyle name="60% - Accent3 6" xfId="233"/>
    <cellStyle name="60% - Accent4 2" xfId="234"/>
    <cellStyle name="60% - Accent4 3" xfId="235"/>
    <cellStyle name="60% - Accent4 4" xfId="236"/>
    <cellStyle name="60% - Accent4 5" xfId="237"/>
    <cellStyle name="60% - Accent4 6" xfId="238"/>
    <cellStyle name="60% - Accent5 2" xfId="239"/>
    <cellStyle name="60% - Accent5 3" xfId="240"/>
    <cellStyle name="60% - Accent5 4" xfId="241"/>
    <cellStyle name="60% - Accent5 5" xfId="242"/>
    <cellStyle name="60% - Accent5 6" xfId="243"/>
    <cellStyle name="60% - Accent6 2" xfId="244"/>
    <cellStyle name="60% - Accent6 3" xfId="245"/>
    <cellStyle name="60% - Accent6 4" xfId="246"/>
    <cellStyle name="60% - Accent6 5" xfId="247"/>
    <cellStyle name="60% - Accent6 6" xfId="248"/>
    <cellStyle name="Accent1 - 20%" xfId="249"/>
    <cellStyle name="Accent1 - 40%" xfId="250"/>
    <cellStyle name="Accent1 - 60%" xfId="251"/>
    <cellStyle name="Accent1 2" xfId="252"/>
    <cellStyle name="Accent1 3" xfId="253"/>
    <cellStyle name="Accent1 4" xfId="254"/>
    <cellStyle name="Accent1 5" xfId="255"/>
    <cellStyle name="Accent1 6" xfId="256"/>
    <cellStyle name="Accent2 - 20%" xfId="257"/>
    <cellStyle name="Accent2 - 40%" xfId="258"/>
    <cellStyle name="Accent2 - 60%" xfId="259"/>
    <cellStyle name="Accent2 2" xfId="260"/>
    <cellStyle name="Accent2 3" xfId="261"/>
    <cellStyle name="Accent2 4" xfId="262"/>
    <cellStyle name="Accent2 5" xfId="263"/>
    <cellStyle name="Accent2 6" xfId="264"/>
    <cellStyle name="Accent3 - 20%" xfId="265"/>
    <cellStyle name="Accent3 - 40%" xfId="266"/>
    <cellStyle name="Accent3 - 60%" xfId="267"/>
    <cellStyle name="Accent3 2" xfId="268"/>
    <cellStyle name="Accent3 3" xfId="269"/>
    <cellStyle name="Accent3 4" xfId="270"/>
    <cellStyle name="Accent3 5" xfId="271"/>
    <cellStyle name="Accent3 6" xfId="272"/>
    <cellStyle name="Accent4 - 20%" xfId="273"/>
    <cellStyle name="Accent4 - 40%" xfId="274"/>
    <cellStyle name="Accent4 - 60%" xfId="275"/>
    <cellStyle name="Accent4 2" xfId="276"/>
    <cellStyle name="Accent4 3" xfId="277"/>
    <cellStyle name="Accent4 4" xfId="278"/>
    <cellStyle name="Accent4 5" xfId="279"/>
    <cellStyle name="Accent4 6" xfId="280"/>
    <cellStyle name="Accent5 - 20%" xfId="281"/>
    <cellStyle name="Accent5 - 40%" xfId="282"/>
    <cellStyle name="Accent5 - 60%" xfId="283"/>
    <cellStyle name="Accent5 2" xfId="284"/>
    <cellStyle name="Accent5 3" xfId="285"/>
    <cellStyle name="Accent5 4" xfId="286"/>
    <cellStyle name="Accent5 5" xfId="287"/>
    <cellStyle name="Accent5 6" xfId="288"/>
    <cellStyle name="Accent6 - 20%" xfId="289"/>
    <cellStyle name="Accent6 - 40%" xfId="290"/>
    <cellStyle name="Accent6 - 60%" xfId="291"/>
    <cellStyle name="Accent6 2" xfId="292"/>
    <cellStyle name="Accent6 3" xfId="293"/>
    <cellStyle name="Accent6 4" xfId="294"/>
    <cellStyle name="Accent6 5" xfId="295"/>
    <cellStyle name="Accent6 6" xfId="296"/>
    <cellStyle name="ArrayHeading" xfId="297"/>
    <cellStyle name="ArrayHeading 2" xfId="298"/>
    <cellStyle name="Bad 2" xfId="299"/>
    <cellStyle name="Bad 3" xfId="300"/>
    <cellStyle name="Bad 4" xfId="301"/>
    <cellStyle name="Bad 5" xfId="302"/>
    <cellStyle name="Bad 6" xfId="303"/>
    <cellStyle name="BetweenMacros" xfId="304"/>
    <cellStyle name="BetweenMacros 2" xfId="305"/>
    <cellStyle name="Calculation 2" xfId="306"/>
    <cellStyle name="Calculation 3" xfId="307"/>
    <cellStyle name="Calculation 4" xfId="308"/>
    <cellStyle name="Calculation 5" xfId="309"/>
    <cellStyle name="Calculation 6" xfId="310"/>
    <cellStyle name="Check Cell 2" xfId="311"/>
    <cellStyle name="Check Cell 3" xfId="312"/>
    <cellStyle name="Check Cell 4" xfId="313"/>
    <cellStyle name="Check Cell 5" xfId="314"/>
    <cellStyle name="Check Cell 6" xfId="315"/>
    <cellStyle name="Column total in dollars" xfId="4"/>
    <cellStyle name="Column total in dollars 2" xfId="316"/>
    <cellStyle name="Comma  - Style1" xfId="5"/>
    <cellStyle name="Comma  - Style1 2" xfId="317"/>
    <cellStyle name="Comma  - Style1 3" xfId="318"/>
    <cellStyle name="Comma  - Style2" xfId="6"/>
    <cellStyle name="Comma  - Style2 2" xfId="319"/>
    <cellStyle name="Comma  - Style2 3" xfId="320"/>
    <cellStyle name="Comma  - Style3" xfId="7"/>
    <cellStyle name="Comma  - Style3 2" xfId="321"/>
    <cellStyle name="Comma  - Style3 3" xfId="322"/>
    <cellStyle name="Comma  - Style4" xfId="8"/>
    <cellStyle name="Comma  - Style4 2" xfId="323"/>
    <cellStyle name="Comma  - Style4 3" xfId="324"/>
    <cellStyle name="Comma  - Style5" xfId="9"/>
    <cellStyle name="Comma  - Style5 2" xfId="325"/>
    <cellStyle name="Comma  - Style5 3" xfId="326"/>
    <cellStyle name="Comma  - Style6" xfId="10"/>
    <cellStyle name="Comma  - Style6 2" xfId="327"/>
    <cellStyle name="Comma  - Style6 3" xfId="328"/>
    <cellStyle name="Comma  - Style7" xfId="11"/>
    <cellStyle name="Comma  - Style7 2" xfId="329"/>
    <cellStyle name="Comma  - Style7 3" xfId="330"/>
    <cellStyle name="Comma  - Style8" xfId="12"/>
    <cellStyle name="Comma  - Style8 2" xfId="331"/>
    <cellStyle name="Comma  - Style8 3" xfId="332"/>
    <cellStyle name="Comma (0)" xfId="13"/>
    <cellStyle name="Comma [0] 2" xfId="333"/>
    <cellStyle name="Comma 10" xfId="14"/>
    <cellStyle name="Comma 10 2" xfId="665"/>
    <cellStyle name="Comma 11" xfId="157"/>
    <cellStyle name="Comma 11 2" xfId="650"/>
    <cellStyle name="Comma 12" xfId="334"/>
    <cellStyle name="Comma 13" xfId="594"/>
    <cellStyle name="Comma 14" xfId="655"/>
    <cellStyle name="Comma 15" xfId="2"/>
    <cellStyle name="Comma 16" xfId="660"/>
    <cellStyle name="Comma 17" xfId="671"/>
    <cellStyle name="Comma 2" xfId="15"/>
    <cellStyle name="Comma 2 2" xfId="16"/>
    <cellStyle name="Comma 2 2 2" xfId="17"/>
    <cellStyle name="Comma 2 2 3" xfId="593"/>
    <cellStyle name="Comma 2 3" xfId="18"/>
    <cellStyle name="Comma 2 4" xfId="19"/>
    <cellStyle name="Comma 2 4 2" xfId="666"/>
    <cellStyle name="Comma 2 5" xfId="335"/>
    <cellStyle name="Comma 2 6" xfId="336"/>
    <cellStyle name="Comma 2 7" xfId="337"/>
    <cellStyle name="Comma 2 8" xfId="338"/>
    <cellStyle name="Comma 2 9" xfId="339"/>
    <cellStyle name="Comma 3" xfId="20"/>
    <cellStyle name="Comma 3 2" xfId="21"/>
    <cellStyle name="Comma 4" xfId="22"/>
    <cellStyle name="Comma 4 2" xfId="23"/>
    <cellStyle name="Comma 4 2 2" xfId="667"/>
    <cellStyle name="Comma 4 3" xfId="340"/>
    <cellStyle name="Comma 4 3 2" xfId="341"/>
    <cellStyle name="Comma 5" xfId="24"/>
    <cellStyle name="Comma 6" xfId="25"/>
    <cellStyle name="Comma 6 2" xfId="26"/>
    <cellStyle name="Comma 7" xfId="27"/>
    <cellStyle name="Comma 7 2" xfId="342"/>
    <cellStyle name="Comma 8" xfId="28"/>
    <cellStyle name="Comma 9" xfId="29"/>
    <cellStyle name="Comma0" xfId="30"/>
    <cellStyle name="Comma0 - Style1" xfId="31"/>
    <cellStyle name="Comma0 - Style2" xfId="32"/>
    <cellStyle name="Comma0 - Style3" xfId="33"/>
    <cellStyle name="Comma0 - Style3 2" xfId="343"/>
    <cellStyle name="Comma0 - Style4" xfId="34"/>
    <cellStyle name="Comma0 - Style4 2" xfId="344"/>
    <cellStyle name="Comma0_1st Qtr 2009 Global Insight Factors" xfId="345"/>
    <cellStyle name="Comma1 - Style1" xfId="35"/>
    <cellStyle name="Comma1 - Style1 2" xfId="346"/>
    <cellStyle name="Curren - Style2" xfId="36"/>
    <cellStyle name="Curren - Style3" xfId="37"/>
    <cellStyle name="Currency 10" xfId="347"/>
    <cellStyle name="Currency 11" xfId="348"/>
    <cellStyle name="Currency 12" xfId="349"/>
    <cellStyle name="Currency 13" xfId="644"/>
    <cellStyle name="Currency 14" xfId="647"/>
    <cellStyle name="Currency 15" xfId="643"/>
    <cellStyle name="Currency 2" xfId="38"/>
    <cellStyle name="Currency 2 2" xfId="39"/>
    <cellStyle name="Currency 2 2 2" xfId="40"/>
    <cellStyle name="Currency 3" xfId="41"/>
    <cellStyle name="Currency 3 2" xfId="42"/>
    <cellStyle name="Currency 4" xfId="43"/>
    <cellStyle name="Currency 5" xfId="44"/>
    <cellStyle name="Currency 6" xfId="45"/>
    <cellStyle name="Currency 6 2" xfId="663"/>
    <cellStyle name="Currency 7" xfId="350"/>
    <cellStyle name="Currency 8" xfId="351"/>
    <cellStyle name="Currency 9" xfId="352"/>
    <cellStyle name="Currency No Comma" xfId="46"/>
    <cellStyle name="Currency(0)" xfId="47"/>
    <cellStyle name="Currency0" xfId="48"/>
    <cellStyle name="Date" xfId="49"/>
    <cellStyle name="Date - Style1" xfId="50"/>
    <cellStyle name="Date - Style3" xfId="51"/>
    <cellStyle name="Date - Style3 2" xfId="353"/>
    <cellStyle name="Date 10" xfId="354"/>
    <cellStyle name="Date 11" xfId="355"/>
    <cellStyle name="Date 12" xfId="356"/>
    <cellStyle name="Date 13" xfId="357"/>
    <cellStyle name="Date 14" xfId="358"/>
    <cellStyle name="Date 2" xfId="359"/>
    <cellStyle name="Date 3" xfId="360"/>
    <cellStyle name="Date 4" xfId="361"/>
    <cellStyle name="Date 5" xfId="362"/>
    <cellStyle name="Date 6" xfId="363"/>
    <cellStyle name="Date 7" xfId="364"/>
    <cellStyle name="Date 8" xfId="365"/>
    <cellStyle name="Date 9" xfId="366"/>
    <cellStyle name="Date_1st Qtr 2009 Global Insight Factors" xfId="367"/>
    <cellStyle name="Explanatory Text 2" xfId="368"/>
    <cellStyle name="Explanatory Text 3" xfId="369"/>
    <cellStyle name="Explanatory Text 4" xfId="370"/>
    <cellStyle name="Explanatory Text 5" xfId="371"/>
    <cellStyle name="Explanatory Text 6" xfId="372"/>
    <cellStyle name="Fixed" xfId="52"/>
    <cellStyle name="Fixed2 - Style2" xfId="53"/>
    <cellStyle name="General" xfId="54"/>
    <cellStyle name="Good 2" xfId="373"/>
    <cellStyle name="Good 3" xfId="374"/>
    <cellStyle name="Good 4" xfId="375"/>
    <cellStyle name="Good 5" xfId="376"/>
    <cellStyle name="Good 6" xfId="377"/>
    <cellStyle name="Grey" xfId="55"/>
    <cellStyle name="Grey 2" xfId="378"/>
    <cellStyle name="Grey 3" xfId="379"/>
    <cellStyle name="header" xfId="56"/>
    <cellStyle name="header 2" xfId="380"/>
    <cellStyle name="Header1" xfId="57"/>
    <cellStyle name="Header1 2" xfId="381"/>
    <cellStyle name="Header2" xfId="58"/>
    <cellStyle name="Header2 2" xfId="382"/>
    <cellStyle name="Heading 3 2" xfId="383"/>
    <cellStyle name="Heading 3 3" xfId="384"/>
    <cellStyle name="Heading 3 4" xfId="385"/>
    <cellStyle name="Heading 3 5" xfId="386"/>
    <cellStyle name="Heading 3 6" xfId="387"/>
    <cellStyle name="Heading 4 2" xfId="388"/>
    <cellStyle name="Heading 4 3" xfId="389"/>
    <cellStyle name="Heading 4 4" xfId="390"/>
    <cellStyle name="Heading 4 5" xfId="391"/>
    <cellStyle name="Heading 4 6" xfId="392"/>
    <cellStyle name="Heading1" xfId="59"/>
    <cellStyle name="Heading2" xfId="60"/>
    <cellStyle name="Hyperlink 2" xfId="393"/>
    <cellStyle name="Hyperlink 2 2" xfId="394"/>
    <cellStyle name="Hyperlink 2 3" xfId="395"/>
    <cellStyle name="Hyperlink 3" xfId="396"/>
    <cellStyle name="Hyperlink 4" xfId="397"/>
    <cellStyle name="Input [yellow]" xfId="61"/>
    <cellStyle name="Input [yellow] 2" xfId="398"/>
    <cellStyle name="Input [yellow] 3" xfId="399"/>
    <cellStyle name="Inst. Sections" xfId="62"/>
    <cellStyle name="Inst. Subheading" xfId="63"/>
    <cellStyle name="Linked Cell 2" xfId="400"/>
    <cellStyle name="Linked Cell 3" xfId="401"/>
    <cellStyle name="Linked Cell 4" xfId="402"/>
    <cellStyle name="Linked Cell 5" xfId="403"/>
    <cellStyle name="Linked Cell 6" xfId="404"/>
    <cellStyle name="Macro" xfId="405"/>
    <cellStyle name="Macro 2" xfId="406"/>
    <cellStyle name="macro descr" xfId="407"/>
    <cellStyle name="macro descr 2" xfId="408"/>
    <cellStyle name="Macro_Comments" xfId="409"/>
    <cellStyle name="MacroText" xfId="410"/>
    <cellStyle name="MacroText 2" xfId="411"/>
    <cellStyle name="Marathon" xfId="64"/>
    <cellStyle name="MCP" xfId="65"/>
    <cellStyle name="Neutral 2" xfId="412"/>
    <cellStyle name="Neutral 3" xfId="413"/>
    <cellStyle name="Neutral 4" xfId="414"/>
    <cellStyle name="Neutral 5" xfId="415"/>
    <cellStyle name="Neutral 6" xfId="416"/>
    <cellStyle name="nONE" xfId="66"/>
    <cellStyle name="noninput" xfId="67"/>
    <cellStyle name="noninput 2" xfId="417"/>
    <cellStyle name="noninput 3" xfId="418"/>
    <cellStyle name="Normal" xfId="0" builtinId="0"/>
    <cellStyle name="Normal - Style1" xfId="68"/>
    <cellStyle name="Normal - Style1 2" xfId="419"/>
    <cellStyle name="Normal - Style1 3" xfId="420"/>
    <cellStyle name="Normal 10" xfId="69"/>
    <cellStyle name="Normal 10 2" xfId="662"/>
    <cellStyle name="Normal 11" xfId="70"/>
    <cellStyle name="Normal 11 2" xfId="674"/>
    <cellStyle name="Normal 117" xfId="421"/>
    <cellStyle name="Normal 12" xfId="422"/>
    <cellStyle name="Normal 12 2" xfId="675"/>
    <cellStyle name="Normal 122" xfId="423"/>
    <cellStyle name="Normal 13" xfId="424"/>
    <cellStyle name="Normal 13 2" xfId="676"/>
    <cellStyle name="Normal 14" xfId="425"/>
    <cellStyle name="Normal 15" xfId="426"/>
    <cellStyle name="Normal 16" xfId="427"/>
    <cellStyle name="Normal 17" xfId="428"/>
    <cellStyle name="Normal 18" xfId="429"/>
    <cellStyle name="Normal 19" xfId="430"/>
    <cellStyle name="Normal 2" xfId="71"/>
    <cellStyle name="Normal 2 10" xfId="431"/>
    <cellStyle name="Normal 2 11" xfId="677"/>
    <cellStyle name="Normal 2 12" xfId="678"/>
    <cellStyle name="Normal 2 2" xfId="72"/>
    <cellStyle name="Normal 2 2 2" xfId="432"/>
    <cellStyle name="Normal 2 2 3" xfId="679"/>
    <cellStyle name="Normal 2 2 4" xfId="680"/>
    <cellStyle name="Normal 2 2 5" xfId="681"/>
    <cellStyle name="Normal 2 2 6" xfId="682"/>
    <cellStyle name="Normal 2 2 7" xfId="683"/>
    <cellStyle name="Normal 2 2 8" xfId="684"/>
    <cellStyle name="Normal 2 2 9" xfId="685"/>
    <cellStyle name="Normal 2 2_Transfer Data Vista LT_R1" xfId="686"/>
    <cellStyle name="Normal 2 3" xfId="73"/>
    <cellStyle name="Normal 2 3 2" xfId="433"/>
    <cellStyle name="Normal 2 3 2 2" xfId="434"/>
    <cellStyle name="Normal 2 3 3" xfId="435"/>
    <cellStyle name="Normal 2 3 4" xfId="436"/>
    <cellStyle name="Normal 2 3 5" xfId="437"/>
    <cellStyle name="Normal 2 3 6" xfId="438"/>
    <cellStyle name="Normal 2 3 7" xfId="591"/>
    <cellStyle name="Normal 2 4" xfId="439"/>
    <cellStyle name="Normal 2 4 2" xfId="687"/>
    <cellStyle name="Normal 2 4 3" xfId="688"/>
    <cellStyle name="Normal 2 4 4" xfId="689"/>
    <cellStyle name="Normal 2 5" xfId="440"/>
    <cellStyle name="Normal 2 5 2" xfId="441"/>
    <cellStyle name="Normal 2 5 3" xfId="690"/>
    <cellStyle name="Normal 2 5 4" xfId="691"/>
    <cellStyle name="Normal 2 6" xfId="442"/>
    <cellStyle name="Normal 2 7" xfId="443"/>
    <cellStyle name="Normal 2 8" xfId="444"/>
    <cellStyle name="Normal 2 9" xfId="445"/>
    <cellStyle name="Normal 20" xfId="446"/>
    <cellStyle name="Normal 21" xfId="447"/>
    <cellStyle name="Normal 22" xfId="448"/>
    <cellStyle name="Normal 23" xfId="449"/>
    <cellStyle name="Normal 24" xfId="450"/>
    <cellStyle name="Normal 25" xfId="451"/>
    <cellStyle name="Normal 26" xfId="452"/>
    <cellStyle name="Normal 27" xfId="453"/>
    <cellStyle name="Normal 28" xfId="454"/>
    <cellStyle name="Normal 29" xfId="455"/>
    <cellStyle name="Normal 3" xfId="74"/>
    <cellStyle name="Normal 3 10" xfId="646"/>
    <cellStyle name="Normal 3 2" xfId="75"/>
    <cellStyle name="Normal 3 2 2" xfId="456"/>
    <cellStyle name="Normal 3 2 2 2" xfId="457"/>
    <cellStyle name="Normal 3 2 3" xfId="458"/>
    <cellStyle name="Normal 3 2 4" xfId="459"/>
    <cellStyle name="Normal 3 2 5" xfId="460"/>
    <cellStyle name="Normal 3 2 6" xfId="461"/>
    <cellStyle name="Normal 3 2 7" xfId="668"/>
    <cellStyle name="Normal 3 3" xfId="462"/>
    <cellStyle name="Normal 3 4" xfId="463"/>
    <cellStyle name="Normal 3 5" xfId="464"/>
    <cellStyle name="Normal 3 5 2" xfId="465"/>
    <cellStyle name="Normal 3 5 3" xfId="651"/>
    <cellStyle name="Normal 3 6" xfId="466"/>
    <cellStyle name="Normal 3 7" xfId="467"/>
    <cellStyle name="Normal 3 8" xfId="468"/>
    <cellStyle name="Normal 3 9" xfId="469"/>
    <cellStyle name="Normal 30" xfId="470"/>
    <cellStyle name="Normal 31" xfId="471"/>
    <cellStyle name="Normal 32" xfId="472"/>
    <cellStyle name="Normal 32 2" xfId="597"/>
    <cellStyle name="Normal 33" xfId="595"/>
    <cellStyle name="Normal 34" xfId="592"/>
    <cellStyle name="Normal 35" xfId="645"/>
    <cellStyle name="Normal 36" xfId="649"/>
    <cellStyle name="Normal 37" xfId="652"/>
    <cellStyle name="Normal 38" xfId="654"/>
    <cellStyle name="Normal 39" xfId="657"/>
    <cellStyle name="Normal 4" xfId="76"/>
    <cellStyle name="Normal 4 2" xfId="77"/>
    <cellStyle name="Normal 4 3" xfId="473"/>
    <cellStyle name="Normal 4 4" xfId="474"/>
    <cellStyle name="Normal 4 5" xfId="475"/>
    <cellStyle name="Normal 4 6" xfId="476"/>
    <cellStyle name="Normal 4 7" xfId="477"/>
    <cellStyle name="Normal 40" xfId="1"/>
    <cellStyle name="Normal 41" xfId="659"/>
    <cellStyle name="Normal 42" xfId="672"/>
    <cellStyle name="Normal 5" xfId="78"/>
    <cellStyle name="Normal 5 2" xfId="79"/>
    <cellStyle name="Normal 5 2 2" xfId="478"/>
    <cellStyle name="Normal 6" xfId="80"/>
    <cellStyle name="Normal 6 2" xfId="81"/>
    <cellStyle name="Normal 6 3" xfId="82"/>
    <cellStyle name="Normal 6 4" xfId="598"/>
    <cellStyle name="Normal 7" xfId="83"/>
    <cellStyle name="Normal 7 2" xfId="479"/>
    <cellStyle name="Normal 8" xfId="84"/>
    <cellStyle name="Normal 8 2" xfId="85"/>
    <cellStyle name="Normal 8 2 2" xfId="664"/>
    <cellStyle name="Normal 87" xfId="656"/>
    <cellStyle name="Normal 9" xfId="86"/>
    <cellStyle name="Normal 9 2" xfId="480"/>
    <cellStyle name="Normal 9_Input" xfId="692"/>
    <cellStyle name="Normal(0)" xfId="87"/>
    <cellStyle name="Note 2" xfId="481"/>
    <cellStyle name="Note 3" xfId="482"/>
    <cellStyle name="Note 4" xfId="483"/>
    <cellStyle name="Note 5" xfId="484"/>
    <cellStyle name="Note 6" xfId="485"/>
    <cellStyle name="Number" xfId="88"/>
    <cellStyle name="Number 10" xfId="486"/>
    <cellStyle name="Number 11" xfId="487"/>
    <cellStyle name="Number 12" xfId="488"/>
    <cellStyle name="Number 13" xfId="489"/>
    <cellStyle name="Number 14" xfId="490"/>
    <cellStyle name="Number 2" xfId="491"/>
    <cellStyle name="Number 3" xfId="492"/>
    <cellStyle name="Number 4" xfId="493"/>
    <cellStyle name="Number 5" xfId="494"/>
    <cellStyle name="Number 6" xfId="495"/>
    <cellStyle name="Number 7" xfId="496"/>
    <cellStyle name="Number 8" xfId="497"/>
    <cellStyle name="Number 9" xfId="498"/>
    <cellStyle name="Output 2" xfId="499"/>
    <cellStyle name="Output 3" xfId="500"/>
    <cellStyle name="Output 4" xfId="501"/>
    <cellStyle name="Output 5" xfId="502"/>
    <cellStyle name="Output 6" xfId="503"/>
    <cellStyle name="Password" xfId="89"/>
    <cellStyle name="Percen - Style1" xfId="90"/>
    <cellStyle name="Percen - Style1 2" xfId="504"/>
    <cellStyle name="Percen - Style2" xfId="91"/>
    <cellStyle name="Percen - Style2 2" xfId="505"/>
    <cellStyle name="Percent" xfId="673" builtinId="5"/>
    <cellStyle name="Percent [2]" xfId="92"/>
    <cellStyle name="Percent [2] 2" xfId="506"/>
    <cellStyle name="Percent [2] 3" xfId="507"/>
    <cellStyle name="Percent 10" xfId="658"/>
    <cellStyle name="Percent 11" xfId="3"/>
    <cellStyle name="Percent 12" xfId="661"/>
    <cellStyle name="Percent 13" xfId="670"/>
    <cellStyle name="Percent 2" xfId="93"/>
    <cellStyle name="Percent 2 2" xfId="94"/>
    <cellStyle name="Percent 2 2 2" xfId="95"/>
    <cellStyle name="Percent 2 3" xfId="96"/>
    <cellStyle name="Percent 2 4" xfId="508"/>
    <cellStyle name="Percent 3" xfId="97"/>
    <cellStyle name="Percent 3 2" xfId="98"/>
    <cellStyle name="Percent 4" xfId="99"/>
    <cellStyle name="Percent 4 2" xfId="100"/>
    <cellStyle name="Percent 5" xfId="101"/>
    <cellStyle name="Percent 6" xfId="158"/>
    <cellStyle name="Percent 6 2" xfId="653"/>
    <cellStyle name="Percent 7" xfId="509"/>
    <cellStyle name="Percent 8" xfId="596"/>
    <cellStyle name="Percent 9" xfId="648"/>
    <cellStyle name="Percent(0)" xfId="102"/>
    <cellStyle name="SAPBEXaggData" xfId="103"/>
    <cellStyle name="SAPBEXaggDataEmph" xfId="104"/>
    <cellStyle name="SAPBEXaggItem" xfId="105"/>
    <cellStyle name="SAPBEXaggItem 2" xfId="510"/>
    <cellStyle name="SAPBEXaggItem 3" xfId="599"/>
    <cellStyle name="SAPBEXaggItem 4" xfId="600"/>
    <cellStyle name="SAPBEXaggItem 5" xfId="601"/>
    <cellStyle name="SAPBEXaggItem 6" xfId="602"/>
    <cellStyle name="SAPBEXaggItem_Copy of xSAPtemp5457" xfId="603"/>
    <cellStyle name="SAPBEXaggItemX" xfId="106"/>
    <cellStyle name="SAPBEXchaText" xfId="107"/>
    <cellStyle name="SAPBEXchaText 2" xfId="511"/>
    <cellStyle name="SAPBEXchaText 3" xfId="604"/>
    <cellStyle name="SAPBEXchaText 4" xfId="605"/>
    <cellStyle name="SAPBEXchaText 5" xfId="606"/>
    <cellStyle name="SAPBEXchaText 6" xfId="607"/>
    <cellStyle name="SAPBEXchaText_Copy of xSAPtemp5457" xfId="608"/>
    <cellStyle name="SAPBEXexcBad7" xfId="108"/>
    <cellStyle name="SAPBEXexcBad8" xfId="109"/>
    <cellStyle name="SAPBEXexcBad9" xfId="110"/>
    <cellStyle name="SAPBEXexcCritical4" xfId="111"/>
    <cellStyle name="SAPBEXexcCritical5" xfId="112"/>
    <cellStyle name="SAPBEXexcCritical6" xfId="113"/>
    <cellStyle name="SAPBEXexcGood1" xfId="114"/>
    <cellStyle name="SAPBEXexcGood2" xfId="115"/>
    <cellStyle name="SAPBEXexcGood3" xfId="116"/>
    <cellStyle name="SAPBEXfilterDrill" xfId="117"/>
    <cellStyle name="SAPBEXfilterItem" xfId="118"/>
    <cellStyle name="SAPBEXfilterItem 2" xfId="512"/>
    <cellStyle name="SAPBEXfilterItem 3" xfId="609"/>
    <cellStyle name="SAPBEXfilterItem 4" xfId="610"/>
    <cellStyle name="SAPBEXfilterItem 5" xfId="611"/>
    <cellStyle name="SAPBEXfilterItem 6" xfId="612"/>
    <cellStyle name="SAPBEXfilterItem_Copy of xSAPtemp5457" xfId="613"/>
    <cellStyle name="SAPBEXfilterText" xfId="119"/>
    <cellStyle name="SAPBEXfilterText 2" xfId="513"/>
    <cellStyle name="SAPBEXfilterText 3" xfId="514"/>
    <cellStyle name="SAPBEXfilterText 4" xfId="614"/>
    <cellStyle name="SAPBEXfilterText 5" xfId="615"/>
    <cellStyle name="SAPBEXformats" xfId="120"/>
    <cellStyle name="SAPBEXheaderItem" xfId="121"/>
    <cellStyle name="SAPBEXheaderItem 2" xfId="515"/>
    <cellStyle name="SAPBEXheaderItem 3" xfId="516"/>
    <cellStyle name="SAPBEXheaderItem 4" xfId="517"/>
    <cellStyle name="SAPBEXheaderItem 5" xfId="616"/>
    <cellStyle name="SAPBEXheaderItem 6" xfId="617"/>
    <cellStyle name="SAPBEXheaderItem 7" xfId="618"/>
    <cellStyle name="SAPBEXheaderItem_Copy of xSAPtemp5457" xfId="619"/>
    <cellStyle name="SAPBEXheaderText" xfId="122"/>
    <cellStyle name="SAPBEXheaderText 2" xfId="518"/>
    <cellStyle name="SAPBEXheaderText 3" xfId="519"/>
    <cellStyle name="SAPBEXheaderText 4" xfId="520"/>
    <cellStyle name="SAPBEXheaderText 5" xfId="620"/>
    <cellStyle name="SAPBEXheaderText 6" xfId="621"/>
    <cellStyle name="SAPBEXheaderText 7" xfId="622"/>
    <cellStyle name="SAPBEXheaderText_Copy of xSAPtemp5457" xfId="623"/>
    <cellStyle name="SAPBEXHLevel0" xfId="123"/>
    <cellStyle name="SAPBEXHLevel0 2" xfId="521"/>
    <cellStyle name="SAPBEXHLevel0 3" xfId="522"/>
    <cellStyle name="SAPBEXHLevel0 4" xfId="523"/>
    <cellStyle name="SAPBEXHLevel0 5" xfId="524"/>
    <cellStyle name="SAPBEXHLevel0 6" xfId="525"/>
    <cellStyle name="SAPBEXHLevel0X" xfId="124"/>
    <cellStyle name="SAPBEXHLevel0X 2" xfId="526"/>
    <cellStyle name="SAPBEXHLevel0X 3" xfId="527"/>
    <cellStyle name="SAPBEXHLevel0X 4" xfId="528"/>
    <cellStyle name="SAPBEXHLevel0X 5" xfId="529"/>
    <cellStyle name="SAPBEXHLevel0X 6" xfId="530"/>
    <cellStyle name="SAPBEXHLevel1" xfId="125"/>
    <cellStyle name="SAPBEXHLevel1 2" xfId="531"/>
    <cellStyle name="SAPBEXHLevel1 3" xfId="532"/>
    <cellStyle name="SAPBEXHLevel1 4" xfId="533"/>
    <cellStyle name="SAPBEXHLevel1 5" xfId="534"/>
    <cellStyle name="SAPBEXHLevel1 6" xfId="535"/>
    <cellStyle name="SAPBEXHLevel1X" xfId="126"/>
    <cellStyle name="SAPBEXHLevel1X 2" xfId="536"/>
    <cellStyle name="SAPBEXHLevel1X 3" xfId="537"/>
    <cellStyle name="SAPBEXHLevel1X 4" xfId="538"/>
    <cellStyle name="SAPBEXHLevel1X 5" xfId="539"/>
    <cellStyle name="SAPBEXHLevel1X 6" xfId="540"/>
    <cellStyle name="SAPBEXHLevel2" xfId="127"/>
    <cellStyle name="SAPBEXHLevel2 2" xfId="541"/>
    <cellStyle name="SAPBEXHLevel2 3" xfId="542"/>
    <cellStyle name="SAPBEXHLevel2 4" xfId="543"/>
    <cellStyle name="SAPBEXHLevel2 5" xfId="544"/>
    <cellStyle name="SAPBEXHLevel2 6" xfId="545"/>
    <cellStyle name="SAPBEXHLevel2X" xfId="128"/>
    <cellStyle name="SAPBEXHLevel2X 2" xfId="546"/>
    <cellStyle name="SAPBEXHLevel2X 3" xfId="547"/>
    <cellStyle name="SAPBEXHLevel2X 4" xfId="548"/>
    <cellStyle name="SAPBEXHLevel2X 5" xfId="549"/>
    <cellStyle name="SAPBEXHLevel2X 6" xfId="550"/>
    <cellStyle name="SAPBEXHLevel3" xfId="129"/>
    <cellStyle name="SAPBEXHLevel3 2" xfId="551"/>
    <cellStyle name="SAPBEXHLevel3 3" xfId="552"/>
    <cellStyle name="SAPBEXHLevel3 4" xfId="553"/>
    <cellStyle name="SAPBEXHLevel3 5" xfId="554"/>
    <cellStyle name="SAPBEXHLevel3 6" xfId="555"/>
    <cellStyle name="SAPBEXHLevel3X" xfId="130"/>
    <cellStyle name="SAPBEXHLevel3X 2" xfId="556"/>
    <cellStyle name="SAPBEXHLevel3X 3" xfId="557"/>
    <cellStyle name="SAPBEXHLevel3X 4" xfId="558"/>
    <cellStyle name="SAPBEXHLevel3X 5" xfId="559"/>
    <cellStyle name="SAPBEXHLevel3X 6" xfId="560"/>
    <cellStyle name="SAPBEXresData" xfId="131"/>
    <cellStyle name="SAPBEXresDataEmph" xfId="132"/>
    <cellStyle name="SAPBEXresItem" xfId="133"/>
    <cellStyle name="SAPBEXresItemX" xfId="134"/>
    <cellStyle name="SAPBEXstdData" xfId="135"/>
    <cellStyle name="SAPBEXstdData 2" xfId="561"/>
    <cellStyle name="SAPBEXstdData 3" xfId="624"/>
    <cellStyle name="SAPBEXstdData 4" xfId="625"/>
    <cellStyle name="SAPBEXstdData 5" xfId="626"/>
    <cellStyle name="SAPBEXstdData 6" xfId="627"/>
    <cellStyle name="SAPBEXstdData_Copy of xSAPtemp5457" xfId="628"/>
    <cellStyle name="SAPBEXstdDataEmph" xfId="136"/>
    <cellStyle name="SAPBEXstdItem" xfId="137"/>
    <cellStyle name="SAPBEXstdItem 2" xfId="562"/>
    <cellStyle name="SAPBEXstdItem 2 2" xfId="669"/>
    <cellStyle name="SAPBEXstdItem 3" xfId="629"/>
    <cellStyle name="SAPBEXstdItem 4" xfId="630"/>
    <cellStyle name="SAPBEXstdItem 5" xfId="631"/>
    <cellStyle name="SAPBEXstdItem 6" xfId="632"/>
    <cellStyle name="SAPBEXstdItem_Copy of xSAPtemp5457" xfId="633"/>
    <cellStyle name="SAPBEXstdItemX" xfId="138"/>
    <cellStyle name="SAPBEXstdItemX 2" xfId="563"/>
    <cellStyle name="SAPBEXstdItemX 3" xfId="634"/>
    <cellStyle name="SAPBEXstdItemX 4" xfId="635"/>
    <cellStyle name="SAPBEXstdItemX 5" xfId="636"/>
    <cellStyle name="SAPBEXstdItemX 6" xfId="637"/>
    <cellStyle name="SAPBEXstdItemX_Copy of xSAPtemp5457" xfId="638"/>
    <cellStyle name="SAPBEXtitle" xfId="139"/>
    <cellStyle name="SAPBEXtitle 2" xfId="140"/>
    <cellStyle name="SAPBEXtitle 3" xfId="564"/>
    <cellStyle name="SAPBEXtitle 4" xfId="565"/>
    <cellStyle name="SAPBEXtitle 5" xfId="639"/>
    <cellStyle name="SAPBEXtitle 6" xfId="640"/>
    <cellStyle name="SAPBEXtitle 7" xfId="641"/>
    <cellStyle name="SAPBEXtitle_Copy of xSAPtemp5457" xfId="642"/>
    <cellStyle name="SAPBEXundefined" xfId="141"/>
    <cellStyle name="Shade" xfId="142"/>
    <cellStyle name="Sheet Title" xfId="566"/>
    <cellStyle name="Special" xfId="143"/>
    <cellStyle name="Special 2" xfId="567"/>
    <cellStyle name="Special 3" xfId="568"/>
    <cellStyle name="Style 1" xfId="144"/>
    <cellStyle name="Style 1 2" xfId="569"/>
    <cellStyle name="Style 27" xfId="145"/>
    <cellStyle name="Style 35" xfId="146"/>
    <cellStyle name="Style 35 2" xfId="570"/>
    <cellStyle name="Style 36" xfId="147"/>
    <cellStyle name="Style 36 2" xfId="571"/>
    <cellStyle name="Text" xfId="148"/>
    <cellStyle name="Title 2" xfId="572"/>
    <cellStyle name="Title 3" xfId="573"/>
    <cellStyle name="Title 4" xfId="574"/>
    <cellStyle name="Title 5" xfId="575"/>
    <cellStyle name="Title 6" xfId="576"/>
    <cellStyle name="Titles" xfId="149"/>
    <cellStyle name="Titles 2" xfId="577"/>
    <cellStyle name="Total2 - Style2" xfId="150"/>
    <cellStyle name="Total2 - Style2 2" xfId="578"/>
    <cellStyle name="TRANSMISSION RELIABILITY PORTION OF PROJECT" xfId="151"/>
    <cellStyle name="Underl - Style4" xfId="152"/>
    <cellStyle name="Underl - Style4 2" xfId="579"/>
    <cellStyle name="UNLocked" xfId="580"/>
    <cellStyle name="Unprot" xfId="153"/>
    <cellStyle name="Unprot 2" xfId="581"/>
    <cellStyle name="Unprot 3" xfId="582"/>
    <cellStyle name="Unprot$" xfId="154"/>
    <cellStyle name="Unprot$ 2" xfId="583"/>
    <cellStyle name="Unprot$ 3" xfId="584"/>
    <cellStyle name="Unprot$ 4" xfId="585"/>
    <cellStyle name="Unprot_CA PTAM New Wind Sept-09 - Estimated Preview" xfId="155"/>
    <cellStyle name="Unprotect" xfId="156"/>
    <cellStyle name="Warning Text 2" xfId="586"/>
    <cellStyle name="Warning Text 3" xfId="587"/>
    <cellStyle name="Warning Text 4" xfId="588"/>
    <cellStyle name="Warning Text 5" xfId="589"/>
    <cellStyle name="Warning Text 6" xfId="59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DXCO/PSB1/REGULATN/ER/Natasha/WA%20GRC%20Amortizations%20-%20Colstr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Summary"/>
      <sheetName val="Summary (Feb Test Period)"/>
      <sheetName val="Colstrip - Detail"/>
      <sheetName val="Naughton Tax ADIT"/>
      <sheetName val="DJ Tax ADIT"/>
      <sheetName val="Variables"/>
      <sheetName val="Backup =====&gt;"/>
      <sheetName val="Deferral"/>
      <sheetName val="Event"/>
      <sheetName val="Sheet5"/>
      <sheetName val="Sheet5 (2)"/>
    </sheetNames>
    <sheetDataSet>
      <sheetData sheetId="0">
        <row r="4">
          <cell r="A4" t="str">
            <v>Colstrip Outage Deferral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zoomScaleNormal="100" workbookViewId="0">
      <selection activeCell="F2" sqref="F2"/>
    </sheetView>
  </sheetViews>
  <sheetFormatPr defaultRowHeight="12.75"/>
  <cols>
    <col min="1" max="1" width="3.7109375" style="1" customWidth="1"/>
    <col min="2" max="3" width="16.7109375" style="1" customWidth="1"/>
    <col min="4" max="28" width="14.7109375" style="1" customWidth="1"/>
  </cols>
  <sheetData>
    <row r="1" spans="1:7">
      <c r="A1" s="47" t="s">
        <v>55</v>
      </c>
      <c r="F1" s="119"/>
      <c r="G1" s="119"/>
    </row>
    <row r="2" spans="1:7">
      <c r="A2" s="47" t="s">
        <v>108</v>
      </c>
      <c r="F2" s="120"/>
      <c r="G2" s="120"/>
    </row>
    <row r="3" spans="1:7">
      <c r="A3" s="47" t="s">
        <v>109</v>
      </c>
      <c r="F3" s="120"/>
    </row>
    <row r="4" spans="1:7">
      <c r="A4" s="47" t="s">
        <v>118</v>
      </c>
    </row>
    <row r="6" spans="1:7">
      <c r="D6" s="122" t="s">
        <v>116</v>
      </c>
    </row>
    <row r="7" spans="1:7">
      <c r="D7" s="118" t="s">
        <v>117</v>
      </c>
    </row>
    <row r="8" spans="1:7">
      <c r="D8" s="43"/>
    </row>
    <row r="9" spans="1:7">
      <c r="B9" s="1" t="s">
        <v>113</v>
      </c>
      <c r="D9" s="1">
        <f>+'Summary Amortization'!D43</f>
        <v>1978487.4529455695</v>
      </c>
      <c r="E9" s="121" t="s">
        <v>120</v>
      </c>
    </row>
    <row r="11" spans="1:7">
      <c r="B11" s="1" t="s">
        <v>115</v>
      </c>
      <c r="D11" s="1">
        <f>+'Summary Amortization'!F43</f>
        <v>-877344.83192748309</v>
      </c>
      <c r="E11" s="121" t="s">
        <v>120</v>
      </c>
    </row>
    <row r="13" spans="1:7">
      <c r="B13" s="1" t="s">
        <v>114</v>
      </c>
      <c r="D13" s="1">
        <f>+'Summary Amortization'!E43</f>
        <v>3288838.8053630083</v>
      </c>
      <c r="E13" s="121" t="s">
        <v>120</v>
      </c>
    </row>
    <row r="15" spans="1:7">
      <c r="B15" s="1" t="s">
        <v>24</v>
      </c>
      <c r="D15" s="46">
        <f>+'Summary Amortization'!J43</f>
        <v>550357.71000000008</v>
      </c>
      <c r="E15" s="121" t="s">
        <v>120</v>
      </c>
    </row>
    <row r="17" spans="2:5" ht="13.5" thickBot="1">
      <c r="B17" s="47" t="s">
        <v>0</v>
      </c>
      <c r="C17" s="47"/>
      <c r="D17" s="123">
        <f>SUM(D9:D15)</f>
        <v>4940339.1363810943</v>
      </c>
      <c r="E17" s="121" t="s">
        <v>120</v>
      </c>
    </row>
    <row r="18" spans="2:5" ht="13.5" thickTop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Normal="100" workbookViewId="0">
      <selection activeCell="J2" sqref="J2"/>
    </sheetView>
  </sheetViews>
  <sheetFormatPr defaultColWidth="14.7109375" defaultRowHeight="12.75"/>
  <cols>
    <col min="1" max="1" width="8.7109375" style="43" customWidth="1"/>
    <col min="2" max="6" width="14.7109375" style="1" customWidth="1"/>
    <col min="7" max="8" width="13.7109375" style="1" customWidth="1"/>
    <col min="9" max="9" width="14.7109375" style="1" customWidth="1"/>
    <col min="10" max="10" width="13.7109375" style="1" customWidth="1"/>
    <col min="11" max="11" width="14.7109375" style="1" customWidth="1"/>
    <col min="12" max="16384" width="14.7109375" style="1"/>
  </cols>
  <sheetData>
    <row r="1" spans="1:14">
      <c r="A1" s="47" t="str">
        <f>+'Summary for Table'!A1</f>
        <v>PacifiCorp</v>
      </c>
      <c r="J1" s="119"/>
    </row>
    <row r="2" spans="1:14">
      <c r="A2" s="47" t="str">
        <f>+'Summary for Table'!A2</f>
        <v>Washington General Rate Case - December 2013</v>
      </c>
      <c r="J2" s="120"/>
    </row>
    <row r="3" spans="1:14">
      <c r="A3" s="47" t="s">
        <v>88</v>
      </c>
    </row>
    <row r="4" spans="1:14">
      <c r="A4" s="124" t="s">
        <v>85</v>
      </c>
    </row>
    <row r="5" spans="1:14">
      <c r="A5" s="47"/>
      <c r="C5" s="111"/>
      <c r="D5" s="112" t="s">
        <v>68</v>
      </c>
      <c r="E5" s="112" t="s">
        <v>89</v>
      </c>
      <c r="F5" s="112" t="s">
        <v>90</v>
      </c>
      <c r="G5" s="111"/>
      <c r="H5" s="111"/>
      <c r="I5" s="111"/>
      <c r="J5" s="111"/>
      <c r="K5" s="111"/>
    </row>
    <row r="6" spans="1:14">
      <c r="A6" s="45"/>
      <c r="C6" s="113"/>
      <c r="D6" s="113" t="s">
        <v>107</v>
      </c>
      <c r="E6" s="113" t="s">
        <v>23</v>
      </c>
      <c r="F6" s="113" t="s">
        <v>4</v>
      </c>
      <c r="G6" s="117" t="s">
        <v>0</v>
      </c>
      <c r="H6" s="113"/>
      <c r="I6" s="113"/>
      <c r="J6" s="113"/>
      <c r="K6" s="113"/>
    </row>
    <row r="7" spans="1:14">
      <c r="A7" s="45"/>
      <c r="C7" s="53" t="s">
        <v>103</v>
      </c>
      <c r="D7" s="53" t="s">
        <v>106</v>
      </c>
      <c r="E7" s="53" t="s">
        <v>106</v>
      </c>
      <c r="F7" s="53" t="s">
        <v>106</v>
      </c>
      <c r="G7" s="118" t="s">
        <v>22</v>
      </c>
      <c r="H7" s="53" t="s">
        <v>87</v>
      </c>
      <c r="I7" s="53" t="s">
        <v>104</v>
      </c>
      <c r="J7" s="53" t="s">
        <v>24</v>
      </c>
      <c r="K7" s="53" t="s">
        <v>25</v>
      </c>
    </row>
    <row r="8" spans="1:14">
      <c r="A8" s="45"/>
      <c r="I8" s="42"/>
    </row>
    <row r="9" spans="1:14">
      <c r="A9" s="45">
        <v>2013</v>
      </c>
      <c r="B9" s="1" t="s">
        <v>10</v>
      </c>
      <c r="C9" s="1">
        <v>0</v>
      </c>
      <c r="G9" s="1">
        <f t="shared" ref="G9:G42" si="0">SUM(D9:F9)</f>
        <v>0</v>
      </c>
      <c r="I9" s="42">
        <f>ROUND(+Variables!$E$60,5)</f>
        <v>7.7429999999999999E-2</v>
      </c>
      <c r="M9" s="1" t="s">
        <v>78</v>
      </c>
      <c r="N9" s="1" t="s">
        <v>79</v>
      </c>
    </row>
    <row r="10" spans="1:14">
      <c r="A10" s="45">
        <f>+$A$9</f>
        <v>2013</v>
      </c>
      <c r="B10" s="1" t="s">
        <v>11</v>
      </c>
      <c r="C10" s="1">
        <f>+K9</f>
        <v>0</v>
      </c>
      <c r="D10" s="1">
        <f>INDEX('Colstrip NPC'!$D$16:$K$16,M10)</f>
        <v>57883.78634332645</v>
      </c>
      <c r="G10" s="1">
        <f t="shared" si="0"/>
        <v>57883.78634332645</v>
      </c>
      <c r="I10" s="42">
        <f>+$I$9</f>
        <v>7.7429999999999999E-2</v>
      </c>
      <c r="J10" s="1">
        <f t="shared" ref="J10:J42" si="1">ROUND((+C10+(G10/2)+(H10/2))*I10/12,2)</f>
        <v>186.75</v>
      </c>
      <c r="K10" s="1">
        <f>ROUND(+K9+G10+J10+H10,2)</f>
        <v>58070.54</v>
      </c>
      <c r="M10" s="1">
        <v>1</v>
      </c>
    </row>
    <row r="11" spans="1:14">
      <c r="A11" s="45">
        <f t="shared" ref="A11:A15" si="2">+$A$9</f>
        <v>2013</v>
      </c>
      <c r="B11" s="1" t="s">
        <v>12</v>
      </c>
      <c r="C11" s="1">
        <f t="shared" ref="C11:C42" si="3">+K10</f>
        <v>58070.54</v>
      </c>
      <c r="D11" s="1">
        <f>INDEX('Colstrip NPC'!$D$16:$K$16,M11)</f>
        <v>274500.81422958203</v>
      </c>
      <c r="G11" s="1">
        <f t="shared" si="0"/>
        <v>274500.81422958203</v>
      </c>
      <c r="I11" s="42">
        <f t="shared" ref="I11:I14" si="4">+$I$9</f>
        <v>7.7429999999999999E-2</v>
      </c>
      <c r="J11" s="1">
        <f t="shared" si="1"/>
        <v>1260.31</v>
      </c>
      <c r="K11" s="1">
        <f t="shared" ref="K11:K42" si="5">ROUND(+K10+G11+J11+H11,2)</f>
        <v>333831.65999999997</v>
      </c>
      <c r="M11" s="1">
        <f t="shared" ref="M11:M17" si="6">+M10+1</f>
        <v>2</v>
      </c>
    </row>
    <row r="12" spans="1:14">
      <c r="A12" s="45">
        <f t="shared" si="2"/>
        <v>2013</v>
      </c>
      <c r="B12" s="1" t="s">
        <v>13</v>
      </c>
      <c r="C12" s="1">
        <f t="shared" si="3"/>
        <v>333831.65999999997</v>
      </c>
      <c r="D12" s="1">
        <f>INDEX('Colstrip NPC'!$D$16:$K$16,M12)</f>
        <v>301708.13602996618</v>
      </c>
      <c r="G12" s="1">
        <f t="shared" si="0"/>
        <v>301708.13602996618</v>
      </c>
      <c r="I12" s="42">
        <f t="shared" si="4"/>
        <v>7.7429999999999999E-2</v>
      </c>
      <c r="J12" s="1">
        <f t="shared" si="1"/>
        <v>3127.43</v>
      </c>
      <c r="K12" s="1">
        <f t="shared" si="5"/>
        <v>638667.23</v>
      </c>
      <c r="M12" s="1">
        <f t="shared" si="6"/>
        <v>3</v>
      </c>
    </row>
    <row r="13" spans="1:14">
      <c r="A13" s="45">
        <f t="shared" si="2"/>
        <v>2013</v>
      </c>
      <c r="B13" s="1" t="s">
        <v>14</v>
      </c>
      <c r="C13" s="1">
        <f t="shared" si="3"/>
        <v>638667.23</v>
      </c>
      <c r="D13" s="1">
        <f>INDEX('Colstrip NPC'!$D$16:$K$16,M13)</f>
        <v>305270.64600928302</v>
      </c>
      <c r="G13" s="1">
        <f t="shared" si="0"/>
        <v>305270.64600928302</v>
      </c>
      <c r="I13" s="42">
        <f t="shared" si="4"/>
        <v>7.7429999999999999E-2</v>
      </c>
      <c r="J13" s="1">
        <f t="shared" si="1"/>
        <v>5105.88</v>
      </c>
      <c r="K13" s="1">
        <f t="shared" si="5"/>
        <v>949043.76</v>
      </c>
      <c r="M13" s="1">
        <f t="shared" si="6"/>
        <v>4</v>
      </c>
    </row>
    <row r="14" spans="1:14">
      <c r="A14" s="45">
        <f t="shared" si="2"/>
        <v>2013</v>
      </c>
      <c r="B14" s="1" t="s">
        <v>15</v>
      </c>
      <c r="C14" s="1">
        <f t="shared" si="3"/>
        <v>949043.76</v>
      </c>
      <c r="D14" s="1">
        <f>INDEX('Colstrip NPC'!$D$16:$K$16,M14)</f>
        <v>299806.6398879679</v>
      </c>
      <c r="G14" s="1">
        <f t="shared" si="0"/>
        <v>299806.6398879679</v>
      </c>
      <c r="I14" s="42">
        <f t="shared" si="4"/>
        <v>7.7429999999999999E-2</v>
      </c>
      <c r="J14" s="1">
        <f t="shared" si="1"/>
        <v>7090.96</v>
      </c>
      <c r="K14" s="1">
        <f t="shared" si="5"/>
        <v>1255941.3600000001</v>
      </c>
      <c r="M14" s="1">
        <f t="shared" si="6"/>
        <v>5</v>
      </c>
    </row>
    <row r="15" spans="1:14">
      <c r="A15" s="45">
        <f t="shared" si="2"/>
        <v>2013</v>
      </c>
      <c r="B15" s="1" t="s">
        <v>16</v>
      </c>
      <c r="C15" s="1">
        <f t="shared" si="3"/>
        <v>1255941.3600000001</v>
      </c>
      <c r="D15" s="1">
        <f>INDEX('Colstrip NPC'!$D$16:$K$16,M15)</f>
        <v>158618.73121024042</v>
      </c>
      <c r="G15" s="1">
        <f t="shared" si="0"/>
        <v>158618.73121024042</v>
      </c>
      <c r="I15" s="42">
        <f>ROUND(+Variables!E37,5)</f>
        <v>7.3580000000000007E-2</v>
      </c>
      <c r="J15" s="1">
        <f t="shared" si="1"/>
        <v>8187.31</v>
      </c>
      <c r="K15" s="1">
        <f t="shared" si="5"/>
        <v>1422747.4</v>
      </c>
      <c r="M15" s="1">
        <f t="shared" si="6"/>
        <v>6</v>
      </c>
    </row>
    <row r="16" spans="1:14">
      <c r="A16" s="45">
        <v>2014</v>
      </c>
      <c r="B16" s="1" t="s">
        <v>17</v>
      </c>
      <c r="C16" s="1">
        <f t="shared" si="3"/>
        <v>1422747.4</v>
      </c>
      <c r="D16" s="1">
        <f>INDEX('Colstrip NPC'!$D$16:$K$16,M16)</f>
        <v>332871.26706083113</v>
      </c>
      <c r="E16" s="1">
        <f>INDEX('Hydro NPC'!$D$15:$R$15,'Summary Amortization'!N16)</f>
        <v>723313.16747396661</v>
      </c>
      <c r="F16" s="1">
        <f>+Depreciation!D22</f>
        <v>-58489.655461832219</v>
      </c>
      <c r="G16" s="1">
        <f t="shared" si="0"/>
        <v>997694.7790729655</v>
      </c>
      <c r="I16" s="42">
        <f>++$I$15</f>
        <v>7.3580000000000007E-2</v>
      </c>
      <c r="J16" s="1">
        <f t="shared" si="1"/>
        <v>11782.58</v>
      </c>
      <c r="K16" s="1">
        <f t="shared" si="5"/>
        <v>2432224.7599999998</v>
      </c>
      <c r="M16" s="1">
        <f t="shared" si="6"/>
        <v>7</v>
      </c>
      <c r="N16" s="1">
        <v>1</v>
      </c>
    </row>
    <row r="17" spans="1:14">
      <c r="A17" s="45">
        <f>+$A$16</f>
        <v>2014</v>
      </c>
      <c r="B17" s="1" t="s">
        <v>18</v>
      </c>
      <c r="C17" s="1">
        <f t="shared" si="3"/>
        <v>2432224.7599999998</v>
      </c>
      <c r="D17" s="1">
        <f>INDEX('Colstrip NPC'!$D$16:$K$16,M17)+'Colstrip Capital'!D28</f>
        <v>247827.43217437225</v>
      </c>
      <c r="E17" s="1">
        <f>INDEX('Hydro NPC'!$D$15:$R$15,'Summary Amortization'!N17)</f>
        <v>151131.00981989165</v>
      </c>
      <c r="F17" s="1">
        <f>+$F$16</f>
        <v>-58489.655461832219</v>
      </c>
      <c r="G17" s="1">
        <f t="shared" si="0"/>
        <v>340468.78653243167</v>
      </c>
      <c r="I17" s="42">
        <f t="shared" ref="I17:I30" si="7">++$I$15</f>
        <v>7.3580000000000007E-2</v>
      </c>
      <c r="J17" s="1">
        <f t="shared" si="1"/>
        <v>15957.41</v>
      </c>
      <c r="K17" s="1">
        <f t="shared" si="5"/>
        <v>2788650.96</v>
      </c>
      <c r="M17" s="1">
        <f t="shared" si="6"/>
        <v>8</v>
      </c>
      <c r="N17" s="1">
        <f t="shared" ref="N17:N23" si="8">+N16+1</f>
        <v>2</v>
      </c>
    </row>
    <row r="18" spans="1:14">
      <c r="A18" s="45">
        <f t="shared" ref="A18:A27" si="9">+$A$16</f>
        <v>2014</v>
      </c>
      <c r="B18" s="1" t="s">
        <v>19</v>
      </c>
      <c r="C18" s="1">
        <f t="shared" si="3"/>
        <v>2788650.96</v>
      </c>
      <c r="E18" s="1">
        <f>INDEX('Hydro NPC'!$D$15:$R$15,'Summary Amortization'!N18)</f>
        <v>-404445.08714150713</v>
      </c>
      <c r="F18" s="1">
        <f t="shared" ref="F18:F30" si="10">+$F$16</f>
        <v>-58489.655461832219</v>
      </c>
      <c r="G18" s="1">
        <f t="shared" si="0"/>
        <v>-462934.74260333937</v>
      </c>
      <c r="I18" s="42">
        <f t="shared" si="7"/>
        <v>7.3580000000000007E-2</v>
      </c>
      <c r="J18" s="1">
        <f t="shared" si="1"/>
        <v>15679.8</v>
      </c>
      <c r="K18" s="1">
        <f t="shared" si="5"/>
        <v>2341396.02</v>
      </c>
      <c r="M18" s="1">
        <f t="shared" ref="M18:N30" si="11">+M17+1</f>
        <v>9</v>
      </c>
      <c r="N18" s="1">
        <f t="shared" si="8"/>
        <v>3</v>
      </c>
    </row>
    <row r="19" spans="1:14">
      <c r="A19" s="45">
        <f t="shared" si="9"/>
        <v>2014</v>
      </c>
      <c r="B19" s="1" t="s">
        <v>20</v>
      </c>
      <c r="C19" s="1">
        <f t="shared" si="3"/>
        <v>2341396.02</v>
      </c>
      <c r="E19" s="1">
        <f>INDEX('Hydro NPC'!$D$15:$R$15,'Summary Amortization'!N19)</f>
        <v>337406.51900119236</v>
      </c>
      <c r="F19" s="1">
        <f t="shared" si="10"/>
        <v>-58489.655461832219</v>
      </c>
      <c r="G19" s="1">
        <f t="shared" si="0"/>
        <v>278916.86353936011</v>
      </c>
      <c r="I19" s="42">
        <f t="shared" si="7"/>
        <v>7.3580000000000007E-2</v>
      </c>
      <c r="J19" s="1">
        <f t="shared" si="1"/>
        <v>15211.77</v>
      </c>
      <c r="K19" s="1">
        <f t="shared" si="5"/>
        <v>2635524.65</v>
      </c>
      <c r="M19" s="1">
        <f t="shared" si="11"/>
        <v>10</v>
      </c>
      <c r="N19" s="1">
        <f t="shared" si="8"/>
        <v>4</v>
      </c>
    </row>
    <row r="20" spans="1:14">
      <c r="A20" s="45">
        <f t="shared" si="9"/>
        <v>2014</v>
      </c>
      <c r="B20" s="1" t="s">
        <v>21</v>
      </c>
      <c r="C20" s="1">
        <f t="shared" si="3"/>
        <v>2635524.65</v>
      </c>
      <c r="E20" s="1">
        <f>INDEX('Hydro NPC'!$D$15:$R$15,'Summary Amortization'!N20)</f>
        <v>348739.57528113399</v>
      </c>
      <c r="F20" s="1">
        <f t="shared" si="10"/>
        <v>-58489.655461832219</v>
      </c>
      <c r="G20" s="1">
        <f t="shared" si="0"/>
        <v>290249.91981930175</v>
      </c>
      <c r="I20" s="42">
        <f t="shared" si="7"/>
        <v>7.3580000000000007E-2</v>
      </c>
      <c r="J20" s="1">
        <f t="shared" si="1"/>
        <v>17050.02</v>
      </c>
      <c r="K20" s="1">
        <f t="shared" si="5"/>
        <v>2942824.59</v>
      </c>
      <c r="M20" s="1">
        <f t="shared" si="11"/>
        <v>11</v>
      </c>
      <c r="N20" s="1">
        <f t="shared" si="8"/>
        <v>5</v>
      </c>
    </row>
    <row r="21" spans="1:14">
      <c r="A21" s="45">
        <f t="shared" si="9"/>
        <v>2014</v>
      </c>
      <c r="B21" s="1" t="s">
        <v>10</v>
      </c>
      <c r="C21" s="1">
        <f t="shared" si="3"/>
        <v>2942824.59</v>
      </c>
      <c r="E21" s="1">
        <f>INDEX('Hydro NPC'!$D$15:$R$15,'Summary Amortization'!N21)</f>
        <v>416983.03170550423</v>
      </c>
      <c r="F21" s="1">
        <f t="shared" si="10"/>
        <v>-58489.655461832219</v>
      </c>
      <c r="G21" s="1">
        <f t="shared" si="0"/>
        <v>358493.37624367198</v>
      </c>
      <c r="I21" s="42">
        <f t="shared" si="7"/>
        <v>7.3580000000000007E-2</v>
      </c>
      <c r="J21" s="1">
        <f t="shared" si="1"/>
        <v>19143.5</v>
      </c>
      <c r="K21" s="1">
        <f t="shared" si="5"/>
        <v>3320461.47</v>
      </c>
      <c r="M21" s="1">
        <f t="shared" si="11"/>
        <v>12</v>
      </c>
      <c r="N21" s="1">
        <f t="shared" si="8"/>
        <v>6</v>
      </c>
    </row>
    <row r="22" spans="1:14">
      <c r="A22" s="45">
        <f t="shared" si="9"/>
        <v>2014</v>
      </c>
      <c r="B22" s="1" t="s">
        <v>11</v>
      </c>
      <c r="C22" s="1">
        <f t="shared" si="3"/>
        <v>3320461.47</v>
      </c>
      <c r="E22" s="1">
        <f>INDEX('Hydro NPC'!$D$15:$R$15,'Summary Amortization'!N22)</f>
        <v>523526.80863959767</v>
      </c>
      <c r="F22" s="1">
        <f t="shared" si="10"/>
        <v>-58489.655461832219</v>
      </c>
      <c r="G22" s="1">
        <f t="shared" si="0"/>
        <v>465037.15317776543</v>
      </c>
      <c r="I22" s="42">
        <f t="shared" si="7"/>
        <v>7.3580000000000007E-2</v>
      </c>
      <c r="J22" s="1">
        <f t="shared" si="1"/>
        <v>21785.69</v>
      </c>
      <c r="K22" s="1">
        <f t="shared" si="5"/>
        <v>3807284.31</v>
      </c>
      <c r="M22" s="1">
        <f t="shared" si="11"/>
        <v>13</v>
      </c>
      <c r="N22" s="1">
        <f t="shared" si="8"/>
        <v>7</v>
      </c>
    </row>
    <row r="23" spans="1:14">
      <c r="A23" s="45">
        <f t="shared" si="9"/>
        <v>2014</v>
      </c>
      <c r="B23" s="1" t="s">
        <v>12</v>
      </c>
      <c r="C23" s="1">
        <f t="shared" si="3"/>
        <v>3807284.31</v>
      </c>
      <c r="E23" s="1">
        <f>INDEX('Hydro NPC'!$D$15:$R$15,'Summary Amortization'!N23)</f>
        <v>438387.4879040799</v>
      </c>
      <c r="F23" s="1">
        <f t="shared" si="10"/>
        <v>-58489.655461832219</v>
      </c>
      <c r="G23" s="1">
        <f t="shared" si="0"/>
        <v>379897.83244224766</v>
      </c>
      <c r="I23" s="42">
        <f t="shared" si="7"/>
        <v>7.3580000000000007E-2</v>
      </c>
      <c r="J23" s="1">
        <f t="shared" si="1"/>
        <v>24509.7</v>
      </c>
      <c r="K23" s="1">
        <f t="shared" si="5"/>
        <v>4211691.84</v>
      </c>
      <c r="M23" s="1">
        <f t="shared" si="11"/>
        <v>14</v>
      </c>
      <c r="N23" s="1">
        <f t="shared" si="8"/>
        <v>8</v>
      </c>
    </row>
    <row r="24" spans="1:14">
      <c r="A24" s="45">
        <f t="shared" si="9"/>
        <v>2014</v>
      </c>
      <c r="B24" s="1" t="s">
        <v>13</v>
      </c>
      <c r="C24" s="1">
        <f t="shared" si="3"/>
        <v>4211691.84</v>
      </c>
      <c r="E24" s="1">
        <f>INDEX('Hydro NPC'!$D$15:$R$15,'Summary Amortization'!N24)</f>
        <v>252295.01917405825</v>
      </c>
      <c r="F24" s="1">
        <f t="shared" si="10"/>
        <v>-58489.655461832219</v>
      </c>
      <c r="G24" s="1">
        <f t="shared" si="0"/>
        <v>193805.36371222604</v>
      </c>
      <c r="I24" s="42">
        <f t="shared" si="7"/>
        <v>7.3580000000000007E-2</v>
      </c>
      <c r="J24" s="1">
        <f t="shared" si="1"/>
        <v>26418.87</v>
      </c>
      <c r="K24" s="1">
        <f t="shared" si="5"/>
        <v>4431916.07</v>
      </c>
      <c r="M24" s="1">
        <f t="shared" si="11"/>
        <v>15</v>
      </c>
      <c r="N24" s="1">
        <f t="shared" si="11"/>
        <v>9</v>
      </c>
    </row>
    <row r="25" spans="1:14">
      <c r="A25" s="45">
        <f t="shared" si="9"/>
        <v>2014</v>
      </c>
      <c r="B25" s="1" t="s">
        <v>14</v>
      </c>
      <c r="C25" s="1">
        <f t="shared" si="3"/>
        <v>4431916.07</v>
      </c>
      <c r="E25" s="1">
        <f>INDEX('Hydro NPC'!$D$15:$R$15,'Summary Amortization'!N25)</f>
        <v>139729.27146047546</v>
      </c>
      <c r="F25" s="1">
        <f t="shared" si="10"/>
        <v>-58489.655461832219</v>
      </c>
      <c r="G25" s="1">
        <f t="shared" si="0"/>
        <v>81239.615998643247</v>
      </c>
      <c r="I25" s="42">
        <f t="shared" si="7"/>
        <v>7.3580000000000007E-2</v>
      </c>
      <c r="J25" s="1">
        <f t="shared" si="1"/>
        <v>27424.1</v>
      </c>
      <c r="K25" s="1">
        <f t="shared" si="5"/>
        <v>4540579.79</v>
      </c>
      <c r="M25" s="1">
        <f t="shared" si="11"/>
        <v>16</v>
      </c>
      <c r="N25" s="1">
        <f t="shared" si="11"/>
        <v>10</v>
      </c>
    </row>
    <row r="26" spans="1:14">
      <c r="A26" s="45">
        <f t="shared" si="9"/>
        <v>2014</v>
      </c>
      <c r="B26" s="1" t="s">
        <v>15</v>
      </c>
      <c r="C26" s="1">
        <f t="shared" si="3"/>
        <v>4540579.79</v>
      </c>
      <c r="E26" s="1">
        <f>INDEX('Hydro NPC'!$D$15:$R$15,'Summary Amortization'!N26)</f>
        <v>317414.66697776644</v>
      </c>
      <c r="F26" s="1">
        <f t="shared" si="10"/>
        <v>-58489.655461832219</v>
      </c>
      <c r="G26" s="1">
        <f t="shared" si="0"/>
        <v>258925.01151593422</v>
      </c>
      <c r="I26" s="42">
        <f t="shared" si="7"/>
        <v>7.3580000000000007E-2</v>
      </c>
      <c r="J26" s="1">
        <f t="shared" si="1"/>
        <v>28635.14</v>
      </c>
      <c r="K26" s="1">
        <f t="shared" si="5"/>
        <v>4828139.9400000004</v>
      </c>
      <c r="M26" s="1">
        <f t="shared" si="11"/>
        <v>17</v>
      </c>
      <c r="N26" s="1">
        <f t="shared" si="11"/>
        <v>11</v>
      </c>
    </row>
    <row r="27" spans="1:14">
      <c r="A27" s="45">
        <f t="shared" si="9"/>
        <v>2014</v>
      </c>
      <c r="B27" s="1" t="s">
        <v>16</v>
      </c>
      <c r="C27" s="1">
        <f t="shared" si="3"/>
        <v>4828139.9400000004</v>
      </c>
      <c r="E27" s="1">
        <f>INDEX('Hydro NPC'!$D$15:$R$15,'Summary Amortization'!N27)</f>
        <v>44357.335066849031</v>
      </c>
      <c r="F27" s="1">
        <f t="shared" si="10"/>
        <v>-58489.655461832219</v>
      </c>
      <c r="G27" s="1">
        <f t="shared" si="0"/>
        <v>-14132.320394983188</v>
      </c>
      <c r="I27" s="42">
        <f t="shared" si="7"/>
        <v>7.3580000000000007E-2</v>
      </c>
      <c r="J27" s="1">
        <f t="shared" si="1"/>
        <v>29561.22</v>
      </c>
      <c r="K27" s="1">
        <f t="shared" si="5"/>
        <v>4843568.84</v>
      </c>
      <c r="M27" s="1">
        <f t="shared" si="11"/>
        <v>18</v>
      </c>
      <c r="N27" s="1">
        <f t="shared" si="11"/>
        <v>12</v>
      </c>
    </row>
    <row r="28" spans="1:14">
      <c r="A28" s="45">
        <v>2015</v>
      </c>
      <c r="B28" s="1" t="s">
        <v>17</v>
      </c>
      <c r="C28" s="1">
        <f t="shared" si="3"/>
        <v>4843568.84</v>
      </c>
      <c r="E28" s="1">
        <f>INDEX('Hydro NPC'!$D$15:$R$15,'Summary Amortization'!N28)</f>
        <v>0</v>
      </c>
      <c r="F28" s="1">
        <f t="shared" si="10"/>
        <v>-58489.655461832219</v>
      </c>
      <c r="G28" s="1">
        <f t="shared" si="0"/>
        <v>-58489.655461832219</v>
      </c>
      <c r="I28" s="42">
        <f t="shared" si="7"/>
        <v>7.3580000000000007E-2</v>
      </c>
      <c r="J28" s="1">
        <f t="shared" si="1"/>
        <v>29519.83</v>
      </c>
      <c r="K28" s="1">
        <f t="shared" si="5"/>
        <v>4814599.01</v>
      </c>
      <c r="M28" s="1">
        <f t="shared" si="11"/>
        <v>19</v>
      </c>
      <c r="N28" s="1">
        <f t="shared" si="11"/>
        <v>13</v>
      </c>
    </row>
    <row r="29" spans="1:14">
      <c r="A29" s="45">
        <f>+$A$28</f>
        <v>2015</v>
      </c>
      <c r="B29" s="1" t="s">
        <v>18</v>
      </c>
      <c r="C29" s="1">
        <f t="shared" si="3"/>
        <v>4814599.01</v>
      </c>
      <c r="E29" s="1">
        <f>INDEX('Hydro NPC'!$D$15:$R$15,'Summary Amortization'!N29)</f>
        <v>0</v>
      </c>
      <c r="F29" s="1">
        <f t="shared" si="10"/>
        <v>-58489.655461832219</v>
      </c>
      <c r="G29" s="1">
        <f t="shared" si="0"/>
        <v>-58489.655461832219</v>
      </c>
      <c r="I29" s="42">
        <f t="shared" si="7"/>
        <v>7.3580000000000007E-2</v>
      </c>
      <c r="J29" s="1">
        <f t="shared" si="1"/>
        <v>29342.2</v>
      </c>
      <c r="K29" s="1">
        <f t="shared" si="5"/>
        <v>4785451.55</v>
      </c>
      <c r="M29" s="1">
        <f t="shared" si="11"/>
        <v>20</v>
      </c>
      <c r="N29" s="1">
        <f t="shared" si="11"/>
        <v>14</v>
      </c>
    </row>
    <row r="30" spans="1:14" s="64" customFormat="1">
      <c r="A30" s="65">
        <f t="shared" ref="A30:A38" si="12">+$A$28</f>
        <v>2015</v>
      </c>
      <c r="B30" s="64" t="s">
        <v>19</v>
      </c>
      <c r="C30" s="64">
        <f t="shared" si="3"/>
        <v>4785451.55</v>
      </c>
      <c r="E30" s="64">
        <f>INDEX('Hydro NPC'!$D$15:$R$15,'Summary Amortization'!N30)</f>
        <v>0</v>
      </c>
      <c r="F30" s="64">
        <f t="shared" si="10"/>
        <v>-58489.655461832219</v>
      </c>
      <c r="G30" s="64">
        <f t="shared" si="0"/>
        <v>-58489.655461832219</v>
      </c>
      <c r="I30" s="42">
        <f t="shared" si="7"/>
        <v>7.3580000000000007E-2</v>
      </c>
      <c r="J30" s="64">
        <f t="shared" si="1"/>
        <v>29163.47</v>
      </c>
      <c r="K30" s="64">
        <f t="shared" si="5"/>
        <v>4756125.3600000003</v>
      </c>
      <c r="M30" s="64">
        <f t="shared" si="11"/>
        <v>21</v>
      </c>
      <c r="N30" s="64">
        <f t="shared" si="11"/>
        <v>15</v>
      </c>
    </row>
    <row r="31" spans="1:14" s="64" customFormat="1">
      <c r="A31" s="65">
        <f t="shared" si="12"/>
        <v>2015</v>
      </c>
      <c r="B31" s="64" t="s">
        <v>20</v>
      </c>
      <c r="C31" s="64">
        <f t="shared" si="3"/>
        <v>4756125.3600000003</v>
      </c>
      <c r="G31" s="64">
        <f t="shared" si="0"/>
        <v>0</v>
      </c>
      <c r="H31" s="68">
        <f>+H49/12</f>
        <v>-411694.9211053527</v>
      </c>
      <c r="I31" s="67">
        <f>ROUND(+Variables!$E$15,5)</f>
        <v>7.6740000000000003E-2</v>
      </c>
      <c r="J31" s="64">
        <f t="shared" si="1"/>
        <v>29099.03</v>
      </c>
      <c r="K31" s="64">
        <f t="shared" si="5"/>
        <v>4373529.47</v>
      </c>
    </row>
    <row r="32" spans="1:14">
      <c r="A32" s="65">
        <f t="shared" si="12"/>
        <v>2015</v>
      </c>
      <c r="B32" s="64" t="s">
        <v>21</v>
      </c>
      <c r="C32" s="1">
        <f t="shared" si="3"/>
        <v>4373529.47</v>
      </c>
      <c r="G32" s="1">
        <f t="shared" si="0"/>
        <v>0</v>
      </c>
      <c r="H32" s="1">
        <f>+$H$31</f>
        <v>-411694.9211053527</v>
      </c>
      <c r="I32" s="42">
        <f>+$I$31</f>
        <v>7.6740000000000003E-2</v>
      </c>
      <c r="J32" s="1">
        <f t="shared" si="1"/>
        <v>26652.33</v>
      </c>
      <c r="K32" s="1">
        <f t="shared" si="5"/>
        <v>3988486.88</v>
      </c>
    </row>
    <row r="33" spans="1:11">
      <c r="A33" s="65">
        <f t="shared" si="12"/>
        <v>2015</v>
      </c>
      <c r="B33" s="64" t="s">
        <v>10</v>
      </c>
      <c r="C33" s="1">
        <f t="shared" si="3"/>
        <v>3988486.88</v>
      </c>
      <c r="G33" s="1">
        <f t="shared" si="0"/>
        <v>0</v>
      </c>
      <c r="H33" s="1">
        <f t="shared" ref="H33:H42" si="13">+$H$31</f>
        <v>-411694.9211053527</v>
      </c>
      <c r="I33" s="42">
        <f t="shared" ref="I33:I42" si="14">+$I$31</f>
        <v>7.6740000000000003E-2</v>
      </c>
      <c r="J33" s="1">
        <f t="shared" si="1"/>
        <v>24189.98</v>
      </c>
      <c r="K33" s="1">
        <f t="shared" si="5"/>
        <v>3600981.94</v>
      </c>
    </row>
    <row r="34" spans="1:11">
      <c r="A34" s="65">
        <f t="shared" si="12"/>
        <v>2015</v>
      </c>
      <c r="B34" s="64" t="s">
        <v>11</v>
      </c>
      <c r="C34" s="1">
        <f t="shared" si="3"/>
        <v>3600981.94</v>
      </c>
      <c r="G34" s="1">
        <f t="shared" si="0"/>
        <v>0</v>
      </c>
      <c r="H34" s="1">
        <f t="shared" si="13"/>
        <v>-411694.9211053527</v>
      </c>
      <c r="I34" s="42">
        <f t="shared" si="14"/>
        <v>7.6740000000000003E-2</v>
      </c>
      <c r="J34" s="1">
        <f t="shared" si="1"/>
        <v>21711.88</v>
      </c>
      <c r="K34" s="1">
        <f t="shared" si="5"/>
        <v>3210998.9</v>
      </c>
    </row>
    <row r="35" spans="1:11">
      <c r="A35" s="65">
        <f t="shared" si="12"/>
        <v>2015</v>
      </c>
      <c r="B35" s="64" t="s">
        <v>12</v>
      </c>
      <c r="C35" s="1">
        <f t="shared" si="3"/>
        <v>3210998.9</v>
      </c>
      <c r="G35" s="1">
        <f t="shared" si="0"/>
        <v>0</v>
      </c>
      <c r="H35" s="1">
        <f t="shared" si="13"/>
        <v>-411694.9211053527</v>
      </c>
      <c r="I35" s="42">
        <f t="shared" si="14"/>
        <v>7.6740000000000003E-2</v>
      </c>
      <c r="J35" s="1">
        <f t="shared" si="1"/>
        <v>19217.939999999999</v>
      </c>
      <c r="K35" s="1">
        <f t="shared" si="5"/>
        <v>2818521.92</v>
      </c>
    </row>
    <row r="36" spans="1:11">
      <c r="A36" s="65">
        <f t="shared" si="12"/>
        <v>2015</v>
      </c>
      <c r="B36" s="64" t="s">
        <v>13</v>
      </c>
      <c r="C36" s="1">
        <f t="shared" si="3"/>
        <v>2818521.92</v>
      </c>
      <c r="G36" s="1">
        <f t="shared" si="0"/>
        <v>0</v>
      </c>
      <c r="H36" s="1">
        <f t="shared" si="13"/>
        <v>-411694.9211053527</v>
      </c>
      <c r="I36" s="42">
        <f t="shared" si="14"/>
        <v>7.6740000000000003E-2</v>
      </c>
      <c r="J36" s="1">
        <f t="shared" si="1"/>
        <v>16708.05</v>
      </c>
      <c r="K36" s="1">
        <f t="shared" si="5"/>
        <v>2423535.0499999998</v>
      </c>
    </row>
    <row r="37" spans="1:11">
      <c r="A37" s="65">
        <f t="shared" si="12"/>
        <v>2015</v>
      </c>
      <c r="B37" s="64" t="s">
        <v>14</v>
      </c>
      <c r="C37" s="1">
        <f t="shared" si="3"/>
        <v>2423535.0499999998</v>
      </c>
      <c r="G37" s="1">
        <f t="shared" si="0"/>
        <v>0</v>
      </c>
      <c r="H37" s="1">
        <f t="shared" si="13"/>
        <v>-411694.9211053527</v>
      </c>
      <c r="I37" s="42">
        <f t="shared" si="14"/>
        <v>7.6740000000000003E-2</v>
      </c>
      <c r="J37" s="1">
        <f t="shared" si="1"/>
        <v>14182.11</v>
      </c>
      <c r="K37" s="1">
        <f t="shared" si="5"/>
        <v>2026022.24</v>
      </c>
    </row>
    <row r="38" spans="1:11">
      <c r="A38" s="65">
        <f t="shared" si="12"/>
        <v>2015</v>
      </c>
      <c r="B38" s="64" t="s">
        <v>15</v>
      </c>
      <c r="C38" s="1">
        <f t="shared" si="3"/>
        <v>2026022.24</v>
      </c>
      <c r="G38" s="1">
        <f t="shared" si="0"/>
        <v>0</v>
      </c>
      <c r="H38" s="1">
        <f t="shared" si="13"/>
        <v>-411694.9211053527</v>
      </c>
      <c r="I38" s="42">
        <f t="shared" si="14"/>
        <v>7.6740000000000003E-2</v>
      </c>
      <c r="J38" s="1">
        <f t="shared" si="1"/>
        <v>11640.02</v>
      </c>
      <c r="K38" s="1">
        <f t="shared" si="5"/>
        <v>1625967.34</v>
      </c>
    </row>
    <row r="39" spans="1:11">
      <c r="A39" s="65">
        <v>2016</v>
      </c>
      <c r="B39" s="64" t="s">
        <v>16</v>
      </c>
      <c r="C39" s="1">
        <f t="shared" si="3"/>
        <v>1625967.34</v>
      </c>
      <c r="G39" s="1">
        <f t="shared" si="0"/>
        <v>0</v>
      </c>
      <c r="H39" s="1">
        <f t="shared" si="13"/>
        <v>-411694.9211053527</v>
      </c>
      <c r="I39" s="42">
        <f t="shared" si="14"/>
        <v>7.6740000000000003E-2</v>
      </c>
      <c r="J39" s="1">
        <f t="shared" si="1"/>
        <v>9081.67</v>
      </c>
      <c r="K39" s="1">
        <f t="shared" si="5"/>
        <v>1223354.0900000001</v>
      </c>
    </row>
    <row r="40" spans="1:11">
      <c r="A40" s="65">
        <f>+$A$39</f>
        <v>2016</v>
      </c>
      <c r="B40" s="64" t="s">
        <v>17</v>
      </c>
      <c r="C40" s="1">
        <f t="shared" si="3"/>
        <v>1223354.0900000001</v>
      </c>
      <c r="G40" s="1">
        <f t="shared" si="0"/>
        <v>0</v>
      </c>
      <c r="H40" s="1">
        <f t="shared" si="13"/>
        <v>-411694.9211053527</v>
      </c>
      <c r="I40" s="42">
        <f t="shared" si="14"/>
        <v>7.6740000000000003E-2</v>
      </c>
      <c r="J40" s="1">
        <f t="shared" si="1"/>
        <v>6506.95</v>
      </c>
      <c r="K40" s="1">
        <f t="shared" si="5"/>
        <v>818166.12</v>
      </c>
    </row>
    <row r="41" spans="1:11">
      <c r="A41" s="65">
        <f t="shared" ref="A41:A42" si="15">+$A$39</f>
        <v>2016</v>
      </c>
      <c r="B41" s="64" t="s">
        <v>18</v>
      </c>
      <c r="C41" s="1">
        <f t="shared" si="3"/>
        <v>818166.12</v>
      </c>
      <c r="G41" s="1">
        <f t="shared" si="0"/>
        <v>0</v>
      </c>
      <c r="H41" s="1">
        <f t="shared" si="13"/>
        <v>-411694.9211053527</v>
      </c>
      <c r="I41" s="42">
        <f t="shared" si="14"/>
        <v>7.6740000000000003E-2</v>
      </c>
      <c r="J41" s="1">
        <f t="shared" si="1"/>
        <v>3915.78</v>
      </c>
      <c r="K41" s="1">
        <f t="shared" si="5"/>
        <v>410386.98</v>
      </c>
    </row>
    <row r="42" spans="1:11">
      <c r="A42" s="65">
        <f t="shared" si="15"/>
        <v>2016</v>
      </c>
      <c r="B42" s="64" t="s">
        <v>19</v>
      </c>
      <c r="C42" s="46">
        <f t="shared" si="3"/>
        <v>410386.98</v>
      </c>
      <c r="D42" s="46"/>
      <c r="E42" s="46"/>
      <c r="F42" s="46"/>
      <c r="G42" s="46">
        <f t="shared" si="0"/>
        <v>0</v>
      </c>
      <c r="H42" s="46">
        <f t="shared" si="13"/>
        <v>-411694.9211053527</v>
      </c>
      <c r="I42" s="50">
        <f t="shared" si="14"/>
        <v>7.6740000000000003E-2</v>
      </c>
      <c r="J42" s="46">
        <f t="shared" si="1"/>
        <v>1308.03</v>
      </c>
      <c r="K42" s="46">
        <f t="shared" si="5"/>
        <v>0.09</v>
      </c>
    </row>
    <row r="43" spans="1:11">
      <c r="A43" s="45"/>
      <c r="B43" s="64"/>
      <c r="D43" s="1">
        <f t="shared" ref="D43:J43" si="16">SUM(D9:D42)</f>
        <v>1978487.4529455695</v>
      </c>
      <c r="E43" s="1">
        <f t="shared" si="16"/>
        <v>3288838.8053630083</v>
      </c>
      <c r="F43" s="1">
        <f t="shared" si="16"/>
        <v>-877344.83192748309</v>
      </c>
      <c r="G43" s="1">
        <f t="shared" si="16"/>
        <v>4389981.4263810944</v>
      </c>
      <c r="H43" s="116">
        <f>SUM(H31:H42)</f>
        <v>-4940339.0532642324</v>
      </c>
      <c r="J43" s="1">
        <f t="shared" si="16"/>
        <v>550357.71000000008</v>
      </c>
    </row>
    <row r="44" spans="1:11">
      <c r="A44" s="45"/>
      <c r="B44" s="64"/>
      <c r="D44" s="125" t="s">
        <v>119</v>
      </c>
      <c r="E44" s="125" t="s">
        <v>119</v>
      </c>
      <c r="F44" s="125" t="s">
        <v>119</v>
      </c>
      <c r="G44" s="125"/>
      <c r="H44" s="126"/>
      <c r="I44" s="125"/>
      <c r="J44" s="125" t="s">
        <v>119</v>
      </c>
    </row>
    <row r="45" spans="1:11">
      <c r="A45" s="45"/>
      <c r="B45" s="64"/>
      <c r="H45" s="68"/>
    </row>
    <row r="46" spans="1:11">
      <c r="A46" s="45"/>
      <c r="B46" s="64" t="s">
        <v>105</v>
      </c>
      <c r="H46" s="68"/>
    </row>
    <row r="47" spans="1:11">
      <c r="A47" s="45"/>
      <c r="B47" s="64"/>
      <c r="H47" s="68"/>
    </row>
    <row r="48" spans="1:11">
      <c r="A48" s="45"/>
      <c r="B48" s="64"/>
    </row>
    <row r="49" spans="1:10">
      <c r="A49" s="45"/>
      <c r="B49" s="64"/>
      <c r="H49" s="71">
        <v>-4940339.0532642324</v>
      </c>
      <c r="I49" s="114" t="s">
        <v>91</v>
      </c>
      <c r="J49" s="72"/>
    </row>
    <row r="50" spans="1:10">
      <c r="A50" s="45"/>
      <c r="B50" s="64"/>
      <c r="H50" s="73"/>
      <c r="I50" s="115" t="s">
        <v>92</v>
      </c>
      <c r="J50" s="74"/>
    </row>
    <row r="51" spans="1:10">
      <c r="A51" s="45"/>
      <c r="H51" s="73"/>
      <c r="I51" s="115"/>
      <c r="J51" s="74"/>
    </row>
    <row r="52" spans="1:10">
      <c r="A52" s="45"/>
      <c r="H52" s="73">
        <f>-K30+CUMIPMT(I31/12,11,K30,1,11,0)</f>
        <v>-4940556.6031351676</v>
      </c>
      <c r="I52" s="115" t="s">
        <v>93</v>
      </c>
      <c r="J52" s="74"/>
    </row>
    <row r="53" spans="1:10">
      <c r="A53" s="45"/>
      <c r="H53" s="75">
        <f>+H49-H52</f>
        <v>217.5498709352687</v>
      </c>
      <c r="I53" s="46"/>
      <c r="J53" s="76"/>
    </row>
  </sheetData>
  <printOptions horizontalCentered="1"/>
  <pageMargins left="0.5" right="0.5" top="0.5" bottom="0.5" header="0.25" footer="0.25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E29"/>
  <sheetViews>
    <sheetView zoomScaleNormal="100" workbookViewId="0">
      <selection activeCell="E2" sqref="E2"/>
    </sheetView>
  </sheetViews>
  <sheetFormatPr defaultColWidth="14.7109375" defaultRowHeight="12.75"/>
  <cols>
    <col min="1" max="1" width="5.7109375" style="49" customWidth="1"/>
    <col min="2" max="2" width="26.7109375" style="49" customWidth="1"/>
    <col min="3" max="3" width="24.7109375" style="49" customWidth="1"/>
    <col min="4" max="4" width="15.7109375" style="49" customWidth="1"/>
    <col min="5" max="16384" width="14.7109375" style="49"/>
  </cols>
  <sheetData>
    <row r="1" spans="1:5">
      <c r="A1" s="47" t="s">
        <v>55</v>
      </c>
      <c r="D1" s="101"/>
      <c r="E1" s="119"/>
    </row>
    <row r="2" spans="1:5">
      <c r="A2" s="47" t="s">
        <v>57</v>
      </c>
      <c r="E2" s="120"/>
    </row>
    <row r="3" spans="1:5">
      <c r="A3" s="47" t="s">
        <v>70</v>
      </c>
    </row>
    <row r="4" spans="1:5">
      <c r="A4" s="47" t="s">
        <v>56</v>
      </c>
    </row>
    <row r="5" spans="1:5">
      <c r="A5" s="47" t="s">
        <v>85</v>
      </c>
      <c r="D5" s="69" t="s">
        <v>97</v>
      </c>
    </row>
    <row r="6" spans="1:5">
      <c r="A6" s="47"/>
      <c r="D6" s="104" t="s">
        <v>98</v>
      </c>
    </row>
    <row r="7" spans="1:5">
      <c r="A7" s="47"/>
      <c r="D7" s="102"/>
    </row>
    <row r="8" spans="1:5">
      <c r="B8" s="49" t="s">
        <v>96</v>
      </c>
      <c r="D8" s="49">
        <f>+'Colstrip - Capital Detail'!C36</f>
        <v>250000</v>
      </c>
      <c r="E8" s="121" t="s">
        <v>111</v>
      </c>
    </row>
    <row r="9" spans="1:5">
      <c r="B9" s="49" t="s">
        <v>2</v>
      </c>
      <c r="D9" s="103">
        <f>+'Colstrip - Capital Detail'!D36</f>
        <v>-7706.2499999999991</v>
      </c>
      <c r="E9" s="121" t="s">
        <v>111</v>
      </c>
    </row>
    <row r="10" spans="1:5">
      <c r="B10" s="49" t="s">
        <v>1</v>
      </c>
      <c r="D10" s="49">
        <f>SUM(D8:D9)</f>
        <v>242293.75</v>
      </c>
    </row>
    <row r="12" spans="1:5">
      <c r="B12" s="49" t="s">
        <v>76</v>
      </c>
      <c r="D12" s="66">
        <f>+Variables!I15</f>
        <v>0.10459888461538461</v>
      </c>
      <c r="E12" s="121" t="s">
        <v>110</v>
      </c>
    </row>
    <row r="13" spans="1:5">
      <c r="B13" s="49" t="s">
        <v>3</v>
      </c>
      <c r="D13" s="49">
        <f>+D10*D12</f>
        <v>25343.655999278843</v>
      </c>
    </row>
    <row r="15" spans="1:5">
      <c r="B15" s="49" t="s">
        <v>5</v>
      </c>
      <c r="D15" s="103">
        <f>+'Colstrip - Capital Detail'!F36</f>
        <v>6850</v>
      </c>
      <c r="E15" s="121" t="s">
        <v>111</v>
      </c>
    </row>
    <row r="17" spans="2:5">
      <c r="B17" s="49" t="s">
        <v>100</v>
      </c>
      <c r="D17" s="49">
        <f>+D13+D15</f>
        <v>32193.655999278843</v>
      </c>
    </row>
    <row r="19" spans="2:5">
      <c r="B19" s="49" t="s">
        <v>75</v>
      </c>
      <c r="D19" s="109">
        <f>+Variables!E26</f>
        <v>0.23084885646883446</v>
      </c>
    </row>
    <row r="21" spans="2:5">
      <c r="B21" s="49" t="s">
        <v>77</v>
      </c>
      <c r="D21" s="49">
        <f>+D17*D19</f>
        <v>7431.8686729845531</v>
      </c>
    </row>
    <row r="23" spans="2:5">
      <c r="B23" s="49" t="s">
        <v>6</v>
      </c>
      <c r="D23" s="42">
        <f>+Variables!G21</f>
        <v>2.0982836040119184E-3</v>
      </c>
      <c r="E23" s="121" t="s">
        <v>110</v>
      </c>
    </row>
    <row r="24" spans="2:5">
      <c r="B24" s="49" t="s">
        <v>7</v>
      </c>
      <c r="D24" s="42">
        <f>+Variables!G22</f>
        <v>6.41025641025641E-3</v>
      </c>
      <c r="E24" s="121" t="s">
        <v>110</v>
      </c>
    </row>
    <row r="25" spans="2:5">
      <c r="B25" s="49" t="s">
        <v>8</v>
      </c>
      <c r="D25" s="50">
        <f>+Variables!G23</f>
        <v>4.0633261991690796E-2</v>
      </c>
      <c r="E25" s="121" t="s">
        <v>110</v>
      </c>
    </row>
    <row r="26" spans="2:5">
      <c r="D26" s="42">
        <f>SUM(D23:D25)</f>
        <v>4.914180200595912E-2</v>
      </c>
      <c r="E26" s="121" t="s">
        <v>110</v>
      </c>
    </row>
    <row r="28" spans="2:5" ht="13.5" thickBot="1">
      <c r="B28" s="47" t="s">
        <v>101</v>
      </c>
      <c r="C28" s="47"/>
      <c r="D28" s="54">
        <f>+D21*(1+D26)</f>
        <v>7797.0840918466502</v>
      </c>
    </row>
    <row r="29" spans="2:5" ht="13.5" thickTop="1"/>
  </sheetData>
  <printOptions horizontalCentered="1"/>
  <pageMargins left="0.5" right="0.5" top="0.5" bottom="0.5" header="0.25" footer="0.2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37"/>
  <sheetViews>
    <sheetView zoomScaleNormal="100" workbookViewId="0">
      <selection activeCell="F2" sqref="F2"/>
    </sheetView>
  </sheetViews>
  <sheetFormatPr defaultRowHeight="12.75" customHeight="1"/>
  <cols>
    <col min="1" max="1" width="3.42578125" style="14" customWidth="1"/>
    <col min="2" max="2" width="21.85546875" style="13" customWidth="1"/>
    <col min="3" max="3" width="12.7109375" style="14" customWidth="1"/>
    <col min="4" max="4" width="20.28515625" style="14" customWidth="1"/>
    <col min="5" max="5" width="2" style="15" customWidth="1"/>
    <col min="6" max="6" width="13.42578125" style="14" customWidth="1"/>
    <col min="7" max="7" width="7.7109375" style="14" bestFit="1" customWidth="1"/>
    <col min="8" max="8" width="12" style="14" bestFit="1" customWidth="1"/>
    <col min="9" max="9" width="11.5703125" style="14" bestFit="1" customWidth="1"/>
    <col min="10" max="10" width="12" style="14" bestFit="1" customWidth="1"/>
    <col min="11" max="11" width="10" style="14" bestFit="1" customWidth="1"/>
    <col min="12" max="16384" width="9.140625" style="14"/>
  </cols>
  <sheetData>
    <row r="1" spans="1:10" ht="12.75" customHeight="1">
      <c r="A1" s="12" t="str">
        <f>+[1]Exhibit!A4</f>
        <v>Colstrip Outage Deferral</v>
      </c>
      <c r="F1" s="119"/>
    </row>
    <row r="2" spans="1:10" ht="12.75" customHeight="1">
      <c r="A2" s="16" t="s">
        <v>44</v>
      </c>
      <c r="C2" s="17">
        <v>41698</v>
      </c>
      <c r="F2" s="120"/>
    </row>
    <row r="3" spans="1:10" ht="12.75" customHeight="1">
      <c r="A3" s="16" t="s">
        <v>45</v>
      </c>
      <c r="C3" s="18">
        <v>2.7400000000000001E-2</v>
      </c>
    </row>
    <row r="4" spans="1:10" ht="12.75" customHeight="1">
      <c r="A4" s="47" t="s">
        <v>85</v>
      </c>
      <c r="C4" s="18"/>
      <c r="D4" s="19"/>
    </row>
    <row r="5" spans="1:10" ht="12.75" customHeight="1">
      <c r="A5" s="20"/>
      <c r="B5" s="20"/>
      <c r="C5" s="21" t="s">
        <v>46</v>
      </c>
      <c r="D5" s="21" t="s">
        <v>2</v>
      </c>
      <c r="E5" s="22"/>
      <c r="F5" s="21" t="s">
        <v>47</v>
      </c>
    </row>
    <row r="6" spans="1:10" ht="12.75" customHeight="1">
      <c r="A6" s="20"/>
      <c r="B6" s="23"/>
      <c r="C6" s="24"/>
      <c r="D6" s="24"/>
      <c r="E6" s="24"/>
      <c r="F6" s="24"/>
    </row>
    <row r="7" spans="1:10" ht="12.75" customHeight="1">
      <c r="A7" s="127" t="s">
        <v>48</v>
      </c>
      <c r="B7" s="23">
        <v>41640</v>
      </c>
      <c r="C7" s="25"/>
      <c r="D7" s="25">
        <v>0</v>
      </c>
      <c r="E7" s="26"/>
      <c r="F7" s="27">
        <v>0</v>
      </c>
    </row>
    <row r="8" spans="1:10" ht="12.75" customHeight="1">
      <c r="A8" s="127"/>
      <c r="B8" s="23">
        <v>41671</v>
      </c>
      <c r="C8" s="28">
        <v>250000</v>
      </c>
      <c r="D8" s="25">
        <f t="shared" ref="D8:D17" si="0">D7-F8</f>
        <v>-285.41666666666669</v>
      </c>
      <c r="E8" s="26"/>
      <c r="F8" s="27">
        <f t="shared" ref="F8:F18" si="1">((C8-C7)*($C$3/12)*0.5)+((C7*($C$3/12)))</f>
        <v>285.41666666666669</v>
      </c>
      <c r="J8" s="29"/>
    </row>
    <row r="9" spans="1:10" ht="12.75" customHeight="1">
      <c r="A9" s="127"/>
      <c r="B9" s="23">
        <v>41699</v>
      </c>
      <c r="C9" s="25">
        <f>+C8</f>
        <v>250000</v>
      </c>
      <c r="D9" s="25">
        <f>D8-F9</f>
        <v>-856.25</v>
      </c>
      <c r="E9" s="26"/>
      <c r="F9" s="27">
        <f>((C9-C8)*($C$3/12)*0.5)+((C8*($C$3/12)))</f>
        <v>570.83333333333337</v>
      </c>
    </row>
    <row r="10" spans="1:10" ht="12.75" customHeight="1">
      <c r="A10" s="127"/>
      <c r="B10" s="23">
        <v>41730</v>
      </c>
      <c r="C10" s="25">
        <f t="shared" ref="C10:C18" si="2">+C9</f>
        <v>250000</v>
      </c>
      <c r="D10" s="25">
        <f t="shared" si="0"/>
        <v>-1427.0833333333335</v>
      </c>
      <c r="E10" s="26"/>
      <c r="F10" s="27">
        <f t="shared" si="1"/>
        <v>570.83333333333337</v>
      </c>
    </row>
    <row r="11" spans="1:10" ht="12.75" customHeight="1">
      <c r="A11" s="127"/>
      <c r="B11" s="23">
        <v>41760</v>
      </c>
      <c r="C11" s="25">
        <f t="shared" si="2"/>
        <v>250000</v>
      </c>
      <c r="D11" s="25">
        <f t="shared" si="0"/>
        <v>-1997.916666666667</v>
      </c>
      <c r="E11" s="26"/>
      <c r="F11" s="27">
        <f t="shared" si="1"/>
        <v>570.83333333333337</v>
      </c>
    </row>
    <row r="12" spans="1:10" ht="12.75" customHeight="1">
      <c r="A12" s="127"/>
      <c r="B12" s="23">
        <v>41791</v>
      </c>
      <c r="C12" s="25">
        <f t="shared" si="2"/>
        <v>250000</v>
      </c>
      <c r="D12" s="25">
        <f t="shared" si="0"/>
        <v>-2568.7500000000005</v>
      </c>
      <c r="E12" s="26"/>
      <c r="F12" s="27">
        <f t="shared" si="1"/>
        <v>570.83333333333337</v>
      </c>
    </row>
    <row r="13" spans="1:10" ht="12.75" customHeight="1">
      <c r="A13" s="127"/>
      <c r="B13" s="23">
        <v>41821</v>
      </c>
      <c r="C13" s="25">
        <f t="shared" si="2"/>
        <v>250000</v>
      </c>
      <c r="D13" s="25">
        <f t="shared" si="0"/>
        <v>-3139.5833333333339</v>
      </c>
      <c r="E13" s="26"/>
      <c r="F13" s="27">
        <f t="shared" si="1"/>
        <v>570.83333333333337</v>
      </c>
    </row>
    <row r="14" spans="1:10" ht="12.75" customHeight="1">
      <c r="A14" s="127"/>
      <c r="B14" s="23">
        <v>41852</v>
      </c>
      <c r="C14" s="25">
        <f t="shared" si="2"/>
        <v>250000</v>
      </c>
      <c r="D14" s="25">
        <f t="shared" si="0"/>
        <v>-3710.4166666666674</v>
      </c>
      <c r="E14" s="26"/>
      <c r="F14" s="27">
        <f t="shared" si="1"/>
        <v>570.83333333333337</v>
      </c>
    </row>
    <row r="15" spans="1:10" ht="12.75" customHeight="1">
      <c r="A15" s="127"/>
      <c r="B15" s="23">
        <v>41883</v>
      </c>
      <c r="C15" s="25">
        <f t="shared" si="2"/>
        <v>250000</v>
      </c>
      <c r="D15" s="25">
        <f t="shared" si="0"/>
        <v>-4281.2500000000009</v>
      </c>
      <c r="E15" s="26"/>
      <c r="F15" s="27">
        <f t="shared" si="1"/>
        <v>570.83333333333337</v>
      </c>
    </row>
    <row r="16" spans="1:10" ht="12.75" customHeight="1">
      <c r="A16" s="127"/>
      <c r="B16" s="23">
        <v>41913</v>
      </c>
      <c r="C16" s="25">
        <f t="shared" si="2"/>
        <v>250000</v>
      </c>
      <c r="D16" s="25">
        <f t="shared" si="0"/>
        <v>-4852.0833333333339</v>
      </c>
      <c r="E16" s="26"/>
      <c r="F16" s="27">
        <f t="shared" si="1"/>
        <v>570.83333333333337</v>
      </c>
    </row>
    <row r="17" spans="1:8" ht="12.75" customHeight="1">
      <c r="A17" s="127"/>
      <c r="B17" s="23">
        <v>41944</v>
      </c>
      <c r="C17" s="25">
        <f t="shared" si="2"/>
        <v>250000</v>
      </c>
      <c r="D17" s="25">
        <f t="shared" si="0"/>
        <v>-5422.916666666667</v>
      </c>
      <c r="E17" s="26"/>
      <c r="F17" s="27">
        <f t="shared" si="1"/>
        <v>570.83333333333337</v>
      </c>
    </row>
    <row r="18" spans="1:8" ht="12.75" customHeight="1">
      <c r="A18" s="127"/>
      <c r="B18" s="23">
        <v>41974</v>
      </c>
      <c r="C18" s="25">
        <f t="shared" si="2"/>
        <v>250000</v>
      </c>
      <c r="D18" s="25">
        <f>D17-F18</f>
        <v>-5993.75</v>
      </c>
      <c r="E18" s="26"/>
      <c r="F18" s="27">
        <f t="shared" si="1"/>
        <v>570.83333333333337</v>
      </c>
    </row>
    <row r="19" spans="1:8" ht="12.75" customHeight="1" thickBot="1">
      <c r="A19" s="20"/>
      <c r="B19" s="30" t="s">
        <v>49</v>
      </c>
      <c r="C19" s="31">
        <f>C18</f>
        <v>250000</v>
      </c>
      <c r="D19" s="31">
        <f>D18</f>
        <v>-5993.75</v>
      </c>
      <c r="E19" s="32"/>
      <c r="F19" s="33">
        <f>SUM(F7:F18)</f>
        <v>5993.75</v>
      </c>
    </row>
    <row r="20" spans="1:8" s="20" customFormat="1" ht="12.75" customHeight="1" thickTop="1">
      <c r="B20" s="23"/>
      <c r="C20" s="24"/>
      <c r="D20" s="24"/>
      <c r="E20" s="24"/>
      <c r="F20" s="24"/>
    </row>
    <row r="21" spans="1:8" ht="12.75" customHeight="1">
      <c r="A21" s="127" t="s">
        <v>50</v>
      </c>
      <c r="B21" s="23">
        <v>42005</v>
      </c>
      <c r="C21" s="25">
        <f>C18</f>
        <v>250000</v>
      </c>
      <c r="D21" s="25">
        <f>D19-F21</f>
        <v>-6564.583333333333</v>
      </c>
      <c r="E21" s="26"/>
      <c r="F21" s="27">
        <f>((C21-C18)*($C$3/12)*0.5)+((C18*($C$3/12)))</f>
        <v>570.83333333333337</v>
      </c>
    </row>
    <row r="22" spans="1:8" ht="12.75" customHeight="1">
      <c r="A22" s="127"/>
      <c r="B22" s="23">
        <v>42036</v>
      </c>
      <c r="C22" s="25">
        <f t="shared" ref="C22:C32" si="3">C21</f>
        <v>250000</v>
      </c>
      <c r="D22" s="25">
        <f t="shared" ref="D22:D23" si="4">D21-F22</f>
        <v>-7135.4166666666661</v>
      </c>
      <c r="E22" s="26"/>
      <c r="F22" s="27">
        <f t="shared" ref="F22:F23" si="5">((C22-C21)*($C$3/12)*0.5)+((C21*($C$3/12)))</f>
        <v>570.83333333333337</v>
      </c>
    </row>
    <row r="23" spans="1:8" ht="12.75" customHeight="1">
      <c r="A23" s="127"/>
      <c r="B23" s="23">
        <v>42064</v>
      </c>
      <c r="C23" s="25">
        <f t="shared" si="3"/>
        <v>250000</v>
      </c>
      <c r="D23" s="25">
        <f t="shared" si="4"/>
        <v>-7706.2499999999991</v>
      </c>
      <c r="E23" s="26"/>
      <c r="F23" s="27">
        <f t="shared" si="5"/>
        <v>570.83333333333337</v>
      </c>
    </row>
    <row r="24" spans="1:8" ht="12.75" customHeight="1">
      <c r="A24" s="127"/>
      <c r="B24" s="23">
        <v>42095</v>
      </c>
      <c r="C24" s="25">
        <f t="shared" si="3"/>
        <v>250000</v>
      </c>
      <c r="D24" s="25">
        <f t="shared" ref="D24:D32" si="6">D23-F24</f>
        <v>-8277.0833333333321</v>
      </c>
      <c r="E24" s="26"/>
      <c r="F24" s="27">
        <f t="shared" ref="F24:F32" si="7">((C24-C23)*($C$3/12)*0.5)+((C23*($C$3/12)))</f>
        <v>570.83333333333337</v>
      </c>
    </row>
    <row r="25" spans="1:8" ht="12.75" customHeight="1">
      <c r="A25" s="127"/>
      <c r="B25" s="23">
        <v>42125</v>
      </c>
      <c r="C25" s="25">
        <f t="shared" si="3"/>
        <v>250000</v>
      </c>
      <c r="D25" s="25">
        <f t="shared" si="6"/>
        <v>-8847.9166666666661</v>
      </c>
      <c r="E25" s="26"/>
      <c r="F25" s="34">
        <f t="shared" si="7"/>
        <v>570.83333333333337</v>
      </c>
    </row>
    <row r="26" spans="1:8" ht="12.75" customHeight="1">
      <c r="A26" s="127"/>
      <c r="B26" s="23">
        <v>42156</v>
      </c>
      <c r="C26" s="25">
        <f t="shared" si="3"/>
        <v>250000</v>
      </c>
      <c r="D26" s="25">
        <f t="shared" si="6"/>
        <v>-9418.75</v>
      </c>
      <c r="E26" s="26"/>
      <c r="F26" s="34">
        <f t="shared" si="7"/>
        <v>570.83333333333337</v>
      </c>
    </row>
    <row r="27" spans="1:8" ht="12.75" customHeight="1">
      <c r="A27" s="127"/>
      <c r="B27" s="23">
        <v>42186</v>
      </c>
      <c r="C27" s="25">
        <f t="shared" si="3"/>
        <v>250000</v>
      </c>
      <c r="D27" s="25">
        <f t="shared" si="6"/>
        <v>-9989.5833333333339</v>
      </c>
      <c r="E27" s="26"/>
      <c r="F27" s="27">
        <f t="shared" si="7"/>
        <v>570.83333333333337</v>
      </c>
    </row>
    <row r="28" spans="1:8" ht="12.75" customHeight="1">
      <c r="A28" s="127"/>
      <c r="B28" s="23">
        <v>42217</v>
      </c>
      <c r="C28" s="25">
        <f t="shared" si="3"/>
        <v>250000</v>
      </c>
      <c r="D28" s="25">
        <f t="shared" si="6"/>
        <v>-10560.416666666668</v>
      </c>
      <c r="E28" s="26"/>
      <c r="F28" s="27">
        <f t="shared" si="7"/>
        <v>570.83333333333337</v>
      </c>
    </row>
    <row r="29" spans="1:8" ht="12.75" customHeight="1">
      <c r="A29" s="127"/>
      <c r="B29" s="23">
        <v>42248</v>
      </c>
      <c r="C29" s="25">
        <f t="shared" si="3"/>
        <v>250000</v>
      </c>
      <c r="D29" s="25">
        <f t="shared" si="6"/>
        <v>-11131.250000000002</v>
      </c>
      <c r="E29" s="26"/>
      <c r="F29" s="27">
        <f t="shared" si="7"/>
        <v>570.83333333333337</v>
      </c>
    </row>
    <row r="30" spans="1:8" ht="12.75" customHeight="1">
      <c r="A30" s="127"/>
      <c r="B30" s="23">
        <v>42278</v>
      </c>
      <c r="C30" s="25">
        <f t="shared" si="3"/>
        <v>250000</v>
      </c>
      <c r="D30" s="25">
        <f t="shared" si="6"/>
        <v>-11702.083333333336</v>
      </c>
      <c r="E30" s="26"/>
      <c r="F30" s="27">
        <f t="shared" si="7"/>
        <v>570.83333333333337</v>
      </c>
    </row>
    <row r="31" spans="1:8" ht="12.75" customHeight="1">
      <c r="A31" s="127"/>
      <c r="B31" s="23">
        <v>42309</v>
      </c>
      <c r="C31" s="25">
        <f t="shared" si="3"/>
        <v>250000</v>
      </c>
      <c r="D31" s="25">
        <f t="shared" si="6"/>
        <v>-12272.91666666667</v>
      </c>
      <c r="E31" s="26"/>
      <c r="F31" s="27">
        <f t="shared" si="7"/>
        <v>570.83333333333337</v>
      </c>
    </row>
    <row r="32" spans="1:8" ht="12.75" customHeight="1">
      <c r="A32" s="127"/>
      <c r="B32" s="23">
        <v>42339</v>
      </c>
      <c r="C32" s="25">
        <f t="shared" si="3"/>
        <v>250000</v>
      </c>
      <c r="D32" s="25">
        <f t="shared" si="6"/>
        <v>-12843.750000000004</v>
      </c>
      <c r="E32" s="26"/>
      <c r="F32" s="27">
        <f t="shared" si="7"/>
        <v>570.83333333333337</v>
      </c>
      <c r="G32" s="35"/>
      <c r="H32" s="35"/>
    </row>
    <row r="33" spans="2:8" s="20" customFormat="1" ht="12.75" customHeight="1" thickBot="1">
      <c r="B33" s="30" t="s">
        <v>51</v>
      </c>
      <c r="C33" s="31">
        <f>C32</f>
        <v>250000</v>
      </c>
      <c r="D33" s="31">
        <f>D32</f>
        <v>-12843.750000000004</v>
      </c>
      <c r="E33" s="32"/>
      <c r="F33" s="36">
        <f>SUM(F21:F32)</f>
        <v>6849.9999999999991</v>
      </c>
      <c r="G33" s="37"/>
      <c r="H33" s="37"/>
    </row>
    <row r="34" spans="2:8" ht="12.75" customHeight="1" thickTop="1"/>
    <row r="35" spans="2:8" ht="12.75" customHeight="1">
      <c r="B35" s="38"/>
      <c r="C35" s="39"/>
      <c r="D35" s="39"/>
    </row>
    <row r="36" spans="2:8" ht="12.75" customHeight="1">
      <c r="B36" s="105" t="s">
        <v>99</v>
      </c>
      <c r="C36" s="106">
        <f>+C23</f>
        <v>250000</v>
      </c>
      <c r="D36" s="106">
        <f>+D23</f>
        <v>-7706.2499999999991</v>
      </c>
      <c r="E36" s="107"/>
      <c r="F36" s="108">
        <f>+SUM(F10:F18)+SUM(F21:F23)</f>
        <v>6850</v>
      </c>
    </row>
    <row r="37" spans="2:8" ht="12.75" customHeight="1">
      <c r="F37" s="14" t="s">
        <v>112</v>
      </c>
    </row>
  </sheetData>
  <mergeCells count="2">
    <mergeCell ref="A7:A18"/>
    <mergeCell ref="A21:A32"/>
  </mergeCells>
  <printOptions horizontalCentered="1"/>
  <pageMargins left="0.5" right="0.5" top="0.5" bottom="0.5" header="0.25" footer="0.2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1"/>
  <sheetViews>
    <sheetView zoomScaleNormal="100" workbookViewId="0">
      <selection activeCell="J2" sqref="J2"/>
    </sheetView>
  </sheetViews>
  <sheetFormatPr defaultColWidth="14.7109375" defaultRowHeight="12.75"/>
  <cols>
    <col min="1" max="2" width="20.7109375" style="1" customWidth="1"/>
    <col min="3" max="16384" width="14.7109375" style="1"/>
  </cols>
  <sheetData>
    <row r="1" spans="1:11">
      <c r="A1" s="47" t="s">
        <v>55</v>
      </c>
      <c r="J1" s="119"/>
    </row>
    <row r="2" spans="1:11">
      <c r="A2" s="47" t="s">
        <v>57</v>
      </c>
      <c r="J2" s="120"/>
    </row>
    <row r="3" spans="1:11">
      <c r="A3" s="47" t="s">
        <v>69</v>
      </c>
      <c r="B3" s="47"/>
    </row>
    <row r="4" spans="1:11">
      <c r="A4" s="47" t="s">
        <v>56</v>
      </c>
    </row>
    <row r="5" spans="1:11" ht="13.5" thickBot="1">
      <c r="A5" s="47" t="s">
        <v>85</v>
      </c>
    </row>
    <row r="6" spans="1:11">
      <c r="C6" s="55"/>
      <c r="D6" s="63"/>
      <c r="E6" s="53"/>
      <c r="F6" s="53"/>
      <c r="G6" s="53"/>
      <c r="H6" s="53"/>
      <c r="I6" s="53"/>
      <c r="J6" s="53"/>
      <c r="K6" s="53"/>
    </row>
    <row r="7" spans="1:11">
      <c r="C7" s="56"/>
      <c r="D7" s="45">
        <v>2013</v>
      </c>
      <c r="E7" s="45">
        <f>+D7</f>
        <v>2013</v>
      </c>
      <c r="F7" s="45">
        <f t="shared" ref="F7:K7" si="0">+E7</f>
        <v>2013</v>
      </c>
      <c r="G7" s="45">
        <f t="shared" si="0"/>
        <v>2013</v>
      </c>
      <c r="H7" s="45">
        <f t="shared" si="0"/>
        <v>2013</v>
      </c>
      <c r="I7" s="45">
        <f t="shared" si="0"/>
        <v>2013</v>
      </c>
      <c r="J7" s="45">
        <v>2014</v>
      </c>
      <c r="K7" s="45">
        <f t="shared" si="0"/>
        <v>2014</v>
      </c>
    </row>
    <row r="8" spans="1:11">
      <c r="C8" s="57" t="s">
        <v>0</v>
      </c>
      <c r="D8" s="53" t="s">
        <v>11</v>
      </c>
      <c r="E8" s="53" t="s">
        <v>12</v>
      </c>
      <c r="F8" s="53" t="s">
        <v>13</v>
      </c>
      <c r="G8" s="53" t="s">
        <v>14</v>
      </c>
      <c r="H8" s="53" t="s">
        <v>15</v>
      </c>
      <c r="I8" s="53" t="s">
        <v>16</v>
      </c>
      <c r="J8" s="53" t="s">
        <v>17</v>
      </c>
      <c r="K8" s="53" t="s">
        <v>18</v>
      </c>
    </row>
    <row r="9" spans="1:11">
      <c r="A9" s="48" t="s">
        <v>60</v>
      </c>
      <c r="C9" s="58"/>
    </row>
    <row r="10" spans="1:11">
      <c r="A10" s="1" t="s">
        <v>58</v>
      </c>
      <c r="C10" s="58">
        <f>SUM(D10:K10)</f>
        <v>-2980996.3936216445</v>
      </c>
      <c r="D10" s="1">
        <v>-99943.643225467284</v>
      </c>
      <c r="E10" s="1">
        <v>-570470.12908905349</v>
      </c>
      <c r="F10" s="1">
        <v>-425849.70972222474</v>
      </c>
      <c r="G10" s="1">
        <v>-480310.50413039158</v>
      </c>
      <c r="H10" s="1">
        <v>-446045.688049944</v>
      </c>
      <c r="I10" s="1">
        <v>-184021.78700570634</v>
      </c>
      <c r="J10" s="1">
        <v>-387401.65697313246</v>
      </c>
      <c r="K10" s="1">
        <v>-386953.27542572474</v>
      </c>
    </row>
    <row r="11" spans="1:11">
      <c r="A11" s="1" t="s">
        <v>59</v>
      </c>
      <c r="C11" s="59">
        <f t="shared" ref="C11:C16" si="1">SUM(D11:K11)</f>
        <v>11073491.021237934</v>
      </c>
      <c r="D11" s="46">
        <v>337454.85086995229</v>
      </c>
      <c r="E11" s="46">
        <v>1695377.407027391</v>
      </c>
      <c r="F11" s="46">
        <v>1665246.2719458006</v>
      </c>
      <c r="G11" s="46">
        <v>1733606.0404074781</v>
      </c>
      <c r="H11" s="46">
        <v>1677290.5711098362</v>
      </c>
      <c r="I11" s="46">
        <v>836209.9500030427</v>
      </c>
      <c r="J11" s="46">
        <v>1756040.8950063898</v>
      </c>
      <c r="K11" s="46">
        <v>1372265.0348680427</v>
      </c>
    </row>
    <row r="12" spans="1:11">
      <c r="A12" s="1" t="s">
        <v>64</v>
      </c>
      <c r="C12" s="58">
        <f t="shared" si="1"/>
        <v>8092494.6276162891</v>
      </c>
      <c r="D12" s="1">
        <f>SUM(D10:D11)</f>
        <v>237511.207644485</v>
      </c>
      <c r="E12" s="1">
        <f t="shared" ref="E12:K12" si="2">SUM(E10:E11)</f>
        <v>1124907.2779383375</v>
      </c>
      <c r="F12" s="1">
        <f t="shared" si="2"/>
        <v>1239396.562223576</v>
      </c>
      <c r="G12" s="1">
        <f t="shared" si="2"/>
        <v>1253295.5362770865</v>
      </c>
      <c r="H12" s="1">
        <f t="shared" si="2"/>
        <v>1231244.8830598923</v>
      </c>
      <c r="I12" s="1">
        <f t="shared" si="2"/>
        <v>652188.16299733636</v>
      </c>
      <c r="J12" s="1">
        <f t="shared" si="2"/>
        <v>1368639.2380332574</v>
      </c>
      <c r="K12" s="1">
        <f t="shared" si="2"/>
        <v>985311.759442318</v>
      </c>
    </row>
    <row r="13" spans="1:11">
      <c r="B13" s="42"/>
      <c r="C13" s="58"/>
    </row>
    <row r="14" spans="1:11">
      <c r="A14" s="47" t="s">
        <v>65</v>
      </c>
      <c r="C14" s="58">
        <f t="shared" si="1"/>
        <v>1878383.2319766143</v>
      </c>
      <c r="D14" s="1">
        <f>(+D10*$C$21)+(D11*$C$22)</f>
        <v>55172.509791005039</v>
      </c>
      <c r="E14" s="1">
        <f t="shared" ref="E14:K14" si="3">(+E10*$C$21)+(E11*$C$22)</f>
        <v>261643.19609106844</v>
      </c>
      <c r="F14" s="1">
        <f t="shared" si="3"/>
        <v>287576.12693832256</v>
      </c>
      <c r="G14" s="1">
        <f t="shared" si="3"/>
        <v>290971.76895020821</v>
      </c>
      <c r="H14" s="1">
        <f t="shared" si="3"/>
        <v>285763.69687561551</v>
      </c>
      <c r="I14" s="1">
        <f t="shared" si="3"/>
        <v>151189.02984035277</v>
      </c>
      <c r="J14" s="1">
        <f t="shared" si="3"/>
        <v>317279.57691170182</v>
      </c>
      <c r="K14" s="1">
        <f t="shared" si="3"/>
        <v>228787.32657834011</v>
      </c>
    </row>
    <row r="15" spans="1:11">
      <c r="C15" s="58"/>
    </row>
    <row r="16" spans="1:11" ht="13.5" thickBot="1">
      <c r="A16" s="47" t="s">
        <v>9</v>
      </c>
      <c r="C16" s="60">
        <f t="shared" si="1"/>
        <v>1970690.3688537229</v>
      </c>
      <c r="D16" s="51">
        <f>+D14*(1+$C$29)</f>
        <v>57883.78634332645</v>
      </c>
      <c r="E16" s="51">
        <f t="shared" ref="E16:K16" si="4">+E14*(1+$C$29)</f>
        <v>274500.81422958203</v>
      </c>
      <c r="F16" s="51">
        <f t="shared" si="4"/>
        <v>301708.13602996618</v>
      </c>
      <c r="G16" s="51">
        <f t="shared" si="4"/>
        <v>305270.64600928302</v>
      </c>
      <c r="H16" s="51">
        <f t="shared" si="4"/>
        <v>299806.6398879679</v>
      </c>
      <c r="I16" s="51">
        <f t="shared" si="4"/>
        <v>158618.73121024042</v>
      </c>
      <c r="J16" s="51">
        <f t="shared" si="4"/>
        <v>332871.26706083113</v>
      </c>
      <c r="K16" s="51">
        <f t="shared" si="4"/>
        <v>240030.3480825256</v>
      </c>
    </row>
    <row r="17" spans="1:7" ht="14.25" thickTop="1" thickBot="1">
      <c r="C17" s="61"/>
    </row>
    <row r="20" spans="1:7">
      <c r="A20" s="41" t="s">
        <v>61</v>
      </c>
      <c r="C20" s="44" t="s">
        <v>74</v>
      </c>
      <c r="D20" s="44"/>
    </row>
    <row r="21" spans="1:7">
      <c r="A21" s="1" t="s">
        <v>63</v>
      </c>
      <c r="C21" s="42">
        <f>+Variables!E27</f>
        <v>0.22741372946461591</v>
      </c>
      <c r="D21" s="121" t="s">
        <v>110</v>
      </c>
    </row>
    <row r="22" spans="1:7">
      <c r="A22" s="1" t="s">
        <v>62</v>
      </c>
      <c r="C22" s="42">
        <f>+Variables!E26</f>
        <v>0.23084885646883446</v>
      </c>
      <c r="D22" s="121" t="s">
        <v>110</v>
      </c>
    </row>
    <row r="25" spans="1:7">
      <c r="A25" s="41" t="s">
        <v>67</v>
      </c>
      <c r="C25" s="44" t="s">
        <v>74</v>
      </c>
      <c r="D25" s="42"/>
    </row>
    <row r="26" spans="1:7">
      <c r="A26" t="s">
        <v>6</v>
      </c>
      <c r="C26" s="42">
        <f>+Variables!G21</f>
        <v>2.0982836040119184E-3</v>
      </c>
      <c r="D26" s="121" t="s">
        <v>110</v>
      </c>
    </row>
    <row r="27" spans="1:7">
      <c r="A27" t="s">
        <v>7</v>
      </c>
      <c r="C27" s="42">
        <f>+Variables!G22</f>
        <v>6.41025641025641E-3</v>
      </c>
      <c r="D27" s="121" t="s">
        <v>110</v>
      </c>
    </row>
    <row r="28" spans="1:7">
      <c r="A28" t="s">
        <v>8</v>
      </c>
      <c r="C28" s="50">
        <f>+Variables!G23</f>
        <v>4.0633261991690796E-2</v>
      </c>
      <c r="D28" s="121" t="s">
        <v>110</v>
      </c>
    </row>
    <row r="29" spans="1:7">
      <c r="C29" s="42">
        <f>SUM(C26:C28)</f>
        <v>4.914180200595912E-2</v>
      </c>
      <c r="D29" s="121" t="s">
        <v>110</v>
      </c>
      <c r="E29" s="40"/>
      <c r="F29" s="40"/>
      <c r="G29" s="40"/>
    </row>
    <row r="30" spans="1:7">
      <c r="A30" s="40"/>
      <c r="B30" s="40"/>
      <c r="C30" s="42"/>
      <c r="D30" s="42"/>
      <c r="E30" s="40"/>
      <c r="F30" s="40"/>
      <c r="G30" s="40"/>
    </row>
    <row r="31" spans="1:7">
      <c r="A31" s="40"/>
      <c r="B31" s="40"/>
      <c r="C31" s="42"/>
      <c r="D31" s="42"/>
      <c r="E31" s="40"/>
      <c r="F31" s="40"/>
      <c r="G31" s="40"/>
    </row>
  </sheetData>
  <printOptions horizontalCentered="1"/>
  <pageMargins left="0.5" right="0.5" top="0.5" bottom="0.5" header="0.25" footer="0.25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29"/>
  <sheetViews>
    <sheetView topLeftCell="F1" zoomScaleNormal="100" workbookViewId="0">
      <selection activeCell="Q2" sqref="Q2"/>
    </sheetView>
  </sheetViews>
  <sheetFormatPr defaultColWidth="14.7109375" defaultRowHeight="12.75"/>
  <cols>
    <col min="1" max="2" width="20.7109375" style="1" customWidth="1"/>
    <col min="3" max="3" width="14.7109375" style="1"/>
    <col min="4" max="18" width="12.7109375" style="1" customWidth="1"/>
    <col min="19" max="16384" width="14.7109375" style="1"/>
  </cols>
  <sheetData>
    <row r="1" spans="1:18">
      <c r="A1" s="47" t="s">
        <v>55</v>
      </c>
      <c r="Q1" s="119"/>
    </row>
    <row r="2" spans="1:18">
      <c r="A2" s="47" t="s">
        <v>57</v>
      </c>
      <c r="Q2" s="120"/>
    </row>
    <row r="3" spans="1:18">
      <c r="A3" s="47" t="s">
        <v>102</v>
      </c>
    </row>
    <row r="4" spans="1:18">
      <c r="A4" s="47" t="s">
        <v>56</v>
      </c>
    </row>
    <row r="5" spans="1:18" ht="13.5" thickBot="1">
      <c r="A5" s="47" t="s">
        <v>85</v>
      </c>
    </row>
    <row r="6" spans="1:18">
      <c r="C6" s="55"/>
      <c r="D6" s="6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>
      <c r="C7" s="56"/>
      <c r="D7" s="45">
        <v>2014</v>
      </c>
      <c r="E7" s="45">
        <f>+D7</f>
        <v>2014</v>
      </c>
      <c r="F7" s="45">
        <f t="shared" ref="F7:K7" si="0">+E7</f>
        <v>2014</v>
      </c>
      <c r="G7" s="45">
        <f t="shared" si="0"/>
        <v>2014</v>
      </c>
      <c r="H7" s="45">
        <f t="shared" si="0"/>
        <v>2014</v>
      </c>
      <c r="I7" s="45">
        <f t="shared" si="0"/>
        <v>2014</v>
      </c>
      <c r="J7" s="45">
        <f t="shared" si="0"/>
        <v>2014</v>
      </c>
      <c r="K7" s="45">
        <f t="shared" si="0"/>
        <v>2014</v>
      </c>
      <c r="L7" s="45">
        <f t="shared" ref="L7:R7" si="1">+K7</f>
        <v>2014</v>
      </c>
      <c r="M7" s="45">
        <f t="shared" si="1"/>
        <v>2014</v>
      </c>
      <c r="N7" s="45">
        <f t="shared" si="1"/>
        <v>2014</v>
      </c>
      <c r="O7" s="45">
        <f t="shared" si="1"/>
        <v>2014</v>
      </c>
      <c r="P7" s="45">
        <v>2015</v>
      </c>
      <c r="Q7" s="45">
        <f t="shared" si="1"/>
        <v>2015</v>
      </c>
      <c r="R7" s="45">
        <f t="shared" si="1"/>
        <v>2015</v>
      </c>
    </row>
    <row r="8" spans="1:18">
      <c r="C8" s="57" t="s">
        <v>0</v>
      </c>
      <c r="D8" s="53" t="s">
        <v>17</v>
      </c>
      <c r="E8" s="53" t="s">
        <v>18</v>
      </c>
      <c r="F8" s="53" t="s">
        <v>19</v>
      </c>
      <c r="G8" s="53" t="s">
        <v>20</v>
      </c>
      <c r="H8" s="53" t="s">
        <v>21</v>
      </c>
      <c r="I8" s="53" t="s">
        <v>10</v>
      </c>
      <c r="J8" s="53" t="s">
        <v>11</v>
      </c>
      <c r="K8" s="53" t="s">
        <v>12</v>
      </c>
      <c r="L8" s="53" t="s">
        <v>13</v>
      </c>
      <c r="M8" s="53" t="s">
        <v>14</v>
      </c>
      <c r="N8" s="53" t="s">
        <v>15</v>
      </c>
      <c r="O8" s="53" t="s">
        <v>16</v>
      </c>
      <c r="P8" s="53" t="s">
        <v>17</v>
      </c>
      <c r="Q8" s="53" t="s">
        <v>18</v>
      </c>
      <c r="R8" s="53" t="s">
        <v>19</v>
      </c>
    </row>
    <row r="9" spans="1:18">
      <c r="A9" s="48" t="s">
        <v>60</v>
      </c>
      <c r="C9" s="58"/>
      <c r="D9" s="110">
        <v>1</v>
      </c>
      <c r="E9" s="110">
        <v>2</v>
      </c>
      <c r="F9" s="110">
        <v>3</v>
      </c>
      <c r="G9" s="110">
        <v>4</v>
      </c>
      <c r="H9" s="110">
        <v>5</v>
      </c>
      <c r="I9" s="110">
        <v>6</v>
      </c>
      <c r="J9" s="110">
        <v>7</v>
      </c>
      <c r="K9" s="110">
        <v>8</v>
      </c>
      <c r="L9" s="110">
        <v>9</v>
      </c>
      <c r="M9" s="110">
        <v>10</v>
      </c>
      <c r="N9" s="110">
        <v>11</v>
      </c>
      <c r="O9" s="110">
        <v>12</v>
      </c>
    </row>
    <row r="10" spans="1:18">
      <c r="C10" s="58"/>
    </row>
    <row r="11" spans="1:18">
      <c r="A11" s="1" t="s">
        <v>59</v>
      </c>
      <c r="C11" s="58">
        <f>SUM(D11:R11)</f>
        <v>13579402.747195389</v>
      </c>
      <c r="D11" s="46">
        <v>2986513.2938293861</v>
      </c>
      <c r="E11" s="46">
        <v>624010.16632012441</v>
      </c>
      <c r="F11" s="46">
        <v>-1669927.6104572914</v>
      </c>
      <c r="G11" s="46">
        <v>1393129.6978055169</v>
      </c>
      <c r="H11" s="46">
        <v>1439923.1543078562</v>
      </c>
      <c r="I11" s="46">
        <v>1721695.9727676886</v>
      </c>
      <c r="J11" s="46">
        <v>2161608.3378359149</v>
      </c>
      <c r="K11" s="46">
        <v>1810073.5882443702</v>
      </c>
      <c r="L11" s="46">
        <v>1041709.8189455871</v>
      </c>
      <c r="M11" s="46">
        <v>576933.12595311564</v>
      </c>
      <c r="N11" s="46">
        <v>1310584.6336188065</v>
      </c>
      <c r="O11" s="46">
        <v>183148.5680243157</v>
      </c>
      <c r="P11" s="46"/>
      <c r="Q11" s="46"/>
      <c r="R11" s="46"/>
    </row>
    <row r="12" spans="1:18">
      <c r="B12" s="42"/>
      <c r="C12" s="58"/>
    </row>
    <row r="13" spans="1:18">
      <c r="A13" s="47" t="s">
        <v>65</v>
      </c>
      <c r="C13" s="59">
        <f>SUM(D13:R13)</f>
        <v>3134789.5957198055</v>
      </c>
      <c r="D13" s="46">
        <f>+D11*$C$20</f>
        <v>689433.17870948603</v>
      </c>
      <c r="E13" s="46">
        <f t="shared" ref="E13:O13" si="2">+E11*$C$20</f>
        <v>144052.03331992793</v>
      </c>
      <c r="F13" s="46">
        <f t="shared" si="2"/>
        <v>-385500.87925979897</v>
      </c>
      <c r="G13" s="46">
        <f t="shared" si="2"/>
        <v>321602.39765117649</v>
      </c>
      <c r="H13" s="46">
        <f t="shared" si="2"/>
        <v>332404.61357496568</v>
      </c>
      <c r="I13" s="46">
        <f t="shared" si="2"/>
        <v>397451.54650041845</v>
      </c>
      <c r="J13" s="46">
        <f t="shared" si="2"/>
        <v>499004.81292291894</v>
      </c>
      <c r="K13" s="46">
        <f t="shared" si="2"/>
        <v>417853.41797065281</v>
      </c>
      <c r="L13" s="46">
        <f t="shared" si="2"/>
        <v>240477.52047594538</v>
      </c>
      <c r="M13" s="46">
        <f t="shared" si="2"/>
        <v>133184.3523852668</v>
      </c>
      <c r="N13" s="46">
        <f t="shared" si="2"/>
        <v>302546.96397652786</v>
      </c>
      <c r="O13" s="46">
        <f t="shared" si="2"/>
        <v>42279.637492317823</v>
      </c>
      <c r="P13" s="46"/>
      <c r="Q13" s="46"/>
      <c r="R13" s="46"/>
    </row>
    <row r="14" spans="1:18">
      <c r="C14" s="58"/>
    </row>
    <row r="15" spans="1:18" ht="13.5" thickBot="1">
      <c r="A15" s="47" t="s">
        <v>9</v>
      </c>
      <c r="C15" s="60">
        <f>SUM(D15:R15)</f>
        <v>3288838.8053630083</v>
      </c>
      <c r="D15" s="51">
        <f>+D13*(1+$C$27)</f>
        <v>723313.16747396661</v>
      </c>
      <c r="E15" s="51">
        <f t="shared" ref="E15:K15" si="3">+E13*(1+$C$27)</f>
        <v>151131.00981989165</v>
      </c>
      <c r="F15" s="51">
        <f t="shared" si="3"/>
        <v>-404445.08714150713</v>
      </c>
      <c r="G15" s="51">
        <f t="shared" si="3"/>
        <v>337406.51900119236</v>
      </c>
      <c r="H15" s="51">
        <f t="shared" si="3"/>
        <v>348739.57528113399</v>
      </c>
      <c r="I15" s="51">
        <f t="shared" si="3"/>
        <v>416983.03170550423</v>
      </c>
      <c r="J15" s="51">
        <f t="shared" si="3"/>
        <v>523526.80863959767</v>
      </c>
      <c r="K15" s="51">
        <f t="shared" si="3"/>
        <v>438387.4879040799</v>
      </c>
      <c r="L15" s="51">
        <f t="shared" ref="L15:R15" si="4">+L13*(1+$C$27)</f>
        <v>252295.01917405825</v>
      </c>
      <c r="M15" s="51">
        <f t="shared" si="4"/>
        <v>139729.27146047546</v>
      </c>
      <c r="N15" s="51">
        <f t="shared" si="4"/>
        <v>317414.66697776644</v>
      </c>
      <c r="O15" s="51">
        <f t="shared" si="4"/>
        <v>44357.335066849031</v>
      </c>
      <c r="P15" s="51">
        <f t="shared" si="4"/>
        <v>0</v>
      </c>
      <c r="Q15" s="51">
        <f t="shared" si="4"/>
        <v>0</v>
      </c>
      <c r="R15" s="51">
        <f t="shared" si="4"/>
        <v>0</v>
      </c>
    </row>
    <row r="16" spans="1:18" ht="14.25" thickTop="1" thickBot="1">
      <c r="C16" s="61"/>
    </row>
    <row r="19" spans="1:7">
      <c r="A19" s="41" t="s">
        <v>61</v>
      </c>
      <c r="C19" s="44" t="s">
        <v>74</v>
      </c>
      <c r="D19" s="44"/>
    </row>
    <row r="20" spans="1:7">
      <c r="A20" s="1" t="s">
        <v>62</v>
      </c>
      <c r="C20" s="42">
        <f>+Variables!E26</f>
        <v>0.23084885646883446</v>
      </c>
      <c r="D20" s="121" t="s">
        <v>110</v>
      </c>
    </row>
    <row r="21" spans="1:7">
      <c r="D21" s="121" t="s">
        <v>110</v>
      </c>
    </row>
    <row r="23" spans="1:7">
      <c r="A23" s="41" t="s">
        <v>67</v>
      </c>
      <c r="C23" s="44" t="s">
        <v>74</v>
      </c>
    </row>
    <row r="24" spans="1:7">
      <c r="A24" t="s">
        <v>6</v>
      </c>
      <c r="C24" s="42">
        <f>+Variables!G21</f>
        <v>2.0982836040119184E-3</v>
      </c>
      <c r="D24" s="42"/>
    </row>
    <row r="25" spans="1:7">
      <c r="A25" t="s">
        <v>7</v>
      </c>
      <c r="C25" s="42">
        <f>+Variables!G22</f>
        <v>6.41025641025641E-3</v>
      </c>
      <c r="D25" s="121" t="s">
        <v>110</v>
      </c>
    </row>
    <row r="26" spans="1:7">
      <c r="A26" t="s">
        <v>8</v>
      </c>
      <c r="C26" s="50">
        <f>+Variables!G23</f>
        <v>4.0633261991690796E-2</v>
      </c>
      <c r="D26" s="121" t="s">
        <v>110</v>
      </c>
    </row>
    <row r="27" spans="1:7">
      <c r="C27" s="42">
        <f>SUM(C24:C26)</f>
        <v>4.914180200595912E-2</v>
      </c>
      <c r="D27" s="121" t="s">
        <v>110</v>
      </c>
      <c r="E27" s="40"/>
      <c r="F27" s="40"/>
      <c r="G27" s="40"/>
    </row>
    <row r="28" spans="1:7">
      <c r="A28" s="40"/>
      <c r="B28" s="40"/>
      <c r="C28" s="42"/>
      <c r="D28" s="121" t="s">
        <v>110</v>
      </c>
      <c r="E28" s="40"/>
      <c r="F28" s="40"/>
      <c r="G28" s="40"/>
    </row>
    <row r="29" spans="1:7">
      <c r="A29" s="40"/>
      <c r="B29" s="40"/>
      <c r="C29" s="42"/>
      <c r="D29" s="42"/>
      <c r="E29" s="40"/>
      <c r="F29" s="40"/>
      <c r="G29" s="40"/>
    </row>
  </sheetData>
  <printOptions horizontalCentered="1"/>
  <pageMargins left="0.5" right="0.5" top="0.5" bottom="0.5" header="0.25" footer="0.25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2"/>
  <sheetViews>
    <sheetView zoomScaleNormal="100" workbookViewId="0">
      <selection activeCell="E2" sqref="E2"/>
    </sheetView>
  </sheetViews>
  <sheetFormatPr defaultColWidth="14.7109375" defaultRowHeight="12.75"/>
  <cols>
    <col min="1" max="1" width="5.7109375" style="1" customWidth="1"/>
    <col min="2" max="2" width="26.7109375" style="1" customWidth="1"/>
    <col min="3" max="3" width="11.7109375" style="1" customWidth="1"/>
    <col min="4" max="4" width="15.7109375" style="1" customWidth="1"/>
    <col min="5" max="16384" width="14.7109375" style="1"/>
  </cols>
  <sheetData>
    <row r="1" spans="1:5">
      <c r="A1" s="47" t="s">
        <v>55</v>
      </c>
      <c r="D1" s="2"/>
      <c r="E1" s="119"/>
    </row>
    <row r="2" spans="1:5">
      <c r="A2" s="47" t="s">
        <v>57</v>
      </c>
      <c r="E2" s="120"/>
    </row>
    <row r="3" spans="1:5">
      <c r="A3" s="47" t="s">
        <v>80</v>
      </c>
    </row>
    <row r="4" spans="1:5">
      <c r="A4" s="47" t="s">
        <v>56</v>
      </c>
    </row>
    <row r="5" spans="1:5" ht="13.5" thickBot="1">
      <c r="A5" s="47" t="s">
        <v>85</v>
      </c>
    </row>
    <row r="6" spans="1:5" ht="13.5" thickBot="1">
      <c r="A6" s="47"/>
      <c r="D6" s="62" t="s">
        <v>0</v>
      </c>
    </row>
    <row r="7" spans="1:5">
      <c r="A7" s="47"/>
      <c r="D7" s="52"/>
    </row>
    <row r="8" spans="1:5">
      <c r="B8" s="47" t="s">
        <v>81</v>
      </c>
      <c r="C8" s="47"/>
      <c r="D8" s="47">
        <v>-669000</v>
      </c>
    </row>
    <row r="10" spans="1:5">
      <c r="B10" s="1" t="s">
        <v>82</v>
      </c>
      <c r="D10" s="1">
        <f>+D8</f>
        <v>-669000</v>
      </c>
    </row>
    <row r="11" spans="1:5">
      <c r="B11" s="1" t="s">
        <v>83</v>
      </c>
      <c r="D11" s="46">
        <f>+D8/12*3</f>
        <v>-167250</v>
      </c>
    </row>
    <row r="13" spans="1:5">
      <c r="B13" s="1" t="s">
        <v>84</v>
      </c>
      <c r="D13" s="46">
        <f>+D10+D11</f>
        <v>-836250</v>
      </c>
    </row>
    <row r="15" spans="1:5">
      <c r="B15" s="1" t="s">
        <v>6</v>
      </c>
      <c r="C15" s="42">
        <f>+Variables!G21</f>
        <v>2.0982836040119184E-3</v>
      </c>
      <c r="E15" s="121" t="s">
        <v>110</v>
      </c>
    </row>
    <row r="16" spans="1:5">
      <c r="B16" s="1" t="s">
        <v>7</v>
      </c>
      <c r="C16" s="42">
        <f>+Variables!G22</f>
        <v>6.41025641025641E-3</v>
      </c>
      <c r="E16" s="121" t="s">
        <v>110</v>
      </c>
    </row>
    <row r="17" spans="2:5">
      <c r="B17" s="1" t="s">
        <v>8</v>
      </c>
      <c r="C17" s="50">
        <f>+Variables!G23</f>
        <v>4.0633261991690796E-2</v>
      </c>
      <c r="E17" s="121" t="s">
        <v>110</v>
      </c>
    </row>
    <row r="18" spans="2:5">
      <c r="C18" s="42">
        <f>SUM(C15:C17)</f>
        <v>4.914180200595912E-2</v>
      </c>
      <c r="E18" s="121" t="s">
        <v>110</v>
      </c>
    </row>
    <row r="20" spans="2:5" ht="13.5" thickBot="1">
      <c r="B20" s="47" t="s">
        <v>9</v>
      </c>
      <c r="C20" s="47"/>
      <c r="D20" s="54">
        <f>+D13*(1+C18)</f>
        <v>-877344.83192748332</v>
      </c>
    </row>
    <row r="21" spans="2:5" ht="13.5" thickTop="1"/>
    <row r="22" spans="2:5">
      <c r="B22" s="47" t="s">
        <v>86</v>
      </c>
      <c r="D22" s="47">
        <f>+D20/15</f>
        <v>-58489.655461832219</v>
      </c>
    </row>
  </sheetData>
  <printOptions horizontalCentered="1"/>
  <pageMargins left="0.5" right="0.5" top="0.5" bottom="0.5" header="0.25" footer="0.2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73"/>
  <sheetViews>
    <sheetView tabSelected="1" workbookViewId="0">
      <selection activeCell="L9" sqref="L9"/>
    </sheetView>
  </sheetViews>
  <sheetFormatPr defaultRowHeight="12.75"/>
  <cols>
    <col min="1" max="1" width="4.7109375" style="3" customWidth="1"/>
    <col min="2" max="5" width="13.7109375" style="3" customWidth="1"/>
    <col min="6" max="6" width="4.7109375" style="3" customWidth="1"/>
    <col min="7" max="7" width="13.7109375" style="3" customWidth="1"/>
    <col min="8" max="8" width="4.7109375" style="3" customWidth="1"/>
    <col min="9" max="10" width="13.7109375" style="3" customWidth="1"/>
    <col min="11" max="16384" width="9.140625" style="3"/>
  </cols>
  <sheetData>
    <row r="1" spans="1:9">
      <c r="A1" s="47" t="s">
        <v>55</v>
      </c>
      <c r="I1" s="119"/>
    </row>
    <row r="2" spans="1:9">
      <c r="A2" s="47" t="s">
        <v>57</v>
      </c>
      <c r="I2" s="120"/>
    </row>
    <row r="3" spans="1:9">
      <c r="A3" s="47" t="s">
        <v>94</v>
      </c>
    </row>
    <row r="4" spans="1:9">
      <c r="A4" s="47" t="s">
        <v>95</v>
      </c>
    </row>
    <row r="8" spans="1:9">
      <c r="B8" s="77" t="s">
        <v>71</v>
      </c>
      <c r="C8" s="78"/>
      <c r="D8" s="78"/>
      <c r="E8" s="78"/>
      <c r="F8" s="78"/>
      <c r="G8" s="78"/>
      <c r="H8" s="78"/>
      <c r="I8" s="78"/>
    </row>
    <row r="9" spans="1:9">
      <c r="B9" s="81"/>
      <c r="C9" s="4"/>
      <c r="D9" s="4"/>
      <c r="E9" s="4"/>
      <c r="F9" s="4"/>
      <c r="G9" s="4"/>
      <c r="H9" s="4"/>
      <c r="I9" s="82" t="s">
        <v>26</v>
      </c>
    </row>
    <row r="10" spans="1:9">
      <c r="B10" s="81"/>
      <c r="C10" s="83" t="s">
        <v>27</v>
      </c>
      <c r="D10" s="83" t="s">
        <v>28</v>
      </c>
      <c r="E10" s="83" t="s">
        <v>29</v>
      </c>
      <c r="F10" s="4"/>
      <c r="G10" s="83" t="s">
        <v>26</v>
      </c>
      <c r="H10" s="4"/>
      <c r="I10" s="82" t="s">
        <v>30</v>
      </c>
    </row>
    <row r="11" spans="1:9">
      <c r="B11" s="81"/>
      <c r="C11" s="5" t="s">
        <v>31</v>
      </c>
      <c r="D11" s="5" t="s">
        <v>32</v>
      </c>
      <c r="E11" s="5" t="s">
        <v>32</v>
      </c>
      <c r="F11" s="4"/>
      <c r="G11" s="6" t="s">
        <v>33</v>
      </c>
      <c r="H11" s="4"/>
      <c r="I11" s="84" t="s">
        <v>34</v>
      </c>
    </row>
    <row r="12" spans="1:9">
      <c r="B12" s="81" t="s">
        <v>35</v>
      </c>
      <c r="C12" s="9">
        <v>0.48250000000000004</v>
      </c>
      <c r="D12" s="9">
        <v>5.1799999999999999E-2</v>
      </c>
      <c r="E12" s="85">
        <v>2.4993500000000002E-2</v>
      </c>
      <c r="F12" s="9"/>
      <c r="G12" s="4"/>
      <c r="H12" s="4"/>
      <c r="I12" s="86">
        <f>E12</f>
        <v>2.4993500000000002E-2</v>
      </c>
    </row>
    <row r="13" spans="1:9">
      <c r="B13" s="81" t="s">
        <v>36</v>
      </c>
      <c r="C13" s="9">
        <v>2.0000000000000001E-4</v>
      </c>
      <c r="D13" s="9">
        <v>6.7500000000000004E-2</v>
      </c>
      <c r="E13" s="85">
        <v>1.3500000000000001E-5</v>
      </c>
      <c r="F13" s="87"/>
      <c r="G13" s="87">
        <f>I18</f>
        <v>1.5384615384615383</v>
      </c>
      <c r="H13" s="4"/>
      <c r="I13" s="86">
        <f>E13*G13</f>
        <v>2.0769230769230768E-5</v>
      </c>
    </row>
    <row r="14" spans="1:9">
      <c r="B14" s="81" t="s">
        <v>37</v>
      </c>
      <c r="C14" s="7">
        <v>0.51729999999999998</v>
      </c>
      <c r="D14" s="9">
        <v>0.1</v>
      </c>
      <c r="E14" s="8">
        <v>5.1729999999999998E-2</v>
      </c>
      <c r="F14" s="9"/>
      <c r="G14" s="87">
        <f>I18</f>
        <v>1.5384615384615383</v>
      </c>
      <c r="H14" s="4"/>
      <c r="I14" s="88">
        <f>E14*G14</f>
        <v>7.9584615384615379E-2</v>
      </c>
    </row>
    <row r="15" spans="1:9">
      <c r="B15" s="81" t="s">
        <v>0</v>
      </c>
      <c r="C15" s="87">
        <f>SUM(C12:C14)</f>
        <v>1</v>
      </c>
      <c r="D15" s="4"/>
      <c r="E15" s="87">
        <f>SUM(E12:E14)</f>
        <v>7.6737E-2</v>
      </c>
      <c r="F15" s="87"/>
      <c r="G15" s="4"/>
      <c r="H15" s="4"/>
      <c r="I15" s="89">
        <f>SUM(I12:I14)</f>
        <v>0.10459888461538461</v>
      </c>
    </row>
    <row r="16" spans="1:9">
      <c r="B16" s="81"/>
      <c r="C16" s="87"/>
      <c r="D16" s="4"/>
      <c r="E16" s="87"/>
      <c r="F16" s="87"/>
      <c r="G16" s="4"/>
      <c r="H16" s="4"/>
      <c r="I16" s="90"/>
    </row>
    <row r="17" spans="2:9">
      <c r="B17" s="81" t="s">
        <v>38</v>
      </c>
      <c r="C17" s="4"/>
      <c r="D17" s="4"/>
      <c r="E17" s="4"/>
      <c r="F17" s="87"/>
      <c r="G17" s="4"/>
      <c r="H17" s="4"/>
      <c r="I17" s="91">
        <v>0.35</v>
      </c>
    </row>
    <row r="18" spans="2:9">
      <c r="B18" s="81" t="s">
        <v>39</v>
      </c>
      <c r="C18" s="87"/>
      <c r="D18" s="4"/>
      <c r="E18" s="4"/>
      <c r="F18" s="87"/>
      <c r="G18" s="10"/>
      <c r="H18" s="4"/>
      <c r="I18" s="89">
        <f>1/(1-I17)</f>
        <v>1.5384615384615383</v>
      </c>
    </row>
    <row r="19" spans="2:9">
      <c r="B19" s="81"/>
      <c r="C19" s="87"/>
      <c r="D19" s="4"/>
      <c r="E19" s="92"/>
      <c r="F19" s="87"/>
      <c r="G19" s="87"/>
      <c r="H19" s="4"/>
      <c r="I19" s="90"/>
    </row>
    <row r="20" spans="2:9">
      <c r="B20" s="93" t="s">
        <v>72</v>
      </c>
      <c r="C20" s="87"/>
      <c r="D20" s="4"/>
      <c r="E20" s="92"/>
      <c r="F20" s="87"/>
      <c r="G20" s="87"/>
      <c r="H20" s="4"/>
      <c r="I20" s="90"/>
    </row>
    <row r="21" spans="2:9">
      <c r="B21" s="81" t="s">
        <v>6</v>
      </c>
      <c r="C21" s="87"/>
      <c r="D21" s="4"/>
      <c r="E21" s="92">
        <v>2E-3</v>
      </c>
      <c r="F21" s="4"/>
      <c r="G21" s="94">
        <f>E21*1/(1-(SUM($E$21:$E$23)))</f>
        <v>2.0982836040119184E-3</v>
      </c>
      <c r="H21" s="4"/>
      <c r="I21" s="90"/>
    </row>
    <row r="22" spans="2:9">
      <c r="B22" s="81" t="s">
        <v>7</v>
      </c>
      <c r="C22" s="87"/>
      <c r="D22" s="4"/>
      <c r="E22" s="92">
        <v>6.11E-3</v>
      </c>
      <c r="F22" s="4"/>
      <c r="G22" s="94">
        <f>E22*1/(1-(SUM($E$21:$E$23)))</f>
        <v>6.41025641025641E-3</v>
      </c>
      <c r="H22" s="4"/>
      <c r="I22" s="90"/>
    </row>
    <row r="23" spans="2:9">
      <c r="B23" s="81" t="s">
        <v>8</v>
      </c>
      <c r="C23" s="87"/>
      <c r="D23" s="4"/>
      <c r="E23" s="92">
        <v>3.8730000000000001E-2</v>
      </c>
      <c r="F23" s="4"/>
      <c r="G23" s="94">
        <f>E23*1/(1-(SUM($E$21:$E$23)))</f>
        <v>4.0633261991690796E-2</v>
      </c>
      <c r="H23" s="4"/>
      <c r="I23" s="90"/>
    </row>
    <row r="24" spans="2:9">
      <c r="B24" s="81"/>
      <c r="C24" s="87"/>
      <c r="D24" s="4"/>
      <c r="E24" s="4"/>
      <c r="F24" s="4"/>
      <c r="G24" s="4"/>
      <c r="H24" s="4"/>
      <c r="I24" s="90"/>
    </row>
    <row r="25" spans="2:9">
      <c r="B25" s="93" t="s">
        <v>73</v>
      </c>
      <c r="C25" s="87"/>
      <c r="D25" s="4"/>
      <c r="E25" s="4"/>
      <c r="F25" s="4"/>
      <c r="G25" s="4"/>
      <c r="H25" s="4"/>
      <c r="I25" s="90"/>
    </row>
    <row r="26" spans="2:9">
      <c r="B26" s="81" t="s">
        <v>42</v>
      </c>
      <c r="C26" s="4"/>
      <c r="D26" s="4"/>
      <c r="E26" s="95">
        <v>0.23084885646883446</v>
      </c>
      <c r="F26" s="4"/>
      <c r="G26" s="96"/>
      <c r="H26" s="4"/>
      <c r="I26" s="90"/>
    </row>
    <row r="27" spans="2:9">
      <c r="B27" s="81" t="s">
        <v>66</v>
      </c>
      <c r="C27" s="4"/>
      <c r="D27" s="4"/>
      <c r="E27" s="95">
        <v>0.22741372946461591</v>
      </c>
      <c r="F27" s="4"/>
      <c r="G27" s="96"/>
      <c r="H27" s="4"/>
      <c r="I27" s="90"/>
    </row>
    <row r="28" spans="2:9">
      <c r="B28" s="97"/>
      <c r="C28" s="70"/>
      <c r="D28" s="70"/>
      <c r="E28" s="70"/>
      <c r="F28" s="70"/>
      <c r="G28" s="70"/>
      <c r="H28" s="70"/>
      <c r="I28" s="98"/>
    </row>
    <row r="29" spans="2:9">
      <c r="I29" s="11"/>
    </row>
    <row r="30" spans="2:9">
      <c r="B30" s="77" t="s">
        <v>52</v>
      </c>
      <c r="C30" s="78"/>
      <c r="D30" s="78"/>
      <c r="E30" s="78"/>
      <c r="F30" s="78"/>
      <c r="G30" s="78"/>
      <c r="H30" s="78"/>
      <c r="I30" s="78"/>
    </row>
    <row r="31" spans="2:9">
      <c r="B31" s="81"/>
      <c r="C31" s="4"/>
      <c r="D31" s="4"/>
      <c r="E31" s="4"/>
      <c r="F31" s="4"/>
      <c r="G31" s="4"/>
      <c r="H31" s="4"/>
      <c r="I31" s="82" t="s">
        <v>26</v>
      </c>
    </row>
    <row r="32" spans="2:9">
      <c r="B32" s="81"/>
      <c r="C32" s="83" t="s">
        <v>27</v>
      </c>
      <c r="D32" s="83" t="s">
        <v>28</v>
      </c>
      <c r="E32" s="83" t="s">
        <v>29</v>
      </c>
      <c r="F32" s="4"/>
      <c r="G32" s="83" t="s">
        <v>26</v>
      </c>
      <c r="H32" s="4"/>
      <c r="I32" s="82" t="s">
        <v>30</v>
      </c>
    </row>
    <row r="33" spans="2:9">
      <c r="B33" s="81"/>
      <c r="C33" s="5" t="s">
        <v>31</v>
      </c>
      <c r="D33" s="5" t="s">
        <v>32</v>
      </c>
      <c r="E33" s="5" t="s">
        <v>32</v>
      </c>
      <c r="F33" s="4"/>
      <c r="G33" s="6" t="s">
        <v>33</v>
      </c>
      <c r="H33" s="4"/>
      <c r="I33" s="84" t="s">
        <v>34</v>
      </c>
    </row>
    <row r="34" spans="2:9">
      <c r="B34" s="81" t="s">
        <v>35</v>
      </c>
      <c r="C34" s="9">
        <v>0.50619999999999998</v>
      </c>
      <c r="D34" s="9">
        <v>5.2900000000000003E-2</v>
      </c>
      <c r="E34" s="85">
        <f>C34*D34</f>
        <v>2.677798E-2</v>
      </c>
      <c r="F34" s="9"/>
      <c r="G34" s="4"/>
      <c r="H34" s="4"/>
      <c r="I34" s="86">
        <f>E34</f>
        <v>2.677798E-2</v>
      </c>
    </row>
    <row r="35" spans="2:9">
      <c r="B35" s="81" t="s">
        <v>36</v>
      </c>
      <c r="C35" s="9">
        <v>2.8E-3</v>
      </c>
      <c r="D35" s="9">
        <v>5.4300000000000001E-2</v>
      </c>
      <c r="E35" s="85">
        <f>C35*D35</f>
        <v>1.5204000000000001E-4</v>
      </c>
      <c r="F35" s="87"/>
      <c r="G35" s="87">
        <f>I40</f>
        <v>1.5384615384615383</v>
      </c>
      <c r="H35" s="4"/>
      <c r="I35" s="86">
        <f>E35*G35</f>
        <v>2.3390769230769232E-4</v>
      </c>
    </row>
    <row r="36" spans="2:9">
      <c r="B36" s="81" t="s">
        <v>37</v>
      </c>
      <c r="C36" s="7">
        <v>0.49099999999999999</v>
      </c>
      <c r="D36" s="9">
        <v>9.5000000000000001E-2</v>
      </c>
      <c r="E36" s="8">
        <f>C36*D36</f>
        <v>4.6644999999999999E-2</v>
      </c>
      <c r="F36" s="9"/>
      <c r="G36" s="87">
        <f>I40</f>
        <v>1.5384615384615383</v>
      </c>
      <c r="H36" s="4"/>
      <c r="I36" s="88">
        <f>E36*G36</f>
        <v>7.176153846153846E-2</v>
      </c>
    </row>
    <row r="37" spans="2:9">
      <c r="B37" s="81" t="s">
        <v>0</v>
      </c>
      <c r="C37" s="87">
        <f>SUM(C34:C36)</f>
        <v>1</v>
      </c>
      <c r="D37" s="4"/>
      <c r="E37" s="87">
        <f>SUM(E34:E36)</f>
        <v>7.3575019999999991E-2</v>
      </c>
      <c r="F37" s="87"/>
      <c r="G37" s="4"/>
      <c r="H37" s="4"/>
      <c r="I37" s="89">
        <f>SUM(I34:I36)</f>
        <v>9.8773426153846156E-2</v>
      </c>
    </row>
    <row r="38" spans="2:9">
      <c r="B38" s="81"/>
      <c r="C38" s="87"/>
      <c r="D38" s="4"/>
      <c r="E38" s="87"/>
      <c r="F38" s="87"/>
      <c r="G38" s="4"/>
      <c r="H38" s="4"/>
      <c r="I38" s="90"/>
    </row>
    <row r="39" spans="2:9">
      <c r="B39" s="81" t="s">
        <v>38</v>
      </c>
      <c r="C39" s="4"/>
      <c r="D39" s="4"/>
      <c r="E39" s="4"/>
      <c r="F39" s="87"/>
      <c r="G39" s="4"/>
      <c r="H39" s="4"/>
      <c r="I39" s="91">
        <v>0.35</v>
      </c>
    </row>
    <row r="40" spans="2:9">
      <c r="B40" s="81" t="s">
        <v>39</v>
      </c>
      <c r="C40" s="87"/>
      <c r="D40" s="4"/>
      <c r="E40" s="4"/>
      <c r="F40" s="87"/>
      <c r="G40" s="10"/>
      <c r="H40" s="4"/>
      <c r="I40" s="89">
        <f>1/(1-I39)</f>
        <v>1.5384615384615383</v>
      </c>
    </row>
    <row r="41" spans="2:9">
      <c r="B41" s="81"/>
      <c r="C41" s="87"/>
      <c r="D41" s="4"/>
      <c r="E41" s="92"/>
      <c r="F41" s="87"/>
      <c r="G41" s="87"/>
      <c r="H41" s="4"/>
      <c r="I41" s="90"/>
    </row>
    <row r="42" spans="2:9">
      <c r="B42" s="93" t="s">
        <v>53</v>
      </c>
      <c r="C42" s="87"/>
      <c r="D42" s="4"/>
      <c r="E42" s="92"/>
      <c r="F42" s="87"/>
      <c r="G42" s="87"/>
      <c r="H42" s="4"/>
      <c r="I42" s="90"/>
    </row>
    <row r="43" spans="2:9">
      <c r="B43" s="81" t="s">
        <v>6</v>
      </c>
      <c r="C43" s="87"/>
      <c r="D43" s="4"/>
      <c r="E43" s="92">
        <v>2E-3</v>
      </c>
      <c r="F43" s="4"/>
      <c r="G43" s="94">
        <f>E43*1/(1-(SUM($E$43:$E$45)))</f>
        <v>2.0988076673641703E-3</v>
      </c>
      <c r="H43" s="4"/>
      <c r="I43" s="90"/>
    </row>
    <row r="44" spans="2:9">
      <c r="B44" s="81" t="s">
        <v>7</v>
      </c>
      <c r="C44" s="87"/>
      <c r="D44" s="4"/>
      <c r="E44" s="92">
        <v>6.6E-3</v>
      </c>
      <c r="F44" s="4"/>
      <c r="G44" s="94">
        <f>E44*1/(1-(SUM($E$43:$E$45)))</f>
        <v>6.9260653023017621E-3</v>
      </c>
      <c r="H44" s="4"/>
      <c r="I44" s="90"/>
    </row>
    <row r="45" spans="2:9">
      <c r="B45" s="81" t="s">
        <v>8</v>
      </c>
      <c r="C45" s="87"/>
      <c r="D45" s="4"/>
      <c r="E45" s="92">
        <v>3.8477999999999998E-2</v>
      </c>
      <c r="F45" s="4"/>
      <c r="G45" s="94">
        <f>E45*1/(1-(SUM($E$43:$E$45)))</f>
        <v>4.0378960712419268E-2</v>
      </c>
      <c r="H45" s="4"/>
      <c r="I45" s="90"/>
    </row>
    <row r="46" spans="2:9">
      <c r="B46" s="81"/>
      <c r="C46" s="87"/>
      <c r="D46" s="4"/>
      <c r="E46" s="4"/>
      <c r="F46" s="4"/>
      <c r="G46" s="4"/>
      <c r="H46" s="4"/>
      <c r="I46" s="90"/>
    </row>
    <row r="47" spans="2:9">
      <c r="B47" s="93" t="s">
        <v>54</v>
      </c>
      <c r="C47" s="87"/>
      <c r="D47" s="4"/>
      <c r="E47" s="4"/>
      <c r="F47" s="4"/>
      <c r="G47" s="4"/>
      <c r="H47" s="4"/>
      <c r="I47" s="90"/>
    </row>
    <row r="48" spans="2:9">
      <c r="B48" s="81" t="s">
        <v>42</v>
      </c>
      <c r="C48" s="4"/>
      <c r="D48" s="4"/>
      <c r="E48" s="95">
        <v>0.2253357562287237</v>
      </c>
      <c r="F48" s="4"/>
      <c r="G48" s="96"/>
      <c r="H48" s="4"/>
      <c r="I48" s="90"/>
    </row>
    <row r="49" spans="2:9">
      <c r="B49" s="81" t="s">
        <v>66</v>
      </c>
      <c r="C49" s="4"/>
      <c r="D49" s="4"/>
      <c r="E49" s="95">
        <v>0.22648067236840891</v>
      </c>
      <c r="F49" s="4"/>
      <c r="G49" s="96"/>
      <c r="H49" s="4"/>
      <c r="I49" s="90"/>
    </row>
    <row r="50" spans="2:9">
      <c r="B50" s="97"/>
      <c r="C50" s="70"/>
      <c r="D50" s="70"/>
      <c r="E50" s="70"/>
      <c r="F50" s="70"/>
      <c r="G50" s="70"/>
      <c r="H50" s="70"/>
      <c r="I50" s="100"/>
    </row>
    <row r="52" spans="2:9">
      <c r="B52" s="77" t="s">
        <v>43</v>
      </c>
      <c r="C52" s="78"/>
      <c r="D52" s="78"/>
      <c r="E52" s="78"/>
      <c r="F52" s="78"/>
      <c r="G52" s="78"/>
      <c r="H52" s="78"/>
      <c r="I52" s="78"/>
    </row>
    <row r="53" spans="2:9">
      <c r="B53" s="99"/>
      <c r="C53" s="79"/>
      <c r="D53" s="79"/>
      <c r="E53" s="79"/>
      <c r="F53" s="79"/>
      <c r="G53" s="79"/>
      <c r="H53" s="79"/>
      <c r="I53" s="80"/>
    </row>
    <row r="54" spans="2:9">
      <c r="B54" s="81"/>
      <c r="C54" s="4"/>
      <c r="D54" s="4"/>
      <c r="E54" s="4"/>
      <c r="F54" s="4"/>
      <c r="G54" s="4"/>
      <c r="H54" s="4"/>
      <c r="I54" s="82" t="s">
        <v>26</v>
      </c>
    </row>
    <row r="55" spans="2:9">
      <c r="B55" s="81"/>
      <c r="C55" s="83" t="s">
        <v>27</v>
      </c>
      <c r="D55" s="83" t="s">
        <v>28</v>
      </c>
      <c r="E55" s="83" t="s">
        <v>29</v>
      </c>
      <c r="F55" s="4"/>
      <c r="G55" s="83" t="s">
        <v>26</v>
      </c>
      <c r="H55" s="4"/>
      <c r="I55" s="82" t="s">
        <v>30</v>
      </c>
    </row>
    <row r="56" spans="2:9">
      <c r="B56" s="81"/>
      <c r="C56" s="5" t="s">
        <v>31</v>
      </c>
      <c r="D56" s="5" t="s">
        <v>32</v>
      </c>
      <c r="E56" s="5" t="s">
        <v>32</v>
      </c>
      <c r="F56" s="4"/>
      <c r="G56" s="6" t="s">
        <v>33</v>
      </c>
      <c r="H56" s="4"/>
      <c r="I56" s="84" t="s">
        <v>34</v>
      </c>
    </row>
    <row r="57" spans="2:9">
      <c r="B57" s="81" t="s">
        <v>35</v>
      </c>
      <c r="C57" s="9">
        <v>0.50600000000000001</v>
      </c>
      <c r="D57" s="9">
        <v>5.7599999999999998E-2</v>
      </c>
      <c r="E57" s="85">
        <f>C57*D57</f>
        <v>2.9145600000000001E-2</v>
      </c>
      <c r="F57" s="9"/>
      <c r="G57" s="4"/>
      <c r="H57" s="4"/>
      <c r="I57" s="86">
        <f>E57</f>
        <v>2.9145600000000001E-2</v>
      </c>
    </row>
    <row r="58" spans="2:9">
      <c r="B58" s="81" t="s">
        <v>36</v>
      </c>
      <c r="C58" s="9">
        <v>3.0000000000000001E-3</v>
      </c>
      <c r="D58" s="9">
        <v>5.4300000000000001E-2</v>
      </c>
      <c r="E58" s="85">
        <f>C58*D58</f>
        <v>1.629E-4</v>
      </c>
      <c r="F58" s="87"/>
      <c r="G58" s="87">
        <f>I63</f>
        <v>1.5384615384615383</v>
      </c>
      <c r="H58" s="4"/>
      <c r="I58" s="86">
        <f>E58*G58</f>
        <v>2.5061538461538461E-4</v>
      </c>
    </row>
    <row r="59" spans="2:9">
      <c r="B59" s="81" t="s">
        <v>37</v>
      </c>
      <c r="C59" s="7">
        <v>0.49099999999999999</v>
      </c>
      <c r="D59" s="9">
        <v>9.8000000000000004E-2</v>
      </c>
      <c r="E59" s="8">
        <f>C59*D59</f>
        <v>4.8118000000000001E-2</v>
      </c>
      <c r="F59" s="9"/>
      <c r="G59" s="87">
        <f>I63</f>
        <v>1.5384615384615383</v>
      </c>
      <c r="H59" s="4"/>
      <c r="I59" s="88">
        <f>E59*G59</f>
        <v>7.4027692307692308E-2</v>
      </c>
    </row>
    <row r="60" spans="2:9">
      <c r="B60" s="81" t="s">
        <v>0</v>
      </c>
      <c r="C60" s="87">
        <f>SUM(C57:C59)</f>
        <v>1</v>
      </c>
      <c r="D60" s="4"/>
      <c r="E60" s="87">
        <f>SUM(E57:E59)</f>
        <v>7.7426500000000009E-2</v>
      </c>
      <c r="F60" s="87"/>
      <c r="G60" s="4"/>
      <c r="H60" s="4"/>
      <c r="I60" s="89">
        <f>SUM(I57:I59)</f>
        <v>0.10342390769230769</v>
      </c>
    </row>
    <row r="61" spans="2:9">
      <c r="B61" s="81"/>
      <c r="C61" s="87"/>
      <c r="D61" s="4"/>
      <c r="E61" s="87"/>
      <c r="F61" s="87"/>
      <c r="G61" s="4"/>
      <c r="H61" s="4"/>
      <c r="I61" s="90"/>
    </row>
    <row r="62" spans="2:9">
      <c r="B62" s="81" t="s">
        <v>38</v>
      </c>
      <c r="C62" s="4"/>
      <c r="D62" s="4"/>
      <c r="E62" s="4"/>
      <c r="F62" s="87"/>
      <c r="G62" s="4"/>
      <c r="H62" s="4"/>
      <c r="I62" s="91">
        <v>0.35</v>
      </c>
    </row>
    <row r="63" spans="2:9">
      <c r="B63" s="81" t="s">
        <v>39</v>
      </c>
      <c r="C63" s="87"/>
      <c r="D63" s="4"/>
      <c r="E63" s="4"/>
      <c r="F63" s="87"/>
      <c r="G63" s="10"/>
      <c r="H63" s="4"/>
      <c r="I63" s="89">
        <f>1/(1-I62)</f>
        <v>1.5384615384615383</v>
      </c>
    </row>
    <row r="64" spans="2:9">
      <c r="B64" s="81"/>
      <c r="C64" s="87"/>
      <c r="D64" s="4"/>
      <c r="E64" s="92"/>
      <c r="F64" s="87"/>
      <c r="G64" s="87"/>
      <c r="H64" s="4"/>
      <c r="I64" s="90"/>
    </row>
    <row r="65" spans="2:9">
      <c r="B65" s="93" t="s">
        <v>40</v>
      </c>
      <c r="C65" s="87"/>
      <c r="D65" s="4"/>
      <c r="E65" s="92"/>
      <c r="F65" s="87"/>
      <c r="G65" s="87"/>
      <c r="H65" s="4"/>
      <c r="I65" s="90"/>
    </row>
    <row r="66" spans="2:9">
      <c r="B66" s="81" t="s">
        <v>6</v>
      </c>
      <c r="C66" s="87"/>
      <c r="D66" s="4"/>
      <c r="E66" s="92">
        <v>2E-3</v>
      </c>
      <c r="F66" s="4"/>
      <c r="G66" s="94">
        <f>E66*1/(1-(SUM($E$66:$E$68)))</f>
        <v>2.0959966464053656E-3</v>
      </c>
      <c r="H66" s="4"/>
      <c r="I66" s="90"/>
    </row>
    <row r="67" spans="2:9">
      <c r="B67" s="81" t="s">
        <v>7</v>
      </c>
      <c r="C67" s="87"/>
      <c r="D67" s="4"/>
      <c r="E67" s="92">
        <v>5.0699999999999999E-3</v>
      </c>
      <c r="F67" s="4"/>
      <c r="G67" s="94">
        <f>E67*1/(1-(SUM($E$66:$E$68)))</f>
        <v>5.3133514986376017E-3</v>
      </c>
      <c r="H67" s="4"/>
      <c r="I67" s="90"/>
    </row>
    <row r="68" spans="2:9">
      <c r="B68" s="81" t="s">
        <v>8</v>
      </c>
      <c r="C68" s="87"/>
      <c r="D68" s="4"/>
      <c r="E68" s="92">
        <v>3.8730000000000001E-2</v>
      </c>
      <c r="F68" s="4"/>
      <c r="G68" s="94">
        <f>E68*1/(1-(SUM($E$66:$E$68)))</f>
        <v>4.0588975057639906E-2</v>
      </c>
      <c r="H68" s="4"/>
      <c r="I68" s="90"/>
    </row>
    <row r="69" spans="2:9">
      <c r="B69" s="81"/>
      <c r="C69" s="87"/>
      <c r="D69" s="4"/>
      <c r="E69" s="4"/>
      <c r="F69" s="4"/>
      <c r="G69" s="4"/>
      <c r="H69" s="4"/>
      <c r="I69" s="90"/>
    </row>
    <row r="70" spans="2:9">
      <c r="B70" s="93" t="s">
        <v>41</v>
      </c>
      <c r="C70" s="87"/>
      <c r="D70" s="4"/>
      <c r="E70" s="4"/>
      <c r="F70" s="4"/>
      <c r="G70" s="4"/>
      <c r="H70" s="4"/>
      <c r="I70" s="90"/>
    </row>
    <row r="71" spans="2:9">
      <c r="B71" s="81" t="s">
        <v>42</v>
      </c>
      <c r="C71" s="4"/>
      <c r="D71" s="4"/>
      <c r="E71" s="95">
        <v>0.22474202685414957</v>
      </c>
      <c r="F71" s="4"/>
      <c r="G71" s="4"/>
      <c r="H71" s="4"/>
      <c r="I71" s="90"/>
    </row>
    <row r="72" spans="2:9">
      <c r="B72" s="81" t="s">
        <v>66</v>
      </c>
      <c r="C72" s="4"/>
      <c r="D72" s="4"/>
      <c r="E72" s="95">
        <v>0.22324454439353322</v>
      </c>
      <c r="F72" s="4"/>
      <c r="G72" s="4"/>
      <c r="H72" s="4"/>
      <c r="I72" s="90"/>
    </row>
    <row r="73" spans="2:9">
      <c r="B73" s="97"/>
      <c r="C73" s="70"/>
      <c r="D73" s="70"/>
      <c r="E73" s="70"/>
      <c r="F73" s="70"/>
      <c r="G73" s="70"/>
      <c r="H73" s="70"/>
      <c r="I73" s="100"/>
    </row>
  </sheetData>
  <printOptions horizontalCentered="1"/>
  <pageMargins left="0.5" right="0.5" top="0.5" bottom="0.5" header="0.25" footer="0.25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807F166-13E3-42C4-B657-57BCA752D63D}"/>
</file>

<file path=customXml/itemProps2.xml><?xml version="1.0" encoding="utf-8"?>
<ds:datastoreItem xmlns:ds="http://schemas.openxmlformats.org/officeDocument/2006/customXml" ds:itemID="{BD8DF168-26E5-4DFE-85CD-3C77E4AA2EF0}"/>
</file>

<file path=customXml/itemProps3.xml><?xml version="1.0" encoding="utf-8"?>
<ds:datastoreItem xmlns:ds="http://schemas.openxmlformats.org/officeDocument/2006/customXml" ds:itemID="{E9F9EDB9-EC50-4E60-AB21-5469F0E482CD}"/>
</file>

<file path=customXml/itemProps4.xml><?xml version="1.0" encoding="utf-8"?>
<ds:datastoreItem xmlns:ds="http://schemas.openxmlformats.org/officeDocument/2006/customXml" ds:itemID="{1D8E1011-93F8-4BA1-8F87-1CEB4876A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 for Table</vt:lpstr>
      <vt:lpstr>Summary Amortization</vt:lpstr>
      <vt:lpstr>Colstrip Capital</vt:lpstr>
      <vt:lpstr>Colstrip - Capital Detail</vt:lpstr>
      <vt:lpstr>Colstrip NPC</vt:lpstr>
      <vt:lpstr>Hydro NPC</vt:lpstr>
      <vt:lpstr>Depreciation</vt:lpstr>
      <vt:lpstr>Variables</vt:lpstr>
      <vt:lpstr>'Colstrip - Capital Detail'!Print_Area</vt:lpstr>
      <vt:lpstr>'Colstrip Capital'!Print_Area</vt:lpstr>
      <vt:lpstr>'Colstrip NPC'!Print_Area</vt:lpstr>
      <vt:lpstr>Depreciation!Print_Area</vt:lpstr>
      <vt:lpstr>'Hydro NPC'!Print_Area</vt:lpstr>
      <vt:lpstr>'Summary Amortization'!Print_Area</vt:lpstr>
      <vt:lpstr>Variables!Print_Area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Siores, Natasha</dc:creator>
  <cp:lastModifiedBy>McNay, Kaley</cp:lastModifiedBy>
  <cp:lastPrinted>2014-04-30T23:07:24Z</cp:lastPrinted>
  <dcterms:created xsi:type="dcterms:W3CDTF">2014-04-22T18:19:56Z</dcterms:created>
  <dcterms:modified xsi:type="dcterms:W3CDTF">2014-04-30T23:07:43Z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