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J:\GrpRevnu\PUBLIC\Accounting Petitions\LNG Commercial Operation\"/>
    </mc:Choice>
  </mc:AlternateContent>
  <bookViews>
    <workbookView xWindow="-15" yWindow="-15" windowWidth="14520" windowHeight="14655" tabRatio="842"/>
  </bookViews>
  <sheets>
    <sheet name="LNG Earnings Erosion Analysis" sheetId="51" r:id="rId1"/>
    <sheet name="CBR w GRC Revenues" sheetId="52" r:id="rId2"/>
    <sheet name="GRC New Revenues" sheetId="53" r:id="rId3"/>
    <sheet name="10-1-2021 Gas Compl Flng PLR" sheetId="54" r:id="rId4"/>
    <sheet name="GRC Conversion Factor" sheetId="55" r:id="rId5"/>
    <sheet name="Restating Print Macros" sheetId="2" state="veryHidden" r:id="rId6"/>
    <sheet name="Module13" sheetId="3" state="veryHidden" r:id="rId7"/>
    <sheet name="Module14" sheetId="4" state="veryHidden" r:id="rId8"/>
    <sheet name="Module15" sheetId="5" state="veryHidden" r:id="rId9"/>
    <sheet name="Module1" sheetId="6" state="very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.01_TempNorm">#REF!</definedName>
    <definedName name="_3.02_RevExp">#REF!</definedName>
    <definedName name="_3.03_FIT">#REF!</definedName>
    <definedName name="_3.04_TBoRI">#REF!</definedName>
    <definedName name="_3.05_PassThru">#REF!</definedName>
    <definedName name="_3.06_RateCaseExp">#REF!</definedName>
    <definedName name="_3.07_BadDebt">#REF!</definedName>
    <definedName name="_3.08_Incentives">#REF!</definedName>
    <definedName name="_3.09_ExciseTax">#REF!</definedName>
    <definedName name="_3.10_DandO">#REF!</definedName>
    <definedName name="_3.11_IntOnCustD">#REF!</definedName>
    <definedName name="_3.12_Pension">#REF!</definedName>
    <definedName name="_3.13_InjAndDam">#REF!</definedName>
    <definedName name="_3.A">#REF!</definedName>
    <definedName name="_3.B">#REF!</definedName>
    <definedName name="_3__123Graph_ABUDG6_Dtons_inv" hidden="1">[4]Quant!#REF!</definedName>
    <definedName name="_3__123Graph_BBUDG6_D_ESCRPR" hidden="1">[1]Quant!$D$72:$O$72</definedName>
    <definedName name="_4.01">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EDERAL_INCOME_TAX">#REF!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Parse_In" hidden="1">#REF!</definedName>
    <definedName name="_six6" hidden="1">{#N/A,#N/A,FALSE,"CRPT";#N/A,#N/A,FALSE,"TREND";#N/A,#N/A,FALSE,"%Curve"}</definedName>
    <definedName name="_Sort" hidden="1">#REF!</definedName>
    <definedName name="_Testyear">'[7]KJB-6,13 Cmn Adj'!$B$7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abc" hidden="1">{#N/A,#N/A,FALSE,"Coversheet";#N/A,#N/A,FALSE,"QA"}</definedName>
    <definedName name="b" hidden="1">{#N/A,#N/A,FALSE,"Coversheet";#N/A,#N/A,FALSE,"QA"}</definedName>
    <definedName name="BD">[8]Summaries!$CQ$12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CASE">'[9]Named Ranges'!$C$4</definedName>
    <definedName name="Comp">'[9]Named Ranges'!$C$8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DOCKET">#REF!</definedName>
    <definedName name="DOCKETNUMBER">'[9]Named Ranges'!$C$6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DERAL_INCOME_TAX">#REF!</definedName>
    <definedName name="FF">[8]Summaries!$CQ$13</definedName>
    <definedName name="ffff" hidden="1">{#N/A,#N/A,FALSE,"Coversheet";#N/A,#N/A,FALSE,"QA"}</definedName>
    <definedName name="fffgf" hidden="1">{#N/A,#N/A,FALSE,"Coversheet";#N/A,#N/A,FALSE,"QA"}</definedName>
    <definedName name="FIT">#REF!</definedName>
    <definedName name="gary" hidden="1">{#N/A,#N/A,FALSE,"Cover Sheet";"Use of Equipment",#N/A,FALSE,"Area C";"Equipment Hours",#N/A,FALSE,"All";"Summary",#N/A,FALSE,"All"}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FITrate">'[8]Electric Earnings Sharing'!$L$20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'LNG Earnings Erosion Analysis'!$A$2:$I$21</definedName>
    <definedName name="PSPL">#REF!</definedName>
    <definedName name="q" hidden="1">{#N/A,#N/A,FALSE,"Coversheet";#N/A,#N/A,FALSE,"QA"}</definedName>
    <definedName name="qqq" hidden="1">{#N/A,#N/A,FALSE,"schA"}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SULTS_OF_OPERATIONS">#REF!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TATE_UTILITY_TAX">#REF!</definedName>
    <definedName name="sue" hidden="1">{#N/A,#N/A,FALSE,"Cover Sheet";"Use of Equipment",#N/A,FALSE,"Area C";"Equipment Hours",#N/A,FALSE,"All";"Summary",#N/A,FALSE,"All"}</definedName>
    <definedName name="SUMMARY">#REF!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#REF!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TG">#REF!</definedName>
    <definedName name="UTN">[8]Summaries!$CQ$14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customWorkbookViews>
    <customWorkbookView name="PAGE 2.02" guid="{DF51FD8A-8BA9-46B7-B455-DFD0D532E42D}" maximized="1" windowWidth="1276" windowHeight="746" activeSheetId="6"/>
    <customWorkbookView name="PAGE 2.03" guid="{1E45DDAB-A557-4269-B1F7-CCA75743796E}" maximized="1" windowWidth="1276" windowHeight="746" activeSheetId="6"/>
    <customWorkbookView name="PAGE 2.04" guid="{114781A2-0298-429A-B53B-CCDE7FC07C8A}" maximized="1" windowWidth="1276" windowHeight="746" activeSheetId="6"/>
    <customWorkbookView name="PAGE 2.05" guid="{70410578-0BAB-407F-B45A-A1FD00E78914}" maximized="1" windowWidth="1276" windowHeight="746" activeSheetId="6"/>
    <customWorkbookView name="PAGE 2.06" guid="{833E8250-6973-4555-A9B1-5ACEC89F3481}" maximized="1" windowWidth="1276" windowHeight="746" activeSheetId="6"/>
    <customWorkbookView name="PAGE 2.07" guid="{2C3700F5-7337-49E6-9C17-9B49CE910373}" maximized="1" windowWidth="1276" windowHeight="746" activeSheetId="6"/>
    <customWorkbookView name="PAGE 2.08" guid="{57344CAB-EDB4-4D23-8F83-6632FA133D6F}" maximized="1" windowWidth="1276" windowHeight="746" activeSheetId="6"/>
    <customWorkbookView name="PAGE 2.15" guid="{368BDFFC-8B6F-4E1E-88F3-F226428845CF}" maximized="1" windowWidth="1276" windowHeight="746" activeSheetId="6"/>
    <customWorkbookView name="PAGE 2.17" guid="{BEBB2007-766E-4870-AB0B-58E56CB3F651}" maximized="1" windowWidth="1020" windowHeight="579" activeSheetId="1"/>
    <customWorkbookView name="PAGE 4.00" guid="{F0C9B202-A28C-4D84-9483-9F8FC93D796D}" maximized="1" windowWidth="1020" windowHeight="579" activeSheetId="1"/>
    <customWorkbookView name="PAGE 4.02" guid="{5528C217-5C85-409E-BEF2-118EFA30D59F}" maximized="1" windowWidth="1020" windowHeight="579" activeSheetId="1"/>
    <customWorkbookView name="PAGE 4.03" guid="{3CBED636-2D45-404E-AAC8-3EE8AD1E87DC}" maximized="1" windowWidth="1020" windowHeight="579" activeSheetId="1"/>
    <customWorkbookView name="PAGE 2.01" guid="{31DFCE0A-9DA6-4A87-B609-465F85B537E0}" maximized="1" windowWidth="1020" windowHeight="579" activeSheetId="1"/>
    <customWorkbookView name="PAGE 2.09" guid="{363BCC7B-365C-4862-8308-FD01127C4AC4}" maximized="1" windowWidth="1020" windowHeight="579" activeSheetId="1"/>
    <customWorkbookView name="PAGE 2.10" guid="{4D415296-881A-4775-98CD-22EFE3033486}" maximized="1" windowWidth="1020" windowHeight="579" activeSheetId="1"/>
    <customWorkbookView name="PAGE 2.11" guid="{1B900283-A429-4403-A9D8-C71CBE042C5B}" maximized="1" windowWidth="1020" windowHeight="579" activeSheetId="1"/>
    <customWorkbookView name="PAGE 2.12" guid="{1C1C43A1-DC1D-4B83-8878-3010F6B52F39}" maximized="1" windowWidth="1020" windowHeight="579" activeSheetId="1"/>
    <customWorkbookView name="PAGE 2.13" guid="{9BA720D1-BA25-4C52-A40B-874BAF7D1762}" maximized="1" windowWidth="1020" windowHeight="579" activeSheetId="1"/>
    <customWorkbookView name="PAGE 2.14" guid="{416960AD-1B0E-43B1-BBE2-4C2BAE619099}" maximized="1" windowWidth="1020" windowHeight="579" activeSheetId="1"/>
    <customWorkbookView name="PAGE 2.16" guid="{E75FE358-FE2D-4487-BA5A-B5AB72EE82DF}" maximized="1" windowWidth="1020" windowHeight="579" activeSheetId="1"/>
    <customWorkbookView name="Spreadsheet and summary" guid="{6734E4FA-60B7-471C-AEFF-A65F9BB053D8}" maximized="1" windowWidth="1020" windowHeight="579" activeSheetId="1"/>
    <customWorkbookView name="ckrueg - Personal view" guid="{9180F71E-9CF3-48FD-9127-9BC9888EC40C}" maximized="1" windowWidth="1020" windowHeight="579" activeSheetId="1"/>
  </customWorkbookViews>
</workbook>
</file>

<file path=xl/calcChain.xml><?xml version="1.0" encoding="utf-8"?>
<calcChain xmlns="http://schemas.openxmlformats.org/spreadsheetml/2006/main">
  <c r="M14" i="51" l="1"/>
  <c r="M10" i="51" l="1"/>
  <c r="K24" i="51" l="1"/>
  <c r="K11" i="51"/>
  <c r="K18" i="51"/>
  <c r="M19" i="51" l="1"/>
  <c r="K19" i="51" s="1"/>
  <c r="K20" i="51" s="1"/>
  <c r="A16" i="52"/>
  <c r="A17" i="52"/>
  <c r="A18" i="52"/>
  <c r="A19" i="52"/>
  <c r="A20" i="52"/>
  <c r="A21" i="52"/>
  <c r="A22" i="52"/>
  <c r="A23" i="52"/>
  <c r="E16" i="55"/>
  <c r="E20" i="55" s="1"/>
  <c r="E14" i="55"/>
  <c r="K75" i="54"/>
  <c r="K71" i="54"/>
  <c r="AL67" i="54"/>
  <c r="AK67" i="54"/>
  <c r="AJ67" i="54"/>
  <c r="H67" i="54"/>
  <c r="AL66" i="54"/>
  <c r="AK66" i="54"/>
  <c r="AJ66" i="54"/>
  <c r="H66" i="54"/>
  <c r="AL64" i="54"/>
  <c r="AK64" i="54"/>
  <c r="AJ64" i="54"/>
  <c r="AL63" i="54"/>
  <c r="AK63" i="54"/>
  <c r="AJ63" i="54"/>
  <c r="AL62" i="54"/>
  <c r="AL65" i="54" s="1"/>
  <c r="AL68" i="54" s="1"/>
  <c r="N62" i="54"/>
  <c r="M62" i="54"/>
  <c r="L62" i="54"/>
  <c r="AL61" i="54"/>
  <c r="AK61" i="54"/>
  <c r="AK62" i="54" s="1"/>
  <c r="AK65" i="54" s="1"/>
  <c r="AK68" i="54" s="1"/>
  <c r="AJ61" i="54"/>
  <c r="AJ62" i="54" s="1"/>
  <c r="AJ65" i="54" s="1"/>
  <c r="AJ68" i="54" s="1"/>
  <c r="N61" i="54"/>
  <c r="M61" i="54"/>
  <c r="L61" i="54"/>
  <c r="AL60" i="54"/>
  <c r="AK60" i="54"/>
  <c r="AJ60" i="54"/>
  <c r="J60" i="54"/>
  <c r="J63" i="54" s="1"/>
  <c r="I60" i="54"/>
  <c r="I63" i="54" s="1"/>
  <c r="C60" i="54"/>
  <c r="C63" i="54" s="1"/>
  <c r="AL59" i="54"/>
  <c r="AK59" i="54"/>
  <c r="AJ59" i="54"/>
  <c r="N59" i="54"/>
  <c r="M59" i="54"/>
  <c r="L59" i="54"/>
  <c r="K59" i="54"/>
  <c r="AL58" i="54"/>
  <c r="AK58" i="54"/>
  <c r="AJ58" i="54"/>
  <c r="N58" i="54"/>
  <c r="M58" i="54"/>
  <c r="L58" i="54"/>
  <c r="K58" i="54"/>
  <c r="AL57" i="54"/>
  <c r="AK57" i="54"/>
  <c r="AJ57" i="54"/>
  <c r="J57" i="54"/>
  <c r="I57" i="54"/>
  <c r="D57" i="54"/>
  <c r="D60" i="54" s="1"/>
  <c r="D63" i="54" s="1"/>
  <c r="C57" i="54"/>
  <c r="AL56" i="54"/>
  <c r="AK56" i="54"/>
  <c r="AJ56" i="54"/>
  <c r="M56" i="54"/>
  <c r="M57" i="54" s="1"/>
  <c r="M60" i="54" s="1"/>
  <c r="M63" i="54" s="1"/>
  <c r="L56" i="54"/>
  <c r="L57" i="54" s="1"/>
  <c r="L60" i="54" s="1"/>
  <c r="L63" i="54" s="1"/>
  <c r="K56" i="54"/>
  <c r="K57" i="54" s="1"/>
  <c r="K60" i="54" s="1"/>
  <c r="J56" i="54"/>
  <c r="I56" i="54"/>
  <c r="E56" i="54"/>
  <c r="E57" i="54" s="1"/>
  <c r="E60" i="54" s="1"/>
  <c r="E63" i="54" s="1"/>
  <c r="D56" i="54"/>
  <c r="C56" i="54"/>
  <c r="AL55" i="54"/>
  <c r="AK55" i="54"/>
  <c r="AJ55" i="54"/>
  <c r="N55" i="54"/>
  <c r="M55" i="54"/>
  <c r="L55" i="54"/>
  <c r="K55" i="54"/>
  <c r="E55" i="54"/>
  <c r="AL54" i="54"/>
  <c r="AK54" i="54"/>
  <c r="AJ54" i="54"/>
  <c r="N54" i="54"/>
  <c r="M54" i="54"/>
  <c r="L54" i="54"/>
  <c r="K54" i="54"/>
  <c r="E54" i="54"/>
  <c r="AL53" i="54"/>
  <c r="AK53" i="54"/>
  <c r="AJ53" i="54"/>
  <c r="N53" i="54"/>
  <c r="M53" i="54"/>
  <c r="L53" i="54"/>
  <c r="K53" i="54"/>
  <c r="E53" i="54"/>
  <c r="AN52" i="54"/>
  <c r="AM52" i="54"/>
  <c r="AL52" i="54"/>
  <c r="AK52" i="54"/>
  <c r="AJ52" i="54"/>
  <c r="AL51" i="54"/>
  <c r="AK51" i="54"/>
  <c r="AJ51" i="54"/>
  <c r="N51" i="54"/>
  <c r="M51" i="54"/>
  <c r="L51" i="54"/>
  <c r="K51" i="54"/>
  <c r="E51" i="54"/>
  <c r="AL50" i="54"/>
  <c r="AK50" i="54"/>
  <c r="AJ50" i="54"/>
  <c r="N50" i="54"/>
  <c r="M50" i="54"/>
  <c r="L50" i="54"/>
  <c r="K50" i="54"/>
  <c r="E50" i="54"/>
  <c r="AL49" i="54"/>
  <c r="AK49" i="54"/>
  <c r="AJ49" i="54"/>
  <c r="N49" i="54"/>
  <c r="M49" i="54"/>
  <c r="L49" i="54"/>
  <c r="K49" i="54"/>
  <c r="E49" i="54"/>
  <c r="AL48" i="54"/>
  <c r="AK48" i="54"/>
  <c r="AJ48" i="54"/>
  <c r="N48" i="54"/>
  <c r="M48" i="54"/>
  <c r="L48" i="54"/>
  <c r="K48" i="54"/>
  <c r="E48" i="54"/>
  <c r="AL47" i="54"/>
  <c r="AK47" i="54"/>
  <c r="AJ47" i="54"/>
  <c r="Y47" i="54"/>
  <c r="X47" i="54"/>
  <c r="W47" i="54"/>
  <c r="N47" i="54"/>
  <c r="M47" i="54"/>
  <c r="L47" i="54"/>
  <c r="K47" i="54"/>
  <c r="E47" i="54"/>
  <c r="AL46" i="54"/>
  <c r="AK46" i="54"/>
  <c r="AJ46" i="54"/>
  <c r="X46" i="54"/>
  <c r="X48" i="54" s="1"/>
  <c r="W46" i="54"/>
  <c r="N46" i="54"/>
  <c r="M46" i="54"/>
  <c r="L46" i="54"/>
  <c r="K46" i="54"/>
  <c r="E46" i="54"/>
  <c r="AL45" i="54"/>
  <c r="AK45" i="54"/>
  <c r="AJ45" i="54"/>
  <c r="N45" i="54"/>
  <c r="M45" i="54"/>
  <c r="L45" i="54"/>
  <c r="K45" i="54"/>
  <c r="E45" i="54"/>
  <c r="AL44" i="54"/>
  <c r="AK44" i="54"/>
  <c r="AJ44" i="54"/>
  <c r="N44" i="54"/>
  <c r="M44" i="54"/>
  <c r="L44" i="54"/>
  <c r="K44" i="54"/>
  <c r="E44" i="54"/>
  <c r="AL43" i="54"/>
  <c r="AK43" i="54"/>
  <c r="AJ43" i="54"/>
  <c r="N43" i="54"/>
  <c r="M43" i="54"/>
  <c r="L43" i="54"/>
  <c r="K43" i="54"/>
  <c r="E43" i="54"/>
  <c r="AL42" i="54"/>
  <c r="AK42" i="54"/>
  <c r="AJ42" i="54"/>
  <c r="N42" i="54"/>
  <c r="M42" i="54"/>
  <c r="L42" i="54"/>
  <c r="K42" i="54"/>
  <c r="E42" i="54"/>
  <c r="AL41" i="54"/>
  <c r="AK41" i="54"/>
  <c r="AJ41" i="54"/>
  <c r="N41" i="54"/>
  <c r="M41" i="54"/>
  <c r="L41" i="54"/>
  <c r="K41" i="54"/>
  <c r="E41" i="54"/>
  <c r="AL40" i="54"/>
  <c r="AK40" i="54"/>
  <c r="AJ40" i="54"/>
  <c r="N40" i="54"/>
  <c r="M40" i="54"/>
  <c r="L40" i="54"/>
  <c r="K40" i="54"/>
  <c r="E40" i="54"/>
  <c r="AL39" i="54"/>
  <c r="AK39" i="54"/>
  <c r="AJ39" i="54"/>
  <c r="N39" i="54"/>
  <c r="M39" i="54"/>
  <c r="L39" i="54"/>
  <c r="K39" i="54"/>
  <c r="E39" i="54"/>
  <c r="AL38" i="54"/>
  <c r="AK38" i="54"/>
  <c r="AJ38" i="54"/>
  <c r="N38" i="54"/>
  <c r="N56" i="54" s="1"/>
  <c r="N57" i="54" s="1"/>
  <c r="N60" i="54" s="1"/>
  <c r="N63" i="54" s="1"/>
  <c r="M38" i="54"/>
  <c r="L38" i="54"/>
  <c r="K38" i="54"/>
  <c r="E38" i="54"/>
  <c r="N37" i="54"/>
  <c r="M37" i="54"/>
  <c r="L37" i="54"/>
  <c r="K37" i="54"/>
  <c r="E37" i="54"/>
  <c r="N36" i="54"/>
  <c r="M36" i="54"/>
  <c r="L36" i="54"/>
  <c r="K36" i="54"/>
  <c r="E36" i="54"/>
  <c r="AL35" i="54"/>
  <c r="AK35" i="54"/>
  <c r="AJ35" i="54"/>
  <c r="N35" i="54"/>
  <c r="M35" i="54"/>
  <c r="L35" i="54"/>
  <c r="K35" i="54"/>
  <c r="E35" i="54"/>
  <c r="AL34" i="54"/>
  <c r="AK34" i="54"/>
  <c r="AJ34" i="54"/>
  <c r="N34" i="54"/>
  <c r="M34" i="54"/>
  <c r="L34" i="54"/>
  <c r="K34" i="54"/>
  <c r="E34" i="54"/>
  <c r="AL33" i="54"/>
  <c r="AK33" i="54"/>
  <c r="AJ33" i="54"/>
  <c r="N33" i="54"/>
  <c r="M33" i="54"/>
  <c r="L33" i="54"/>
  <c r="K33" i="54"/>
  <c r="E33" i="54"/>
  <c r="AL32" i="54"/>
  <c r="AK32" i="54"/>
  <c r="AJ32" i="54"/>
  <c r="N32" i="54"/>
  <c r="M32" i="54"/>
  <c r="L32" i="54"/>
  <c r="K32" i="54"/>
  <c r="E32" i="54"/>
  <c r="AL31" i="54"/>
  <c r="AK31" i="54"/>
  <c r="AJ31" i="54"/>
  <c r="N31" i="54"/>
  <c r="M31" i="54"/>
  <c r="L31" i="54"/>
  <c r="K31" i="54"/>
  <c r="E31" i="54"/>
  <c r="AL30" i="54"/>
  <c r="AK30" i="54"/>
  <c r="AJ30" i="54"/>
  <c r="AL29" i="54"/>
  <c r="AK29" i="54"/>
  <c r="AJ29" i="54"/>
  <c r="N29" i="54"/>
  <c r="M29" i="54"/>
  <c r="L29" i="54"/>
  <c r="K29" i="54"/>
  <c r="E29" i="54"/>
  <c r="AL28" i="54"/>
  <c r="AK28" i="54"/>
  <c r="AJ28" i="54"/>
  <c r="N28" i="54"/>
  <c r="M28" i="54"/>
  <c r="L28" i="54"/>
  <c r="K28" i="54"/>
  <c r="E28" i="54"/>
  <c r="AL27" i="54"/>
  <c r="AK27" i="54"/>
  <c r="AJ27" i="54"/>
  <c r="N27" i="54"/>
  <c r="M27" i="54"/>
  <c r="L27" i="54"/>
  <c r="K27" i="54"/>
  <c r="E27" i="54"/>
  <c r="AL26" i="54"/>
  <c r="AK26" i="54"/>
  <c r="AJ26" i="54"/>
  <c r="N26" i="54"/>
  <c r="M26" i="54"/>
  <c r="L26" i="54"/>
  <c r="K26" i="54"/>
  <c r="E26" i="54"/>
  <c r="AL25" i="54"/>
  <c r="AK25" i="54"/>
  <c r="AJ25" i="54"/>
  <c r="N25" i="54"/>
  <c r="M25" i="54"/>
  <c r="L25" i="54"/>
  <c r="K25" i="54"/>
  <c r="E25" i="54"/>
  <c r="AL24" i="54"/>
  <c r="AK24" i="54"/>
  <c r="AJ24" i="54"/>
  <c r="N24" i="54"/>
  <c r="M24" i="54"/>
  <c r="L24" i="54"/>
  <c r="K24" i="54"/>
  <c r="E24" i="54"/>
  <c r="AL23" i="54"/>
  <c r="AK23" i="54"/>
  <c r="AJ23" i="54"/>
  <c r="N23" i="54"/>
  <c r="M23" i="54"/>
  <c r="L23" i="54"/>
  <c r="K23" i="54"/>
  <c r="E23" i="54"/>
  <c r="AL22" i="54"/>
  <c r="AK22" i="54"/>
  <c r="AJ22" i="54"/>
  <c r="N22" i="54"/>
  <c r="M22" i="54"/>
  <c r="L22" i="54"/>
  <c r="K22" i="54"/>
  <c r="E22" i="54"/>
  <c r="AL21" i="54"/>
  <c r="AK21" i="54"/>
  <c r="AJ21" i="54"/>
  <c r="N21" i="54"/>
  <c r="M21" i="54"/>
  <c r="L21" i="54"/>
  <c r="K21" i="54"/>
  <c r="E21" i="54"/>
  <c r="AL20" i="54"/>
  <c r="AK20" i="54"/>
  <c r="AJ20" i="54"/>
  <c r="N20" i="54"/>
  <c r="M20" i="54"/>
  <c r="L20" i="54"/>
  <c r="K20" i="54"/>
  <c r="E20" i="54"/>
  <c r="AL19" i="54"/>
  <c r="AK19" i="54"/>
  <c r="AJ19" i="54"/>
  <c r="N19" i="54"/>
  <c r="M19" i="54"/>
  <c r="L19" i="54"/>
  <c r="K19" i="54"/>
  <c r="E19" i="54"/>
  <c r="AL18" i="54"/>
  <c r="AK18" i="54"/>
  <c r="AJ18" i="54"/>
  <c r="N18" i="54"/>
  <c r="M18" i="54"/>
  <c r="L18" i="54"/>
  <c r="K18" i="54"/>
  <c r="E18" i="54"/>
  <c r="AL17" i="54"/>
  <c r="AK17" i="54"/>
  <c r="AJ17" i="54"/>
  <c r="N17" i="54"/>
  <c r="M17" i="54"/>
  <c r="L17" i="54"/>
  <c r="K17" i="54"/>
  <c r="E17" i="54"/>
  <c r="AL16" i="54"/>
  <c r="AK16" i="54"/>
  <c r="AJ16" i="54"/>
  <c r="N16" i="54"/>
  <c r="M16" i="54"/>
  <c r="L16" i="54"/>
  <c r="K16" i="54"/>
  <c r="E16" i="54"/>
  <c r="AL15" i="54"/>
  <c r="AK15" i="54"/>
  <c r="AJ15" i="54"/>
  <c r="N15" i="54"/>
  <c r="M15" i="54"/>
  <c r="L15" i="54"/>
  <c r="K15" i="54"/>
  <c r="E15" i="54"/>
  <c r="AL14" i="54"/>
  <c r="AK14" i="54"/>
  <c r="AJ14" i="54"/>
  <c r="N14" i="54"/>
  <c r="M14" i="54"/>
  <c r="L14" i="54"/>
  <c r="K14" i="54"/>
  <c r="E14" i="54"/>
  <c r="AL13" i="54"/>
  <c r="AK13" i="54"/>
  <c r="AJ13" i="54"/>
  <c r="N13" i="54"/>
  <c r="M13" i="54"/>
  <c r="L13" i="54"/>
  <c r="K13" i="54"/>
  <c r="E13" i="54"/>
  <c r="AL12" i="54"/>
  <c r="AK12" i="54"/>
  <c r="AJ12" i="54"/>
  <c r="N12" i="54"/>
  <c r="M12" i="54"/>
  <c r="L12" i="54"/>
  <c r="K12" i="54"/>
  <c r="E12" i="54"/>
  <c r="AL11" i="54"/>
  <c r="AK11" i="54"/>
  <c r="AJ11" i="54"/>
  <c r="N11" i="54"/>
  <c r="M11" i="54"/>
  <c r="L11" i="54"/>
  <c r="K11" i="54"/>
  <c r="E11" i="54"/>
  <c r="AL10" i="54"/>
  <c r="AK10" i="54"/>
  <c r="AJ10" i="54"/>
  <c r="N10" i="54"/>
  <c r="M10" i="54"/>
  <c r="L10" i="54"/>
  <c r="K10" i="54"/>
  <c r="E10" i="54"/>
  <c r="AL8" i="54"/>
  <c r="AK8" i="54"/>
  <c r="AJ8" i="54"/>
  <c r="N8" i="54"/>
  <c r="M8" i="54"/>
  <c r="L8" i="54"/>
  <c r="E8" i="54"/>
  <c r="A15" i="53"/>
  <c r="A14" i="53"/>
  <c r="A13" i="53"/>
  <c r="A12" i="53"/>
  <c r="C11" i="53"/>
  <c r="A11" i="53"/>
  <c r="C10" i="53"/>
  <c r="A10" i="53"/>
  <c r="A9" i="53"/>
  <c r="A8" i="53"/>
  <c r="A7" i="53"/>
  <c r="A15" i="52"/>
  <c r="A14" i="52"/>
  <c r="A13" i="52"/>
  <c r="A12" i="52"/>
  <c r="A11" i="52"/>
  <c r="A10" i="52"/>
  <c r="A9" i="52"/>
  <c r="K63" i="54" l="1"/>
  <c r="C7" i="53"/>
  <c r="C13" i="53" s="1"/>
  <c r="C15" i="53" s="1"/>
  <c r="C13" i="52" s="1"/>
  <c r="Y46" i="54"/>
  <c r="E18" i="55"/>
  <c r="M18" i="51" l="1"/>
  <c r="M20" i="51" s="1"/>
  <c r="E19" i="51" l="1"/>
  <c r="F19" i="51" s="1"/>
  <c r="G19" i="51" s="1"/>
  <c r="H19" i="51" s="1"/>
  <c r="I19" i="51" s="1"/>
  <c r="E11" i="51" l="1"/>
  <c r="F11" i="51" s="1"/>
  <c r="G11" i="51" s="1"/>
  <c r="H11" i="51" s="1"/>
  <c r="I11" i="51" s="1"/>
  <c r="A10" i="51" l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D12" i="51" l="1"/>
  <c r="E10" i="51"/>
  <c r="F10" i="51" l="1"/>
  <c r="E12" i="51"/>
  <c r="F12" i="51" l="1"/>
  <c r="G10" i="51"/>
  <c r="G12" i="51" l="1"/>
  <c r="H10" i="51"/>
  <c r="I10" i="51" l="1"/>
  <c r="K10" i="51" s="1"/>
  <c r="K12" i="51" s="1"/>
  <c r="H12" i="51"/>
  <c r="C20" i="52" l="1"/>
  <c r="I12" i="51"/>
  <c r="D22" i="51" l="1"/>
  <c r="E14" i="51"/>
  <c r="D15" i="51"/>
  <c r="D16" i="51" s="1"/>
  <c r="D18" i="51" s="1"/>
  <c r="D20" i="51" s="1"/>
  <c r="E22" i="51" l="1"/>
  <c r="F14" i="51"/>
  <c r="E15" i="51"/>
  <c r="E16" i="51" s="1"/>
  <c r="E18" i="51" s="1"/>
  <c r="E20" i="51" s="1"/>
  <c r="F22" i="51" l="1"/>
  <c r="G14" i="51"/>
  <c r="F15" i="51"/>
  <c r="F16" i="51" s="1"/>
  <c r="F18" i="51" s="1"/>
  <c r="F20" i="51" s="1"/>
  <c r="H14" i="51" l="1"/>
  <c r="G15" i="51"/>
  <c r="G16" i="51" s="1"/>
  <c r="G18" i="51" s="1"/>
  <c r="G20" i="51" s="1"/>
  <c r="G22" i="51"/>
  <c r="H22" i="51" l="1"/>
  <c r="I14" i="51"/>
  <c r="C21" i="52" s="1"/>
  <c r="C22" i="52" s="1"/>
  <c r="C23" i="52" s="1"/>
  <c r="H15" i="51"/>
  <c r="H16" i="51" s="1"/>
  <c r="H18" i="51" s="1"/>
  <c r="I18" i="51" l="1"/>
  <c r="H20" i="51"/>
  <c r="I15" i="51"/>
  <c r="I16" i="51" s="1"/>
  <c r="I22" i="51"/>
  <c r="I24" i="51" s="1"/>
  <c r="I20" i="51" l="1"/>
  <c r="M12" i="51" l="1"/>
  <c r="C11" i="52" l="1"/>
  <c r="C15" i="52" s="1"/>
  <c r="M15" i="51" l="1"/>
  <c r="K14" i="51"/>
  <c r="M22" i="51" l="1"/>
  <c r="M24" i="51" s="1"/>
  <c r="M26" i="51" s="1"/>
  <c r="K22" i="51"/>
  <c r="K15" i="51"/>
  <c r="K16" i="51" s="1"/>
  <c r="M16" i="51"/>
</calcChain>
</file>

<file path=xl/sharedStrings.xml><?xml version="1.0" encoding="utf-8"?>
<sst xmlns="http://schemas.openxmlformats.org/spreadsheetml/2006/main" count="265" uniqueCount="163">
  <si>
    <t>Description</t>
  </si>
  <si>
    <t>Rate Case Expense</t>
  </si>
  <si>
    <t>Conversion Factor</t>
  </si>
  <si>
    <t>Line 10 ÷ Line11, &amp; for adj:  (Line 10 - Previous Line 10) ÷ Line11</t>
  </si>
  <si>
    <t>Line 8 x Line 9</t>
  </si>
  <si>
    <t>After-Tax Earnings Sharing (Cumulative)</t>
  </si>
  <si>
    <t>Earnings Sharing %</t>
  </si>
  <si>
    <t>Greater of zero or line 7</t>
  </si>
  <si>
    <t>Excess Earnings (Cumulative)</t>
  </si>
  <si>
    <t>Line 4 - Line 6</t>
  </si>
  <si>
    <t>Difference</t>
  </si>
  <si>
    <t>Previous Column + Line 5</t>
  </si>
  <si>
    <t>Restated Net Operating Income (Cumulative)</t>
  </si>
  <si>
    <t>Commission basis report pg 3-A thru 3-B</t>
  </si>
  <si>
    <t>Normalizing Adjustments</t>
  </si>
  <si>
    <t>Line 2 x Line 3</t>
  </si>
  <si>
    <t>Maximum Net Operating Income</t>
  </si>
  <si>
    <t>Commission basis report pg 1.01 line b</t>
  </si>
  <si>
    <t xml:space="preserve">Restated Rate Base </t>
  </si>
  <si>
    <t>Rate Base Adjustments</t>
  </si>
  <si>
    <t>Injuries &amp; Damages</t>
  </si>
  <si>
    <t>Bad Debt</t>
  </si>
  <si>
    <t>Temp Normalization</t>
  </si>
  <si>
    <t>Source</t>
  </si>
  <si>
    <t>Line No.</t>
  </si>
  <si>
    <t>Normalizing Adjustments to Remove</t>
  </si>
  <si>
    <t>Incremental Earnings Sharing for CY 2019 for Cost of Svc</t>
  </si>
  <si>
    <t>Two months 17GRC; Ten months 18ERF</t>
  </si>
  <si>
    <t>UE-121697</t>
  </si>
  <si>
    <t>(Source: UG-180900 and UG-190530)</t>
  </si>
  <si>
    <t>LNG Accounting Petition</t>
  </si>
  <si>
    <t>YE 2020</t>
  </si>
  <si>
    <t>Natural Gas Earnings Erosion Analysis</t>
  </si>
  <si>
    <t>2020 CBR as Filed (See Docket UG-210213)</t>
  </si>
  <si>
    <t>2020 Adjusted CBR Earnings Test UG-210213</t>
  </si>
  <si>
    <t>From PSE's 2020 Commission Basis Report Filing (See UG-210213)</t>
  </si>
  <si>
    <t>Adjusted for 2019 GRC and LNG</t>
  </si>
  <si>
    <t>NOI Difference</t>
  </si>
  <si>
    <t>Gross Up</t>
  </si>
  <si>
    <t>Natural Gas Earnings Analysis</t>
  </si>
  <si>
    <t>Line</t>
  </si>
  <si>
    <t>Amount</t>
  </si>
  <si>
    <t>(in millions)</t>
  </si>
  <si>
    <t>Current Estimated Under-Earnings</t>
  </si>
  <si>
    <t>Twelve Months Ending December 2020 Under-Earnings</t>
  </si>
  <si>
    <t>New GRC Revenues Not Offset by New Costs</t>
  </si>
  <si>
    <t>Estimated Under-Earnings</t>
  </si>
  <si>
    <t>2019 GRC Revenues</t>
  </si>
  <si>
    <t>2019 GRC Gas Deficiency Before Mitigation</t>
  </si>
  <si>
    <t>Offset by New Amortization:</t>
  </si>
  <si>
    <t>AMI (grossed up NOI)</t>
  </si>
  <si>
    <t>GTZ (grossed up NOI)</t>
  </si>
  <si>
    <t>New Revenues Not Offset by New Costs</t>
  </si>
  <si>
    <t>Prorated for 10/1/20 Effective Date</t>
  </si>
  <si>
    <r>
      <rPr>
        <b/>
        <sz val="24"/>
        <color rgb="FF231F20"/>
        <rFont val="Times New Roman"/>
        <family val="1"/>
      </rPr>
      <t>DOCKETS UE-190529, UG-190530, UE-190274, UG-190275, UE-171225, UG-171226, UE-190991 &amp; UG-190992</t>
    </r>
  </si>
  <si>
    <r>
      <t>(</t>
    </r>
    <r>
      <rPr>
        <b/>
        <i/>
        <sz val="24"/>
        <color rgb="FF231F20"/>
        <rFont val="Times New Roman"/>
        <family val="1"/>
      </rPr>
      <t>Consolidated</t>
    </r>
    <r>
      <rPr>
        <b/>
        <sz val="24"/>
        <color rgb="FF231F20"/>
        <rFont val="Times New Roman"/>
        <family val="1"/>
      </rPr>
      <t>) ORDER 14 AMENDING FINAL ORDERS</t>
    </r>
  </si>
  <si>
    <t>Authorized Rate of Return</t>
  </si>
  <si>
    <r>
      <rPr>
        <b/>
        <sz val="24"/>
        <color rgb="FF231F20"/>
        <rFont val="Times New Roman"/>
        <family val="1"/>
      </rPr>
      <t>PAGE 14</t>
    </r>
  </si>
  <si>
    <t>SECOND REVISED APPENDIX A</t>
  </si>
  <si>
    <r>
      <rPr>
        <b/>
        <sz val="14"/>
        <color rgb="FF231F20"/>
        <rFont val="Times New Roman"/>
        <family val="1"/>
      </rPr>
      <t>ADJUSTMENTS TO REVENUE REQUIREMENTS</t>
    </r>
  </si>
  <si>
    <t>For explaining Changes Made to this Model through Compliance</t>
  </si>
  <si>
    <r>
      <rPr>
        <b/>
        <sz val="12"/>
        <color rgb="FFFF0000"/>
        <rFont val="Times New Roman"/>
        <family val="1"/>
      </rPr>
      <t>NATURAL GAS OPERATIONS</t>
    </r>
  </si>
  <si>
    <t>Commission Decision</t>
  </si>
  <si>
    <t>Compliance Model</t>
  </si>
  <si>
    <t>PLR Compliance Model</t>
  </si>
  <si>
    <t>Appendix A</t>
  </si>
  <si>
    <t>BR-11 at 9.4%</t>
  </si>
  <si>
    <t>Adj. No.</t>
  </si>
  <si>
    <t>Adjustment</t>
  </si>
  <si>
    <t>NOI</t>
  </si>
  <si>
    <t>Rate Base</t>
  </si>
  <si>
    <t>Revenue Requirement</t>
  </si>
  <si>
    <t>Actual Results of Operation</t>
  </si>
  <si>
    <t>Restating Adjustments</t>
  </si>
  <si>
    <t>Uncontested Adjustments</t>
  </si>
  <si>
    <t>Revenues and Expenses</t>
  </si>
  <si>
    <t>Temperature Normalization</t>
  </si>
  <si>
    <t>Federal Income Tax</t>
  </si>
  <si>
    <t>Tax Benefit of Interest</t>
  </si>
  <si>
    <t>Pass‐Through Revenues and Expenses</t>
  </si>
  <si>
    <t>Normalize Injuries and Damages</t>
  </si>
  <si>
    <t>Bad Debts</t>
  </si>
  <si>
    <t>Incentive Pay</t>
  </si>
  <si>
    <t>Excise Tax &amp; Filing Fee</t>
  </si>
  <si>
    <t>Directors &amp; Officers Insurance</t>
  </si>
  <si>
    <t>Interest on Customer Deposits</t>
  </si>
  <si>
    <t>Rate Case Expenses</t>
  </si>
  <si>
    <t>Pension Plan</t>
  </si>
  <si>
    <t>Property &amp; Liability Insurance</t>
  </si>
  <si>
    <t>Wage Increase</t>
  </si>
  <si>
    <t>Investment Plan</t>
  </si>
  <si>
    <t>Employee Insurance</t>
  </si>
  <si>
    <t>Rent Expense</t>
  </si>
  <si>
    <t>AMA to EOP Rate Base</t>
  </si>
  <si>
    <t>Pro Forma Adjustments</t>
  </si>
  <si>
    <t>AMA to EOP Depreciation</t>
  </si>
  <si>
    <t>Remove 2018 CRM</t>
  </si>
  <si>
    <t>Proforma Exiting CRM</t>
  </si>
  <si>
    <t>Other Party Adjustments</t>
  </si>
  <si>
    <t>Tacoma LNG (Staff)</t>
  </si>
  <si>
    <t>Contested Adjustments</t>
  </si>
  <si>
    <t>Deferred Gains/Losses on Property Sales</t>
  </si>
  <si>
    <t>Environmental Remediation</t>
  </si>
  <si>
    <t>AMI</t>
  </si>
  <si>
    <t>Get to Zero</t>
  </si>
  <si>
    <t>NOI Diff</t>
  </si>
  <si>
    <t>Credit Card Payment Processing Costs</t>
  </si>
  <si>
    <t>BR15</t>
  </si>
  <si>
    <t>BR11</t>
  </si>
  <si>
    <t>Exp Diff</t>
  </si>
  <si>
    <t>Force Exp = RR</t>
  </si>
  <si>
    <t>RR Impact Order</t>
  </si>
  <si>
    <t>Unprotected EDIT</t>
  </si>
  <si>
    <t>Per Commission Order</t>
  </si>
  <si>
    <t>Public Improvement</t>
  </si>
  <si>
    <t>Per Update Adjustment</t>
  </si>
  <si>
    <t>Contract Escalations</t>
  </si>
  <si>
    <t>HR TOPS</t>
  </si>
  <si>
    <t>FIT</t>
  </si>
  <si>
    <t>Rev Sens Items</t>
  </si>
  <si>
    <t>Full Conv Fctr</t>
  </si>
  <si>
    <t>Rounding</t>
  </si>
  <si>
    <t>Commission Calc</t>
  </si>
  <si>
    <t>Remove Green Direct (Staff)</t>
  </si>
  <si>
    <t>AWEC‐1</t>
  </si>
  <si>
    <t>Bothell Data Center (AWEC)</t>
  </si>
  <si>
    <t>Total Adjustments</t>
  </si>
  <si>
    <t>Revenue Requirement Before Other Tariff Schedules</t>
  </si>
  <si>
    <t>Less Riders</t>
  </si>
  <si>
    <t>Less EDIT Separate Credit Tariff Sch.</t>
  </si>
  <si>
    <t>Revenue Requirement Before Mitigation Strategy</t>
  </si>
  <si>
    <t>Extend Amortization of Regulatory Assets ‐ Estimated</t>
  </si>
  <si>
    <t>PGA Deferral ‐ Extend to 3 years</t>
  </si>
  <si>
    <t>Final Revenue Requirement</t>
  </si>
  <si>
    <t>AMI Line 46 ÷ .751381</t>
  </si>
  <si>
    <t>GTZ Line 48 ÷ .751381</t>
  </si>
  <si>
    <t>PGA Deferral ‐ Extend to 3 years ‐ Estimated</t>
  </si>
  <si>
    <t>Sch 149 Change</t>
  </si>
  <si>
    <t>Sch 141 - Zero Out</t>
  </si>
  <si>
    <t>Sch 141X - Existing</t>
  </si>
  <si>
    <t>Total Riders</t>
  </si>
  <si>
    <t>Sch 141Z - New</t>
  </si>
  <si>
    <t>Sch 141X - New</t>
  </si>
  <si>
    <t>Total EDIT</t>
  </si>
  <si>
    <t>EXH. SEF-3G page 3 of 4</t>
  </si>
  <si>
    <t>PUGET SOUND ENERGY - NATURAL GAS</t>
  </si>
  <si>
    <t>RESULTS OF OPERATIONS</t>
  </si>
  <si>
    <t>2019 GENERAL RATE CASE</t>
  </si>
  <si>
    <t>12 MONTHS ENDED DECEMBER 31, 2018</t>
  </si>
  <si>
    <t>CONVERSION FACTOR</t>
  </si>
  <si>
    <t>DESCRIPTION</t>
  </si>
  <si>
    <t>BAD DEBTS</t>
  </si>
  <si>
    <t>ANNUAL FILING FEE</t>
  </si>
  <si>
    <t>STATE UTILITY TAX ( 3.8323% - ( LINE 1 * 3.8323% )  )</t>
  </si>
  <si>
    <t>SUM OF TAXES OTHER</t>
  </si>
  <si>
    <t>CONVERSION FACTOR EXCLUDING FEDERAL INCOME TAX ( 1 - LINE 6 )</t>
  </si>
  <si>
    <t>FEDERAL INCOME TAX ( LINE 7  * 21% )</t>
  </si>
  <si>
    <t xml:space="preserve">CONVERSION FACTOR INCL FEDERAL INCOME TAX ( LINE 7 - LINE 8 ) </t>
  </si>
  <si>
    <t>2020 CBR Allowed NOI</t>
  </si>
  <si>
    <t>2020 CBR Adjusted NOI</t>
  </si>
  <si>
    <t>Increase in Under-Earning</t>
  </si>
  <si>
    <t>Under-Earning</t>
  </si>
  <si>
    <t>Adjusted for 2019 GRC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</si>
</sst>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.0000_);_(&quot;$&quot;* \(#,##0.0000\);_(&quot;$&quot;* &quot;-&quot;????_);_(@_)"/>
    <numFmt numFmtId="166" formatCode="_(&quot;$&quot;* #,##0_);_(&quot;$&quot;* \(#,##0\);_(&quot;$&quot;* &quot;-&quot;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000%"/>
  </numFmts>
  <fonts count="35" x14ac:knownFonts="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8"/>
      <name val="Helv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24"/>
      <name val="Times New Roman"/>
      <family val="1"/>
    </font>
    <font>
      <b/>
      <sz val="24"/>
      <color rgb="FF231F20"/>
      <name val="Times New Roman"/>
      <family val="1"/>
    </font>
    <font>
      <sz val="12"/>
      <color rgb="FF000000"/>
      <name val="Times New Roman"/>
      <family val="1"/>
    </font>
    <font>
      <b/>
      <i/>
      <sz val="24"/>
      <color rgb="FF231F20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name val="Times New Roman"/>
      <family val="1"/>
    </font>
    <font>
      <b/>
      <sz val="14"/>
      <color rgb="FF231F2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1F4E78"/>
      <name val="Times New Roman"/>
      <family val="1"/>
    </font>
    <font>
      <b/>
      <sz val="11"/>
      <color rgb="FF1F4E78"/>
      <name val="Calibri"/>
      <family val="2"/>
      <scheme val="minor"/>
    </font>
    <font>
      <sz val="12"/>
      <color rgb="FFFF0000"/>
      <name val="Times New Roman"/>
      <family val="1"/>
    </font>
    <font>
      <b/>
      <i/>
      <sz val="12"/>
      <name val="Times New Roman"/>
      <family val="1"/>
    </font>
    <font>
      <b/>
      <i/>
      <sz val="11"/>
      <name val="Calibri"/>
      <family val="2"/>
      <scheme val="minor"/>
    </font>
    <font>
      <b/>
      <i/>
      <sz val="12"/>
      <color rgb="FF000000"/>
      <name val="Times New Roman"/>
      <family val="1"/>
    </font>
    <font>
      <b/>
      <i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3F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D9D9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6DCE4"/>
      </patternFill>
    </fill>
    <fill>
      <patternFill patternType="solid">
        <fgColor rgb="FFCFAFE7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ck">
        <color rgb="FF0000FF"/>
      </left>
      <right/>
      <top style="thick">
        <color rgb="FF0000FF"/>
      </top>
      <bottom style="thin">
        <color indexed="64"/>
      </bottom>
      <diagonal/>
    </border>
    <border>
      <left/>
      <right/>
      <top style="thick">
        <color rgb="FF0000FF"/>
      </top>
      <bottom style="thin">
        <color indexed="64"/>
      </bottom>
      <diagonal/>
    </border>
    <border>
      <left/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ck">
        <color rgb="FF0000FF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FF"/>
      </left>
      <right/>
      <top/>
      <bottom style="thin">
        <color rgb="FF000000"/>
      </bottom>
      <diagonal/>
    </border>
    <border>
      <left style="thin">
        <color rgb="FF000000"/>
      </left>
      <right style="thick">
        <color rgb="FF0000FF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FF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FF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ck">
        <color rgb="FF0000FF"/>
      </left>
      <right/>
      <top style="thin">
        <color rgb="FF000000"/>
      </top>
      <bottom style="thick">
        <color rgb="FF0000FF"/>
      </bottom>
      <diagonal/>
    </border>
    <border>
      <left style="thin">
        <color rgb="FF000000"/>
      </left>
      <right/>
      <top style="thin">
        <color rgb="FF000000"/>
      </top>
      <bottom style="thick">
        <color rgb="FF0000FF"/>
      </bottom>
      <diagonal/>
    </border>
    <border>
      <left style="thin">
        <color rgb="FF000000"/>
      </left>
      <right style="thick">
        <color rgb="FF0000FF"/>
      </right>
      <top style="thin">
        <color rgb="FF000000"/>
      </top>
      <bottom style="thick">
        <color rgb="FF0000FF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164" fontId="0" fillId="0" borderId="0">
      <alignment horizontal="left" wrapText="1"/>
    </xf>
    <xf numFmtId="165" fontId="3" fillId="0" borderId="0">
      <alignment horizontal="left" wrapText="1"/>
    </xf>
    <xf numFmtId="0" fontId="2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00">
    <xf numFmtId="0" fontId="0" fillId="0" borderId="0" xfId="0" applyNumberFormat="1" applyAlignment="1"/>
    <xf numFmtId="0" fontId="3" fillId="0" borderId="0" xfId="0" applyNumberFormat="1" applyFont="1" applyFill="1" applyAlignment="1"/>
    <xf numFmtId="0" fontId="3" fillId="0" borderId="0" xfId="0" applyNumberFormat="1" applyFont="1" applyAlignment="1"/>
    <xf numFmtId="42" fontId="3" fillId="2" borderId="2" xfId="0" applyNumberFormat="1" applyFont="1" applyFill="1" applyBorder="1" applyAlignment="1"/>
    <xf numFmtId="42" fontId="3" fillId="0" borderId="2" xfId="0" applyNumberFormat="1" applyFont="1" applyBorder="1" applyAlignment="1"/>
    <xf numFmtId="0" fontId="6" fillId="0" borderId="4" xfId="0" applyNumberFormat="1" applyFont="1" applyBorder="1" applyAlignment="1"/>
    <xf numFmtId="0" fontId="3" fillId="0" borderId="4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center"/>
    </xf>
    <xf numFmtId="42" fontId="3" fillId="0" borderId="6" xfId="0" applyNumberFormat="1" applyFont="1" applyBorder="1" applyAlignment="1"/>
    <xf numFmtId="3" fontId="3" fillId="0" borderId="6" xfId="0" applyNumberFormat="1" applyFont="1" applyFill="1" applyBorder="1" applyAlignment="1"/>
    <xf numFmtId="3" fontId="3" fillId="0" borderId="6" xfId="0" applyNumberFormat="1" applyFont="1" applyBorder="1" applyAlignment="1"/>
    <xf numFmtId="9" fontId="6" fillId="0" borderId="5" xfId="0" applyNumberFormat="1" applyFont="1" applyFill="1" applyBorder="1" applyAlignment="1"/>
    <xf numFmtId="42" fontId="3" fillId="0" borderId="5" xfId="0" applyNumberFormat="1" applyFont="1" applyBorder="1" applyAlignment="1"/>
    <xf numFmtId="42" fontId="3" fillId="0" borderId="6" xfId="0" applyNumberFormat="1" applyFont="1" applyFill="1" applyBorder="1" applyAlignment="1"/>
    <xf numFmtId="0" fontId="7" fillId="0" borderId="0" xfId="0" applyNumberFormat="1" applyFont="1" applyAlignment="1">
      <alignment horizontal="center"/>
    </xf>
    <xf numFmtId="42" fontId="7" fillId="0" borderId="0" xfId="0" applyNumberFormat="1" applyFont="1" applyAlignment="1">
      <alignment horizontal="center"/>
    </xf>
    <xf numFmtId="42" fontId="3" fillId="0" borderId="5" xfId="0" applyNumberFormat="1" applyFont="1" applyFill="1" applyBorder="1" applyAlignment="1"/>
    <xf numFmtId="0" fontId="3" fillId="0" borderId="5" xfId="0" applyNumberFormat="1" applyFont="1" applyBorder="1" applyAlignment="1"/>
    <xf numFmtId="10" fontId="6" fillId="0" borderId="5" xfId="0" applyNumberFormat="1" applyFont="1" applyBorder="1" applyAlignment="1"/>
    <xf numFmtId="42" fontId="3" fillId="0" borderId="7" xfId="0" applyNumberFormat="1" applyFont="1" applyFill="1" applyBorder="1" applyAlignment="1"/>
    <xf numFmtId="0" fontId="3" fillId="0" borderId="6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Continuous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42" fontId="3" fillId="0" borderId="12" xfId="0" applyNumberFormat="1" applyFont="1" applyFill="1" applyBorder="1" applyAlignment="1"/>
    <xf numFmtId="3" fontId="3" fillId="0" borderId="12" xfId="0" applyNumberFormat="1" applyFont="1" applyFill="1" applyBorder="1" applyAlignment="1"/>
    <xf numFmtId="42" fontId="3" fillId="0" borderId="2" xfId="0" applyNumberFormat="1" applyFont="1" applyFill="1" applyBorder="1" applyAlignment="1"/>
    <xf numFmtId="42" fontId="3" fillId="0" borderId="5" xfId="0" applyNumberFormat="1" applyFont="1" applyFill="1" applyBorder="1" applyAlignment="1"/>
    <xf numFmtId="10" fontId="3" fillId="0" borderId="0" xfId="0" applyNumberFormat="1" applyFont="1" applyAlignment="1"/>
    <xf numFmtId="0" fontId="5" fillId="0" borderId="0" xfId="0" applyNumberFormat="1" applyFont="1" applyAlignment="1">
      <alignment horizontal="right"/>
    </xf>
    <xf numFmtId="10" fontId="5" fillId="0" borderId="0" xfId="0" applyNumberFormat="1" applyFont="1" applyAlignment="1"/>
    <xf numFmtId="0" fontId="6" fillId="0" borderId="5" xfId="0" applyNumberFormat="1" applyFont="1" applyBorder="1" applyAlignment="1"/>
    <xf numFmtId="0" fontId="6" fillId="0" borderId="12" xfId="0" applyNumberFormat="1" applyFont="1" applyBorder="1" applyAlignment="1"/>
    <xf numFmtId="10" fontId="6" fillId="4" borderId="5" xfId="0" applyNumberFormat="1" applyFont="1" applyFill="1" applyBorder="1" applyAlignment="1"/>
    <xf numFmtId="164" fontId="6" fillId="4" borderId="5" xfId="0" applyNumberFormat="1" applyFont="1" applyFill="1" applyBorder="1" applyAlignment="1"/>
    <xf numFmtId="164" fontId="6" fillId="0" borderId="5" xfId="0" applyNumberFormat="1" applyFont="1" applyFill="1" applyBorder="1" applyAlignment="1"/>
    <xf numFmtId="0" fontId="4" fillId="5" borderId="8" xfId="0" applyNumberFormat="1" applyFont="1" applyFill="1" applyBorder="1" applyAlignment="1">
      <alignment horizontal="center" vertical="center" wrapText="1"/>
    </xf>
    <xf numFmtId="42" fontId="3" fillId="5" borderId="2" xfId="0" applyNumberFormat="1" applyFont="1" applyFill="1" applyBorder="1" applyAlignment="1"/>
    <xf numFmtId="164" fontId="8" fillId="0" borderId="0" xfId="0" applyFont="1" applyAlignment="1"/>
    <xf numFmtId="0" fontId="3" fillId="3" borderId="13" xfId="0" applyNumberFormat="1" applyFont="1" applyFill="1" applyBorder="1" applyAlignment="1">
      <alignment horizontal="centerContinuous"/>
    </xf>
    <xf numFmtId="0" fontId="3" fillId="3" borderId="1" xfId="0" applyNumberFormat="1" applyFont="1" applyFill="1" applyBorder="1" applyAlignment="1">
      <alignment horizontal="centerContinuous"/>
    </xf>
    <xf numFmtId="0" fontId="3" fillId="3" borderId="14" xfId="0" applyNumberFormat="1" applyFont="1" applyFill="1" applyBorder="1" applyAlignment="1">
      <alignment horizontal="centerContinuous"/>
    </xf>
    <xf numFmtId="42" fontId="3" fillId="0" borderId="0" xfId="0" applyNumberFormat="1" applyFont="1" applyAlignment="1"/>
    <xf numFmtId="0" fontId="8" fillId="0" borderId="0" xfId="4" applyFont="1"/>
    <xf numFmtId="0" fontId="10" fillId="0" borderId="0" xfId="4" applyFont="1"/>
    <xf numFmtId="0" fontId="8" fillId="0" borderId="1" xfId="4" applyFont="1" applyBorder="1" applyAlignment="1">
      <alignment horizontal="center"/>
    </xf>
    <xf numFmtId="0" fontId="10" fillId="0" borderId="0" xfId="4" applyFont="1" applyAlignment="1">
      <alignment horizontal="center"/>
    </xf>
    <xf numFmtId="0" fontId="10" fillId="0" borderId="0" xfId="4" applyFont="1" applyAlignment="1">
      <alignment horizontal="left" indent="1"/>
    </xf>
    <xf numFmtId="0" fontId="11" fillId="0" borderId="0" xfId="4" applyFont="1"/>
    <xf numFmtId="166" fontId="10" fillId="0" borderId="0" xfId="4" applyNumberFormat="1" applyFont="1"/>
    <xf numFmtId="167" fontId="10" fillId="0" borderId="0" xfId="5" applyNumberFormat="1" applyFont="1"/>
    <xf numFmtId="166" fontId="10" fillId="0" borderId="15" xfId="4" applyNumberFormat="1" applyFont="1" applyBorder="1"/>
    <xf numFmtId="166" fontId="10" fillId="0" borderId="16" xfId="4" applyNumberFormat="1" applyFont="1" applyBorder="1"/>
    <xf numFmtId="10" fontId="10" fillId="0" borderId="0" xfId="6" applyNumberFormat="1" applyFont="1"/>
    <xf numFmtId="10" fontId="10" fillId="0" borderId="0" xfId="4" applyNumberFormat="1" applyFont="1"/>
    <xf numFmtId="168" fontId="10" fillId="0" borderId="0" xfId="7" applyNumberFormat="1" applyFont="1"/>
    <xf numFmtId="167" fontId="10" fillId="0" borderId="15" xfId="5" applyNumberFormat="1" applyFont="1" applyBorder="1"/>
    <xf numFmtId="0" fontId="10" fillId="0" borderId="0" xfId="4" applyFont="1" applyAlignment="1">
      <alignment horizontal="left"/>
    </xf>
    <xf numFmtId="168" fontId="10" fillId="0" borderId="16" xfId="7" applyNumberFormat="1" applyFont="1" applyBorder="1"/>
    <xf numFmtId="0" fontId="13" fillId="0" borderId="0" xfId="8" applyFont="1" applyFill="1" applyBorder="1" applyAlignment="1">
      <alignment horizontal="left" vertical="top"/>
    </xf>
    <xf numFmtId="0" fontId="15" fillId="0" borderId="0" xfId="8" applyFont="1" applyFill="1" applyBorder="1" applyAlignment="1">
      <alignment horizontal="left" vertical="top"/>
    </xf>
    <xf numFmtId="0" fontId="14" fillId="0" borderId="0" xfId="8" applyFont="1" applyFill="1" applyBorder="1" applyAlignment="1">
      <alignment horizontal="left" vertical="top"/>
    </xf>
    <xf numFmtId="0" fontId="15" fillId="0" borderId="17" xfId="8" applyFont="1" applyFill="1" applyBorder="1" applyAlignment="1">
      <alignment horizontal="left"/>
    </xf>
    <xf numFmtId="0" fontId="15" fillId="0" borderId="15" xfId="8" applyFont="1" applyFill="1" applyBorder="1" applyAlignment="1">
      <alignment horizontal="left"/>
    </xf>
    <xf numFmtId="10" fontId="15" fillId="0" borderId="18" xfId="9" applyNumberFormat="1" applyFont="1" applyFill="1" applyBorder="1" applyAlignment="1">
      <alignment horizontal="right"/>
    </xf>
    <xf numFmtId="0" fontId="15" fillId="0" borderId="13" xfId="8" applyFont="1" applyFill="1" applyBorder="1" applyAlignment="1">
      <alignment horizontal="left"/>
    </xf>
    <xf numFmtId="0" fontId="15" fillId="0" borderId="1" xfId="8" applyFont="1" applyFill="1" applyBorder="1" applyAlignment="1">
      <alignment horizontal="left"/>
    </xf>
    <xf numFmtId="164" fontId="17" fillId="0" borderId="14" xfId="8" applyNumberFormat="1" applyFont="1" applyFill="1" applyBorder="1" applyAlignment="1" applyProtection="1">
      <protection locked="0"/>
    </xf>
    <xf numFmtId="0" fontId="18" fillId="0" borderId="0" xfId="8" applyFont="1" applyFill="1" applyBorder="1" applyAlignment="1">
      <alignment vertical="top"/>
    </xf>
    <xf numFmtId="0" fontId="19" fillId="0" borderId="0" xfId="8" applyFont="1" applyFill="1" applyBorder="1" applyAlignment="1">
      <alignment vertical="top"/>
    </xf>
    <xf numFmtId="0" fontId="21" fillId="0" borderId="10" xfId="8" applyFont="1" applyFill="1" applyBorder="1" applyAlignment="1">
      <alignment vertical="top"/>
    </xf>
    <xf numFmtId="0" fontId="22" fillId="0" borderId="10" xfId="8" applyFont="1" applyFill="1" applyBorder="1" applyAlignment="1">
      <alignment vertical="top"/>
    </xf>
    <xf numFmtId="0" fontId="22" fillId="0" borderId="11" xfId="8" applyFont="1" applyFill="1" applyBorder="1" applyAlignment="1">
      <alignment vertical="top"/>
    </xf>
    <xf numFmtId="0" fontId="23" fillId="0" borderId="19" xfId="8" applyFont="1" applyFill="1" applyBorder="1" applyAlignment="1">
      <alignment horizontal="centerContinuous" vertical="top"/>
    </xf>
    <xf numFmtId="0" fontId="23" fillId="0" borderId="20" xfId="8" applyFont="1" applyFill="1" applyBorder="1" applyAlignment="1">
      <alignment horizontal="centerContinuous" vertical="top"/>
    </xf>
    <xf numFmtId="0" fontId="23" fillId="0" borderId="13" xfId="8" applyFont="1" applyFill="1" applyBorder="1" applyAlignment="1">
      <alignment horizontal="centerContinuous" vertical="top"/>
    </xf>
    <xf numFmtId="0" fontId="23" fillId="0" borderId="3" xfId="8" applyFont="1" applyFill="1" applyBorder="1" applyAlignment="1">
      <alignment horizontal="centerContinuous" vertical="top"/>
    </xf>
    <xf numFmtId="0" fontId="23" fillId="0" borderId="11" xfId="8" applyFont="1" applyFill="1" applyBorder="1" applyAlignment="1">
      <alignment horizontal="centerContinuous" vertical="top"/>
    </xf>
    <xf numFmtId="0" fontId="24" fillId="0" borderId="21" xfId="8" applyFont="1" applyFill="1" applyBorder="1" applyAlignment="1">
      <alignment horizontal="centerContinuous" vertical="center" wrapText="1"/>
    </xf>
    <xf numFmtId="0" fontId="24" fillId="0" borderId="22" xfId="8" applyFont="1" applyFill="1" applyBorder="1" applyAlignment="1">
      <alignment horizontal="centerContinuous" vertical="center" wrapText="1"/>
    </xf>
    <xf numFmtId="0" fontId="24" fillId="0" borderId="23" xfId="8" applyFont="1" applyFill="1" applyBorder="1" applyAlignment="1">
      <alignment horizontal="centerContinuous" vertical="center" wrapText="1"/>
    </xf>
    <xf numFmtId="0" fontId="24" fillId="0" borderId="24" xfId="8" applyFont="1" applyFill="1" applyBorder="1" applyAlignment="1">
      <alignment horizontal="centerContinuous" vertical="center" wrapText="1"/>
    </xf>
    <xf numFmtId="0" fontId="25" fillId="0" borderId="0" xfId="4" applyFont="1" applyFill="1" applyBorder="1" applyAlignment="1">
      <alignment horizontal="left" vertical="top"/>
    </xf>
    <xf numFmtId="0" fontId="26" fillId="0" borderId="25" xfId="4" applyFont="1" applyFill="1" applyBorder="1" applyAlignment="1">
      <alignment horizontal="centerContinuous" vertical="top"/>
    </xf>
    <xf numFmtId="0" fontId="26" fillId="0" borderId="26" xfId="4" applyFont="1" applyFill="1" applyBorder="1" applyAlignment="1">
      <alignment horizontal="centerContinuous" vertical="top"/>
    </xf>
    <xf numFmtId="0" fontId="26" fillId="0" borderId="27" xfId="4" applyFont="1" applyFill="1" applyBorder="1" applyAlignment="1">
      <alignment horizontal="centerContinuous" vertical="top"/>
    </xf>
    <xf numFmtId="0" fontId="22" fillId="6" borderId="28" xfId="8" applyFont="1" applyFill="1" applyBorder="1" applyAlignment="1"/>
    <xf numFmtId="0" fontId="22" fillId="6" borderId="29" xfId="8" applyFont="1" applyFill="1" applyBorder="1" applyAlignment="1">
      <alignment horizontal="center" wrapText="1"/>
    </xf>
    <xf numFmtId="0" fontId="22" fillId="6" borderId="30" xfId="8" applyFont="1" applyFill="1" applyBorder="1" applyAlignment="1">
      <alignment horizontal="center" wrapText="1"/>
    </xf>
    <xf numFmtId="0" fontId="22" fillId="6" borderId="28" xfId="8" applyFont="1" applyFill="1" applyBorder="1" applyAlignment="1">
      <alignment horizontal="center" wrapText="1"/>
    </xf>
    <xf numFmtId="0" fontId="22" fillId="6" borderId="31" xfId="8" applyFont="1" applyFill="1" applyBorder="1" applyAlignment="1">
      <alignment horizontal="center" wrapText="1"/>
    </xf>
    <xf numFmtId="0" fontId="25" fillId="6" borderId="32" xfId="4" applyFont="1" applyFill="1" applyBorder="1" applyAlignment="1">
      <alignment horizontal="left" vertical="center"/>
    </xf>
    <xf numFmtId="0" fontId="25" fillId="6" borderId="23" xfId="4" applyFont="1" applyFill="1" applyBorder="1" applyAlignment="1">
      <alignment horizontal="center" vertical="top"/>
    </xf>
    <xf numFmtId="0" fontId="25" fillId="6" borderId="33" xfId="4" applyFont="1" applyFill="1" applyBorder="1" applyAlignment="1">
      <alignment horizontal="center" vertical="top"/>
    </xf>
    <xf numFmtId="0" fontId="25" fillId="6" borderId="34" xfId="4" applyFont="1" applyFill="1" applyBorder="1" applyAlignment="1">
      <alignment horizontal="center" vertical="top"/>
    </xf>
    <xf numFmtId="0" fontId="25" fillId="6" borderId="35" xfId="4" applyFont="1" applyFill="1" applyBorder="1" applyAlignment="1">
      <alignment horizontal="center" vertical="top" wrapText="1"/>
    </xf>
    <xf numFmtId="0" fontId="15" fillId="0" borderId="29" xfId="8" applyFont="1" applyFill="1" applyBorder="1" applyAlignment="1">
      <alignment vertical="top"/>
    </xf>
    <xf numFmtId="0" fontId="23" fillId="0" borderId="29" xfId="8" applyFont="1" applyFill="1" applyBorder="1" applyAlignment="1">
      <alignment vertical="top"/>
    </xf>
    <xf numFmtId="167" fontId="15" fillId="0" borderId="29" xfId="10" applyNumberFormat="1" applyFont="1" applyFill="1" applyBorder="1" applyAlignment="1">
      <alignment vertical="top"/>
    </xf>
    <xf numFmtId="167" fontId="15" fillId="0" borderId="30" xfId="10" applyNumberFormat="1" applyFont="1" applyFill="1" applyBorder="1" applyAlignment="1">
      <alignment horizontal="right" vertical="top"/>
    </xf>
    <xf numFmtId="167" fontId="15" fillId="0" borderId="29" xfId="10" applyNumberFormat="1" applyFont="1" applyFill="1" applyBorder="1" applyAlignment="1">
      <alignment horizontal="right" vertical="top"/>
    </xf>
    <xf numFmtId="167" fontId="15" fillId="0" borderId="2" xfId="10" applyNumberFormat="1" applyFont="1" applyFill="1" applyBorder="1" applyAlignment="1">
      <alignment vertical="top"/>
    </xf>
    <xf numFmtId="0" fontId="1" fillId="7" borderId="0" xfId="4" applyFill="1"/>
    <xf numFmtId="0" fontId="27" fillId="0" borderId="36" xfId="4" applyFont="1" applyFill="1" applyBorder="1" applyAlignment="1">
      <alignment horizontal="left" vertical="top"/>
    </xf>
    <xf numFmtId="0" fontId="26" fillId="0" borderId="29" xfId="4" applyFont="1" applyFill="1" applyBorder="1" applyAlignment="1">
      <alignment horizontal="left" vertical="top"/>
    </xf>
    <xf numFmtId="168" fontId="27" fillId="0" borderId="37" xfId="7" applyNumberFormat="1" applyFont="1" applyFill="1" applyBorder="1" applyAlignment="1">
      <alignment vertical="top"/>
    </xf>
    <xf numFmtId="168" fontId="27" fillId="0" borderId="28" xfId="7" applyNumberFormat="1" applyFont="1" applyFill="1" applyBorder="1" applyAlignment="1">
      <alignment vertical="top"/>
    </xf>
    <xf numFmtId="168" fontId="27" fillId="0" borderId="38" xfId="7" applyNumberFormat="1" applyFont="1" applyFill="1" applyBorder="1" applyAlignment="1">
      <alignment vertical="top" wrapText="1"/>
    </xf>
    <xf numFmtId="167" fontId="15" fillId="0" borderId="0" xfId="8" applyNumberFormat="1" applyFont="1" applyFill="1" applyBorder="1" applyAlignment="1">
      <alignment horizontal="left" vertical="top"/>
    </xf>
    <xf numFmtId="0" fontId="22" fillId="8" borderId="29" xfId="8" applyFont="1" applyFill="1" applyBorder="1" applyAlignment="1">
      <alignment vertical="top"/>
    </xf>
    <xf numFmtId="0" fontId="22" fillId="8" borderId="19" xfId="8" applyFont="1" applyFill="1" applyBorder="1" applyAlignment="1">
      <alignment vertical="top"/>
    </xf>
    <xf numFmtId="167" fontId="22" fillId="8" borderId="19" xfId="10" applyNumberFormat="1" applyFont="1" applyFill="1" applyBorder="1" applyAlignment="1">
      <alignment vertical="top"/>
    </xf>
    <xf numFmtId="167" fontId="22" fillId="8" borderId="39" xfId="10" applyNumberFormat="1" applyFont="1" applyFill="1" applyBorder="1" applyAlignment="1">
      <alignment vertical="top"/>
    </xf>
    <xf numFmtId="167" fontId="22" fillId="8" borderId="40" xfId="10" applyNumberFormat="1" applyFont="1" applyFill="1" applyBorder="1" applyAlignment="1">
      <alignment vertical="top"/>
    </xf>
    <xf numFmtId="0" fontId="25" fillId="8" borderId="41" xfId="4" applyFont="1" applyFill="1" applyBorder="1" applyAlignment="1">
      <alignment horizontal="left" vertical="top"/>
    </xf>
    <xf numFmtId="0" fontId="25" fillId="8" borderId="19" xfId="4" applyFont="1" applyFill="1" applyBorder="1" applyAlignment="1">
      <alignment horizontal="left" vertical="top"/>
    </xf>
    <xf numFmtId="0" fontId="25" fillId="8" borderId="42" xfId="4" applyFont="1" applyFill="1" applyBorder="1" applyAlignment="1">
      <alignment horizontal="left" vertical="top"/>
    </xf>
    <xf numFmtId="0" fontId="25" fillId="8" borderId="43" xfId="4" applyFont="1" applyFill="1" applyBorder="1" applyAlignment="1">
      <alignment horizontal="left" vertical="top"/>
    </xf>
    <xf numFmtId="2" fontId="15" fillId="0" borderId="29" xfId="8" applyNumberFormat="1" applyFont="1" applyFill="1" applyBorder="1" applyAlignment="1">
      <alignment vertical="top"/>
    </xf>
    <xf numFmtId="167" fontId="28" fillId="0" borderId="29" xfId="10" applyNumberFormat="1" applyFont="1" applyFill="1" applyBorder="1" applyAlignment="1">
      <alignment vertical="top"/>
    </xf>
    <xf numFmtId="167" fontId="22" fillId="0" borderId="29" xfId="10" applyNumberFormat="1" applyFont="1" applyFill="1" applyBorder="1" applyAlignment="1">
      <alignment vertical="top"/>
    </xf>
    <xf numFmtId="0" fontId="25" fillId="0" borderId="29" xfId="4" applyFont="1" applyFill="1" applyBorder="1" applyAlignment="1">
      <alignment horizontal="left" vertical="top"/>
    </xf>
    <xf numFmtId="167" fontId="27" fillId="0" borderId="42" xfId="5" applyNumberFormat="1" applyFont="1" applyFill="1" applyBorder="1" applyAlignment="1">
      <alignment vertical="top"/>
    </xf>
    <xf numFmtId="167" fontId="27" fillId="0" borderId="29" xfId="5" applyNumberFormat="1" applyFont="1" applyFill="1" applyBorder="1" applyAlignment="1">
      <alignment vertical="top"/>
    </xf>
    <xf numFmtId="167" fontId="26" fillId="0" borderId="38" xfId="5" applyNumberFormat="1" applyFont="1" applyFill="1" applyBorder="1" applyAlignment="1">
      <alignment vertical="top"/>
    </xf>
    <xf numFmtId="2" fontId="27" fillId="0" borderId="36" xfId="4" applyNumberFormat="1" applyFont="1" applyFill="1" applyBorder="1" applyAlignment="1">
      <alignment horizontal="right" vertical="top"/>
    </xf>
    <xf numFmtId="167" fontId="29" fillId="0" borderId="42" xfId="5" applyNumberFormat="1" applyFont="1" applyFill="1" applyBorder="1" applyAlignment="1">
      <alignment vertical="top"/>
    </xf>
    <xf numFmtId="167" fontId="29" fillId="0" borderId="29" xfId="5" applyNumberFormat="1" applyFont="1" applyFill="1" applyBorder="1" applyAlignment="1">
      <alignment vertical="top"/>
    </xf>
    <xf numFmtId="167" fontId="27" fillId="0" borderId="38" xfId="5" applyNumberFormat="1" applyFont="1" applyFill="1" applyBorder="1" applyAlignment="1">
      <alignment vertical="top"/>
    </xf>
    <xf numFmtId="167" fontId="25" fillId="0" borderId="29" xfId="5" applyNumberFormat="1" applyFont="1" applyFill="1" applyBorder="1" applyAlignment="1">
      <alignment vertical="top"/>
    </xf>
    <xf numFmtId="167" fontId="23" fillId="0" borderId="30" xfId="10" applyNumberFormat="1" applyFont="1" applyFill="1" applyBorder="1" applyAlignment="1">
      <alignment horizontal="right" vertical="top"/>
    </xf>
    <xf numFmtId="167" fontId="23" fillId="0" borderId="29" xfId="10" applyNumberFormat="1" applyFont="1" applyFill="1" applyBorder="1" applyAlignment="1">
      <alignment horizontal="right" vertical="top"/>
    </xf>
    <xf numFmtId="167" fontId="15" fillId="0" borderId="0" xfId="5" applyNumberFormat="1" applyFont="1" applyFill="1" applyBorder="1" applyAlignment="1">
      <alignment horizontal="left" vertical="top"/>
    </xf>
    <xf numFmtId="167" fontId="25" fillId="8" borderId="42" xfId="5" applyNumberFormat="1" applyFont="1" applyFill="1" applyBorder="1" applyAlignment="1">
      <alignment horizontal="left" vertical="top"/>
    </xf>
    <xf numFmtId="167" fontId="25" fillId="8" borderId="19" xfId="5" applyNumberFormat="1" applyFont="1" applyFill="1" applyBorder="1" applyAlignment="1">
      <alignment horizontal="left" vertical="top"/>
    </xf>
    <xf numFmtId="167" fontId="25" fillId="8" borderId="43" xfId="5" applyNumberFormat="1" applyFont="1" applyFill="1" applyBorder="1" applyAlignment="1">
      <alignment horizontal="left" vertical="top"/>
    </xf>
    <xf numFmtId="167" fontId="25" fillId="0" borderId="42" xfId="5" applyNumberFormat="1" applyFont="1" applyFill="1" applyBorder="1" applyAlignment="1">
      <alignment vertical="top"/>
    </xf>
    <xf numFmtId="0" fontId="1" fillId="7" borderId="0" xfId="4" applyFill="1" applyAlignment="1">
      <alignment horizontal="center"/>
    </xf>
    <xf numFmtId="168" fontId="0" fillId="7" borderId="0" xfId="7" applyNumberFormat="1" applyFont="1" applyFill="1"/>
    <xf numFmtId="168" fontId="1" fillId="7" borderId="0" xfId="4" applyNumberFormat="1" applyFill="1"/>
    <xf numFmtId="168" fontId="0" fillId="7" borderId="0" xfId="7" applyNumberFormat="1" applyFont="1" applyFill="1" applyAlignment="1">
      <alignment horizontal="center"/>
    </xf>
    <xf numFmtId="0" fontId="30" fillId="0" borderId="0" xfId="8" applyFont="1" applyFill="1" applyBorder="1" applyAlignment="1">
      <alignment horizontal="left" vertical="top"/>
    </xf>
    <xf numFmtId="9" fontId="1" fillId="7" borderId="0" xfId="4" applyNumberFormat="1" applyFill="1"/>
    <xf numFmtId="164" fontId="1" fillId="7" borderId="0" xfId="4" applyNumberFormat="1" applyFill="1"/>
    <xf numFmtId="44" fontId="0" fillId="7" borderId="0" xfId="7" applyNumberFormat="1" applyFont="1" applyFill="1"/>
    <xf numFmtId="167" fontId="30" fillId="0" borderId="0" xfId="8" applyNumberFormat="1" applyFont="1" applyFill="1" applyBorder="1" applyAlignment="1">
      <alignment horizontal="left" vertical="top"/>
    </xf>
    <xf numFmtId="0" fontId="15" fillId="8" borderId="29" xfId="8" applyFont="1" applyFill="1" applyBorder="1" applyAlignment="1">
      <alignment vertical="top"/>
    </xf>
    <xf numFmtId="0" fontId="31" fillId="8" borderId="29" xfId="8" applyFont="1" applyFill="1" applyBorder="1" applyAlignment="1">
      <alignment vertical="top"/>
    </xf>
    <xf numFmtId="167" fontId="15" fillId="8" borderId="29" xfId="10" applyNumberFormat="1" applyFont="1" applyFill="1" applyBorder="1" applyAlignment="1">
      <alignment vertical="top"/>
    </xf>
    <xf numFmtId="167" fontId="15" fillId="8" borderId="44" xfId="10" applyNumberFormat="1" applyFont="1" applyFill="1" applyBorder="1" applyAlignment="1">
      <alignment vertical="top"/>
    </xf>
    <xf numFmtId="167" fontId="15" fillId="8" borderId="45" xfId="10" applyNumberFormat="1" applyFont="1" applyFill="1" applyBorder="1" applyAlignment="1">
      <alignment vertical="top"/>
    </xf>
    <xf numFmtId="0" fontId="26" fillId="0" borderId="36" xfId="4" applyFont="1" applyFill="1" applyBorder="1" applyAlignment="1">
      <alignment horizontal="right" vertical="top"/>
    </xf>
    <xf numFmtId="0" fontId="27" fillId="8" borderId="36" xfId="4" applyFont="1" applyFill="1" applyBorder="1" applyAlignment="1">
      <alignment horizontal="left" vertical="top"/>
    </xf>
    <xf numFmtId="0" fontId="32" fillId="8" borderId="29" xfId="4" applyFont="1" applyFill="1" applyBorder="1" applyAlignment="1">
      <alignment horizontal="left" vertical="top"/>
    </xf>
    <xf numFmtId="167" fontId="27" fillId="8" borderId="42" xfId="5" applyNumberFormat="1" applyFont="1" applyFill="1" applyBorder="1" applyAlignment="1">
      <alignment vertical="top"/>
    </xf>
    <xf numFmtId="167" fontId="27" fillId="8" borderId="29" xfId="5" applyNumberFormat="1" applyFont="1" applyFill="1" applyBorder="1" applyAlignment="1">
      <alignment vertical="top"/>
    </xf>
    <xf numFmtId="167" fontId="27" fillId="8" borderId="38" xfId="5" applyNumberFormat="1" applyFont="1" applyFill="1" applyBorder="1" applyAlignment="1">
      <alignment vertical="top"/>
    </xf>
    <xf numFmtId="0" fontId="15" fillId="9" borderId="29" xfId="8" applyFont="1" applyFill="1" applyBorder="1" applyAlignment="1">
      <alignment vertical="top"/>
    </xf>
    <xf numFmtId="0" fontId="31" fillId="9" borderId="29" xfId="8" applyFont="1" applyFill="1" applyBorder="1" applyAlignment="1">
      <alignment vertical="top"/>
    </xf>
    <xf numFmtId="167" fontId="33" fillId="9" borderId="29" xfId="10" applyNumberFormat="1" applyFont="1" applyFill="1" applyBorder="1" applyAlignment="1">
      <alignment vertical="top"/>
    </xf>
    <xf numFmtId="167" fontId="33" fillId="9" borderId="30" xfId="10" applyNumberFormat="1" applyFont="1" applyFill="1" applyBorder="1" applyAlignment="1">
      <alignment horizontal="right" vertical="top"/>
    </xf>
    <xf numFmtId="167" fontId="33" fillId="9" borderId="29" xfId="10" applyNumberFormat="1" applyFont="1" applyFill="1" applyBorder="1" applyAlignment="1">
      <alignment horizontal="right" vertical="top"/>
    </xf>
    <xf numFmtId="167" fontId="33" fillId="9" borderId="46" xfId="10" applyNumberFormat="1" applyFont="1" applyFill="1" applyBorder="1" applyAlignment="1">
      <alignment horizontal="right" vertical="top"/>
    </xf>
    <xf numFmtId="0" fontId="30" fillId="0" borderId="0" xfId="8" applyFont="1" applyFill="1" applyBorder="1" applyAlignment="1">
      <alignment horizontal="center" vertical="top"/>
    </xf>
    <xf numFmtId="168" fontId="15" fillId="0" borderId="0" xfId="7" applyNumberFormat="1" applyFont="1" applyFill="1" applyBorder="1" applyAlignment="1">
      <alignment horizontal="left" vertical="top"/>
    </xf>
    <xf numFmtId="0" fontId="27" fillId="9" borderId="47" xfId="4" applyFont="1" applyFill="1" applyBorder="1" applyAlignment="1">
      <alignment horizontal="left" vertical="top"/>
    </xf>
    <xf numFmtId="0" fontId="32" fillId="9" borderId="48" xfId="4" applyFont="1" applyFill="1" applyBorder="1" applyAlignment="1">
      <alignment horizontal="left" vertical="top"/>
    </xf>
    <xf numFmtId="168" fontId="34" fillId="9" borderId="49" xfId="7" applyNumberFormat="1" applyFont="1" applyFill="1" applyBorder="1" applyAlignment="1">
      <alignment vertical="top"/>
    </xf>
    <xf numFmtId="168" fontId="34" fillId="9" borderId="50" xfId="7" applyNumberFormat="1" applyFont="1" applyFill="1" applyBorder="1" applyAlignment="1">
      <alignment vertical="top"/>
    </xf>
    <xf numFmtId="168" fontId="34" fillId="9" borderId="51" xfId="7" applyNumberFormat="1" applyFont="1" applyFill="1" applyBorder="1" applyAlignment="1">
      <alignment vertical="top"/>
    </xf>
    <xf numFmtId="168" fontId="15" fillId="0" borderId="52" xfId="7" applyNumberFormat="1" applyFont="1" applyFill="1" applyBorder="1" applyAlignment="1">
      <alignment horizontal="left" vertical="top"/>
    </xf>
    <xf numFmtId="0" fontId="10" fillId="0" borderId="0" xfId="4" applyFont="1" applyFill="1"/>
    <xf numFmtId="0" fontId="8" fillId="0" borderId="10" xfId="4" applyFont="1" applyFill="1" applyBorder="1" applyAlignment="1">
      <alignment horizontal="centerContinuous"/>
    </xf>
    <xf numFmtId="0" fontId="8" fillId="0" borderId="11" xfId="4" applyFont="1" applyFill="1" applyBorder="1" applyAlignment="1">
      <alignment horizontal="centerContinuous"/>
    </xf>
    <xf numFmtId="0" fontId="8" fillId="0" borderId="0" xfId="4" applyFont="1" applyFill="1" applyAlignment="1">
      <alignment horizontal="centerContinuous"/>
    </xf>
    <xf numFmtId="0" fontId="10" fillId="0" borderId="0" xfId="4" applyFont="1" applyFill="1" applyAlignment="1">
      <alignment horizontal="centerContinuous"/>
    </xf>
    <xf numFmtId="0" fontId="8" fillId="0" borderId="0" xfId="4" applyNumberFormat="1" applyFont="1" applyFill="1" applyAlignment="1">
      <alignment horizontal="center"/>
    </xf>
    <xf numFmtId="0" fontId="8" fillId="0" borderId="1" xfId="4" applyNumberFormat="1" applyFont="1" applyFill="1" applyBorder="1" applyAlignment="1">
      <alignment horizontal="center"/>
    </xf>
    <xf numFmtId="0" fontId="10" fillId="0" borderId="1" xfId="4" applyFont="1" applyFill="1" applyBorder="1"/>
    <xf numFmtId="0" fontId="10" fillId="0" borderId="0" xfId="4" applyNumberFormat="1" applyFont="1" applyFill="1" applyAlignment="1">
      <alignment horizontal="left"/>
    </xf>
    <xf numFmtId="0" fontId="10" fillId="0" borderId="0" xfId="4" applyNumberFormat="1" applyFont="1" applyFill="1" applyAlignment="1"/>
    <xf numFmtId="164" fontId="10" fillId="0" borderId="0" xfId="4" applyNumberFormat="1" applyFont="1" applyFill="1" applyAlignment="1"/>
    <xf numFmtId="169" fontId="10" fillId="0" borderId="0" xfId="4" applyNumberFormat="1" applyFont="1" applyFill="1" applyAlignment="1"/>
    <xf numFmtId="164" fontId="10" fillId="0" borderId="1" xfId="4" applyNumberFormat="1" applyFont="1" applyFill="1" applyBorder="1" applyAlignment="1"/>
    <xf numFmtId="164" fontId="10" fillId="0" borderId="0" xfId="4" applyNumberFormat="1" applyFont="1" applyFill="1" applyBorder="1" applyAlignment="1"/>
    <xf numFmtId="9" fontId="10" fillId="0" borderId="0" xfId="4" applyNumberFormat="1" applyFont="1" applyFill="1" applyAlignment="1"/>
    <xf numFmtId="164" fontId="8" fillId="0" borderId="52" xfId="4" applyNumberFormat="1" applyFont="1" applyFill="1" applyBorder="1" applyAlignment="1" applyProtection="1">
      <protection locked="0"/>
    </xf>
    <xf numFmtId="43" fontId="3" fillId="0" borderId="0" xfId="3" applyFont="1" applyAlignment="1"/>
    <xf numFmtId="0" fontId="4" fillId="0" borderId="10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</cellXfs>
  <cellStyles count="11">
    <cellStyle name="Comma" xfId="3" builtinId="3"/>
    <cellStyle name="Comma 2" xfId="5"/>
    <cellStyle name="Comma 2 2" xfId="10"/>
    <cellStyle name="Currency 2" xfId="7"/>
    <cellStyle name="Normal" xfId="0" builtinId="0"/>
    <cellStyle name="Normal 2" xfId="4"/>
    <cellStyle name="Normal 3" xfId="8"/>
    <cellStyle name="Normal 4 2 2" xfId="2"/>
    <cellStyle name="Normal 8" xfId="1"/>
    <cellStyle name="Percent 2" xfId="6"/>
    <cellStyle name="Percent 2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CCFF33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419100</xdr:colOff>
      <xdr:row>8</xdr:row>
      <xdr:rowOff>142875</xdr:rowOff>
    </xdr:from>
    <xdr:to>
      <xdr:col>23</xdr:col>
      <xdr:colOff>49711</xdr:colOff>
      <xdr:row>15</xdr:row>
      <xdr:rowOff>114129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69300" y="2581275"/>
          <a:ext cx="4869361" cy="1371429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16</xdr:row>
      <xdr:rowOff>85725</xdr:rowOff>
    </xdr:from>
    <xdr:to>
      <xdr:col>23</xdr:col>
      <xdr:colOff>418438</xdr:colOff>
      <xdr:row>40</xdr:row>
      <xdr:rowOff>142269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697950" y="4124325"/>
          <a:ext cx="4609438" cy="48571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UG-21______-PSE-Acct-Pet-Tacoma-LNG-Attachment-A-11-____-2021%20(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Dec_31_19/Workpapers%20-%20Dirty%20Dec%202019%20CBR/%23EL%20Dec%202018CB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Original%20Filing/Dirty%20Workpapers%202019%20GRC/%23New%20Gas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Confidential Attach A (C)"/>
      <sheetName val="Summary (C)"/>
      <sheetName val="Summary EOP (C)"/>
      <sheetName val="ROR"/>
      <sheetName val="Pro-forma Plant Additions=&gt;"/>
      <sheetName val="G361 Additions (C)"/>
      <sheetName val="G362 Additions (C)"/>
      <sheetName val="G363 Additions (C)"/>
      <sheetName val="G364 Additions (C)"/>
      <sheetName val="G3912 Additions (C)"/>
      <sheetName val="G397 Additions (C)"/>
      <sheetName val="G303 Additions (C)"/>
      <sheetName val="Misc Storage Additions (C)"/>
      <sheetName val="Misc IT Additions (C)"/>
      <sheetName val="MACRS"/>
      <sheetName val="Forecast Additions (C)"/>
    </sheetNames>
    <sheetDataSet>
      <sheetData sheetId="0"/>
      <sheetData sheetId="1">
        <row r="20">
          <cell r="D20">
            <v>219446382.51588312</v>
          </cell>
        </row>
        <row r="28">
          <cell r="D28">
            <v>12880338.670881249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/>
      <sheetData sheetId="2"/>
      <sheetData sheetId="3"/>
      <sheetData sheetId="4">
        <row r="7">
          <cell r="B7" t="str">
            <v>FOR THE TWELVE MONTHS ENDED SEPTEMBER 30, 2016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Summaries"/>
      <sheetName val="1.02 COC"/>
      <sheetName val="Electric Earnings Sharing"/>
      <sheetName val="Restating Print Macros"/>
      <sheetName val="Module13"/>
      <sheetName val="Module14"/>
      <sheetName val="Module15"/>
      <sheetName val="Module1"/>
      <sheetName val="Not Used FIT Est Only==&gt;"/>
      <sheetName val="ETR"/>
      <sheetName val="Adjustment No 5 FIT"/>
      <sheetName val="ARAM"/>
    </sheetNames>
    <sheetDataSet>
      <sheetData sheetId="0"/>
      <sheetData sheetId="1"/>
      <sheetData sheetId="2">
        <row r="4">
          <cell r="A4" t="str">
            <v>PUGET SOUND ENERGY-ELECTRIC</v>
          </cell>
        </row>
        <row r="12">
          <cell r="CQ12">
            <v>0</v>
          </cell>
        </row>
      </sheetData>
      <sheetData sheetId="3"/>
      <sheetData sheetId="4">
        <row r="20">
          <cell r="L2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Common Adj"/>
      <sheetName val="Gas Adj"/>
      <sheetName val="Named Ranges"/>
      <sheetName val="ETR GRC vs CBR"/>
      <sheetName val="Check ETR"/>
      <sheetName val="FIT Adj"/>
      <sheetName val="Verify"/>
      <sheetName val="ARAM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>
            <v>0.21</v>
          </cell>
        </row>
        <row r="4">
          <cell r="C4" t="str">
            <v>2019 GENERAL RATE CASE</v>
          </cell>
        </row>
        <row r="6">
          <cell r="C6" t="str">
            <v>UG_________</v>
          </cell>
        </row>
        <row r="8">
          <cell r="C8" t="str">
            <v xml:space="preserve">PUGET SOUND ENERGY 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customProperty" Target="../customProperty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customProperty" Target="../customProperty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workbookViewId="0">
      <pane xSplit="4" ySplit="8" topLeftCell="E12" activePane="bottomRight" state="frozen"/>
      <selection activeCell="K29" sqref="K29"/>
      <selection pane="topRight" activeCell="K29" sqref="K29"/>
      <selection pane="bottomLeft" activeCell="K29" sqref="K29"/>
      <selection pane="bottomRight" activeCell="M26" sqref="M26"/>
    </sheetView>
  </sheetViews>
  <sheetFormatPr defaultColWidth="9.1640625" defaultRowHeight="12.75" outlineLevelCol="1" x14ac:dyDescent="0.2"/>
  <cols>
    <col min="1" max="1" width="5.5" style="2" customWidth="1"/>
    <col min="2" max="2" width="51.33203125" style="2" customWidth="1"/>
    <col min="3" max="3" width="46.83203125" style="2" customWidth="1" outlineLevel="1"/>
    <col min="4" max="9" width="18.6640625" style="2" customWidth="1"/>
    <col min="10" max="10" width="3.6640625" style="2" bestFit="1" customWidth="1"/>
    <col min="11" max="11" width="19.33203125" style="2" bestFit="1" customWidth="1"/>
    <col min="12" max="12" width="3.6640625" style="2" customWidth="1"/>
    <col min="13" max="13" width="19.33203125" style="2" bestFit="1" customWidth="1"/>
    <col min="14" max="14" width="9.1640625" style="2"/>
    <col min="16" max="16384" width="9.1640625" style="2"/>
  </cols>
  <sheetData>
    <row r="1" spans="1:13" x14ac:dyDescent="0.2">
      <c r="A1" s="47" t="s">
        <v>30</v>
      </c>
    </row>
    <row r="2" spans="1:13" x14ac:dyDescent="0.2">
      <c r="A2" s="47" t="s">
        <v>32</v>
      </c>
      <c r="B2" s="32"/>
      <c r="C2" s="32"/>
      <c r="D2" s="32"/>
      <c r="E2" s="32"/>
      <c r="F2" s="32"/>
      <c r="G2" s="32"/>
      <c r="H2" s="32"/>
      <c r="I2" s="32"/>
    </row>
    <row r="3" spans="1:13" x14ac:dyDescent="0.2">
      <c r="A3" s="47" t="s">
        <v>31</v>
      </c>
      <c r="B3" s="32"/>
      <c r="C3" s="32"/>
      <c r="D3" s="32"/>
      <c r="E3" s="32"/>
      <c r="F3" s="32"/>
      <c r="G3" s="32"/>
      <c r="H3" s="32"/>
      <c r="I3" s="32"/>
    </row>
    <row r="4" spans="1:13" x14ac:dyDescent="0.2">
      <c r="A4" s="31"/>
      <c r="B4" s="32"/>
      <c r="C4" s="32"/>
      <c r="D4" s="32"/>
      <c r="E4" s="32"/>
      <c r="F4" s="32"/>
      <c r="G4" s="32"/>
      <c r="H4" s="32"/>
      <c r="I4" s="32"/>
      <c r="K4" s="51"/>
      <c r="M4" s="51"/>
    </row>
    <row r="5" spans="1:13" x14ac:dyDescent="0.2">
      <c r="A5" s="31"/>
      <c r="B5" s="32"/>
      <c r="C5" s="32"/>
      <c r="D5" s="32"/>
      <c r="E5" s="32"/>
      <c r="F5" s="32"/>
      <c r="G5" s="32"/>
      <c r="H5" s="32"/>
      <c r="I5" s="32"/>
    </row>
    <row r="6" spans="1:13" x14ac:dyDescent="0.2">
      <c r="A6" s="197" t="s">
        <v>35</v>
      </c>
      <c r="B6" s="198"/>
      <c r="C6" s="198"/>
      <c r="D6" s="198"/>
      <c r="E6" s="198"/>
      <c r="F6" s="198"/>
      <c r="G6" s="198"/>
      <c r="H6" s="198"/>
      <c r="I6" s="199"/>
    </row>
    <row r="7" spans="1:13" x14ac:dyDescent="0.2">
      <c r="E7" s="48" t="s">
        <v>25</v>
      </c>
      <c r="F7" s="49"/>
      <c r="G7" s="49"/>
      <c r="H7" s="50"/>
      <c r="I7" s="1"/>
    </row>
    <row r="8" spans="1:13" ht="49.5" customHeight="1" thickBot="1" x14ac:dyDescent="0.25">
      <c r="A8" s="30" t="s">
        <v>24</v>
      </c>
      <c r="B8" s="29" t="s">
        <v>0</v>
      </c>
      <c r="C8" s="28" t="s">
        <v>23</v>
      </c>
      <c r="D8" s="27" t="s">
        <v>33</v>
      </c>
      <c r="E8" s="26" t="s">
        <v>22</v>
      </c>
      <c r="F8" s="25" t="s">
        <v>1</v>
      </c>
      <c r="G8" s="25" t="s">
        <v>21</v>
      </c>
      <c r="H8" s="25" t="s">
        <v>20</v>
      </c>
      <c r="I8" s="24" t="s">
        <v>34</v>
      </c>
      <c r="K8" s="45" t="s">
        <v>162</v>
      </c>
      <c r="M8" s="45" t="s">
        <v>36</v>
      </c>
    </row>
    <row r="9" spans="1:13" ht="16.5" customHeight="1" x14ac:dyDescent="0.2">
      <c r="A9" s="23">
        <v>1</v>
      </c>
      <c r="B9" s="22" t="s">
        <v>19</v>
      </c>
      <c r="C9" s="41" t="s">
        <v>13</v>
      </c>
      <c r="D9" s="19"/>
      <c r="E9" s="21">
        <v>0</v>
      </c>
      <c r="F9" s="21">
        <v>0</v>
      </c>
      <c r="G9" s="21">
        <v>0</v>
      </c>
      <c r="H9" s="21">
        <v>0</v>
      </c>
      <c r="I9" s="21"/>
      <c r="K9" s="21"/>
      <c r="M9" s="21"/>
    </row>
    <row r="10" spans="1:13" x14ac:dyDescent="0.2">
      <c r="A10" s="9">
        <f t="shared" ref="A10:A20" si="0">+A9+1</f>
        <v>2</v>
      </c>
      <c r="B10" s="8" t="s">
        <v>18</v>
      </c>
      <c r="C10" s="40" t="s">
        <v>17</v>
      </c>
      <c r="D10" s="14">
        <v>2301107566.1432133</v>
      </c>
      <c r="E10" s="18">
        <f>+D10+E9</f>
        <v>2301107566.1432133</v>
      </c>
      <c r="F10" s="18">
        <f>+E10+F9</f>
        <v>2301107566.1432133</v>
      </c>
      <c r="G10" s="18">
        <f>+F10+G9</f>
        <v>2301107566.1432133</v>
      </c>
      <c r="H10" s="18">
        <f>+G10+H9</f>
        <v>2301107566.1432133</v>
      </c>
      <c r="I10" s="18">
        <f>+H10</f>
        <v>2301107566.1432133</v>
      </c>
      <c r="K10" s="36">
        <f>I10</f>
        <v>2301107566.1432133</v>
      </c>
      <c r="M10" s="36">
        <f>I10+'[10]Confidential Attach A (C)'!$D$20</f>
        <v>2520553948.6590962</v>
      </c>
    </row>
    <row r="11" spans="1:13" x14ac:dyDescent="0.2">
      <c r="A11" s="9">
        <f t="shared" si="0"/>
        <v>3</v>
      </c>
      <c r="B11" s="8" t="s">
        <v>27</v>
      </c>
      <c r="C11" s="40" t="s">
        <v>29</v>
      </c>
      <c r="D11" s="42">
        <v>7.4649999999999994E-2</v>
      </c>
      <c r="E11" s="20">
        <f>+D11</f>
        <v>7.4649999999999994E-2</v>
      </c>
      <c r="F11" s="20">
        <f t="shared" ref="F11:I11" si="1">+E11</f>
        <v>7.4649999999999994E-2</v>
      </c>
      <c r="G11" s="20">
        <f t="shared" si="1"/>
        <v>7.4649999999999994E-2</v>
      </c>
      <c r="H11" s="20">
        <f t="shared" si="1"/>
        <v>7.4649999999999994E-2</v>
      </c>
      <c r="I11" s="20">
        <f t="shared" si="1"/>
        <v>7.4649999999999994E-2</v>
      </c>
      <c r="K11" s="20">
        <f>M11</f>
        <v>7.3899999999999993E-2</v>
      </c>
      <c r="M11" s="20">
        <v>7.3899999999999993E-2</v>
      </c>
    </row>
    <row r="12" spans="1:13" x14ac:dyDescent="0.2">
      <c r="A12" s="9">
        <f t="shared" si="0"/>
        <v>4</v>
      </c>
      <c r="B12" s="8" t="s">
        <v>16</v>
      </c>
      <c r="C12" s="40" t="s">
        <v>15</v>
      </c>
      <c r="D12" s="14">
        <f>ROUND(D10*D11,0)</f>
        <v>171777680</v>
      </c>
      <c r="E12" s="18">
        <f t="shared" ref="E12:I12" si="2">ROUND(E10*E11,0)</f>
        <v>171777680</v>
      </c>
      <c r="F12" s="18">
        <f t="shared" si="2"/>
        <v>171777680</v>
      </c>
      <c r="G12" s="18">
        <f t="shared" si="2"/>
        <v>171777680</v>
      </c>
      <c r="H12" s="18">
        <f t="shared" si="2"/>
        <v>171777680</v>
      </c>
      <c r="I12" s="18">
        <f t="shared" si="2"/>
        <v>171777680</v>
      </c>
      <c r="K12" s="36">
        <f>ROUND(K10*K11,0)</f>
        <v>170051849</v>
      </c>
      <c r="M12" s="36">
        <f t="shared" ref="M12" si="3">ROUND(M10*M11,0)</f>
        <v>186268937</v>
      </c>
    </row>
    <row r="13" spans="1:13" x14ac:dyDescent="0.2">
      <c r="A13" s="9">
        <f t="shared" si="0"/>
        <v>5</v>
      </c>
      <c r="B13" s="8" t="s">
        <v>14</v>
      </c>
      <c r="C13" s="40" t="s">
        <v>13</v>
      </c>
      <c r="D13" s="19"/>
      <c r="E13" s="18">
        <v>-50010.028092253473</v>
      </c>
      <c r="F13" s="18">
        <v>161380.80420999997</v>
      </c>
      <c r="G13" s="18">
        <v>55031</v>
      </c>
      <c r="H13" s="18">
        <v>-184631.15422121563</v>
      </c>
      <c r="I13" s="18"/>
      <c r="J13" s="16"/>
      <c r="K13" s="36"/>
      <c r="L13" s="16"/>
      <c r="M13" s="36"/>
    </row>
    <row r="14" spans="1:13" x14ac:dyDescent="0.2">
      <c r="A14" s="9">
        <f t="shared" si="0"/>
        <v>6</v>
      </c>
      <c r="B14" s="8" t="s">
        <v>12</v>
      </c>
      <c r="C14" s="40" t="s">
        <v>11</v>
      </c>
      <c r="D14" s="14">
        <v>146682587.0829891</v>
      </c>
      <c r="E14" s="18">
        <f>+D14+E13</f>
        <v>146632577.05489683</v>
      </c>
      <c r="F14" s="18">
        <f>+E14+F13</f>
        <v>146793957.85910684</v>
      </c>
      <c r="G14" s="18">
        <f>+F14+G13</f>
        <v>146848988.85910684</v>
      </c>
      <c r="H14" s="18">
        <f>+G14+H13</f>
        <v>146664357.70488563</v>
      </c>
      <c r="I14" s="18">
        <f>+H14</f>
        <v>146664357.70488563</v>
      </c>
      <c r="J14" s="17"/>
      <c r="K14" s="36">
        <f>-'CBR w GRC Revenues'!C15*'GRC Conversion Factor'!E20+I14</f>
        <v>151232942.20189542</v>
      </c>
      <c r="L14" s="17"/>
      <c r="M14" s="36">
        <f>-'[10]Confidential Attach A (C)'!$D$28*0.79-'CBR w GRC Revenues'!$C$15*'GRC Conversion Factor'!$E$20+I14</f>
        <v>141057474.65189922</v>
      </c>
    </row>
    <row r="15" spans="1:13" x14ac:dyDescent="0.2">
      <c r="A15" s="9">
        <f t="shared" si="0"/>
        <v>7</v>
      </c>
      <c r="B15" s="8" t="s">
        <v>10</v>
      </c>
      <c r="C15" s="40" t="s">
        <v>9</v>
      </c>
      <c r="D15" s="10">
        <f t="shared" ref="D15:I15" si="4">ROUND(D14-D12,0)</f>
        <v>-25095093</v>
      </c>
      <c r="E15" s="33">
        <f t="shared" si="4"/>
        <v>-25145103</v>
      </c>
      <c r="F15" s="33">
        <f t="shared" si="4"/>
        <v>-24983722</v>
      </c>
      <c r="G15" s="33">
        <f t="shared" si="4"/>
        <v>-24928691</v>
      </c>
      <c r="H15" s="33">
        <f t="shared" si="4"/>
        <v>-25113322</v>
      </c>
      <c r="I15" s="15">
        <f t="shared" si="4"/>
        <v>-25113322</v>
      </c>
      <c r="K15" s="15">
        <f>ROUND(K14-K12,0)</f>
        <v>-18818907</v>
      </c>
      <c r="M15" s="15">
        <f t="shared" ref="M15" si="5">ROUND(M14-M12,0)</f>
        <v>-45211462</v>
      </c>
    </row>
    <row r="16" spans="1:13" x14ac:dyDescent="0.2">
      <c r="A16" s="9">
        <f t="shared" si="0"/>
        <v>8</v>
      </c>
      <c r="B16" s="8" t="s">
        <v>8</v>
      </c>
      <c r="C16" s="40" t="s">
        <v>7</v>
      </c>
      <c r="D16" s="14">
        <f>IF(D15&lt;0,0,D15)</f>
        <v>0</v>
      </c>
      <c r="E16" s="18">
        <f>IF(E15&lt;0,0,E15)</f>
        <v>0</v>
      </c>
      <c r="F16" s="18">
        <f>IF(F15&lt;0,0,F15)</f>
        <v>0</v>
      </c>
      <c r="G16" s="18">
        <f>IF(G15&lt;0,0,G15)</f>
        <v>0</v>
      </c>
      <c r="H16" s="18">
        <f>IF(H15&lt;0,0,H15)</f>
        <v>0</v>
      </c>
      <c r="I16" s="36">
        <f t="shared" ref="I16:M16" si="6">IF(I15&lt;0,0,I15)</f>
        <v>0</v>
      </c>
      <c r="K16" s="36">
        <f t="shared" ref="K16" si="7">IF(K15&lt;0,0,K15)</f>
        <v>0</v>
      </c>
      <c r="M16" s="36">
        <f t="shared" si="6"/>
        <v>0</v>
      </c>
    </row>
    <row r="17" spans="1:13" x14ac:dyDescent="0.2">
      <c r="A17" s="9">
        <f t="shared" si="0"/>
        <v>9</v>
      </c>
      <c r="B17" s="8" t="s">
        <v>6</v>
      </c>
      <c r="C17" s="40" t="s">
        <v>28</v>
      </c>
      <c r="D17" s="13">
        <v>0.5</v>
      </c>
      <c r="E17" s="13">
        <v>0.5</v>
      </c>
      <c r="F17" s="13">
        <v>0.5</v>
      </c>
      <c r="G17" s="13">
        <v>0.5</v>
      </c>
      <c r="H17" s="13">
        <v>0.5</v>
      </c>
      <c r="I17" s="13">
        <v>0.5</v>
      </c>
      <c r="K17" s="13">
        <v>0.5</v>
      </c>
      <c r="M17" s="13">
        <v>0.5</v>
      </c>
    </row>
    <row r="18" spans="1:13" x14ac:dyDescent="0.2">
      <c r="A18" s="9">
        <f t="shared" si="0"/>
        <v>10</v>
      </c>
      <c r="B18" s="8" t="s">
        <v>5</v>
      </c>
      <c r="C18" s="40" t="s">
        <v>4</v>
      </c>
      <c r="D18" s="12">
        <f>ROUND(D16*D17,0)</f>
        <v>0</v>
      </c>
      <c r="E18" s="34">
        <f>ROUND(E16*E17,0)</f>
        <v>0</v>
      </c>
      <c r="F18" s="34">
        <f>ROUND(F16*F17,0)</f>
        <v>0</v>
      </c>
      <c r="G18" s="34">
        <f>ROUND(G16*G17,0)</f>
        <v>0</v>
      </c>
      <c r="H18" s="34">
        <f>ROUND(H16*H17,0)</f>
        <v>0</v>
      </c>
      <c r="I18" s="11">
        <f>+H18</f>
        <v>0</v>
      </c>
      <c r="K18" s="11">
        <f>+N18</f>
        <v>0</v>
      </c>
      <c r="M18" s="11">
        <f>+J18</f>
        <v>0</v>
      </c>
    </row>
    <row r="19" spans="1:13" x14ac:dyDescent="0.2">
      <c r="A19" s="9">
        <f t="shared" si="0"/>
        <v>11</v>
      </c>
      <c r="B19" s="8" t="s">
        <v>2</v>
      </c>
      <c r="C19" s="40" t="s">
        <v>29</v>
      </c>
      <c r="D19" s="43">
        <v>0.75408799999999998</v>
      </c>
      <c r="E19" s="44">
        <f>+D19</f>
        <v>0.75408799999999998</v>
      </c>
      <c r="F19" s="44">
        <f t="shared" ref="F19:I19" si="8">+E19</f>
        <v>0.75408799999999998</v>
      </c>
      <c r="G19" s="44">
        <f t="shared" si="8"/>
        <v>0.75408799999999998</v>
      </c>
      <c r="H19" s="44">
        <f t="shared" si="8"/>
        <v>0.75408799999999998</v>
      </c>
      <c r="I19" s="44">
        <f t="shared" si="8"/>
        <v>0.75408799999999998</v>
      </c>
      <c r="K19" s="44">
        <f>M19</f>
        <v>0.75409700000000002</v>
      </c>
      <c r="M19" s="44">
        <f>'GRC Conversion Factor'!E20</f>
        <v>0.75409700000000002</v>
      </c>
    </row>
    <row r="20" spans="1:13" x14ac:dyDescent="0.2">
      <c r="A20" s="7">
        <f t="shared" si="0"/>
        <v>12</v>
      </c>
      <c r="B20" s="6" t="s">
        <v>26</v>
      </c>
      <c r="C20" s="5" t="s">
        <v>3</v>
      </c>
      <c r="D20" s="4">
        <f>ROUND(+D18/D19,0)</f>
        <v>0</v>
      </c>
      <c r="E20" s="35">
        <f>+ROUND((E18-D18)/E19,0)</f>
        <v>0</v>
      </c>
      <c r="F20" s="35">
        <f t="shared" ref="F20:H20" si="9">+ROUND((F18-E18)/F19,0)</f>
        <v>0</v>
      </c>
      <c r="G20" s="35">
        <f t="shared" si="9"/>
        <v>0</v>
      </c>
      <c r="H20" s="35">
        <f t="shared" si="9"/>
        <v>0</v>
      </c>
      <c r="I20" s="3">
        <f>ROUND(+I18/I19,0)</f>
        <v>0</v>
      </c>
      <c r="K20" s="46">
        <f>ROUND(+K18/K19,0)</f>
        <v>0</v>
      </c>
      <c r="M20" s="46">
        <f>ROUND(+M18/M19,0)</f>
        <v>0</v>
      </c>
    </row>
    <row r="22" spans="1:13" x14ac:dyDescent="0.2">
      <c r="D22" s="37">
        <f>D14/D10</f>
        <v>6.3744341742718882E-2</v>
      </c>
      <c r="E22" s="37">
        <f>E14/E10-D22</f>
        <v>-2.173302492593232E-5</v>
      </c>
      <c r="F22" s="37">
        <f>F14/F10-SUM($D$22:E22)</f>
        <v>7.0131795047057022E-5</v>
      </c>
      <c r="G22" s="37">
        <f>G14/G10-SUM($D$22:F22)</f>
        <v>2.3915005456370819E-5</v>
      </c>
      <c r="H22" s="37">
        <f>H14/H10-SUM($D$22:G22)</f>
        <v>-8.0235777300347033E-5</v>
      </c>
      <c r="I22" s="37">
        <f>I14/I10</f>
        <v>6.3736419740996031E-2</v>
      </c>
      <c r="K22" s="37">
        <f>K14/K10</f>
        <v>6.5721804763508029E-2</v>
      </c>
      <c r="M22" s="37">
        <f>M14/M10</f>
        <v>5.5962886542039722E-2</v>
      </c>
    </row>
    <row r="23" spans="1:13" x14ac:dyDescent="0.2">
      <c r="H23" s="38"/>
      <c r="I23" s="39"/>
    </row>
    <row r="24" spans="1:13" x14ac:dyDescent="0.2">
      <c r="H24" s="2" t="s">
        <v>161</v>
      </c>
      <c r="I24" s="37">
        <f>I11-I22</f>
        <v>1.0913580259003963E-2</v>
      </c>
      <c r="K24" s="37">
        <f>K11-K22</f>
        <v>8.1781952364919641E-3</v>
      </c>
      <c r="M24" s="37">
        <f>M11-M22</f>
        <v>1.7937113457960271E-2</v>
      </c>
    </row>
    <row r="25" spans="1:13" x14ac:dyDescent="0.2">
      <c r="K25" s="196"/>
      <c r="M25" s="196"/>
    </row>
    <row r="26" spans="1:13" x14ac:dyDescent="0.2">
      <c r="H26" s="2" t="s">
        <v>160</v>
      </c>
      <c r="K26" s="37"/>
      <c r="M26" s="37">
        <f>M24-I24</f>
        <v>7.0235331989563082E-3</v>
      </c>
    </row>
  </sheetData>
  <mergeCells count="1">
    <mergeCell ref="A6:I6"/>
  </mergeCells>
  <pageMargins left="0.7" right="0.7" top="0.75" bottom="0.75" header="0.3" footer="0.3"/>
  <pageSetup scale="91" orientation="landscape" r:id="rId1"/>
  <customProperties>
    <customPr name="_pios_id" r:id="rId2"/>
    <customPr name="EpmWorksheetKeyString_GUID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15" sqref="C15"/>
    </sheetView>
  </sheetViews>
  <sheetFormatPr defaultColWidth="10.6640625" defaultRowHeight="12.75" x14ac:dyDescent="0.2"/>
  <cols>
    <col min="1" max="1" width="5.5" style="53" bestFit="1" customWidth="1"/>
    <col min="2" max="2" width="78.5" style="53" bestFit="1" customWidth="1"/>
    <col min="3" max="3" width="17.5" style="53" bestFit="1" customWidth="1"/>
    <col min="4" max="16384" width="10.6640625" style="53"/>
  </cols>
  <sheetData>
    <row r="1" spans="1:3" x14ac:dyDescent="0.2">
      <c r="A1" s="52" t="s">
        <v>30</v>
      </c>
    </row>
    <row r="2" spans="1:3" x14ac:dyDescent="0.2">
      <c r="A2" s="52" t="s">
        <v>39</v>
      </c>
    </row>
    <row r="3" spans="1:3" x14ac:dyDescent="0.2">
      <c r="A3" s="52" t="s">
        <v>31</v>
      </c>
    </row>
    <row r="6" spans="1:3" x14ac:dyDescent="0.2">
      <c r="A6" s="54" t="s">
        <v>40</v>
      </c>
      <c r="B6" s="54" t="s">
        <v>0</v>
      </c>
      <c r="C6" s="54" t="s">
        <v>41</v>
      </c>
    </row>
    <row r="7" spans="1:3" x14ac:dyDescent="0.2">
      <c r="C7" s="55" t="s">
        <v>42</v>
      </c>
    </row>
    <row r="9" spans="1:3" x14ac:dyDescent="0.2">
      <c r="A9" s="56">
        <f>ROW()</f>
        <v>9</v>
      </c>
      <c r="B9" s="57" t="s">
        <v>43</v>
      </c>
    </row>
    <row r="10" spans="1:3" x14ac:dyDescent="0.2">
      <c r="A10" s="56">
        <f>ROW()</f>
        <v>10</v>
      </c>
    </row>
    <row r="11" spans="1:3" x14ac:dyDescent="0.2">
      <c r="A11" s="56">
        <f>ROW()</f>
        <v>11</v>
      </c>
      <c r="B11" s="56" t="s">
        <v>44</v>
      </c>
      <c r="C11" s="58">
        <f>'CBR w GRC Revenues'!$C$23</f>
        <v>-31013903.295063909</v>
      </c>
    </row>
    <row r="12" spans="1:3" x14ac:dyDescent="0.2">
      <c r="A12" s="56">
        <f>ROW()</f>
        <v>12</v>
      </c>
      <c r="B12" s="56"/>
      <c r="C12" s="58"/>
    </row>
    <row r="13" spans="1:3" x14ac:dyDescent="0.2">
      <c r="A13" s="56">
        <f>ROW()</f>
        <v>13</v>
      </c>
      <c r="B13" s="56" t="s">
        <v>45</v>
      </c>
      <c r="C13" s="59">
        <f>'GRC New Revenues'!C15</f>
        <v>24955552.052438926</v>
      </c>
    </row>
    <row r="14" spans="1:3" x14ac:dyDescent="0.2">
      <c r="A14" s="56">
        <f>ROW()</f>
        <v>14</v>
      </c>
      <c r="B14" s="56"/>
      <c r="C14" s="60"/>
    </row>
    <row r="15" spans="1:3" ht="13.5" thickBot="1" x14ac:dyDescent="0.25">
      <c r="A15" s="56">
        <f>ROW()</f>
        <v>15</v>
      </c>
      <c r="B15" s="52" t="s">
        <v>46</v>
      </c>
      <c r="C15" s="61">
        <f>SUM(C11:C14)</f>
        <v>-6058351.2426249832</v>
      </c>
    </row>
    <row r="16" spans="1:3" ht="13.5" thickTop="1" x14ac:dyDescent="0.2">
      <c r="A16" s="56">
        <f>ROW()</f>
        <v>16</v>
      </c>
    </row>
    <row r="17" spans="1:3" x14ac:dyDescent="0.2">
      <c r="A17" s="56">
        <f>ROW()</f>
        <v>17</v>
      </c>
      <c r="B17" s="52"/>
      <c r="C17" s="62"/>
    </row>
    <row r="18" spans="1:3" x14ac:dyDescent="0.2">
      <c r="A18" s="56">
        <f>ROW()</f>
        <v>18</v>
      </c>
    </row>
    <row r="19" spans="1:3" x14ac:dyDescent="0.2">
      <c r="A19" s="56">
        <f>ROW()</f>
        <v>19</v>
      </c>
      <c r="B19" s="52"/>
      <c r="C19" s="63"/>
    </row>
    <row r="20" spans="1:3" x14ac:dyDescent="0.2">
      <c r="A20" s="56">
        <f>ROW()</f>
        <v>20</v>
      </c>
      <c r="B20" s="2" t="s">
        <v>158</v>
      </c>
      <c r="C20" s="51">
        <f>'LNG Earnings Erosion Analysis'!I10*'LNG Earnings Erosion Analysis'!M11</f>
        <v>170051849.13798344</v>
      </c>
    </row>
    <row r="21" spans="1:3" x14ac:dyDescent="0.2">
      <c r="A21" s="56">
        <f>ROW()</f>
        <v>21</v>
      </c>
      <c r="B21" s="2" t="s">
        <v>159</v>
      </c>
      <c r="C21" s="59">
        <f>'LNG Earnings Erosion Analysis'!I14</f>
        <v>146664357.70488563</v>
      </c>
    </row>
    <row r="22" spans="1:3" x14ac:dyDescent="0.2">
      <c r="A22" s="56">
        <f>ROW()</f>
        <v>22</v>
      </c>
      <c r="B22" s="2" t="s">
        <v>37</v>
      </c>
      <c r="C22" s="59">
        <f>C21-C20</f>
        <v>-23387491.43309781</v>
      </c>
    </row>
    <row r="23" spans="1:3" x14ac:dyDescent="0.2">
      <c r="A23" s="56">
        <f>ROW()</f>
        <v>23</v>
      </c>
      <c r="B23" s="2" t="s">
        <v>38</v>
      </c>
      <c r="C23" s="51">
        <f>C22/'GRC Conversion Factor'!$E$20</f>
        <v>-31013903.295063909</v>
      </c>
    </row>
  </sheetData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5" sqref="C15"/>
    </sheetView>
  </sheetViews>
  <sheetFormatPr defaultColWidth="10.6640625" defaultRowHeight="12.75" x14ac:dyDescent="0.2"/>
  <cols>
    <col min="1" max="1" width="5.5" style="53" bestFit="1" customWidth="1"/>
    <col min="2" max="2" width="66.5" style="53" bestFit="1" customWidth="1"/>
    <col min="3" max="3" width="17.5" style="53" bestFit="1" customWidth="1"/>
    <col min="4" max="16384" width="10.6640625" style="53"/>
  </cols>
  <sheetData>
    <row r="1" spans="1:3" x14ac:dyDescent="0.2">
      <c r="A1" s="52" t="s">
        <v>47</v>
      </c>
    </row>
    <row r="4" spans="1:3" x14ac:dyDescent="0.2">
      <c r="A4" s="54" t="s">
        <v>40</v>
      </c>
      <c r="B4" s="54" t="s">
        <v>0</v>
      </c>
      <c r="C4" s="54" t="s">
        <v>41</v>
      </c>
    </row>
    <row r="5" spans="1:3" x14ac:dyDescent="0.2">
      <c r="C5" s="55" t="s">
        <v>42</v>
      </c>
    </row>
    <row r="7" spans="1:3" x14ac:dyDescent="0.2">
      <c r="A7" s="56">
        <f>ROW()</f>
        <v>7</v>
      </c>
      <c r="B7" s="53" t="s">
        <v>48</v>
      </c>
      <c r="C7" s="64">
        <f>'10-1-2021 Gas Compl Flng PLR'!K60</f>
        <v>45296249.636625178</v>
      </c>
    </row>
    <row r="8" spans="1:3" x14ac:dyDescent="0.2">
      <c r="A8" s="56">
        <f>ROW()</f>
        <v>8</v>
      </c>
      <c r="C8" s="59"/>
    </row>
    <row r="9" spans="1:3" x14ac:dyDescent="0.2">
      <c r="A9" s="56">
        <f>ROW()</f>
        <v>9</v>
      </c>
      <c r="B9" s="53" t="s">
        <v>49</v>
      </c>
      <c r="C9" s="59"/>
    </row>
    <row r="10" spans="1:3" x14ac:dyDescent="0.2">
      <c r="A10" s="56">
        <f>ROW()</f>
        <v>10</v>
      </c>
      <c r="B10" s="56" t="s">
        <v>50</v>
      </c>
      <c r="C10" s="59">
        <f>'10-1-2021 Gas Compl Flng PLR'!H66</f>
        <v>-3556692.3717321386</v>
      </c>
    </row>
    <row r="11" spans="1:3" x14ac:dyDescent="0.2">
      <c r="A11" s="56">
        <f>ROW()</f>
        <v>11</v>
      </c>
      <c r="B11" s="56" t="s">
        <v>51</v>
      </c>
      <c r="C11" s="59">
        <f>'10-1-2021 Gas Compl Flng PLR'!H67</f>
        <v>-8465487.8616411407</v>
      </c>
    </row>
    <row r="12" spans="1:3" x14ac:dyDescent="0.2">
      <c r="A12" s="56">
        <f>ROW()</f>
        <v>12</v>
      </c>
      <c r="C12" s="65"/>
    </row>
    <row r="13" spans="1:3" x14ac:dyDescent="0.2">
      <c r="A13" s="56">
        <f>ROW()</f>
        <v>13</v>
      </c>
      <c r="B13" s="66" t="s">
        <v>52</v>
      </c>
      <c r="C13" s="64">
        <f>SUM(C7:C12)</f>
        <v>33274069.403251901</v>
      </c>
    </row>
    <row r="14" spans="1:3" x14ac:dyDescent="0.2">
      <c r="A14" s="56">
        <f>ROW()</f>
        <v>14</v>
      </c>
    </row>
    <row r="15" spans="1:3" ht="13.5" thickBot="1" x14ac:dyDescent="0.25">
      <c r="A15" s="56">
        <f>ROW()</f>
        <v>15</v>
      </c>
      <c r="B15" s="53" t="s">
        <v>53</v>
      </c>
      <c r="C15" s="67">
        <f>C13*0.75</f>
        <v>24955552.052438926</v>
      </c>
    </row>
    <row r="16" spans="1:3" ht="13.5" thickTop="1" x14ac:dyDescent="0.2"/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"/>
  <sheetViews>
    <sheetView workbookViewId="0">
      <pane xSplit="2" ySplit="7" topLeftCell="C46" activePane="bottomRight" state="frozen"/>
      <selection activeCell="C11" sqref="C11"/>
      <selection pane="topRight" activeCell="C11" sqref="C11"/>
      <selection pane="bottomLeft" activeCell="C11" sqref="C11"/>
      <selection pane="bottomRight" activeCell="K63" sqref="K63"/>
    </sheetView>
  </sheetViews>
  <sheetFormatPr defaultColWidth="9.1640625" defaultRowHeight="15.75" x14ac:dyDescent="0.15"/>
  <cols>
    <col min="1" max="1" width="9.1640625" style="69"/>
    <col min="2" max="2" width="40.33203125" style="69" customWidth="1"/>
    <col min="3" max="3" width="23.5" style="69" bestFit="1" customWidth="1"/>
    <col min="4" max="4" width="21.6640625" style="69" bestFit="1" customWidth="1"/>
    <col min="5" max="5" width="17.1640625" style="69" customWidth="1"/>
    <col min="6" max="6" width="17.83203125" style="69" bestFit="1" customWidth="1"/>
    <col min="7" max="7" width="21.1640625" style="69" bestFit="1" customWidth="1"/>
    <col min="8" max="8" width="30" style="69" bestFit="1" customWidth="1"/>
    <col min="9" max="9" width="23.5" style="69" bestFit="1" customWidth="1"/>
    <col min="10" max="10" width="20.83203125" style="69" bestFit="1" customWidth="1"/>
    <col min="11" max="11" width="19.6640625" style="69" customWidth="1"/>
    <col min="12" max="12" width="23.5" style="69" bestFit="1" customWidth="1"/>
    <col min="13" max="13" width="19.5" style="69" bestFit="1" customWidth="1"/>
    <col min="14" max="14" width="17.1640625" style="69" customWidth="1"/>
    <col min="15" max="15" width="19.6640625" style="69" bestFit="1" customWidth="1"/>
    <col min="16" max="17" width="9.1640625" style="69"/>
    <col min="18" max="26" width="18.33203125" style="69" customWidth="1"/>
    <col min="27" max="27" width="9.1640625" style="69"/>
    <col min="28" max="28" width="41.1640625" style="69" bestFit="1" customWidth="1"/>
    <col min="29" max="29" width="75.83203125" style="69" bestFit="1" customWidth="1"/>
    <col min="30" max="30" width="22.5" style="69" bestFit="1" customWidth="1"/>
    <col min="31" max="31" width="28" style="69" bestFit="1" customWidth="1"/>
    <col min="32" max="32" width="21.33203125" style="69" bestFit="1" customWidth="1"/>
    <col min="33" max="33" width="23" style="69" bestFit="1" customWidth="1"/>
    <col min="34" max="34" width="27.5" style="69" bestFit="1" customWidth="1"/>
    <col min="35" max="35" width="23.5" style="69" bestFit="1" customWidth="1"/>
    <col min="36" max="36" width="22.33203125" style="69" bestFit="1" customWidth="1"/>
    <col min="37" max="37" width="24" style="69" bestFit="1" customWidth="1"/>
    <col min="38" max="38" width="24.5" style="69" bestFit="1" customWidth="1"/>
    <col min="39" max="39" width="15.83203125" style="69" bestFit="1" customWidth="1"/>
    <col min="40" max="40" width="12.33203125" style="69" bestFit="1" customWidth="1"/>
    <col min="41" max="41" width="5" style="69" bestFit="1" customWidth="1"/>
    <col min="42" max="42" width="7.33203125" style="69" bestFit="1" customWidth="1"/>
    <col min="43" max="43" width="15.83203125" style="69" bestFit="1" customWidth="1"/>
    <col min="44" max="16384" width="9.1640625" style="69"/>
  </cols>
  <sheetData>
    <row r="1" spans="1:43" ht="30" x14ac:dyDescent="0.15">
      <c r="A1" s="68" t="s">
        <v>54</v>
      </c>
    </row>
    <row r="2" spans="1:43" ht="30" x14ac:dyDescent="0.25">
      <c r="A2" s="70" t="s">
        <v>55</v>
      </c>
      <c r="L2" s="71" t="s">
        <v>56</v>
      </c>
      <c r="M2" s="72"/>
      <c r="N2" s="73">
        <v>7.3899999999999993E-2</v>
      </c>
    </row>
    <row r="3" spans="1:43" ht="30" x14ac:dyDescent="0.25">
      <c r="A3" s="68" t="s">
        <v>57</v>
      </c>
      <c r="L3" s="74" t="s">
        <v>2</v>
      </c>
      <c r="M3" s="75"/>
      <c r="N3" s="76">
        <v>0.75409700000000002</v>
      </c>
    </row>
    <row r="4" spans="1:43" ht="18.75" x14ac:dyDescent="0.15">
      <c r="A4" s="77" t="s">
        <v>58</v>
      </c>
    </row>
    <row r="5" spans="1:43" ht="19.5" thickBot="1" x14ac:dyDescent="0.2">
      <c r="A5" s="78" t="s">
        <v>59</v>
      </c>
      <c r="AB5" s="79" t="s">
        <v>60</v>
      </c>
    </row>
    <row r="6" spans="1:43" ht="16.5" thickTop="1" x14ac:dyDescent="0.15">
      <c r="A6" s="80" t="s">
        <v>61</v>
      </c>
      <c r="B6" s="81"/>
      <c r="C6" s="82" t="s">
        <v>62</v>
      </c>
      <c r="D6" s="82"/>
      <c r="E6" s="83"/>
      <c r="F6" s="84" t="s">
        <v>63</v>
      </c>
      <c r="G6" s="85"/>
      <c r="H6" s="86"/>
      <c r="I6" s="87" t="s">
        <v>64</v>
      </c>
      <c r="J6" s="87"/>
      <c r="K6" s="88"/>
      <c r="L6" s="89" t="s">
        <v>10</v>
      </c>
      <c r="M6" s="87"/>
      <c r="N6" s="90"/>
      <c r="AB6" s="80" t="s">
        <v>61</v>
      </c>
      <c r="AC6" s="91"/>
      <c r="AD6" s="92" t="s">
        <v>65</v>
      </c>
      <c r="AE6" s="93"/>
      <c r="AF6" s="94"/>
      <c r="AG6" s="92" t="s">
        <v>66</v>
      </c>
      <c r="AH6" s="93"/>
      <c r="AI6" s="94"/>
      <c r="AJ6" s="92" t="s">
        <v>10</v>
      </c>
      <c r="AK6" s="93"/>
      <c r="AL6" s="94"/>
    </row>
    <row r="7" spans="1:43" ht="31.5" x14ac:dyDescent="0.25">
      <c r="A7" s="95" t="s">
        <v>67</v>
      </c>
      <c r="B7" s="95" t="s">
        <v>68</v>
      </c>
      <c r="C7" s="96" t="s">
        <v>69</v>
      </c>
      <c r="D7" s="96" t="s">
        <v>70</v>
      </c>
      <c r="E7" s="97" t="s">
        <v>71</v>
      </c>
      <c r="F7" s="98" t="s">
        <v>69</v>
      </c>
      <c r="G7" s="98" t="s">
        <v>70</v>
      </c>
      <c r="H7" s="98" t="s">
        <v>71</v>
      </c>
      <c r="I7" s="96" t="s">
        <v>69</v>
      </c>
      <c r="J7" s="96" t="s">
        <v>70</v>
      </c>
      <c r="K7" s="97" t="s">
        <v>71</v>
      </c>
      <c r="L7" s="96" t="s">
        <v>69</v>
      </c>
      <c r="M7" s="96" t="s">
        <v>70</v>
      </c>
      <c r="N7" s="99" t="s">
        <v>71</v>
      </c>
      <c r="AB7" s="100" t="s">
        <v>67</v>
      </c>
      <c r="AC7" s="101" t="s">
        <v>68</v>
      </c>
      <c r="AD7" s="102" t="s">
        <v>69</v>
      </c>
      <c r="AE7" s="103" t="s">
        <v>70</v>
      </c>
      <c r="AF7" s="104" t="s">
        <v>71</v>
      </c>
      <c r="AG7" s="102" t="s">
        <v>69</v>
      </c>
      <c r="AH7" s="103" t="s">
        <v>70</v>
      </c>
      <c r="AI7" s="104" t="s">
        <v>71</v>
      </c>
      <c r="AJ7" s="102" t="s">
        <v>69</v>
      </c>
      <c r="AK7" s="103" t="s">
        <v>70</v>
      </c>
      <c r="AL7" s="104" t="s">
        <v>71</v>
      </c>
    </row>
    <row r="8" spans="1:43" x14ac:dyDescent="0.25">
      <c r="A8" s="105"/>
      <c r="B8" s="106" t="s">
        <v>72</v>
      </c>
      <c r="C8" s="107">
        <v>103864304</v>
      </c>
      <c r="D8" s="107">
        <v>1951252143</v>
      </c>
      <c r="E8" s="108">
        <f>((D8*$N$2)-C8)/$N$3</f>
        <v>53485465.885290593</v>
      </c>
      <c r="F8" s="109">
        <v>103864303.9900012</v>
      </c>
      <c r="G8" s="109">
        <v>1951252143.2591095</v>
      </c>
      <c r="H8" s="109">
        <v>53485465.923942119</v>
      </c>
      <c r="I8" s="107">
        <v>103864303.9900012</v>
      </c>
      <c r="J8" s="107">
        <v>1951252143.2591095</v>
      </c>
      <c r="K8" s="108">
        <v>53485465.923942119</v>
      </c>
      <c r="L8" s="107">
        <f>F8-I8</f>
        <v>0</v>
      </c>
      <c r="M8" s="107">
        <f>G8-J8</f>
        <v>0</v>
      </c>
      <c r="N8" s="110">
        <f>H8-K8</f>
        <v>0</v>
      </c>
      <c r="S8" s="111"/>
      <c r="T8" s="111"/>
      <c r="U8" s="111"/>
      <c r="V8" s="111"/>
      <c r="W8" s="111"/>
      <c r="X8" s="111"/>
      <c r="Y8" s="111"/>
      <c r="Z8" s="111"/>
      <c r="AB8" s="112"/>
      <c r="AC8" s="113" t="s">
        <v>72</v>
      </c>
      <c r="AD8" s="114">
        <v>103864304</v>
      </c>
      <c r="AE8" s="115">
        <v>1951252143</v>
      </c>
      <c r="AF8" s="116">
        <v>53485465.885290593</v>
      </c>
      <c r="AG8" s="114">
        <v>103864303.9900012</v>
      </c>
      <c r="AH8" s="115">
        <v>1951252143.2591095</v>
      </c>
      <c r="AI8" s="116">
        <v>53485465.923942119</v>
      </c>
      <c r="AJ8" s="114">
        <f>AD8-AG8</f>
        <v>9.9987983703613281E-3</v>
      </c>
      <c r="AK8" s="115">
        <f t="shared" ref="AK8:AL8" si="0">AE8-AH8</f>
        <v>-0.2591094970703125</v>
      </c>
      <c r="AL8" s="116">
        <f t="shared" si="0"/>
        <v>-3.8651525974273682E-2</v>
      </c>
      <c r="AO8" s="117">
        <v>0</v>
      </c>
      <c r="AP8" s="117">
        <v>0</v>
      </c>
      <c r="AQ8" s="117">
        <v>0</v>
      </c>
    </row>
    <row r="9" spans="1:43" x14ac:dyDescent="0.25">
      <c r="A9" s="118" t="s">
        <v>73</v>
      </c>
      <c r="B9" s="119"/>
      <c r="C9" s="120"/>
      <c r="D9" s="120"/>
      <c r="E9" s="121"/>
      <c r="F9" s="120"/>
      <c r="G9" s="120"/>
      <c r="H9" s="120"/>
      <c r="I9" s="120"/>
      <c r="J9" s="120"/>
      <c r="K9" s="121"/>
      <c r="L9" s="120"/>
      <c r="M9" s="120"/>
      <c r="N9" s="122"/>
      <c r="S9" s="111"/>
      <c r="T9" s="111"/>
      <c r="U9" s="111"/>
      <c r="V9" s="111"/>
      <c r="W9" s="111"/>
      <c r="X9" s="111"/>
      <c r="Y9" s="111"/>
      <c r="Z9" s="111"/>
      <c r="AB9" s="123" t="s">
        <v>74</v>
      </c>
      <c r="AC9" s="124"/>
      <c r="AD9" s="125"/>
      <c r="AE9" s="124"/>
      <c r="AF9" s="126"/>
      <c r="AG9" s="125"/>
      <c r="AH9" s="124"/>
      <c r="AI9" s="126"/>
      <c r="AJ9" s="125"/>
      <c r="AK9" s="124"/>
      <c r="AL9" s="126"/>
      <c r="AO9" s="117">
        <v>0</v>
      </c>
      <c r="AP9" s="117">
        <v>0</v>
      </c>
      <c r="AQ9" s="117">
        <v>0</v>
      </c>
    </row>
    <row r="10" spans="1:43" x14ac:dyDescent="0.25">
      <c r="A10" s="127">
        <v>6.01</v>
      </c>
      <c r="B10" s="106" t="s">
        <v>75</v>
      </c>
      <c r="C10" s="128">
        <v>1442871</v>
      </c>
      <c r="D10" s="129">
        <v>0</v>
      </c>
      <c r="E10" s="108">
        <f t="shared" ref="E10:E29" si="1">((D10*$N$2)-C10)/$N$3</f>
        <v>-1913375.8654390615</v>
      </c>
      <c r="F10" s="109">
        <v>1442870.5294648185</v>
      </c>
      <c r="G10" s="109">
        <v>0</v>
      </c>
      <c r="H10" s="109">
        <v>-1913375.241467369</v>
      </c>
      <c r="I10" s="128">
        <v>1442870.5294648185</v>
      </c>
      <c r="J10" s="129">
        <v>0</v>
      </c>
      <c r="K10" s="108">
        <f t="shared" ref="K10:K29" si="2">((J10*$N$2)-I10)/$N$3</f>
        <v>-1913375.241467369</v>
      </c>
      <c r="L10" s="107">
        <f t="shared" ref="L10:N29" si="3">F10-I10</f>
        <v>0</v>
      </c>
      <c r="M10" s="107">
        <f t="shared" si="3"/>
        <v>0</v>
      </c>
      <c r="N10" s="110">
        <f t="shared" si="3"/>
        <v>0</v>
      </c>
      <c r="S10" s="111"/>
      <c r="T10" s="111"/>
      <c r="U10" s="111"/>
      <c r="V10" s="111"/>
      <c r="W10" s="111"/>
      <c r="X10" s="111"/>
      <c r="Y10" s="111"/>
      <c r="Z10" s="111"/>
      <c r="AB10" s="112"/>
      <c r="AC10" s="130" t="s">
        <v>73</v>
      </c>
      <c r="AD10" s="131"/>
      <c r="AE10" s="132"/>
      <c r="AF10" s="133">
        <v>0</v>
      </c>
      <c r="AG10" s="131"/>
      <c r="AH10" s="132"/>
      <c r="AI10" s="133">
        <v>0</v>
      </c>
      <c r="AJ10" s="131">
        <f t="shared" ref="AJ10:AL35" si="4">AD10-AG10</f>
        <v>0</v>
      </c>
      <c r="AK10" s="132">
        <f t="shared" si="4"/>
        <v>0</v>
      </c>
      <c r="AL10" s="133">
        <f t="shared" si="4"/>
        <v>0</v>
      </c>
      <c r="AO10" s="117">
        <v>0</v>
      </c>
      <c r="AP10" s="117">
        <v>0</v>
      </c>
      <c r="AQ10" s="117">
        <v>0</v>
      </c>
    </row>
    <row r="11" spans="1:43" x14ac:dyDescent="0.25">
      <c r="A11" s="127">
        <v>6.02</v>
      </c>
      <c r="B11" s="106" t="s">
        <v>76</v>
      </c>
      <c r="C11" s="128">
        <v>54148</v>
      </c>
      <c r="D11" s="129">
        <v>0</v>
      </c>
      <c r="E11" s="108">
        <f t="shared" si="1"/>
        <v>-71805.086083090107</v>
      </c>
      <c r="F11" s="109">
        <v>54148.18896761442</v>
      </c>
      <c r="G11" s="109">
        <v>0</v>
      </c>
      <c r="H11" s="109">
        <v>-71805.336671030935</v>
      </c>
      <c r="I11" s="128">
        <v>54148.18896761442</v>
      </c>
      <c r="J11" s="129">
        <v>0</v>
      </c>
      <c r="K11" s="108">
        <f t="shared" si="2"/>
        <v>-71805.336671030935</v>
      </c>
      <c r="L11" s="107">
        <f t="shared" si="3"/>
        <v>0</v>
      </c>
      <c r="M11" s="107">
        <f t="shared" si="3"/>
        <v>0</v>
      </c>
      <c r="N11" s="110">
        <f t="shared" si="3"/>
        <v>0</v>
      </c>
      <c r="S11" s="111"/>
      <c r="T11" s="111"/>
      <c r="U11" s="111"/>
      <c r="V11" s="111"/>
      <c r="W11" s="111"/>
      <c r="X11" s="111"/>
      <c r="Y11" s="111"/>
      <c r="Z11" s="111"/>
      <c r="AB11" s="134">
        <v>6.01</v>
      </c>
      <c r="AC11" s="113" t="s">
        <v>75</v>
      </c>
      <c r="AD11" s="135">
        <v>1442871</v>
      </c>
      <c r="AE11" s="136">
        <v>0</v>
      </c>
      <c r="AF11" s="137">
        <v>-1913375.8654390615</v>
      </c>
      <c r="AG11" s="135">
        <v>1442870.5294648185</v>
      </c>
      <c r="AH11" s="136">
        <v>0</v>
      </c>
      <c r="AI11" s="137">
        <v>-1913375.241467369</v>
      </c>
      <c r="AJ11" s="135">
        <f t="shared" si="4"/>
        <v>0.47053518146276474</v>
      </c>
      <c r="AK11" s="136">
        <f t="shared" si="4"/>
        <v>0</v>
      </c>
      <c r="AL11" s="137">
        <f t="shared" si="4"/>
        <v>-0.62397169251926243</v>
      </c>
      <c r="AO11" s="117">
        <v>0</v>
      </c>
      <c r="AP11" s="117">
        <v>0</v>
      </c>
      <c r="AQ11" s="117">
        <v>0</v>
      </c>
    </row>
    <row r="12" spans="1:43" x14ac:dyDescent="0.25">
      <c r="A12" s="127">
        <v>6.03</v>
      </c>
      <c r="B12" s="106" t="s">
        <v>77</v>
      </c>
      <c r="C12" s="128">
        <v>-5017714</v>
      </c>
      <c r="D12" s="129">
        <v>0</v>
      </c>
      <c r="E12" s="108">
        <f t="shared" si="1"/>
        <v>6653937.0929734502</v>
      </c>
      <c r="F12" s="109">
        <v>-5017714.4093045183</v>
      </c>
      <c r="G12" s="109">
        <v>0</v>
      </c>
      <c r="H12" s="109">
        <v>6653937.6357478127</v>
      </c>
      <c r="I12" s="128">
        <v>1216418.5906954836</v>
      </c>
      <c r="J12" s="129">
        <v>0</v>
      </c>
      <c r="K12" s="108">
        <f t="shared" si="2"/>
        <v>-1613079.7373487544</v>
      </c>
      <c r="L12" s="107">
        <f t="shared" si="3"/>
        <v>-6234133.0000000019</v>
      </c>
      <c r="M12" s="107">
        <f t="shared" si="3"/>
        <v>0</v>
      </c>
      <c r="N12" s="110">
        <f t="shared" si="3"/>
        <v>8267017.3730965666</v>
      </c>
      <c r="S12" s="111"/>
      <c r="T12" s="111"/>
      <c r="U12" s="111"/>
      <c r="V12" s="111"/>
      <c r="W12" s="111"/>
      <c r="X12" s="111"/>
      <c r="Y12" s="111"/>
      <c r="Z12" s="111"/>
      <c r="AB12" s="134">
        <v>6.02</v>
      </c>
      <c r="AC12" s="113" t="s">
        <v>76</v>
      </c>
      <c r="AD12" s="135">
        <v>54148</v>
      </c>
      <c r="AE12" s="138">
        <v>0</v>
      </c>
      <c r="AF12" s="137">
        <v>-71805.086083090107</v>
      </c>
      <c r="AG12" s="135">
        <v>54148.18896761442</v>
      </c>
      <c r="AH12" s="138">
        <v>0</v>
      </c>
      <c r="AI12" s="137">
        <v>-71805.336671030935</v>
      </c>
      <c r="AJ12" s="135">
        <f t="shared" si="4"/>
        <v>-0.18896761442010757</v>
      </c>
      <c r="AK12" s="138">
        <f t="shared" si="4"/>
        <v>0</v>
      </c>
      <c r="AL12" s="137">
        <f t="shared" si="4"/>
        <v>0.25058794082724489</v>
      </c>
      <c r="AO12" s="117">
        <v>-6234133.0000000019</v>
      </c>
      <c r="AP12" s="117">
        <v>0</v>
      </c>
      <c r="AQ12" s="117">
        <v>8267017.3730965666</v>
      </c>
    </row>
    <row r="13" spans="1:43" x14ac:dyDescent="0.25">
      <c r="A13" s="127">
        <v>6.04</v>
      </c>
      <c r="B13" s="106" t="s">
        <v>78</v>
      </c>
      <c r="C13" s="128">
        <v>12916466</v>
      </c>
      <c r="D13" s="129">
        <v>0</v>
      </c>
      <c r="E13" s="108">
        <f t="shared" si="1"/>
        <v>-17128387.992526159</v>
      </c>
      <c r="F13" s="109">
        <v>12749212.273858974</v>
      </c>
      <c r="G13" s="109">
        <v>0</v>
      </c>
      <c r="H13" s="109">
        <v>-16906594.607668474</v>
      </c>
      <c r="I13" s="128">
        <v>12749212.273858974</v>
      </c>
      <c r="J13" s="129">
        <v>0</v>
      </c>
      <c r="K13" s="108">
        <f t="shared" si="2"/>
        <v>-16906594.607668474</v>
      </c>
      <c r="L13" s="107">
        <f t="shared" si="3"/>
        <v>0</v>
      </c>
      <c r="M13" s="107">
        <f t="shared" si="3"/>
        <v>0</v>
      </c>
      <c r="N13" s="110">
        <f t="shared" si="3"/>
        <v>0</v>
      </c>
      <c r="S13" s="111"/>
      <c r="T13" s="111"/>
      <c r="U13" s="111"/>
      <c r="V13" s="111"/>
      <c r="W13" s="111"/>
      <c r="X13" s="111"/>
      <c r="Y13" s="111"/>
      <c r="Z13" s="111"/>
      <c r="AB13" s="134">
        <v>6.04</v>
      </c>
      <c r="AC13" s="113" t="s">
        <v>78</v>
      </c>
      <c r="AD13" s="135">
        <v>12916466</v>
      </c>
      <c r="AE13" s="138">
        <v>0</v>
      </c>
      <c r="AF13" s="137">
        <v>-17128387.992526159</v>
      </c>
      <c r="AG13" s="135">
        <v>12916465.693796374</v>
      </c>
      <c r="AH13" s="138">
        <v>0</v>
      </c>
      <c r="AI13" s="137">
        <v>-17128387.586472794</v>
      </c>
      <c r="AJ13" s="135">
        <f t="shared" si="4"/>
        <v>0.30620362609624863</v>
      </c>
      <c r="AK13" s="138">
        <f t="shared" si="4"/>
        <v>0</v>
      </c>
      <c r="AL13" s="137">
        <f t="shared" si="4"/>
        <v>-0.40605336427688599</v>
      </c>
      <c r="AO13" s="117">
        <v>0</v>
      </c>
      <c r="AP13" s="117">
        <v>0</v>
      </c>
      <c r="AQ13" s="117">
        <v>0</v>
      </c>
    </row>
    <row r="14" spans="1:43" x14ac:dyDescent="0.25">
      <c r="A14" s="127">
        <v>6.05</v>
      </c>
      <c r="B14" s="106" t="s">
        <v>79</v>
      </c>
      <c r="C14" s="128">
        <v>-1412119</v>
      </c>
      <c r="D14" s="129">
        <v>0</v>
      </c>
      <c r="E14" s="108">
        <f t="shared" si="1"/>
        <v>1872595.9657709817</v>
      </c>
      <c r="F14" s="109">
        <v>-1412118.6458149552</v>
      </c>
      <c r="G14" s="109">
        <v>0</v>
      </c>
      <c r="H14" s="109">
        <v>1872595.496089966</v>
      </c>
      <c r="I14" s="128">
        <v>-1412118.6458149552</v>
      </c>
      <c r="J14" s="129">
        <v>0</v>
      </c>
      <c r="K14" s="108">
        <f t="shared" si="2"/>
        <v>1872595.496089966</v>
      </c>
      <c r="L14" s="107">
        <f t="shared" si="3"/>
        <v>0</v>
      </c>
      <c r="M14" s="107">
        <f t="shared" si="3"/>
        <v>0</v>
      </c>
      <c r="N14" s="110">
        <f t="shared" si="3"/>
        <v>0</v>
      </c>
      <c r="S14" s="111"/>
      <c r="T14" s="111"/>
      <c r="U14" s="111"/>
      <c r="V14" s="111"/>
      <c r="W14" s="111"/>
      <c r="X14" s="111"/>
      <c r="Y14" s="111"/>
      <c r="Z14" s="111"/>
      <c r="AB14" s="134">
        <v>6.05</v>
      </c>
      <c r="AC14" s="113" t="s">
        <v>79</v>
      </c>
      <c r="AD14" s="135">
        <v>-1412119</v>
      </c>
      <c r="AE14" s="138">
        <v>0</v>
      </c>
      <c r="AF14" s="137">
        <v>1872595.9657709817</v>
      </c>
      <c r="AG14" s="135">
        <v>-1412118.6458149552</v>
      </c>
      <c r="AH14" s="138">
        <v>0</v>
      </c>
      <c r="AI14" s="137">
        <v>1872595.496089966</v>
      </c>
      <c r="AJ14" s="135">
        <f t="shared" si="4"/>
        <v>-0.35418504476547241</v>
      </c>
      <c r="AK14" s="138">
        <f t="shared" si="4"/>
        <v>0</v>
      </c>
      <c r="AL14" s="137">
        <f t="shared" si="4"/>
        <v>0.46968101570382714</v>
      </c>
      <c r="AO14" s="117">
        <v>0</v>
      </c>
      <c r="AP14" s="117">
        <v>0</v>
      </c>
      <c r="AQ14" s="117">
        <v>0</v>
      </c>
    </row>
    <row r="15" spans="1:43" x14ac:dyDescent="0.25">
      <c r="A15" s="127">
        <v>6.06</v>
      </c>
      <c r="B15" s="106" t="s">
        <v>80</v>
      </c>
      <c r="C15" s="128">
        <v>-1256319</v>
      </c>
      <c r="D15" s="129">
        <v>0</v>
      </c>
      <c r="E15" s="108">
        <f t="shared" si="1"/>
        <v>1665991.2451581163</v>
      </c>
      <c r="F15" s="109">
        <v>-1256319.1261336696</v>
      </c>
      <c r="G15" s="109">
        <v>0</v>
      </c>
      <c r="H15" s="109">
        <v>1665991.4124226321</v>
      </c>
      <c r="I15" s="128">
        <v>-1256319.1261336696</v>
      </c>
      <c r="J15" s="129">
        <v>0</v>
      </c>
      <c r="K15" s="108">
        <f t="shared" si="2"/>
        <v>1665991.4124226321</v>
      </c>
      <c r="L15" s="107">
        <f t="shared" si="3"/>
        <v>0</v>
      </c>
      <c r="M15" s="107">
        <f t="shared" si="3"/>
        <v>0</v>
      </c>
      <c r="N15" s="110">
        <f t="shared" si="3"/>
        <v>0</v>
      </c>
      <c r="S15" s="111"/>
      <c r="T15" s="111"/>
      <c r="U15" s="111"/>
      <c r="V15" s="111"/>
      <c r="W15" s="111"/>
      <c r="X15" s="111"/>
      <c r="Y15" s="111"/>
      <c r="Z15" s="111"/>
      <c r="AB15" s="134">
        <v>6.06</v>
      </c>
      <c r="AC15" s="113" t="s">
        <v>80</v>
      </c>
      <c r="AD15" s="135">
        <v>-1256319</v>
      </c>
      <c r="AE15" s="138">
        <v>0</v>
      </c>
      <c r="AF15" s="137">
        <v>1665991.2451581163</v>
      </c>
      <c r="AG15" s="135">
        <v>-1256319.1261336696</v>
      </c>
      <c r="AH15" s="138">
        <v>0</v>
      </c>
      <c r="AI15" s="137">
        <v>1665991.4124226321</v>
      </c>
      <c r="AJ15" s="135">
        <f t="shared" si="4"/>
        <v>0.12613366963341832</v>
      </c>
      <c r="AK15" s="138">
        <f t="shared" si="4"/>
        <v>0</v>
      </c>
      <c r="AL15" s="137">
        <f t="shared" si="4"/>
        <v>-0.16726451576687396</v>
      </c>
      <c r="AO15" s="117">
        <v>0</v>
      </c>
      <c r="AP15" s="117">
        <v>0</v>
      </c>
      <c r="AQ15" s="117">
        <v>0</v>
      </c>
    </row>
    <row r="16" spans="1:43" x14ac:dyDescent="0.25">
      <c r="A16" s="127">
        <v>6.07</v>
      </c>
      <c r="B16" s="106" t="s">
        <v>81</v>
      </c>
      <c r="C16" s="128">
        <v>-125429</v>
      </c>
      <c r="D16" s="129">
        <v>0</v>
      </c>
      <c r="E16" s="108">
        <f t="shared" si="1"/>
        <v>166330.06098684916</v>
      </c>
      <c r="F16" s="109">
        <v>-125428.75474144239</v>
      </c>
      <c r="G16" s="109">
        <v>0</v>
      </c>
      <c r="H16" s="109">
        <v>166329.73575208811</v>
      </c>
      <c r="I16" s="128">
        <v>-125428.75474144239</v>
      </c>
      <c r="J16" s="129">
        <v>0</v>
      </c>
      <c r="K16" s="108">
        <f t="shared" si="2"/>
        <v>166329.73575208811</v>
      </c>
      <c r="L16" s="107">
        <f t="shared" si="3"/>
        <v>0</v>
      </c>
      <c r="M16" s="107">
        <f t="shared" si="3"/>
        <v>0</v>
      </c>
      <c r="N16" s="110">
        <f t="shared" si="3"/>
        <v>0</v>
      </c>
      <c r="S16" s="111"/>
      <c r="T16" s="111"/>
      <c r="U16" s="111"/>
      <c r="V16" s="111"/>
      <c r="W16" s="111"/>
      <c r="X16" s="111"/>
      <c r="Y16" s="111"/>
      <c r="Z16" s="111"/>
      <c r="AB16" s="134">
        <v>6.07</v>
      </c>
      <c r="AC16" s="113" t="s">
        <v>81</v>
      </c>
      <c r="AD16" s="135">
        <v>-125429</v>
      </c>
      <c r="AE16" s="138">
        <v>0</v>
      </c>
      <c r="AF16" s="137">
        <v>166330.06098684916</v>
      </c>
      <c r="AG16" s="135">
        <v>-125428.75474144239</v>
      </c>
      <c r="AH16" s="138">
        <v>0</v>
      </c>
      <c r="AI16" s="137">
        <v>166329.73575208811</v>
      </c>
      <c r="AJ16" s="135">
        <f t="shared" si="4"/>
        <v>-0.24525855761021376</v>
      </c>
      <c r="AK16" s="138">
        <f t="shared" si="4"/>
        <v>0</v>
      </c>
      <c r="AL16" s="137">
        <f t="shared" si="4"/>
        <v>0.32523476105416194</v>
      </c>
      <c r="AO16" s="117">
        <v>0</v>
      </c>
      <c r="AP16" s="117">
        <v>0</v>
      </c>
      <c r="AQ16" s="117">
        <v>0</v>
      </c>
    </row>
    <row r="17" spans="1:43" x14ac:dyDescent="0.25">
      <c r="A17" s="127">
        <v>6.08</v>
      </c>
      <c r="B17" s="106" t="s">
        <v>82</v>
      </c>
      <c r="C17" s="128">
        <v>-187098</v>
      </c>
      <c r="D17" s="129">
        <v>0</v>
      </c>
      <c r="E17" s="108">
        <f t="shared" si="1"/>
        <v>248108.66506563479</v>
      </c>
      <c r="F17" s="109">
        <v>-187098.30484735657</v>
      </c>
      <c r="G17" s="109">
        <v>0</v>
      </c>
      <c r="H17" s="109">
        <v>248109.06932046748</v>
      </c>
      <c r="I17" s="128">
        <v>-187098.30484735657</v>
      </c>
      <c r="J17" s="129">
        <v>0</v>
      </c>
      <c r="K17" s="108">
        <f t="shared" si="2"/>
        <v>248109.06932046748</v>
      </c>
      <c r="L17" s="107">
        <f t="shared" si="3"/>
        <v>0</v>
      </c>
      <c r="M17" s="107">
        <f t="shared" si="3"/>
        <v>0</v>
      </c>
      <c r="N17" s="110">
        <f t="shared" si="3"/>
        <v>0</v>
      </c>
      <c r="S17" s="111"/>
      <c r="T17" s="111"/>
      <c r="U17" s="111"/>
      <c r="V17" s="111"/>
      <c r="W17" s="111"/>
      <c r="X17" s="111"/>
      <c r="Y17" s="111"/>
      <c r="Z17" s="111"/>
      <c r="AB17" s="134">
        <v>6.09</v>
      </c>
      <c r="AC17" s="113" t="s">
        <v>83</v>
      </c>
      <c r="AD17" s="135">
        <v>69886</v>
      </c>
      <c r="AE17" s="138">
        <v>0</v>
      </c>
      <c r="AF17" s="137">
        <v>-92675.080261557858</v>
      </c>
      <c r="AG17" s="135">
        <v>69886.13058918016</v>
      </c>
      <c r="AH17" s="138">
        <v>0</v>
      </c>
      <c r="AI17" s="137">
        <v>-92675.2534344788</v>
      </c>
      <c r="AJ17" s="135">
        <f t="shared" si="4"/>
        <v>-0.13058918016031384</v>
      </c>
      <c r="AK17" s="138">
        <f t="shared" si="4"/>
        <v>0</v>
      </c>
      <c r="AL17" s="137">
        <f t="shared" si="4"/>
        <v>0.17317292094230652</v>
      </c>
      <c r="AO17" s="117">
        <v>0</v>
      </c>
      <c r="AP17" s="117">
        <v>0</v>
      </c>
      <c r="AQ17" s="117">
        <v>0</v>
      </c>
    </row>
    <row r="18" spans="1:43" x14ac:dyDescent="0.25">
      <c r="A18" s="127">
        <v>6.09</v>
      </c>
      <c r="B18" s="106" t="s">
        <v>83</v>
      </c>
      <c r="C18" s="128">
        <v>69886</v>
      </c>
      <c r="D18" s="129">
        <v>0</v>
      </c>
      <c r="E18" s="108">
        <f t="shared" si="1"/>
        <v>-92675.080261557858</v>
      </c>
      <c r="F18" s="109">
        <v>69886.13058918016</v>
      </c>
      <c r="G18" s="109">
        <v>0</v>
      </c>
      <c r="H18" s="109">
        <v>-92675.2534344788</v>
      </c>
      <c r="I18" s="128">
        <v>69886.13058918016</v>
      </c>
      <c r="J18" s="129">
        <v>0</v>
      </c>
      <c r="K18" s="108">
        <f t="shared" si="2"/>
        <v>-92675.2534344788</v>
      </c>
      <c r="L18" s="107">
        <f t="shared" si="3"/>
        <v>0</v>
      </c>
      <c r="M18" s="107">
        <f t="shared" si="3"/>
        <v>0</v>
      </c>
      <c r="N18" s="110">
        <f t="shared" si="3"/>
        <v>0</v>
      </c>
      <c r="S18" s="111"/>
      <c r="T18" s="111"/>
      <c r="U18" s="111"/>
      <c r="V18" s="111"/>
      <c r="W18" s="111"/>
      <c r="X18" s="111"/>
      <c r="Y18" s="111"/>
      <c r="Z18" s="111"/>
      <c r="AB18" s="134">
        <v>6.1</v>
      </c>
      <c r="AC18" s="113" t="s">
        <v>84</v>
      </c>
      <c r="AD18" s="135">
        <v>3831</v>
      </c>
      <c r="AE18" s="138">
        <v>0</v>
      </c>
      <c r="AF18" s="137">
        <v>-5080.248296969753</v>
      </c>
      <c r="AG18" s="135">
        <v>3831.0246199423614</v>
      </c>
      <c r="AH18" s="138">
        <v>0</v>
      </c>
      <c r="AI18" s="137">
        <v>-5080.2809452130978</v>
      </c>
      <c r="AJ18" s="135">
        <f t="shared" si="4"/>
        <v>-2.4619942361368885E-2</v>
      </c>
      <c r="AK18" s="138">
        <f t="shared" si="4"/>
        <v>0</v>
      </c>
      <c r="AL18" s="137">
        <f t="shared" si="4"/>
        <v>3.2648243344738148E-2</v>
      </c>
      <c r="AO18" s="117">
        <v>0</v>
      </c>
      <c r="AP18" s="117">
        <v>0</v>
      </c>
      <c r="AQ18" s="117">
        <v>0</v>
      </c>
    </row>
    <row r="19" spans="1:43" x14ac:dyDescent="0.25">
      <c r="A19" s="127">
        <v>6.1</v>
      </c>
      <c r="B19" s="106" t="s">
        <v>84</v>
      </c>
      <c r="C19" s="128">
        <v>3831</v>
      </c>
      <c r="D19" s="129">
        <v>0</v>
      </c>
      <c r="E19" s="108">
        <f t="shared" si="1"/>
        <v>-5080.248296969753</v>
      </c>
      <c r="F19" s="109">
        <v>3831.0246199423614</v>
      </c>
      <c r="G19" s="109">
        <v>0</v>
      </c>
      <c r="H19" s="109">
        <v>-5080.2809452130978</v>
      </c>
      <c r="I19" s="128">
        <v>3831.0246199423614</v>
      </c>
      <c r="J19" s="129">
        <v>0</v>
      </c>
      <c r="K19" s="108">
        <f t="shared" si="2"/>
        <v>-5080.2809452130978</v>
      </c>
      <c r="L19" s="107">
        <f t="shared" si="3"/>
        <v>0</v>
      </c>
      <c r="M19" s="107">
        <f t="shared" si="3"/>
        <v>0</v>
      </c>
      <c r="N19" s="110">
        <f t="shared" si="3"/>
        <v>0</v>
      </c>
      <c r="S19" s="111"/>
      <c r="T19" s="111"/>
      <c r="U19" s="111"/>
      <c r="V19" s="111"/>
      <c r="W19" s="111"/>
      <c r="X19" s="111"/>
      <c r="Y19" s="111"/>
      <c r="Z19" s="111"/>
      <c r="AB19" s="134">
        <v>6.11</v>
      </c>
      <c r="AC19" s="113" t="s">
        <v>85</v>
      </c>
      <c r="AD19" s="135">
        <v>-204504</v>
      </c>
      <c r="AE19" s="138">
        <v>0</v>
      </c>
      <c r="AF19" s="137">
        <v>271190.57627864851</v>
      </c>
      <c r="AG19" s="135">
        <v>-204503.64267608413</v>
      </c>
      <c r="AH19" s="138">
        <v>0</v>
      </c>
      <c r="AI19" s="137">
        <v>271190.10243520944</v>
      </c>
      <c r="AJ19" s="135">
        <f t="shared" si="4"/>
        <v>-0.3573239158722572</v>
      </c>
      <c r="AK19" s="138">
        <f t="shared" si="4"/>
        <v>0</v>
      </c>
      <c r="AL19" s="137">
        <f t="shared" si="4"/>
        <v>0.47384343907469884</v>
      </c>
      <c r="AO19" s="117">
        <v>0</v>
      </c>
      <c r="AP19" s="117">
        <v>0</v>
      </c>
      <c r="AQ19" s="117">
        <v>0</v>
      </c>
    </row>
    <row r="20" spans="1:43" x14ac:dyDescent="0.25">
      <c r="A20" s="127">
        <v>6.11</v>
      </c>
      <c r="B20" s="106" t="s">
        <v>85</v>
      </c>
      <c r="C20" s="128">
        <v>-204504</v>
      </c>
      <c r="D20" s="129">
        <v>0</v>
      </c>
      <c r="E20" s="108">
        <f t="shared" si="1"/>
        <v>271190.57627864851</v>
      </c>
      <c r="F20" s="109">
        <v>-204503.64267608413</v>
      </c>
      <c r="G20" s="109">
        <v>0</v>
      </c>
      <c r="H20" s="109">
        <v>271190.10243520944</v>
      </c>
      <c r="I20" s="128">
        <v>-204503.64267608413</v>
      </c>
      <c r="J20" s="129">
        <v>0</v>
      </c>
      <c r="K20" s="108">
        <f t="shared" si="2"/>
        <v>271190.10243520944</v>
      </c>
      <c r="L20" s="107">
        <f t="shared" si="3"/>
        <v>0</v>
      </c>
      <c r="M20" s="107">
        <f t="shared" si="3"/>
        <v>0</v>
      </c>
      <c r="N20" s="110">
        <f t="shared" si="3"/>
        <v>0</v>
      </c>
      <c r="S20" s="111"/>
      <c r="T20" s="111"/>
      <c r="U20" s="111"/>
      <c r="V20" s="111"/>
      <c r="W20" s="111"/>
      <c r="X20" s="111"/>
      <c r="Y20" s="111"/>
      <c r="Z20" s="111"/>
      <c r="AB20" s="134">
        <v>6.12</v>
      </c>
      <c r="AC20" s="113" t="s">
        <v>86</v>
      </c>
      <c r="AD20" s="135">
        <v>-438078</v>
      </c>
      <c r="AE20" s="138">
        <v>0</v>
      </c>
      <c r="AF20" s="137">
        <v>580930.5699399414</v>
      </c>
      <c r="AG20" s="135">
        <v>-438078.27529363008</v>
      </c>
      <c r="AH20" s="138">
        <v>0</v>
      </c>
      <c r="AI20" s="137">
        <v>580930.93500389217</v>
      </c>
      <c r="AJ20" s="135">
        <f t="shared" si="4"/>
        <v>0.27529363008216023</v>
      </c>
      <c r="AK20" s="138">
        <f t="shared" si="4"/>
        <v>0</v>
      </c>
      <c r="AL20" s="137">
        <f t="shared" si="4"/>
        <v>-0.36506395076867193</v>
      </c>
      <c r="AO20" s="117">
        <v>0</v>
      </c>
      <c r="AP20" s="117">
        <v>0</v>
      </c>
      <c r="AQ20" s="117">
        <v>0</v>
      </c>
    </row>
    <row r="21" spans="1:43" x14ac:dyDescent="0.25">
      <c r="A21" s="127">
        <v>6.12</v>
      </c>
      <c r="B21" s="106" t="s">
        <v>86</v>
      </c>
      <c r="C21" s="128">
        <v>-438078</v>
      </c>
      <c r="D21" s="129">
        <v>0</v>
      </c>
      <c r="E21" s="108">
        <f t="shared" si="1"/>
        <v>580930.5699399414</v>
      </c>
      <c r="F21" s="109">
        <v>-438078.27529363008</v>
      </c>
      <c r="G21" s="109">
        <v>0</v>
      </c>
      <c r="H21" s="109">
        <v>580930.93500389217</v>
      </c>
      <c r="I21" s="128">
        <v>-438078.27529363008</v>
      </c>
      <c r="J21" s="129">
        <v>0</v>
      </c>
      <c r="K21" s="108">
        <f t="shared" si="2"/>
        <v>580930.93500389217</v>
      </c>
      <c r="L21" s="107">
        <f t="shared" si="3"/>
        <v>0</v>
      </c>
      <c r="M21" s="107">
        <f t="shared" si="3"/>
        <v>0</v>
      </c>
      <c r="N21" s="110">
        <f t="shared" si="3"/>
        <v>0</v>
      </c>
      <c r="S21" s="111"/>
      <c r="T21" s="111"/>
      <c r="U21" s="111"/>
      <c r="V21" s="111"/>
      <c r="W21" s="111"/>
      <c r="X21" s="111"/>
      <c r="Y21" s="111"/>
      <c r="Z21" s="111"/>
      <c r="AB21" s="134">
        <v>6.13</v>
      </c>
      <c r="AC21" s="113" t="s">
        <v>87</v>
      </c>
      <c r="AD21" s="135">
        <v>-770451</v>
      </c>
      <c r="AE21" s="138">
        <v>0</v>
      </c>
      <c r="AF21" s="137">
        <v>1021686.8652176046</v>
      </c>
      <c r="AG21" s="135">
        <v>-770450.7474650637</v>
      </c>
      <c r="AH21" s="138">
        <v>0</v>
      </c>
      <c r="AI21" s="137">
        <v>1021686.5303337153</v>
      </c>
      <c r="AJ21" s="135">
        <f t="shared" si="4"/>
        <v>-0.25253493629861623</v>
      </c>
      <c r="AK21" s="138">
        <f t="shared" si="4"/>
        <v>0</v>
      </c>
      <c r="AL21" s="137">
        <f t="shared" si="4"/>
        <v>0.33488388929981738</v>
      </c>
      <c r="AO21" s="117">
        <v>0</v>
      </c>
      <c r="AP21" s="117">
        <v>0</v>
      </c>
      <c r="AQ21" s="117">
        <v>0</v>
      </c>
    </row>
    <row r="22" spans="1:43" x14ac:dyDescent="0.25">
      <c r="A22" s="127">
        <v>6.13</v>
      </c>
      <c r="B22" s="106" t="s">
        <v>87</v>
      </c>
      <c r="C22" s="128">
        <v>-770451</v>
      </c>
      <c r="D22" s="129">
        <v>0</v>
      </c>
      <c r="E22" s="108">
        <f t="shared" si="1"/>
        <v>1021686.8652176046</v>
      </c>
      <c r="F22" s="109">
        <v>-770450.7474650637</v>
      </c>
      <c r="G22" s="109">
        <v>0</v>
      </c>
      <c r="H22" s="109">
        <v>1021686.5303337153</v>
      </c>
      <c r="I22" s="128">
        <v>-770450.7474650637</v>
      </c>
      <c r="J22" s="129">
        <v>0</v>
      </c>
      <c r="K22" s="108">
        <f t="shared" si="2"/>
        <v>1021686.5303337153</v>
      </c>
      <c r="L22" s="107">
        <f t="shared" si="3"/>
        <v>0</v>
      </c>
      <c r="M22" s="107">
        <f t="shared" si="3"/>
        <v>0</v>
      </c>
      <c r="N22" s="110">
        <f t="shared" si="3"/>
        <v>0</v>
      </c>
      <c r="S22" s="111"/>
      <c r="T22" s="111"/>
      <c r="U22" s="111"/>
      <c r="V22" s="111"/>
      <c r="W22" s="111"/>
      <c r="X22" s="111"/>
      <c r="Y22" s="111"/>
      <c r="Z22" s="111"/>
      <c r="AB22" s="134">
        <v>6.14</v>
      </c>
      <c r="AC22" s="113" t="s">
        <v>88</v>
      </c>
      <c r="AD22" s="135">
        <v>-52646</v>
      </c>
      <c r="AE22" s="138">
        <v>0</v>
      </c>
      <c r="AF22" s="137">
        <v>69813.299880519349</v>
      </c>
      <c r="AG22" s="135">
        <v>-52646.119560989835</v>
      </c>
      <c r="AH22" s="138">
        <v>0</v>
      </c>
      <c r="AI22" s="137">
        <v>69813.458429074555</v>
      </c>
      <c r="AJ22" s="135">
        <f t="shared" si="4"/>
        <v>0.11956098983500851</v>
      </c>
      <c r="AK22" s="138">
        <f t="shared" si="4"/>
        <v>0</v>
      </c>
      <c r="AL22" s="137">
        <f t="shared" si="4"/>
        <v>-0.15854855520592537</v>
      </c>
      <c r="AO22" s="117">
        <v>0</v>
      </c>
      <c r="AP22" s="117">
        <v>0</v>
      </c>
      <c r="AQ22" s="117">
        <v>0</v>
      </c>
    </row>
    <row r="23" spans="1:43" x14ac:dyDescent="0.25">
      <c r="A23" s="127">
        <v>6.14</v>
      </c>
      <c r="B23" s="106" t="s">
        <v>88</v>
      </c>
      <c r="C23" s="128">
        <v>-52646</v>
      </c>
      <c r="D23" s="129">
        <v>0</v>
      </c>
      <c r="E23" s="108">
        <f t="shared" si="1"/>
        <v>69813.299880519349</v>
      </c>
      <c r="F23" s="109">
        <v>-52646.119560989835</v>
      </c>
      <c r="G23" s="109">
        <v>0</v>
      </c>
      <c r="H23" s="109">
        <v>69813.458429074555</v>
      </c>
      <c r="I23" s="128">
        <v>-52646.119560989835</v>
      </c>
      <c r="J23" s="129">
        <v>0</v>
      </c>
      <c r="K23" s="108">
        <f t="shared" si="2"/>
        <v>69813.458429074555</v>
      </c>
      <c r="L23" s="107">
        <f t="shared" si="3"/>
        <v>0</v>
      </c>
      <c r="M23" s="107">
        <f t="shared" si="3"/>
        <v>0</v>
      </c>
      <c r="N23" s="110">
        <f t="shared" si="3"/>
        <v>0</v>
      </c>
      <c r="S23" s="111"/>
      <c r="T23" s="111"/>
      <c r="U23" s="111"/>
      <c r="V23" s="111"/>
      <c r="W23" s="111"/>
      <c r="X23" s="111"/>
      <c r="Y23" s="111"/>
      <c r="Z23" s="111"/>
      <c r="AB23" s="134">
        <v>6.15</v>
      </c>
      <c r="AC23" s="113" t="s">
        <v>89</v>
      </c>
      <c r="AD23" s="135">
        <v>-359399</v>
      </c>
      <c r="AE23" s="138">
        <v>0</v>
      </c>
      <c r="AF23" s="137">
        <v>476595.18603044434</v>
      </c>
      <c r="AG23" s="135">
        <v>-359399.40979334083</v>
      </c>
      <c r="AH23" s="138">
        <v>0</v>
      </c>
      <c r="AI23" s="137">
        <v>476595.72945302899</v>
      </c>
      <c r="AJ23" s="135">
        <f t="shared" si="4"/>
        <v>0.40979334083385766</v>
      </c>
      <c r="AK23" s="138">
        <f t="shared" si="4"/>
        <v>0</v>
      </c>
      <c r="AL23" s="137">
        <f t="shared" si="4"/>
        <v>-0.54342258465476334</v>
      </c>
      <c r="AO23" s="117">
        <v>0</v>
      </c>
      <c r="AP23" s="117">
        <v>0</v>
      </c>
      <c r="AQ23" s="117">
        <v>0</v>
      </c>
    </row>
    <row r="24" spans="1:43" x14ac:dyDescent="0.25">
      <c r="A24" s="127">
        <v>6.15</v>
      </c>
      <c r="B24" s="106" t="s">
        <v>89</v>
      </c>
      <c r="C24" s="128">
        <v>-359399</v>
      </c>
      <c r="D24" s="129">
        <v>0</v>
      </c>
      <c r="E24" s="108">
        <f t="shared" si="1"/>
        <v>476595.18603044434</v>
      </c>
      <c r="F24" s="109">
        <v>-359399.40979334083</v>
      </c>
      <c r="G24" s="109">
        <v>0</v>
      </c>
      <c r="H24" s="109">
        <v>476595.72945302899</v>
      </c>
      <c r="I24" s="128">
        <v>-359399.40979334083</v>
      </c>
      <c r="J24" s="129">
        <v>0</v>
      </c>
      <c r="K24" s="108">
        <f t="shared" si="2"/>
        <v>476595.72945302899</v>
      </c>
      <c r="L24" s="107">
        <f t="shared" si="3"/>
        <v>0</v>
      </c>
      <c r="M24" s="107">
        <f t="shared" si="3"/>
        <v>0</v>
      </c>
      <c r="N24" s="110">
        <f t="shared" si="3"/>
        <v>0</v>
      </c>
      <c r="S24" s="111"/>
      <c r="T24" s="111"/>
      <c r="U24" s="111"/>
      <c r="V24" s="111"/>
      <c r="W24" s="111"/>
      <c r="X24" s="111"/>
      <c r="Y24" s="111"/>
      <c r="Z24" s="111"/>
      <c r="AB24" s="134">
        <v>6.16</v>
      </c>
      <c r="AC24" s="113" t="s">
        <v>90</v>
      </c>
      <c r="AD24" s="135">
        <v>-4190</v>
      </c>
      <c r="AE24" s="138">
        <v>0</v>
      </c>
      <c r="AF24" s="137">
        <v>5556.3143733498473</v>
      </c>
      <c r="AG24" s="135">
        <v>-4190.3865716636919</v>
      </c>
      <c r="AH24" s="138">
        <v>0</v>
      </c>
      <c r="AI24" s="137">
        <v>5556.8270019157908</v>
      </c>
      <c r="AJ24" s="135">
        <f t="shared" si="4"/>
        <v>0.38657166369193874</v>
      </c>
      <c r="AK24" s="138">
        <f t="shared" si="4"/>
        <v>0</v>
      </c>
      <c r="AL24" s="137">
        <f t="shared" si="4"/>
        <v>-0.51262856594348705</v>
      </c>
      <c r="AO24" s="117">
        <v>0</v>
      </c>
      <c r="AP24" s="117">
        <v>0</v>
      </c>
      <c r="AQ24" s="117">
        <v>0</v>
      </c>
    </row>
    <row r="25" spans="1:43" x14ac:dyDescent="0.25">
      <c r="A25" s="127">
        <v>6.16</v>
      </c>
      <c r="B25" s="106" t="s">
        <v>90</v>
      </c>
      <c r="C25" s="128">
        <v>-4190</v>
      </c>
      <c r="D25" s="129">
        <v>0</v>
      </c>
      <c r="E25" s="108">
        <f t="shared" si="1"/>
        <v>5556.3143733498473</v>
      </c>
      <c r="F25" s="109">
        <v>-4190.3865716636919</v>
      </c>
      <c r="G25" s="109">
        <v>0</v>
      </c>
      <c r="H25" s="109">
        <v>5556.8270019157908</v>
      </c>
      <c r="I25" s="128">
        <v>-4190.3865716636919</v>
      </c>
      <c r="J25" s="129">
        <v>0</v>
      </c>
      <c r="K25" s="108">
        <f t="shared" si="2"/>
        <v>5556.8270019157908</v>
      </c>
      <c r="L25" s="107">
        <f t="shared" si="3"/>
        <v>0</v>
      </c>
      <c r="M25" s="107">
        <f t="shared" si="3"/>
        <v>0</v>
      </c>
      <c r="N25" s="110">
        <f t="shared" si="3"/>
        <v>0</v>
      </c>
      <c r="S25" s="111"/>
      <c r="T25" s="111"/>
      <c r="U25" s="111"/>
      <c r="V25" s="111"/>
      <c r="W25" s="111"/>
      <c r="X25" s="111"/>
      <c r="Y25" s="111"/>
      <c r="Z25" s="111"/>
      <c r="AB25" s="134">
        <v>6.17</v>
      </c>
      <c r="AC25" s="113" t="s">
        <v>91</v>
      </c>
      <c r="AD25" s="135">
        <v>-10645</v>
      </c>
      <c r="AE25" s="138">
        <v>0</v>
      </c>
      <c r="AF25" s="137">
        <v>14116.221122746809</v>
      </c>
      <c r="AG25" s="135">
        <v>-10645.339606916785</v>
      </c>
      <c r="AH25" s="138">
        <v>0</v>
      </c>
      <c r="AI25" s="137">
        <v>14116.671471862088</v>
      </c>
      <c r="AJ25" s="135">
        <f t="shared" si="4"/>
        <v>0.33960691678475996</v>
      </c>
      <c r="AK25" s="138">
        <f t="shared" si="4"/>
        <v>0</v>
      </c>
      <c r="AL25" s="137">
        <f t="shared" si="4"/>
        <v>-0.45034911527909571</v>
      </c>
      <c r="AO25" s="117">
        <v>0</v>
      </c>
      <c r="AP25" s="117">
        <v>0</v>
      </c>
      <c r="AQ25" s="117">
        <v>0</v>
      </c>
    </row>
    <row r="26" spans="1:43" x14ac:dyDescent="0.25">
      <c r="A26" s="127">
        <v>6.17</v>
      </c>
      <c r="B26" s="106" t="s">
        <v>91</v>
      </c>
      <c r="C26" s="128">
        <v>-10645</v>
      </c>
      <c r="D26" s="129">
        <v>0</v>
      </c>
      <c r="E26" s="108">
        <f t="shared" si="1"/>
        <v>14116.221122746809</v>
      </c>
      <c r="F26" s="109">
        <v>-10645.339606916785</v>
      </c>
      <c r="G26" s="109">
        <v>0</v>
      </c>
      <c r="H26" s="109">
        <v>14116.671471862088</v>
      </c>
      <c r="I26" s="128">
        <v>-10645.339606916785</v>
      </c>
      <c r="J26" s="129">
        <v>0</v>
      </c>
      <c r="K26" s="108">
        <f t="shared" si="2"/>
        <v>14116.671471862088</v>
      </c>
      <c r="L26" s="107">
        <f t="shared" si="3"/>
        <v>0</v>
      </c>
      <c r="M26" s="107">
        <f t="shared" si="3"/>
        <v>0</v>
      </c>
      <c r="N26" s="110">
        <f t="shared" si="3"/>
        <v>0</v>
      </c>
      <c r="S26" s="111"/>
      <c r="T26" s="111"/>
      <c r="U26" s="111"/>
      <c r="V26" s="111"/>
      <c r="W26" s="111"/>
      <c r="X26" s="111"/>
      <c r="Y26" s="111"/>
      <c r="Z26" s="111"/>
      <c r="AB26" s="134">
        <v>6.23</v>
      </c>
      <c r="AC26" s="113" t="s">
        <v>92</v>
      </c>
      <c r="AD26" s="135">
        <v>520589</v>
      </c>
      <c r="AE26" s="138">
        <v>0</v>
      </c>
      <c r="AF26" s="137">
        <v>-690347.52823575749</v>
      </c>
      <c r="AG26" s="135">
        <v>520589.30140931718</v>
      </c>
      <c r="AH26" s="138">
        <v>0</v>
      </c>
      <c r="AI26" s="137">
        <v>-690347.92793144274</v>
      </c>
      <c r="AJ26" s="135">
        <f t="shared" si="4"/>
        <v>-0.30140931718051434</v>
      </c>
      <c r="AK26" s="138">
        <f t="shared" si="4"/>
        <v>0</v>
      </c>
      <c r="AL26" s="137">
        <f t="shared" si="4"/>
        <v>0.3996956852497533</v>
      </c>
      <c r="AO26" s="117">
        <v>0</v>
      </c>
      <c r="AP26" s="117">
        <v>0</v>
      </c>
      <c r="AQ26" s="117">
        <v>0</v>
      </c>
    </row>
    <row r="27" spans="1:43" x14ac:dyDescent="0.25">
      <c r="A27" s="127">
        <v>6.18</v>
      </c>
      <c r="B27" s="106" t="s">
        <v>93</v>
      </c>
      <c r="C27" s="129">
        <v>0</v>
      </c>
      <c r="D27" s="128">
        <v>150665688</v>
      </c>
      <c r="E27" s="108">
        <f t="shared" si="1"/>
        <v>14764936.530976782</v>
      </c>
      <c r="F27" s="109">
        <v>0</v>
      </c>
      <c r="G27" s="109">
        <v>150665688.3308869</v>
      </c>
      <c r="H27" s="109">
        <v>14764936.563403038</v>
      </c>
      <c r="I27" s="129">
        <v>0</v>
      </c>
      <c r="J27" s="128">
        <v>150665688.3308869</v>
      </c>
      <c r="K27" s="108">
        <f t="shared" si="2"/>
        <v>14764936.563403038</v>
      </c>
      <c r="L27" s="107">
        <f t="shared" si="3"/>
        <v>0</v>
      </c>
      <c r="M27" s="107">
        <f t="shared" si="3"/>
        <v>0</v>
      </c>
      <c r="N27" s="110">
        <f t="shared" si="3"/>
        <v>0</v>
      </c>
      <c r="S27" s="111"/>
      <c r="T27" s="111"/>
      <c r="U27" s="111"/>
      <c r="V27" s="111"/>
      <c r="W27" s="111"/>
      <c r="X27" s="111"/>
      <c r="Y27" s="111"/>
      <c r="Z27" s="111"/>
      <c r="AB27" s="112"/>
      <c r="AC27" s="130" t="s">
        <v>94</v>
      </c>
      <c r="AD27" s="131"/>
      <c r="AE27" s="132"/>
      <c r="AF27" s="137">
        <v>0</v>
      </c>
      <c r="AG27" s="131"/>
      <c r="AH27" s="132"/>
      <c r="AI27" s="137">
        <v>0</v>
      </c>
      <c r="AJ27" s="131">
        <f t="shared" si="4"/>
        <v>0</v>
      </c>
      <c r="AK27" s="132">
        <f t="shared" si="4"/>
        <v>0</v>
      </c>
      <c r="AL27" s="137">
        <f t="shared" si="4"/>
        <v>0</v>
      </c>
      <c r="AO27" s="117">
        <v>0</v>
      </c>
      <c r="AP27" s="117">
        <v>0</v>
      </c>
      <c r="AQ27" s="117">
        <v>0</v>
      </c>
    </row>
    <row r="28" spans="1:43" x14ac:dyDescent="0.25">
      <c r="A28" s="127">
        <v>6.19</v>
      </c>
      <c r="B28" s="106" t="s">
        <v>95</v>
      </c>
      <c r="C28" s="128">
        <v>-9738308</v>
      </c>
      <c r="D28" s="128">
        <v>-9738308</v>
      </c>
      <c r="E28" s="108">
        <f t="shared" si="1"/>
        <v>11959531.782781258</v>
      </c>
      <c r="F28" s="109">
        <v>-9738307.6067664325</v>
      </c>
      <c r="G28" s="109">
        <v>-9738307.6067664325</v>
      </c>
      <c r="H28" s="109">
        <v>11959531.299854519</v>
      </c>
      <c r="I28" s="128">
        <v>-9738307.6067664325</v>
      </c>
      <c r="J28" s="128">
        <v>-9738307.6067664325</v>
      </c>
      <c r="K28" s="108">
        <f t="shared" si="2"/>
        <v>11959531.299854519</v>
      </c>
      <c r="L28" s="107">
        <f t="shared" si="3"/>
        <v>0</v>
      </c>
      <c r="M28" s="107">
        <f t="shared" si="3"/>
        <v>0</v>
      </c>
      <c r="N28" s="110">
        <f t="shared" si="3"/>
        <v>0</v>
      </c>
      <c r="S28" s="111"/>
      <c r="T28" s="111"/>
      <c r="U28" s="111"/>
      <c r="V28" s="111"/>
      <c r="W28" s="111"/>
      <c r="X28" s="111"/>
      <c r="Y28" s="111"/>
      <c r="Z28" s="111"/>
      <c r="AB28" s="134">
        <v>6.01</v>
      </c>
      <c r="AC28" s="113" t="s">
        <v>75</v>
      </c>
      <c r="AD28" s="135">
        <v>-7393164</v>
      </c>
      <c r="AE28" s="138">
        <v>0</v>
      </c>
      <c r="AF28" s="137">
        <v>9803996.0376450233</v>
      </c>
      <c r="AG28" s="135">
        <v>-7393164.0016801059</v>
      </c>
      <c r="AH28" s="138">
        <v>0</v>
      </c>
      <c r="AI28" s="137">
        <v>9803996.0398729946</v>
      </c>
      <c r="AJ28" s="135">
        <f t="shared" si="4"/>
        <v>1.6801059246063232E-3</v>
      </c>
      <c r="AK28" s="138">
        <f t="shared" si="4"/>
        <v>0</v>
      </c>
      <c r="AL28" s="137">
        <f t="shared" si="4"/>
        <v>-2.2279713302850723E-3</v>
      </c>
      <c r="AO28" s="117">
        <v>0</v>
      </c>
      <c r="AP28" s="117">
        <v>0</v>
      </c>
      <c r="AQ28" s="117">
        <v>0</v>
      </c>
    </row>
    <row r="29" spans="1:43" x14ac:dyDescent="0.25">
      <c r="A29" s="127">
        <v>6.23</v>
      </c>
      <c r="B29" s="106" t="s">
        <v>92</v>
      </c>
      <c r="C29" s="128">
        <v>520589</v>
      </c>
      <c r="D29" s="129">
        <v>0</v>
      </c>
      <c r="E29" s="108">
        <f t="shared" si="1"/>
        <v>-690347.52823575749</v>
      </c>
      <c r="F29" s="109">
        <v>520589.30140931718</v>
      </c>
      <c r="G29" s="109">
        <v>0</v>
      </c>
      <c r="H29" s="109">
        <v>-690347.92793144274</v>
      </c>
      <c r="I29" s="128">
        <v>520589.30140931718</v>
      </c>
      <c r="J29" s="129">
        <v>0</v>
      </c>
      <c r="K29" s="108">
        <f t="shared" si="2"/>
        <v>-690347.92793144274</v>
      </c>
      <c r="L29" s="107">
        <f t="shared" si="3"/>
        <v>0</v>
      </c>
      <c r="M29" s="107">
        <f t="shared" si="3"/>
        <v>0</v>
      </c>
      <c r="N29" s="110">
        <f t="shared" si="3"/>
        <v>0</v>
      </c>
      <c r="S29" s="111"/>
      <c r="T29" s="111"/>
      <c r="U29" s="111"/>
      <c r="V29" s="111"/>
      <c r="W29" s="111"/>
      <c r="X29" s="111"/>
      <c r="Y29" s="111"/>
      <c r="Z29" s="111"/>
      <c r="AB29" s="134">
        <v>6.02</v>
      </c>
      <c r="AC29" s="113" t="s">
        <v>76</v>
      </c>
      <c r="AD29" s="135">
        <v>12260525</v>
      </c>
      <c r="AE29" s="138">
        <v>0</v>
      </c>
      <c r="AF29" s="137">
        <v>-16258551.618690964</v>
      </c>
      <c r="AG29" s="135">
        <v>12260525.139203645</v>
      </c>
      <c r="AH29" s="138">
        <v>0</v>
      </c>
      <c r="AI29" s="137">
        <v>-16258551.803287435</v>
      </c>
      <c r="AJ29" s="135">
        <f t="shared" si="4"/>
        <v>-0.13920364528894424</v>
      </c>
      <c r="AK29" s="138">
        <f t="shared" si="4"/>
        <v>0</v>
      </c>
      <c r="AL29" s="137">
        <f t="shared" si="4"/>
        <v>0.1845964714884758</v>
      </c>
      <c r="AO29" s="117">
        <v>0</v>
      </c>
      <c r="AP29" s="117">
        <v>0</v>
      </c>
      <c r="AQ29" s="117">
        <v>0</v>
      </c>
    </row>
    <row r="30" spans="1:43" x14ac:dyDescent="0.25">
      <c r="A30" s="118" t="s">
        <v>94</v>
      </c>
      <c r="B30" s="119"/>
      <c r="C30" s="120"/>
      <c r="D30" s="120"/>
      <c r="E30" s="121"/>
      <c r="F30" s="120"/>
      <c r="G30" s="120"/>
      <c r="H30" s="120"/>
      <c r="I30" s="120"/>
      <c r="J30" s="120"/>
      <c r="K30" s="121"/>
      <c r="L30" s="120"/>
      <c r="M30" s="120"/>
      <c r="N30" s="121"/>
      <c r="S30" s="111"/>
      <c r="T30" s="111"/>
      <c r="U30" s="111"/>
      <c r="V30" s="111"/>
      <c r="W30" s="111"/>
      <c r="X30" s="111"/>
      <c r="Y30" s="111"/>
      <c r="Z30" s="111"/>
      <c r="AB30" s="134">
        <v>6.04</v>
      </c>
      <c r="AC30" s="113" t="s">
        <v>78</v>
      </c>
      <c r="AD30" s="135">
        <v>-501416</v>
      </c>
      <c r="AE30" s="138">
        <v>0</v>
      </c>
      <c r="AF30" s="137">
        <v>664922.41714262217</v>
      </c>
      <c r="AG30" s="135">
        <v>-182704.31817000164</v>
      </c>
      <c r="AH30" s="138">
        <v>0</v>
      </c>
      <c r="AI30" s="137">
        <v>242282.25038688874</v>
      </c>
      <c r="AJ30" s="135">
        <f t="shared" si="4"/>
        <v>-318711.68182999839</v>
      </c>
      <c r="AK30" s="138">
        <f t="shared" si="4"/>
        <v>0</v>
      </c>
      <c r="AL30" s="137">
        <f t="shared" si="4"/>
        <v>422640.16675573343</v>
      </c>
      <c r="AO30" s="117">
        <v>0</v>
      </c>
      <c r="AP30" s="117">
        <v>0</v>
      </c>
      <c r="AQ30" s="117">
        <v>0</v>
      </c>
    </row>
    <row r="31" spans="1:43" x14ac:dyDescent="0.25">
      <c r="A31" s="127">
        <v>6.01</v>
      </c>
      <c r="B31" s="106" t="s">
        <v>75</v>
      </c>
      <c r="C31" s="128">
        <v>-7393164</v>
      </c>
      <c r="D31" s="129">
        <v>0</v>
      </c>
      <c r="E31" s="108">
        <f t="shared" ref="E31:E51" si="5">((D31*$N$2)-C31)/$N$3</f>
        <v>9803996.0376450233</v>
      </c>
      <c r="F31" s="109">
        <v>-7393164.0016801059</v>
      </c>
      <c r="G31" s="109">
        <v>0</v>
      </c>
      <c r="H31" s="109">
        <v>9803996.0398729946</v>
      </c>
      <c r="I31" s="128">
        <v>-7393164.0016801059</v>
      </c>
      <c r="J31" s="129">
        <v>0</v>
      </c>
      <c r="K31" s="108">
        <f t="shared" ref="K31:K51" si="6">((J31*$N$2)-I31)/$N$3</f>
        <v>9803996.0398729946</v>
      </c>
      <c r="L31" s="107">
        <f t="shared" ref="L31:N51" si="7">F31-I31</f>
        <v>0</v>
      </c>
      <c r="M31" s="107">
        <f t="shared" si="7"/>
        <v>0</v>
      </c>
      <c r="N31" s="110">
        <f t="shared" si="7"/>
        <v>0</v>
      </c>
      <c r="S31" s="111"/>
      <c r="T31" s="111"/>
      <c r="U31" s="111"/>
      <c r="V31" s="111"/>
      <c r="W31" s="111"/>
      <c r="X31" s="111"/>
      <c r="Y31" s="111"/>
      <c r="Z31" s="111"/>
      <c r="AB31" s="134">
        <v>6.14</v>
      </c>
      <c r="AC31" s="113" t="s">
        <v>88</v>
      </c>
      <c r="AD31" s="135">
        <v>-24480</v>
      </c>
      <c r="AE31" s="138">
        <v>0</v>
      </c>
      <c r="AF31" s="137">
        <v>32462.667269595291</v>
      </c>
      <c r="AG31" s="135">
        <v>-24480.220569124907</v>
      </c>
      <c r="AH31" s="138">
        <v>0</v>
      </c>
      <c r="AI31" s="137">
        <v>32462.959763962601</v>
      </c>
      <c r="AJ31" s="135">
        <f t="shared" si="4"/>
        <v>0.22056912490734248</v>
      </c>
      <c r="AK31" s="138">
        <f t="shared" si="4"/>
        <v>0</v>
      </c>
      <c r="AL31" s="137">
        <f t="shared" si="4"/>
        <v>-0.29249436730970046</v>
      </c>
      <c r="AO31" s="117">
        <v>0</v>
      </c>
      <c r="AP31" s="117">
        <v>0</v>
      </c>
      <c r="AQ31" s="117">
        <v>0</v>
      </c>
    </row>
    <row r="32" spans="1:43" x14ac:dyDescent="0.25">
      <c r="A32" s="127">
        <v>6.02</v>
      </c>
      <c r="B32" s="106" t="s">
        <v>76</v>
      </c>
      <c r="C32" s="128">
        <v>12260525</v>
      </c>
      <c r="D32" s="129">
        <v>0</v>
      </c>
      <c r="E32" s="108">
        <f t="shared" si="5"/>
        <v>-16258551.618690964</v>
      </c>
      <c r="F32" s="109">
        <v>12260525.139203645</v>
      </c>
      <c r="G32" s="109">
        <v>0</v>
      </c>
      <c r="H32" s="109">
        <v>-16258551.803287435</v>
      </c>
      <c r="I32" s="128">
        <v>12260525.139203645</v>
      </c>
      <c r="J32" s="129">
        <v>0</v>
      </c>
      <c r="K32" s="108">
        <f t="shared" si="6"/>
        <v>-16258551.803287435</v>
      </c>
      <c r="L32" s="107">
        <f t="shared" si="7"/>
        <v>0</v>
      </c>
      <c r="M32" s="107">
        <f t="shared" si="7"/>
        <v>0</v>
      </c>
      <c r="N32" s="110">
        <f t="shared" si="7"/>
        <v>0</v>
      </c>
      <c r="S32" s="111"/>
      <c r="T32" s="111"/>
      <c r="U32" s="111"/>
      <c r="V32" s="111"/>
      <c r="W32" s="111"/>
      <c r="X32" s="111"/>
      <c r="Y32" s="111"/>
      <c r="Z32" s="111"/>
      <c r="AB32" s="134">
        <v>8.01</v>
      </c>
      <c r="AC32" s="113" t="s">
        <v>96</v>
      </c>
      <c r="AD32" s="135">
        <v>31240</v>
      </c>
      <c r="AE32" s="136">
        <v>-9327511</v>
      </c>
      <c r="AF32" s="137">
        <v>-955504.48138634674</v>
      </c>
      <c r="AG32" s="135">
        <v>31239.612311343335</v>
      </c>
      <c r="AH32" s="136">
        <v>-9327511.0024682488</v>
      </c>
      <c r="AI32" s="137">
        <v>-955503.96751843172</v>
      </c>
      <c r="AJ32" s="135">
        <f t="shared" si="4"/>
        <v>0.38768865666497732</v>
      </c>
      <c r="AK32" s="136">
        <f t="shared" si="4"/>
        <v>2.4682488292455673E-3</v>
      </c>
      <c r="AL32" s="137">
        <f t="shared" si="4"/>
        <v>-0.51386791502591223</v>
      </c>
      <c r="AO32" s="117">
        <v>0</v>
      </c>
      <c r="AP32" s="117">
        <v>0</v>
      </c>
      <c r="AQ32" s="117">
        <v>0</v>
      </c>
    </row>
    <row r="33" spans="1:43" x14ac:dyDescent="0.25">
      <c r="A33" s="127">
        <v>6.04</v>
      </c>
      <c r="B33" s="106" t="s">
        <v>78</v>
      </c>
      <c r="C33" s="128">
        <v>-501416</v>
      </c>
      <c r="D33" s="129">
        <v>0</v>
      </c>
      <c r="E33" s="108">
        <f t="shared" si="5"/>
        <v>664922.41714262217</v>
      </c>
      <c r="F33" s="109">
        <v>-465600.54334724508</v>
      </c>
      <c r="G33" s="109">
        <v>0</v>
      </c>
      <c r="H33" s="109">
        <v>617427.92153694422</v>
      </c>
      <c r="I33" s="128">
        <v>-465600.54334724508</v>
      </c>
      <c r="J33" s="129">
        <v>0</v>
      </c>
      <c r="K33" s="108">
        <f t="shared" si="6"/>
        <v>617427.92153694422</v>
      </c>
      <c r="L33" s="107">
        <f t="shared" si="7"/>
        <v>0</v>
      </c>
      <c r="M33" s="107">
        <f t="shared" si="7"/>
        <v>0</v>
      </c>
      <c r="N33" s="110">
        <f t="shared" si="7"/>
        <v>0</v>
      </c>
      <c r="O33" s="117"/>
      <c r="S33" s="111"/>
      <c r="T33" s="111"/>
      <c r="U33" s="111"/>
      <c r="V33" s="111"/>
      <c r="W33" s="111"/>
      <c r="X33" s="111"/>
      <c r="Y33" s="111"/>
      <c r="Z33" s="111"/>
      <c r="AB33" s="134">
        <v>8.02</v>
      </c>
      <c r="AC33" s="113" t="s">
        <v>97</v>
      </c>
      <c r="AD33" s="135">
        <v>-5263989</v>
      </c>
      <c r="AE33" s="136">
        <v>-6388044</v>
      </c>
      <c r="AF33" s="137">
        <v>6354504.1929619126</v>
      </c>
      <c r="AG33" s="135">
        <v>-5263989.1653199438</v>
      </c>
      <c r="AH33" s="136">
        <v>-6388043.7029168438</v>
      </c>
      <c r="AI33" s="137">
        <v>6354504.4413044853</v>
      </c>
      <c r="AJ33" s="135">
        <f t="shared" si="4"/>
        <v>0.16531994380056858</v>
      </c>
      <c r="AK33" s="136">
        <f t="shared" si="4"/>
        <v>-0.29708315618336201</v>
      </c>
      <c r="AL33" s="137">
        <f t="shared" si="4"/>
        <v>-0.24834257271140814</v>
      </c>
      <c r="AO33" s="117">
        <v>0</v>
      </c>
      <c r="AP33" s="117">
        <v>0</v>
      </c>
      <c r="AQ33" s="117">
        <v>0</v>
      </c>
    </row>
    <row r="34" spans="1:43" x14ac:dyDescent="0.25">
      <c r="A34" s="127">
        <v>6.09</v>
      </c>
      <c r="B34" s="106" t="s">
        <v>83</v>
      </c>
      <c r="C34" s="129">
        <v>0</v>
      </c>
      <c r="D34" s="129">
        <v>0</v>
      </c>
      <c r="E34" s="139">
        <f t="shared" si="5"/>
        <v>0</v>
      </c>
      <c r="F34" s="140">
        <v>0</v>
      </c>
      <c r="G34" s="140">
        <v>0</v>
      </c>
      <c r="H34" s="140">
        <v>0</v>
      </c>
      <c r="I34" s="129">
        <v>0</v>
      </c>
      <c r="J34" s="129">
        <v>0</v>
      </c>
      <c r="K34" s="139">
        <f t="shared" si="6"/>
        <v>0</v>
      </c>
      <c r="L34" s="107">
        <f t="shared" si="7"/>
        <v>0</v>
      </c>
      <c r="M34" s="107">
        <f t="shared" si="7"/>
        <v>0</v>
      </c>
      <c r="N34" s="110">
        <f t="shared" si="7"/>
        <v>0</v>
      </c>
      <c r="O34" s="141"/>
      <c r="S34" s="111"/>
      <c r="T34" s="111"/>
      <c r="U34" s="111"/>
      <c r="V34" s="111"/>
      <c r="W34" s="111"/>
      <c r="X34" s="111"/>
      <c r="Y34" s="111"/>
      <c r="Z34" s="111"/>
      <c r="AB34" s="112"/>
      <c r="AC34" s="130" t="s">
        <v>98</v>
      </c>
      <c r="AD34" s="131"/>
      <c r="AE34" s="132"/>
      <c r="AF34" s="133">
        <v>0</v>
      </c>
      <c r="AG34" s="131"/>
      <c r="AH34" s="132"/>
      <c r="AI34" s="133">
        <v>0</v>
      </c>
      <c r="AJ34" s="131">
        <f t="shared" si="4"/>
        <v>0</v>
      </c>
      <c r="AK34" s="132">
        <f t="shared" si="4"/>
        <v>0</v>
      </c>
      <c r="AL34" s="133">
        <f t="shared" si="4"/>
        <v>0</v>
      </c>
      <c r="AO34" s="117">
        <v>0</v>
      </c>
      <c r="AP34" s="117">
        <v>0</v>
      </c>
      <c r="AQ34" s="117">
        <v>0</v>
      </c>
    </row>
    <row r="35" spans="1:43" x14ac:dyDescent="0.25">
      <c r="A35" s="127">
        <v>6.1</v>
      </c>
      <c r="B35" s="106" t="s">
        <v>84</v>
      </c>
      <c r="C35" s="129">
        <v>0</v>
      </c>
      <c r="D35" s="129">
        <v>0</v>
      </c>
      <c r="E35" s="139">
        <f t="shared" si="5"/>
        <v>0</v>
      </c>
      <c r="F35" s="140">
        <v>0</v>
      </c>
      <c r="G35" s="140">
        <v>0</v>
      </c>
      <c r="H35" s="140">
        <v>0</v>
      </c>
      <c r="I35" s="129">
        <v>0</v>
      </c>
      <c r="J35" s="129">
        <v>0</v>
      </c>
      <c r="K35" s="139">
        <f t="shared" si="6"/>
        <v>0</v>
      </c>
      <c r="L35" s="107">
        <f t="shared" si="7"/>
        <v>0</v>
      </c>
      <c r="M35" s="107">
        <f t="shared" si="7"/>
        <v>0</v>
      </c>
      <c r="N35" s="110">
        <f t="shared" si="7"/>
        <v>0</v>
      </c>
      <c r="O35" s="117"/>
      <c r="P35" s="117"/>
      <c r="S35" s="111"/>
      <c r="T35" s="111"/>
      <c r="U35" s="111"/>
      <c r="V35" s="111"/>
      <c r="W35" s="111"/>
      <c r="X35" s="111"/>
      <c r="Y35" s="111"/>
      <c r="Z35" s="111"/>
      <c r="AB35" s="134">
        <v>12.05</v>
      </c>
      <c r="AC35" s="113" t="s">
        <v>99</v>
      </c>
      <c r="AD35" s="135">
        <v>627299</v>
      </c>
      <c r="AE35" s="136">
        <v>-26191470</v>
      </c>
      <c r="AF35" s="137">
        <v>-3398566.2759565413</v>
      </c>
      <c r="AG35" s="135"/>
      <c r="AH35" s="136"/>
      <c r="AI35" s="137">
        <v>0</v>
      </c>
      <c r="AJ35" s="135">
        <f t="shared" si="4"/>
        <v>627299</v>
      </c>
      <c r="AK35" s="136">
        <f t="shared" si="4"/>
        <v>-26191470</v>
      </c>
      <c r="AL35" s="137">
        <f t="shared" si="4"/>
        <v>-3398566.2759565413</v>
      </c>
      <c r="AO35" s="117">
        <v>0</v>
      </c>
      <c r="AP35" s="117">
        <v>0</v>
      </c>
      <c r="AQ35" s="117">
        <v>0</v>
      </c>
    </row>
    <row r="36" spans="1:43" x14ac:dyDescent="0.25">
      <c r="A36" s="127">
        <v>6.14</v>
      </c>
      <c r="B36" s="106" t="s">
        <v>88</v>
      </c>
      <c r="C36" s="128">
        <v>-24480</v>
      </c>
      <c r="D36" s="129">
        <v>0</v>
      </c>
      <c r="E36" s="108">
        <f t="shared" si="5"/>
        <v>32462.667269595291</v>
      </c>
      <c r="F36" s="109">
        <v>-24480.220569124907</v>
      </c>
      <c r="G36" s="109">
        <v>0</v>
      </c>
      <c r="H36" s="109">
        <v>32462.959763962601</v>
      </c>
      <c r="I36" s="128">
        <v>-24480.220569124907</v>
      </c>
      <c r="J36" s="129">
        <v>0</v>
      </c>
      <c r="K36" s="108">
        <f t="shared" si="6"/>
        <v>32462.959763962601</v>
      </c>
      <c r="L36" s="107">
        <f t="shared" si="7"/>
        <v>0</v>
      </c>
      <c r="M36" s="107">
        <f t="shared" si="7"/>
        <v>0</v>
      </c>
      <c r="N36" s="110">
        <f t="shared" si="7"/>
        <v>0</v>
      </c>
      <c r="S36" s="111"/>
      <c r="T36" s="111"/>
      <c r="U36" s="111"/>
      <c r="V36" s="111"/>
      <c r="W36" s="111"/>
      <c r="X36" s="111"/>
      <c r="Y36" s="111"/>
      <c r="Z36" s="111"/>
      <c r="AB36" s="123" t="s">
        <v>100</v>
      </c>
      <c r="AC36" s="124"/>
      <c r="AD36" s="142"/>
      <c r="AE36" s="143"/>
      <c r="AF36" s="144"/>
      <c r="AG36" s="142"/>
      <c r="AH36" s="143"/>
      <c r="AI36" s="144"/>
      <c r="AJ36" s="142"/>
      <c r="AK36" s="143"/>
      <c r="AL36" s="144"/>
      <c r="AO36" s="117">
        <v>0</v>
      </c>
      <c r="AP36" s="117">
        <v>0</v>
      </c>
      <c r="AQ36" s="117">
        <v>0</v>
      </c>
    </row>
    <row r="37" spans="1:43" x14ac:dyDescent="0.25">
      <c r="A37" s="127">
        <v>6.15</v>
      </c>
      <c r="B37" s="106" t="s">
        <v>89</v>
      </c>
      <c r="C37" s="128">
        <v>-1909978</v>
      </c>
      <c r="D37" s="129">
        <v>0</v>
      </c>
      <c r="E37" s="108">
        <f t="shared" si="5"/>
        <v>2532801.4830983281</v>
      </c>
      <c r="F37" s="109">
        <v>-1909978.0874022099</v>
      </c>
      <c r="G37" s="109">
        <v>0</v>
      </c>
      <c r="H37" s="109">
        <v>2532801.5990014677</v>
      </c>
      <c r="I37" s="128">
        <v>-1909978.0874022099</v>
      </c>
      <c r="J37" s="129">
        <v>0</v>
      </c>
      <c r="K37" s="108">
        <f t="shared" si="6"/>
        <v>2532801.5990014677</v>
      </c>
      <c r="L37" s="107">
        <f t="shared" si="7"/>
        <v>0</v>
      </c>
      <c r="M37" s="107">
        <f t="shared" si="7"/>
        <v>0</v>
      </c>
      <c r="N37" s="110">
        <f t="shared" si="7"/>
        <v>0</v>
      </c>
      <c r="S37" s="111"/>
      <c r="T37" s="111"/>
      <c r="U37" s="111"/>
      <c r="V37" s="111"/>
      <c r="W37" s="111"/>
      <c r="X37" s="111"/>
      <c r="Y37" s="111"/>
      <c r="Z37" s="111"/>
      <c r="AB37" s="112"/>
      <c r="AC37" s="130" t="s">
        <v>73</v>
      </c>
      <c r="AD37" s="131"/>
      <c r="AE37" s="132"/>
      <c r="AF37" s="137"/>
      <c r="AG37" s="131"/>
      <c r="AH37" s="132"/>
      <c r="AI37" s="137"/>
      <c r="AJ37" s="131"/>
      <c r="AK37" s="132"/>
      <c r="AL37" s="137"/>
      <c r="AO37" s="117">
        <v>0</v>
      </c>
      <c r="AP37" s="117">
        <v>0</v>
      </c>
      <c r="AQ37" s="117">
        <v>0</v>
      </c>
    </row>
    <row r="38" spans="1:43" x14ac:dyDescent="0.25">
      <c r="A38" s="127">
        <v>6.16</v>
      </c>
      <c r="B38" s="106" t="s">
        <v>90</v>
      </c>
      <c r="C38" s="128">
        <v>-92854</v>
      </c>
      <c r="D38" s="129">
        <v>0</v>
      </c>
      <c r="E38" s="108">
        <f t="shared" si="5"/>
        <v>123132.70043508991</v>
      </c>
      <c r="F38" s="109">
        <v>-92853.606337802761</v>
      </c>
      <c r="G38" s="109">
        <v>0</v>
      </c>
      <c r="H38" s="109">
        <v>123132.17840384295</v>
      </c>
      <c r="I38" s="128">
        <v>-92853.606337802761</v>
      </c>
      <c r="J38" s="129">
        <v>0</v>
      </c>
      <c r="K38" s="108">
        <f t="shared" si="6"/>
        <v>123132.17840384295</v>
      </c>
      <c r="L38" s="107">
        <f t="shared" si="7"/>
        <v>0</v>
      </c>
      <c r="M38" s="107">
        <f t="shared" si="7"/>
        <v>0</v>
      </c>
      <c r="N38" s="110">
        <f t="shared" si="7"/>
        <v>0</v>
      </c>
      <c r="S38" s="111"/>
      <c r="T38" s="111"/>
      <c r="U38" s="111"/>
      <c r="V38" s="111"/>
      <c r="W38" s="111"/>
      <c r="X38" s="111"/>
      <c r="Y38" s="111"/>
      <c r="Z38" s="111"/>
      <c r="AB38" s="134">
        <v>6.03</v>
      </c>
      <c r="AC38" s="113" t="s">
        <v>77</v>
      </c>
      <c r="AD38" s="135">
        <v>-100714</v>
      </c>
      <c r="AE38" s="138">
        <v>0</v>
      </c>
      <c r="AF38" s="137">
        <v>133555.76272018056</v>
      </c>
      <c r="AG38" s="135">
        <v>1216418.5906954836</v>
      </c>
      <c r="AH38" s="138">
        <v>0</v>
      </c>
      <c r="AI38" s="137">
        <v>-1613079.7373487544</v>
      </c>
      <c r="AJ38" s="135">
        <f t="shared" ref="AJ38:AL60" si="8">AD38-AG38</f>
        <v>-1317132.5906954836</v>
      </c>
      <c r="AK38" s="138">
        <f t="shared" si="8"/>
        <v>0</v>
      </c>
      <c r="AL38" s="137">
        <f t="shared" si="8"/>
        <v>1746635.5000689351</v>
      </c>
      <c r="AO38" s="117">
        <v>0</v>
      </c>
      <c r="AP38" s="117">
        <v>0</v>
      </c>
      <c r="AQ38" s="117">
        <v>0</v>
      </c>
    </row>
    <row r="39" spans="1:43" x14ac:dyDescent="0.25">
      <c r="A39" s="127">
        <v>6.17</v>
      </c>
      <c r="B39" s="106" t="s">
        <v>91</v>
      </c>
      <c r="C39" s="128">
        <v>-308532</v>
      </c>
      <c r="D39" s="129">
        <v>0</v>
      </c>
      <c r="E39" s="108">
        <f t="shared" si="5"/>
        <v>409140.99910223752</v>
      </c>
      <c r="F39" s="109">
        <v>-308531.66010436148</v>
      </c>
      <c r="G39" s="109">
        <v>0</v>
      </c>
      <c r="H39" s="109">
        <v>409140.54837025137</v>
      </c>
      <c r="I39" s="128">
        <v>-308531.66010436148</v>
      </c>
      <c r="J39" s="129">
        <v>0</v>
      </c>
      <c r="K39" s="108">
        <f t="shared" si="6"/>
        <v>409140.54837025137</v>
      </c>
      <c r="L39" s="107">
        <f t="shared" si="7"/>
        <v>0</v>
      </c>
      <c r="M39" s="107">
        <f t="shared" si="7"/>
        <v>0</v>
      </c>
      <c r="N39" s="110">
        <f t="shared" si="7"/>
        <v>0</v>
      </c>
      <c r="S39" s="111"/>
      <c r="T39" s="111"/>
      <c r="U39" s="111"/>
      <c r="V39" s="111"/>
      <c r="W39" s="111"/>
      <c r="X39" s="111"/>
      <c r="Y39" s="111"/>
      <c r="Z39" s="111"/>
      <c r="AB39" s="134">
        <v>6.08</v>
      </c>
      <c r="AC39" s="113" t="s">
        <v>82</v>
      </c>
      <c r="AD39" s="135">
        <v>-187098</v>
      </c>
      <c r="AE39" s="138">
        <v>0</v>
      </c>
      <c r="AF39" s="137">
        <v>248108.66506563479</v>
      </c>
      <c r="AG39" s="135">
        <v>-187098.30484735657</v>
      </c>
      <c r="AH39" s="138">
        <v>0</v>
      </c>
      <c r="AI39" s="137">
        <v>248109.06932046748</v>
      </c>
      <c r="AJ39" s="135">
        <f t="shared" si="8"/>
        <v>0.30484735657228157</v>
      </c>
      <c r="AK39" s="138">
        <f t="shared" si="8"/>
        <v>0</v>
      </c>
      <c r="AL39" s="137">
        <f t="shared" si="8"/>
        <v>-0.40425483268336393</v>
      </c>
      <c r="AO39" s="117">
        <v>0</v>
      </c>
      <c r="AP39" s="117">
        <v>0</v>
      </c>
      <c r="AQ39" s="117">
        <v>0</v>
      </c>
    </row>
    <row r="40" spans="1:43" x14ac:dyDescent="0.25">
      <c r="A40" s="127">
        <v>6.2</v>
      </c>
      <c r="B40" s="106" t="s">
        <v>101</v>
      </c>
      <c r="C40" s="128">
        <v>72647</v>
      </c>
      <c r="D40" s="129">
        <v>0</v>
      </c>
      <c r="E40" s="108">
        <f t="shared" si="5"/>
        <v>-96336.412954832063</v>
      </c>
      <c r="F40" s="109">
        <v>72647.038566666641</v>
      </c>
      <c r="G40" s="109">
        <v>0</v>
      </c>
      <c r="H40" s="109">
        <v>-96336.464097677934</v>
      </c>
      <c r="I40" s="128">
        <v>72647.038566666641</v>
      </c>
      <c r="J40" s="129">
        <v>0</v>
      </c>
      <c r="K40" s="108">
        <f t="shared" si="6"/>
        <v>-96336.464097677934</v>
      </c>
      <c r="L40" s="107">
        <f t="shared" si="7"/>
        <v>0</v>
      </c>
      <c r="M40" s="107">
        <f t="shared" si="7"/>
        <v>0</v>
      </c>
      <c r="N40" s="110">
        <f t="shared" si="7"/>
        <v>0</v>
      </c>
      <c r="S40" s="111"/>
      <c r="T40" s="111"/>
      <c r="U40" s="111"/>
      <c r="V40" s="111"/>
      <c r="W40" s="111"/>
      <c r="X40" s="111"/>
      <c r="Y40" s="111"/>
      <c r="Z40" s="111"/>
      <c r="AB40" s="134">
        <v>6.18</v>
      </c>
      <c r="AC40" s="113" t="s">
        <v>93</v>
      </c>
      <c r="AD40" s="145">
        <v>0</v>
      </c>
      <c r="AE40" s="136">
        <v>150665688</v>
      </c>
      <c r="AF40" s="137">
        <v>14764936.530976782</v>
      </c>
      <c r="AG40" s="145">
        <v>0</v>
      </c>
      <c r="AH40" s="136">
        <v>150665688.3308869</v>
      </c>
      <c r="AI40" s="137">
        <v>14764936.563403038</v>
      </c>
      <c r="AJ40" s="145">
        <f t="shared" si="8"/>
        <v>0</v>
      </c>
      <c r="AK40" s="136">
        <f t="shared" si="8"/>
        <v>-0.33088690042495728</v>
      </c>
      <c r="AL40" s="137">
        <f t="shared" si="8"/>
        <v>-3.2426256686449051E-2</v>
      </c>
      <c r="AO40" s="117">
        <v>0</v>
      </c>
      <c r="AP40" s="117">
        <v>0</v>
      </c>
      <c r="AQ40" s="117">
        <v>0</v>
      </c>
    </row>
    <row r="41" spans="1:43" x14ac:dyDescent="0.25">
      <c r="A41" s="127">
        <v>6.21</v>
      </c>
      <c r="B41" s="106" t="s">
        <v>102</v>
      </c>
      <c r="C41" s="128">
        <v>-676944</v>
      </c>
      <c r="D41" s="129">
        <v>0</v>
      </c>
      <c r="E41" s="108">
        <f t="shared" si="5"/>
        <v>897688.2284374556</v>
      </c>
      <c r="F41" s="109">
        <v>-676944.13053784659</v>
      </c>
      <c r="G41" s="109">
        <v>0</v>
      </c>
      <c r="H41" s="109">
        <v>897688.40154230373</v>
      </c>
      <c r="I41" s="128">
        <v>-676944.13053784659</v>
      </c>
      <c r="J41" s="129">
        <v>0</v>
      </c>
      <c r="K41" s="108">
        <f t="shared" si="6"/>
        <v>897688.40154230373</v>
      </c>
      <c r="L41" s="107">
        <f t="shared" si="7"/>
        <v>0</v>
      </c>
      <c r="M41" s="107">
        <f t="shared" si="7"/>
        <v>0</v>
      </c>
      <c r="N41" s="110">
        <f t="shared" si="7"/>
        <v>0</v>
      </c>
      <c r="S41" s="111"/>
      <c r="T41" s="111"/>
      <c r="U41" s="111"/>
      <c r="V41" s="111"/>
      <c r="W41" s="111"/>
      <c r="X41" s="111"/>
      <c r="Y41" s="111"/>
      <c r="Z41" s="111"/>
      <c r="AB41" s="134">
        <v>6.19</v>
      </c>
      <c r="AC41" s="113" t="s">
        <v>95</v>
      </c>
      <c r="AD41" s="135">
        <v>-9738308</v>
      </c>
      <c r="AE41" s="136">
        <v>-9738308</v>
      </c>
      <c r="AF41" s="137">
        <v>11959531.782781258</v>
      </c>
      <c r="AG41" s="135">
        <v>-9738307.6067664325</v>
      </c>
      <c r="AH41" s="136">
        <v>-9738307.6067664325</v>
      </c>
      <c r="AI41" s="137">
        <v>11959531.299854519</v>
      </c>
      <c r="AJ41" s="135">
        <f t="shared" si="8"/>
        <v>-0.39323356747627258</v>
      </c>
      <c r="AK41" s="136">
        <f t="shared" si="8"/>
        <v>-0.39323356747627258</v>
      </c>
      <c r="AL41" s="137">
        <f t="shared" si="8"/>
        <v>0.4829267393797636</v>
      </c>
      <c r="AO41" s="117">
        <v>0.13053784659132361</v>
      </c>
      <c r="AP41" s="117">
        <v>0</v>
      </c>
      <c r="AQ41" s="117">
        <v>-0.17310484813060611</v>
      </c>
    </row>
    <row r="42" spans="1:43" x14ac:dyDescent="0.25">
      <c r="A42" s="127">
        <v>6.22</v>
      </c>
      <c r="B42" s="106" t="s">
        <v>103</v>
      </c>
      <c r="C42" s="128">
        <v>-2682091</v>
      </c>
      <c r="D42" s="129">
        <v>0</v>
      </c>
      <c r="E42" s="108">
        <f t="shared" si="5"/>
        <v>3556692.3088143831</v>
      </c>
      <c r="F42" s="109">
        <v>-2682091.0474460907</v>
      </c>
      <c r="G42" s="109">
        <v>-21217872.54875125</v>
      </c>
      <c r="H42" s="109">
        <v>1477383.2359674864</v>
      </c>
      <c r="I42" s="128">
        <v>-2682091.0474460907</v>
      </c>
      <c r="J42" s="129">
        <v>-21217872.54875125</v>
      </c>
      <c r="K42" s="108">
        <f t="shared" si="6"/>
        <v>1477383.2359674864</v>
      </c>
      <c r="L42" s="107">
        <f t="shared" si="7"/>
        <v>0</v>
      </c>
      <c r="M42" s="107">
        <f t="shared" si="7"/>
        <v>0</v>
      </c>
      <c r="N42" s="110">
        <f t="shared" si="7"/>
        <v>0</v>
      </c>
      <c r="S42" s="111"/>
      <c r="T42" s="111"/>
      <c r="U42" s="111"/>
      <c r="V42" s="111"/>
      <c r="W42" s="111"/>
      <c r="X42" s="111"/>
      <c r="Y42" s="111"/>
      <c r="Z42" s="111"/>
      <c r="AB42" s="112"/>
      <c r="AC42" s="130" t="s">
        <v>94</v>
      </c>
      <c r="AD42" s="131"/>
      <c r="AE42" s="132"/>
      <c r="AF42" s="137">
        <v>0</v>
      </c>
      <c r="AG42" s="131"/>
      <c r="AH42" s="132"/>
      <c r="AI42" s="137">
        <v>0</v>
      </c>
      <c r="AJ42" s="131">
        <f t="shared" si="8"/>
        <v>0</v>
      </c>
      <c r="AK42" s="132">
        <f t="shared" si="8"/>
        <v>0</v>
      </c>
      <c r="AL42" s="137">
        <f t="shared" si="8"/>
        <v>0</v>
      </c>
      <c r="AO42" s="117">
        <v>0</v>
      </c>
      <c r="AP42" s="117">
        <v>0</v>
      </c>
      <c r="AQ42" s="117">
        <v>0</v>
      </c>
    </row>
    <row r="43" spans="1:43" x14ac:dyDescent="0.25">
      <c r="A43" s="127">
        <v>6.23</v>
      </c>
      <c r="B43" s="106" t="s">
        <v>92</v>
      </c>
      <c r="C43" s="128">
        <v>134162</v>
      </c>
      <c r="D43" s="129">
        <v>0</v>
      </c>
      <c r="E43" s="108">
        <f t="shared" si="5"/>
        <v>-177910.79927383346</v>
      </c>
      <c r="F43" s="109">
        <v>134161.66059226336</v>
      </c>
      <c r="G43" s="109">
        <v>0</v>
      </c>
      <c r="H43" s="109">
        <v>-177910.34918884886</v>
      </c>
      <c r="I43" s="128">
        <v>134161.66059226336</v>
      </c>
      <c r="J43" s="129">
        <v>0</v>
      </c>
      <c r="K43" s="108">
        <f t="shared" si="6"/>
        <v>-177910.34918884886</v>
      </c>
      <c r="L43" s="107">
        <f t="shared" si="7"/>
        <v>0</v>
      </c>
      <c r="M43" s="107">
        <f t="shared" si="7"/>
        <v>0</v>
      </c>
      <c r="N43" s="110">
        <f t="shared" si="7"/>
        <v>0</v>
      </c>
      <c r="S43" s="111"/>
      <c r="T43" s="111"/>
      <c r="U43" s="111"/>
      <c r="V43" s="111"/>
      <c r="W43" s="111"/>
      <c r="X43" s="111"/>
      <c r="Y43" s="111"/>
      <c r="Z43" s="111"/>
      <c r="AB43" s="134">
        <v>6.09</v>
      </c>
      <c r="AC43" s="113" t="s">
        <v>83</v>
      </c>
      <c r="AD43" s="145">
        <v>0</v>
      </c>
      <c r="AE43" s="138">
        <v>0</v>
      </c>
      <c r="AF43" s="133">
        <v>0</v>
      </c>
      <c r="AG43" s="145">
        <v>-69886.130589179898</v>
      </c>
      <c r="AH43" s="138">
        <v>0</v>
      </c>
      <c r="AI43" s="133">
        <v>92675.253434478451</v>
      </c>
      <c r="AJ43" s="145">
        <f t="shared" si="8"/>
        <v>69886.130589179898</v>
      </c>
      <c r="AK43" s="138">
        <f t="shared" si="8"/>
        <v>0</v>
      </c>
      <c r="AL43" s="133">
        <f t="shared" si="8"/>
        <v>-92675.253434478451</v>
      </c>
      <c r="AO43" s="117">
        <v>0</v>
      </c>
      <c r="AP43" s="117">
        <v>0</v>
      </c>
      <c r="AQ43" s="117">
        <v>0</v>
      </c>
    </row>
    <row r="44" spans="1:43" x14ac:dyDescent="0.25">
      <c r="A44" s="127">
        <v>6.24</v>
      </c>
      <c r="B44" s="106" t="s">
        <v>104</v>
      </c>
      <c r="C44" s="128">
        <v>-6383799</v>
      </c>
      <c r="D44" s="128">
        <v>18429892</v>
      </c>
      <c r="E44" s="108">
        <f t="shared" si="5"/>
        <v>10271580.471477807</v>
      </c>
      <c r="F44" s="109">
        <v>-6383799</v>
      </c>
      <c r="G44" s="109">
        <v>18429892.273602732</v>
      </c>
      <c r="H44" s="109">
        <v>10271580.498290328</v>
      </c>
      <c r="I44" s="128">
        <v>-6383799</v>
      </c>
      <c r="J44" s="128">
        <v>18429892.273602732</v>
      </c>
      <c r="K44" s="108">
        <f t="shared" si="6"/>
        <v>10271580.498290328</v>
      </c>
      <c r="L44" s="107">
        <f t="shared" si="7"/>
        <v>0</v>
      </c>
      <c r="M44" s="107">
        <f t="shared" si="7"/>
        <v>0</v>
      </c>
      <c r="N44" s="110">
        <f t="shared" si="7"/>
        <v>0</v>
      </c>
      <c r="O44" s="117"/>
      <c r="S44" s="111"/>
      <c r="T44" s="111"/>
      <c r="U44" s="111"/>
      <c r="V44" s="111"/>
      <c r="W44" s="111"/>
      <c r="X44" s="146" t="s">
        <v>105</v>
      </c>
      <c r="Y44" s="111"/>
      <c r="Z44" s="111"/>
      <c r="AB44" s="134">
        <v>6.1</v>
      </c>
      <c r="AC44" s="113" t="s">
        <v>84</v>
      </c>
      <c r="AD44" s="145">
        <v>0</v>
      </c>
      <c r="AE44" s="138">
        <v>0</v>
      </c>
      <c r="AF44" s="133">
        <v>0</v>
      </c>
      <c r="AG44" s="145">
        <v>-3831.0246199423614</v>
      </c>
      <c r="AH44" s="138">
        <v>0</v>
      </c>
      <c r="AI44" s="133">
        <v>5080.2809452130978</v>
      </c>
      <c r="AJ44" s="145">
        <f t="shared" si="8"/>
        <v>3831.0246199423614</v>
      </c>
      <c r="AK44" s="138">
        <f t="shared" si="8"/>
        <v>0</v>
      </c>
      <c r="AL44" s="133">
        <f t="shared" si="8"/>
        <v>-5080.2809452130978</v>
      </c>
      <c r="AO44" s="117">
        <v>0</v>
      </c>
      <c r="AP44" s="117">
        <v>0</v>
      </c>
      <c r="AQ44" s="117">
        <v>0</v>
      </c>
    </row>
    <row r="45" spans="1:43" x14ac:dyDescent="0.25">
      <c r="A45" s="127">
        <v>6.25</v>
      </c>
      <c r="B45" s="106" t="s">
        <v>106</v>
      </c>
      <c r="C45" s="128">
        <v>344098</v>
      </c>
      <c r="D45" s="129">
        <v>0</v>
      </c>
      <c r="E45" s="108">
        <f t="shared" si="5"/>
        <v>-456304.69289759803</v>
      </c>
      <c r="F45" s="109">
        <v>344098.38920724997</v>
      </c>
      <c r="G45" s="109">
        <v>0</v>
      </c>
      <c r="H45" s="109">
        <v>-456305.20902118686</v>
      </c>
      <c r="I45" s="128">
        <v>344098.38920724997</v>
      </c>
      <c r="J45" s="129">
        <v>0</v>
      </c>
      <c r="K45" s="108">
        <f t="shared" si="6"/>
        <v>-456305.20902118686</v>
      </c>
      <c r="L45" s="107">
        <f t="shared" si="7"/>
        <v>0</v>
      </c>
      <c r="M45" s="107">
        <f t="shared" si="7"/>
        <v>0</v>
      </c>
      <c r="N45" s="110">
        <f t="shared" si="7"/>
        <v>0</v>
      </c>
      <c r="S45" s="111"/>
      <c r="T45" s="111"/>
      <c r="U45" s="146" t="s">
        <v>107</v>
      </c>
      <c r="V45" s="146" t="s">
        <v>108</v>
      </c>
      <c r="W45" s="146" t="s">
        <v>109</v>
      </c>
      <c r="X45" s="146" t="s">
        <v>110</v>
      </c>
      <c r="Y45" s="146" t="s">
        <v>111</v>
      </c>
      <c r="Z45" s="111"/>
      <c r="AB45" s="134">
        <v>6.15</v>
      </c>
      <c r="AC45" s="113" t="s">
        <v>89</v>
      </c>
      <c r="AD45" s="135">
        <v>-1909978</v>
      </c>
      <c r="AE45" s="138">
        <v>0</v>
      </c>
      <c r="AF45" s="137">
        <v>2532801.4830983281</v>
      </c>
      <c r="AG45" s="135">
        <v>-1909978.0874022099</v>
      </c>
      <c r="AH45" s="138">
        <v>0</v>
      </c>
      <c r="AI45" s="137">
        <v>2532801.5990014677</v>
      </c>
      <c r="AJ45" s="135">
        <f t="shared" si="8"/>
        <v>8.7402209872379899E-2</v>
      </c>
      <c r="AK45" s="138">
        <f t="shared" si="8"/>
        <v>0</v>
      </c>
      <c r="AL45" s="137">
        <f t="shared" si="8"/>
        <v>-0.11590313958004117</v>
      </c>
      <c r="AO45" s="117">
        <v>0</v>
      </c>
      <c r="AP45" s="117">
        <v>0</v>
      </c>
      <c r="AQ45" s="117">
        <v>0</v>
      </c>
    </row>
    <row r="46" spans="1:43" x14ac:dyDescent="0.25">
      <c r="A46" s="127">
        <v>6.26</v>
      </c>
      <c r="B46" s="106" t="s">
        <v>112</v>
      </c>
      <c r="C46" s="129">
        <v>0</v>
      </c>
      <c r="D46" s="129">
        <v>0</v>
      </c>
      <c r="E46" s="139">
        <f t="shared" si="5"/>
        <v>0</v>
      </c>
      <c r="F46" s="140">
        <v>0</v>
      </c>
      <c r="G46" s="140">
        <v>0</v>
      </c>
      <c r="H46" s="140">
        <v>0</v>
      </c>
      <c r="I46" s="129">
        <v>0</v>
      </c>
      <c r="J46" s="129">
        <v>0</v>
      </c>
      <c r="K46" s="139">
        <f t="shared" si="6"/>
        <v>0</v>
      </c>
      <c r="L46" s="107">
        <f t="shared" si="7"/>
        <v>0</v>
      </c>
      <c r="M46" s="107">
        <f t="shared" si="7"/>
        <v>0</v>
      </c>
      <c r="N46" s="110">
        <f t="shared" si="7"/>
        <v>0</v>
      </c>
      <c r="S46" s="111" t="s">
        <v>113</v>
      </c>
      <c r="T46" s="111"/>
      <c r="U46" s="147">
        <v>9500000</v>
      </c>
      <c r="V46" s="147">
        <v>5100000</v>
      </c>
      <c r="W46" s="147">
        <f>V46-U46</f>
        <v>-4400000</v>
      </c>
      <c r="X46" s="147">
        <f>W46*U52*V52+X52</f>
        <v>-3318026.7280000001</v>
      </c>
      <c r="Y46" s="147">
        <f>X46/W52</f>
        <v>-4399999.9045215668</v>
      </c>
      <c r="Z46" s="111"/>
      <c r="AB46" s="134">
        <v>6.16</v>
      </c>
      <c r="AC46" s="113" t="s">
        <v>90</v>
      </c>
      <c r="AD46" s="135">
        <v>-92854</v>
      </c>
      <c r="AE46" s="138">
        <v>0</v>
      </c>
      <c r="AF46" s="137">
        <v>123132.70043508991</v>
      </c>
      <c r="AG46" s="135">
        <v>-92853.606337802761</v>
      </c>
      <c r="AH46" s="138">
        <v>0</v>
      </c>
      <c r="AI46" s="137">
        <v>123132.17840384295</v>
      </c>
      <c r="AJ46" s="135">
        <f t="shared" si="8"/>
        <v>-0.39366219723888207</v>
      </c>
      <c r="AK46" s="138">
        <f t="shared" si="8"/>
        <v>0</v>
      </c>
      <c r="AL46" s="137">
        <f t="shared" si="8"/>
        <v>0.52203124696097802</v>
      </c>
      <c r="AO46" s="117">
        <v>0</v>
      </c>
      <c r="AP46" s="117">
        <v>0</v>
      </c>
      <c r="AQ46" s="117">
        <v>0</v>
      </c>
    </row>
    <row r="47" spans="1:43" x14ac:dyDescent="0.25">
      <c r="A47" s="127">
        <v>6.27</v>
      </c>
      <c r="B47" s="106" t="s">
        <v>114</v>
      </c>
      <c r="C47" s="128">
        <v>-128060</v>
      </c>
      <c r="D47" s="128">
        <v>17461761</v>
      </c>
      <c r="E47" s="108">
        <f t="shared" si="5"/>
        <v>1881036.7073466675</v>
      </c>
      <c r="F47" s="109">
        <v>-128060.44049818032</v>
      </c>
      <c r="G47" s="109">
        <v>17461761.383451898</v>
      </c>
      <c r="H47" s="109">
        <v>1881037.3290641329</v>
      </c>
      <c r="I47" s="128">
        <v>-128060.44049818032</v>
      </c>
      <c r="J47" s="128">
        <v>17461761.383451898</v>
      </c>
      <c r="K47" s="108">
        <f t="shared" si="6"/>
        <v>1881037.3290641329</v>
      </c>
      <c r="L47" s="107">
        <f t="shared" si="7"/>
        <v>0</v>
      </c>
      <c r="M47" s="107">
        <f t="shared" si="7"/>
        <v>0</v>
      </c>
      <c r="N47" s="110">
        <f t="shared" si="7"/>
        <v>0</v>
      </c>
      <c r="S47" s="111" t="s">
        <v>115</v>
      </c>
      <c r="T47" s="111"/>
      <c r="U47" s="147">
        <v>9460164.1915668994</v>
      </c>
      <c r="V47" s="147">
        <v>5069834.0023576804</v>
      </c>
      <c r="W47" s="147">
        <f>V47-U47</f>
        <v>-4390330.1892092191</v>
      </c>
      <c r="X47" s="147">
        <f>W47*U52+X52</f>
        <v>-3468361.3494752832</v>
      </c>
      <c r="Y47" s="147">
        <f>X47/W52</f>
        <v>-4599357.0448831953</v>
      </c>
      <c r="Z47" s="111"/>
      <c r="AB47" s="134">
        <v>6.17</v>
      </c>
      <c r="AC47" s="113" t="s">
        <v>91</v>
      </c>
      <c r="AD47" s="135">
        <v>-308532</v>
      </c>
      <c r="AE47" s="138">
        <v>0</v>
      </c>
      <c r="AF47" s="137">
        <v>409140.99910223752</v>
      </c>
      <c r="AG47" s="135">
        <v>-308531.66010436148</v>
      </c>
      <c r="AH47" s="138">
        <v>0</v>
      </c>
      <c r="AI47" s="137">
        <v>409140.54837025137</v>
      </c>
      <c r="AJ47" s="135">
        <f t="shared" si="8"/>
        <v>-0.33989563852082938</v>
      </c>
      <c r="AK47" s="138">
        <f t="shared" si="8"/>
        <v>0</v>
      </c>
      <c r="AL47" s="137">
        <f t="shared" si="8"/>
        <v>0.45073198614409193</v>
      </c>
      <c r="AO47" s="117">
        <v>0</v>
      </c>
      <c r="AP47" s="117">
        <v>0</v>
      </c>
      <c r="AQ47" s="117">
        <v>0</v>
      </c>
    </row>
    <row r="48" spans="1:43" x14ac:dyDescent="0.25">
      <c r="A48" s="127">
        <v>6.28</v>
      </c>
      <c r="B48" s="106" t="s">
        <v>116</v>
      </c>
      <c r="C48" s="128">
        <v>-303817</v>
      </c>
      <c r="D48" s="129">
        <v>0</v>
      </c>
      <c r="E48" s="108">
        <f t="shared" si="5"/>
        <v>402888.48782053235</v>
      </c>
      <c r="F48" s="109">
        <v>-303817.36784007057</v>
      </c>
      <c r="G48" s="109">
        <v>0</v>
      </c>
      <c r="H48" s="109">
        <v>402888.97560933215</v>
      </c>
      <c r="I48" s="128">
        <v>-303817.36784007057</v>
      </c>
      <c r="J48" s="129">
        <v>0</v>
      </c>
      <c r="K48" s="108">
        <f t="shared" si="6"/>
        <v>402888.97560933215</v>
      </c>
      <c r="L48" s="107">
        <f t="shared" si="7"/>
        <v>0</v>
      </c>
      <c r="M48" s="107">
        <f t="shared" si="7"/>
        <v>0</v>
      </c>
      <c r="N48" s="110">
        <f t="shared" si="7"/>
        <v>0</v>
      </c>
      <c r="S48" s="111"/>
      <c r="T48" s="111"/>
      <c r="U48" s="111"/>
      <c r="V48" s="111"/>
      <c r="W48" s="111"/>
      <c r="X48" s="148">
        <f>X46-X47</f>
        <v>150334.62147528306</v>
      </c>
      <c r="Y48" s="148"/>
      <c r="Z48" s="111"/>
      <c r="AB48" s="134">
        <v>6.2</v>
      </c>
      <c r="AC48" s="113" t="s">
        <v>101</v>
      </c>
      <c r="AD48" s="135">
        <v>72647</v>
      </c>
      <c r="AE48" s="138">
        <v>0</v>
      </c>
      <c r="AF48" s="137">
        <v>-96336.412954832063</v>
      </c>
      <c r="AG48" s="135">
        <v>72647.038566666641</v>
      </c>
      <c r="AH48" s="138">
        <v>0</v>
      </c>
      <c r="AI48" s="137">
        <v>-96336.464097677934</v>
      </c>
      <c r="AJ48" s="135">
        <f t="shared" si="8"/>
        <v>-3.8566666640690528E-2</v>
      </c>
      <c r="AK48" s="138">
        <f t="shared" si="8"/>
        <v>0</v>
      </c>
      <c r="AL48" s="137">
        <f t="shared" si="8"/>
        <v>5.11428458703449E-2</v>
      </c>
      <c r="AO48" s="117">
        <v>0</v>
      </c>
      <c r="AP48" s="117">
        <v>0</v>
      </c>
      <c r="AQ48" s="117">
        <v>0</v>
      </c>
    </row>
    <row r="49" spans="1:43" x14ac:dyDescent="0.25">
      <c r="A49" s="127">
        <v>6.29</v>
      </c>
      <c r="B49" s="106" t="s">
        <v>117</v>
      </c>
      <c r="C49" s="128">
        <v>-289829</v>
      </c>
      <c r="D49" s="128">
        <v>2961814</v>
      </c>
      <c r="E49" s="108">
        <f t="shared" si="5"/>
        <v>674591.00699246908</v>
      </c>
      <c r="F49" s="109">
        <v>-289828.67457108601</v>
      </c>
      <c r="G49" s="109">
        <v>2961814.0198504785</v>
      </c>
      <c r="H49" s="109">
        <v>674590.5773899596</v>
      </c>
      <c r="I49" s="128">
        <v>-289828.67457108601</v>
      </c>
      <c r="J49" s="128">
        <v>2961814.0198504785</v>
      </c>
      <c r="K49" s="108">
        <f t="shared" si="6"/>
        <v>674590.5773899596</v>
      </c>
      <c r="L49" s="107">
        <f t="shared" si="7"/>
        <v>0</v>
      </c>
      <c r="M49" s="107">
        <f t="shared" si="7"/>
        <v>0</v>
      </c>
      <c r="N49" s="110">
        <f t="shared" si="7"/>
        <v>0</v>
      </c>
      <c r="S49" s="111"/>
      <c r="T49" s="111"/>
      <c r="U49" s="111"/>
      <c r="V49" s="111"/>
      <c r="W49" s="111"/>
      <c r="X49" s="111"/>
      <c r="Y49" s="111"/>
      <c r="Z49" s="111"/>
      <c r="AB49" s="134">
        <v>6.21</v>
      </c>
      <c r="AC49" s="113" t="s">
        <v>102</v>
      </c>
      <c r="AD49" s="135">
        <v>-676944</v>
      </c>
      <c r="AE49" s="138">
        <v>0</v>
      </c>
      <c r="AF49" s="137">
        <v>897688.2284374556</v>
      </c>
      <c r="AG49" s="135">
        <v>-676943.63053784647</v>
      </c>
      <c r="AH49" s="138">
        <v>0</v>
      </c>
      <c r="AI49" s="137">
        <v>897687.73849762895</v>
      </c>
      <c r="AJ49" s="135">
        <f t="shared" si="8"/>
        <v>-0.36946215352509171</v>
      </c>
      <c r="AK49" s="138">
        <f t="shared" si="8"/>
        <v>0</v>
      </c>
      <c r="AL49" s="137">
        <f t="shared" si="8"/>
        <v>0.48993982665706426</v>
      </c>
      <c r="AO49" s="117">
        <v>0</v>
      </c>
      <c r="AP49" s="117">
        <v>0</v>
      </c>
      <c r="AQ49" s="117">
        <v>0</v>
      </c>
    </row>
    <row r="50" spans="1:43" x14ac:dyDescent="0.25">
      <c r="A50" s="127">
        <v>8.01</v>
      </c>
      <c r="B50" s="106" t="s">
        <v>96</v>
      </c>
      <c r="C50" s="128">
        <v>31240</v>
      </c>
      <c r="D50" s="128">
        <v>-9327511</v>
      </c>
      <c r="E50" s="108">
        <f t="shared" si="5"/>
        <v>-955504.48138634674</v>
      </c>
      <c r="F50" s="109">
        <v>31239.612311343335</v>
      </c>
      <c r="G50" s="109">
        <v>-9327511.0024682488</v>
      </c>
      <c r="H50" s="109">
        <v>-955503.96751843172</v>
      </c>
      <c r="I50" s="128">
        <v>31239.612311343335</v>
      </c>
      <c r="J50" s="128">
        <v>-9327511.0024682488</v>
      </c>
      <c r="K50" s="108">
        <f t="shared" si="6"/>
        <v>-955503.96751843172</v>
      </c>
      <c r="L50" s="107">
        <f t="shared" si="7"/>
        <v>0</v>
      </c>
      <c r="M50" s="107">
        <f t="shared" si="7"/>
        <v>0</v>
      </c>
      <c r="N50" s="110">
        <f t="shared" si="7"/>
        <v>0</v>
      </c>
      <c r="S50" s="111"/>
      <c r="T50" s="111"/>
      <c r="U50" s="111"/>
      <c r="V50" s="111"/>
      <c r="W50" s="111"/>
      <c r="X50" s="111"/>
      <c r="Y50" s="111"/>
      <c r="Z50" s="111"/>
      <c r="AB50" s="134">
        <v>6.22</v>
      </c>
      <c r="AC50" s="113" t="s">
        <v>103</v>
      </c>
      <c r="AD50" s="135">
        <v>-2682091</v>
      </c>
      <c r="AE50" s="138">
        <v>0</v>
      </c>
      <c r="AF50" s="137">
        <v>3556692.3088143831</v>
      </c>
      <c r="AG50" s="135">
        <v>-2990616.4492164613</v>
      </c>
      <c r="AH50" s="138">
        <v>27075364.87814606</v>
      </c>
      <c r="AI50" s="137">
        <v>6619156.307095048</v>
      </c>
      <c r="AJ50" s="135">
        <f t="shared" si="8"/>
        <v>308525.44921646127</v>
      </c>
      <c r="AK50" s="138">
        <f t="shared" si="8"/>
        <v>-27075364.87814606</v>
      </c>
      <c r="AL50" s="137">
        <f t="shared" si="8"/>
        <v>-3062463.9982806649</v>
      </c>
      <c r="AO50" s="117">
        <v>0</v>
      </c>
      <c r="AP50" s="117">
        <v>0</v>
      </c>
      <c r="AQ50" s="117">
        <v>0</v>
      </c>
    </row>
    <row r="51" spans="1:43" x14ac:dyDescent="0.25">
      <c r="A51" s="127">
        <v>8.02</v>
      </c>
      <c r="B51" s="106" t="s">
        <v>97</v>
      </c>
      <c r="C51" s="128">
        <v>-5263989</v>
      </c>
      <c r="D51" s="128">
        <v>-6388044</v>
      </c>
      <c r="E51" s="108">
        <f t="shared" si="5"/>
        <v>6354504.1929619126</v>
      </c>
      <c r="F51" s="109">
        <v>-5263989.1653199438</v>
      </c>
      <c r="G51" s="109">
        <v>-6388043.7029168438</v>
      </c>
      <c r="H51" s="109">
        <v>6354504.4413044853</v>
      </c>
      <c r="I51" s="128">
        <v>-5263989.1653199438</v>
      </c>
      <c r="J51" s="128">
        <v>-6388043.7029168438</v>
      </c>
      <c r="K51" s="108">
        <f t="shared" si="6"/>
        <v>6354504.4413044853</v>
      </c>
      <c r="L51" s="107">
        <f t="shared" si="7"/>
        <v>0</v>
      </c>
      <c r="M51" s="107">
        <f t="shared" si="7"/>
        <v>0</v>
      </c>
      <c r="N51" s="110">
        <f t="shared" si="7"/>
        <v>0</v>
      </c>
      <c r="S51" s="111"/>
      <c r="T51" s="111"/>
      <c r="U51" s="146" t="s">
        <v>118</v>
      </c>
      <c r="V51" s="146" t="s">
        <v>119</v>
      </c>
      <c r="W51" s="111" t="s">
        <v>120</v>
      </c>
      <c r="X51" s="149" t="s">
        <v>121</v>
      </c>
      <c r="Y51" s="111"/>
      <c r="Z51" s="111"/>
      <c r="AB51" s="134">
        <v>6.23</v>
      </c>
      <c r="AC51" s="113" t="s">
        <v>92</v>
      </c>
      <c r="AD51" s="135">
        <v>134162</v>
      </c>
      <c r="AE51" s="138">
        <v>0</v>
      </c>
      <c r="AF51" s="137">
        <v>-177910.79927383346</v>
      </c>
      <c r="AG51" s="135">
        <v>134161.66059226336</v>
      </c>
      <c r="AH51" s="138">
        <v>0</v>
      </c>
      <c r="AI51" s="137">
        <v>-177910.34918884886</v>
      </c>
      <c r="AJ51" s="135">
        <f t="shared" si="8"/>
        <v>0.33940773663925938</v>
      </c>
      <c r="AK51" s="138">
        <f t="shared" si="8"/>
        <v>0</v>
      </c>
      <c r="AL51" s="137">
        <f t="shared" si="8"/>
        <v>-0.45008498459355906</v>
      </c>
      <c r="AM51" s="150" t="s">
        <v>122</v>
      </c>
      <c r="AO51" s="117">
        <v>0</v>
      </c>
      <c r="AP51" s="117">
        <v>0</v>
      </c>
      <c r="AQ51" s="117">
        <v>0</v>
      </c>
    </row>
    <row r="52" spans="1:43" x14ac:dyDescent="0.25">
      <c r="A52" s="118" t="s">
        <v>98</v>
      </c>
      <c r="B52" s="119"/>
      <c r="C52" s="120"/>
      <c r="D52" s="120"/>
      <c r="E52" s="121"/>
      <c r="F52" s="120"/>
      <c r="G52" s="120"/>
      <c r="H52" s="120"/>
      <c r="I52" s="120"/>
      <c r="J52" s="120"/>
      <c r="K52" s="121"/>
      <c r="L52" s="120"/>
      <c r="M52" s="120"/>
      <c r="N52" s="121"/>
      <c r="S52" s="111"/>
      <c r="T52" s="111"/>
      <c r="U52" s="151">
        <v>0.79</v>
      </c>
      <c r="V52" s="111">
        <v>0.95455299999999998</v>
      </c>
      <c r="W52" s="152">
        <v>0.75409700000000002</v>
      </c>
      <c r="X52" s="153">
        <v>-0.5</v>
      </c>
      <c r="Y52" s="111"/>
      <c r="Z52" s="111"/>
      <c r="AB52" s="134">
        <v>6.24</v>
      </c>
      <c r="AC52" s="113" t="s">
        <v>104</v>
      </c>
      <c r="AD52" s="135">
        <v>-6475730</v>
      </c>
      <c r="AE52" s="136">
        <v>18429892</v>
      </c>
      <c r="AF52" s="137">
        <v>10393489.19144354</v>
      </c>
      <c r="AG52" s="135">
        <v>-6475730.3914054362</v>
      </c>
      <c r="AH52" s="136">
        <v>18429892.273602732</v>
      </c>
      <c r="AI52" s="137">
        <v>10393489.737294642</v>
      </c>
      <c r="AJ52" s="135">
        <f t="shared" si="8"/>
        <v>0.3914054362103343</v>
      </c>
      <c r="AK52" s="136">
        <f t="shared" si="8"/>
        <v>-0.27360273152589798</v>
      </c>
      <c r="AL52" s="137">
        <f t="shared" si="8"/>
        <v>-0.54585110209882259</v>
      </c>
      <c r="AM52" s="154">
        <f>+I44</f>
        <v>-6383799</v>
      </c>
      <c r="AN52" s="154">
        <f>+AM52-AG52</f>
        <v>91931.39140543621</v>
      </c>
      <c r="AO52" s="117">
        <v>0</v>
      </c>
      <c r="AP52" s="117">
        <v>0</v>
      </c>
      <c r="AQ52" s="117">
        <v>0</v>
      </c>
    </row>
    <row r="53" spans="1:43" x14ac:dyDescent="0.25">
      <c r="A53" s="127">
        <v>12.03</v>
      </c>
      <c r="B53" s="106" t="s">
        <v>123</v>
      </c>
      <c r="C53" s="129">
        <v>0</v>
      </c>
      <c r="D53" s="128">
        <v>-105392</v>
      </c>
      <c r="E53" s="108">
        <f>((D53*$N$2)-C53)/$N$3</f>
        <v>-10328.205522631702</v>
      </c>
      <c r="F53" s="109"/>
      <c r="G53" s="109">
        <v>-105391.52511888376</v>
      </c>
      <c r="H53" s="109">
        <v>-10328.158985230692</v>
      </c>
      <c r="I53" s="129"/>
      <c r="J53" s="128">
        <v>-105391.52511888376</v>
      </c>
      <c r="K53" s="108">
        <f>((J53*$N$2)-I53)/$N$3</f>
        <v>-10328.158985230692</v>
      </c>
      <c r="L53" s="107">
        <f t="shared" ref="L53:N55" si="9">F53-I53</f>
        <v>0</v>
      </c>
      <c r="M53" s="107">
        <f t="shared" si="9"/>
        <v>0</v>
      </c>
      <c r="N53" s="110">
        <f t="shared" si="9"/>
        <v>0</v>
      </c>
      <c r="S53" s="111"/>
      <c r="T53" s="111"/>
      <c r="U53" s="111"/>
      <c r="V53" s="111"/>
      <c r="W53" s="111"/>
      <c r="X53" s="111"/>
      <c r="Y53" s="111"/>
      <c r="Z53" s="111"/>
      <c r="AB53" s="134">
        <v>6.25</v>
      </c>
      <c r="AC53" s="113" t="s">
        <v>106</v>
      </c>
      <c r="AD53" s="135">
        <v>344098</v>
      </c>
      <c r="AE53" s="138">
        <v>0</v>
      </c>
      <c r="AF53" s="137">
        <v>-456304.69289759803</v>
      </c>
      <c r="AG53" s="135">
        <v>344098.38920724997</v>
      </c>
      <c r="AH53" s="138">
        <v>0</v>
      </c>
      <c r="AI53" s="137">
        <v>-456305.20902118686</v>
      </c>
      <c r="AJ53" s="135">
        <f t="shared" si="8"/>
        <v>-0.38920724997296929</v>
      </c>
      <c r="AK53" s="138">
        <f t="shared" si="8"/>
        <v>0</v>
      </c>
      <c r="AL53" s="137">
        <f t="shared" si="8"/>
        <v>0.51612358883721754</v>
      </c>
      <c r="AM53" s="117"/>
      <c r="AO53" s="117">
        <v>0</v>
      </c>
      <c r="AP53" s="117">
        <v>0</v>
      </c>
      <c r="AQ53" s="117">
        <v>0</v>
      </c>
    </row>
    <row r="54" spans="1:43" x14ac:dyDescent="0.25">
      <c r="A54" s="127">
        <v>12.05</v>
      </c>
      <c r="B54" s="106" t="s">
        <v>99</v>
      </c>
      <c r="C54" s="128">
        <v>627299</v>
      </c>
      <c r="D54" s="128">
        <v>-26191470</v>
      </c>
      <c r="E54" s="108">
        <f>((D54*$N$2)-C54)/$N$3</f>
        <v>-3398566.2759565413</v>
      </c>
      <c r="F54" s="109">
        <v>627298.7036009999</v>
      </c>
      <c r="G54" s="109">
        <v>-26191469.867169425</v>
      </c>
      <c r="H54" s="109">
        <v>-3398565.869887853</v>
      </c>
      <c r="I54" s="128">
        <v>627298.7036009999</v>
      </c>
      <c r="J54" s="128">
        <v>-26191469.867169425</v>
      </c>
      <c r="K54" s="108">
        <f>((J54*$N$2)-I54)/$N$3</f>
        <v>-3398565.869887853</v>
      </c>
      <c r="L54" s="107">
        <f t="shared" si="9"/>
        <v>0</v>
      </c>
      <c r="M54" s="107">
        <f t="shared" si="9"/>
        <v>0</v>
      </c>
      <c r="N54" s="110">
        <f t="shared" si="9"/>
        <v>0</v>
      </c>
      <c r="S54" s="111"/>
      <c r="T54" s="111"/>
      <c r="U54" s="111"/>
      <c r="V54" s="111"/>
      <c r="W54" s="111"/>
      <c r="X54" s="111"/>
      <c r="Y54" s="111"/>
      <c r="Z54" s="111"/>
      <c r="AB54" s="134">
        <v>6.26</v>
      </c>
      <c r="AC54" s="113" t="s">
        <v>112</v>
      </c>
      <c r="AD54" s="145">
        <v>0</v>
      </c>
      <c r="AE54" s="138">
        <v>0</v>
      </c>
      <c r="AF54" s="133">
        <v>0</v>
      </c>
      <c r="AG54" s="145">
        <v>722630.37767299998</v>
      </c>
      <c r="AH54" s="138">
        <v>361315.18883649912</v>
      </c>
      <c r="AI54" s="133">
        <v>-922864.28034852643</v>
      </c>
      <c r="AJ54" s="145">
        <f t="shared" si="8"/>
        <v>-722630.37767299998</v>
      </c>
      <c r="AK54" s="138">
        <f t="shared" si="8"/>
        <v>-361315.18883649912</v>
      </c>
      <c r="AL54" s="133">
        <f t="shared" si="8"/>
        <v>922864.28034852643</v>
      </c>
      <c r="AM54" s="117"/>
      <c r="AO54" s="117">
        <v>0</v>
      </c>
      <c r="AP54" s="117">
        <v>0</v>
      </c>
      <c r="AQ54" s="117">
        <v>0</v>
      </c>
    </row>
    <row r="55" spans="1:43" x14ac:dyDescent="0.15">
      <c r="A55" s="106" t="s">
        <v>124</v>
      </c>
      <c r="B55" s="106" t="s">
        <v>125</v>
      </c>
      <c r="C55" s="129">
        <v>0</v>
      </c>
      <c r="D55" s="129">
        <v>0</v>
      </c>
      <c r="E55" s="139">
        <f>((D55*$N$2)-C55)/$N$3</f>
        <v>0</v>
      </c>
      <c r="F55" s="140"/>
      <c r="G55" s="140"/>
      <c r="H55" s="140">
        <v>0</v>
      </c>
      <c r="I55" s="129"/>
      <c r="J55" s="129"/>
      <c r="K55" s="139">
        <f>((J55*$N$2)-I55)/$N$3</f>
        <v>0</v>
      </c>
      <c r="L55" s="107">
        <f t="shared" si="9"/>
        <v>0</v>
      </c>
      <c r="M55" s="107">
        <f t="shared" si="9"/>
        <v>0</v>
      </c>
      <c r="N55" s="110">
        <f t="shared" si="9"/>
        <v>0</v>
      </c>
      <c r="AB55" s="134">
        <v>6.27</v>
      </c>
      <c r="AC55" s="113" t="s">
        <v>114</v>
      </c>
      <c r="AD55" s="135">
        <v>-128060</v>
      </c>
      <c r="AE55" s="136">
        <v>17461761</v>
      </c>
      <c r="AF55" s="137">
        <v>1881036.7073466675</v>
      </c>
      <c r="AG55" s="135">
        <v>-128060.44049818032</v>
      </c>
      <c r="AH55" s="136">
        <v>17461761.383451898</v>
      </c>
      <c r="AI55" s="137">
        <v>1881037.3290641329</v>
      </c>
      <c r="AJ55" s="135">
        <f t="shared" si="8"/>
        <v>0.44049818032362964</v>
      </c>
      <c r="AK55" s="136">
        <f t="shared" si="8"/>
        <v>-0.38345189765095711</v>
      </c>
      <c r="AL55" s="137">
        <f t="shared" si="8"/>
        <v>-0.6217174653429538</v>
      </c>
      <c r="AO55" s="117">
        <v>0</v>
      </c>
      <c r="AP55" s="117">
        <v>0</v>
      </c>
      <c r="AQ55" s="117">
        <v>0</v>
      </c>
    </row>
    <row r="56" spans="1:43" x14ac:dyDescent="0.15">
      <c r="A56" s="155"/>
      <c r="B56" s="156" t="s">
        <v>126</v>
      </c>
      <c r="C56" s="157">
        <f t="shared" ref="C56:N56" si="10">SUM(C10:C55)</f>
        <v>-17058091</v>
      </c>
      <c r="D56" s="157">
        <f t="shared" si="10"/>
        <v>137768430</v>
      </c>
      <c r="E56" s="157">
        <f t="shared" si="10"/>
        <v>36121583.797575109</v>
      </c>
      <c r="F56" s="157">
        <v>-17189530.72183812</v>
      </c>
      <c r="G56" s="157">
        <v>116550559.75460096</v>
      </c>
      <c r="H56" s="157">
        <v>34216575.702732049</v>
      </c>
      <c r="I56" s="157">
        <f t="shared" si="10"/>
        <v>-10955397.721838113</v>
      </c>
      <c r="J56" s="157">
        <f t="shared" si="10"/>
        <v>116550559.75460096</v>
      </c>
      <c r="K56" s="157">
        <f t="shared" si="10"/>
        <v>25949558.329635471</v>
      </c>
      <c r="L56" s="157">
        <f t="shared" si="10"/>
        <v>-6234133.0000000019</v>
      </c>
      <c r="M56" s="157">
        <f t="shared" si="10"/>
        <v>0</v>
      </c>
      <c r="N56" s="158">
        <f t="shared" si="10"/>
        <v>8267017.3730965666</v>
      </c>
      <c r="AB56" s="134">
        <v>6.28</v>
      </c>
      <c r="AC56" s="113" t="s">
        <v>116</v>
      </c>
      <c r="AD56" s="135">
        <v>-303817</v>
      </c>
      <c r="AE56" s="138">
        <v>0</v>
      </c>
      <c r="AF56" s="137">
        <v>402888.48782053235</v>
      </c>
      <c r="AG56" s="135">
        <v>-303817.36784007057</v>
      </c>
      <c r="AH56" s="138">
        <v>0</v>
      </c>
      <c r="AI56" s="137">
        <v>402888.97560933215</v>
      </c>
      <c r="AJ56" s="135">
        <f t="shared" si="8"/>
        <v>0.36784007056849077</v>
      </c>
      <c r="AK56" s="138">
        <f t="shared" si="8"/>
        <v>0</v>
      </c>
      <c r="AL56" s="137">
        <f t="shared" si="8"/>
        <v>-0.48778879980091006</v>
      </c>
      <c r="AO56" s="117">
        <v>-6234132.8694621623</v>
      </c>
      <c r="AP56" s="117">
        <v>0</v>
      </c>
      <c r="AQ56" s="117">
        <v>8267017.1999917328</v>
      </c>
    </row>
    <row r="57" spans="1:43" x14ac:dyDescent="0.15">
      <c r="A57" s="155"/>
      <c r="B57" s="156" t="s">
        <v>127</v>
      </c>
      <c r="C57" s="157">
        <f t="shared" ref="C57:N57" si="11">C8+C56</f>
        <v>86806213</v>
      </c>
      <c r="D57" s="157">
        <f t="shared" si="11"/>
        <v>2089020573</v>
      </c>
      <c r="E57" s="157">
        <f t="shared" si="11"/>
        <v>89607049.682865709</v>
      </c>
      <c r="F57" s="157">
        <v>86674773.268163085</v>
      </c>
      <c r="G57" s="157">
        <v>2067802703.0137105</v>
      </c>
      <c r="H57" s="157">
        <v>87702041.626674175</v>
      </c>
      <c r="I57" s="157">
        <f t="shared" si="11"/>
        <v>92908906.268163085</v>
      </c>
      <c r="J57" s="157">
        <f t="shared" si="11"/>
        <v>2067802703.0137105</v>
      </c>
      <c r="K57" s="157">
        <f t="shared" si="11"/>
        <v>79435024.25357759</v>
      </c>
      <c r="L57" s="157">
        <f t="shared" si="11"/>
        <v>-6234133.0000000019</v>
      </c>
      <c r="M57" s="157">
        <f t="shared" si="11"/>
        <v>0</v>
      </c>
      <c r="N57" s="159">
        <f t="shared" si="11"/>
        <v>8267017.3730965666</v>
      </c>
      <c r="AB57" s="134">
        <v>6.29</v>
      </c>
      <c r="AC57" s="113" t="s">
        <v>117</v>
      </c>
      <c r="AD57" s="135">
        <v>-289829</v>
      </c>
      <c r="AE57" s="136">
        <v>2961814</v>
      </c>
      <c r="AF57" s="137">
        <v>674591.00699246908</v>
      </c>
      <c r="AG57" s="135">
        <v>-289828.67457108601</v>
      </c>
      <c r="AH57" s="136">
        <v>2961814.0198504785</v>
      </c>
      <c r="AI57" s="137">
        <v>674590.5773899596</v>
      </c>
      <c r="AJ57" s="135">
        <f t="shared" si="8"/>
        <v>-0.32542891398770735</v>
      </c>
      <c r="AK57" s="136">
        <f t="shared" si="8"/>
        <v>-1.9850478507578373E-2</v>
      </c>
      <c r="AL57" s="137">
        <f t="shared" si="8"/>
        <v>0.42960250948090106</v>
      </c>
      <c r="AO57" s="117">
        <v>-6234132.8694621623</v>
      </c>
      <c r="AP57" s="117">
        <v>0</v>
      </c>
      <c r="AQ57" s="117">
        <v>8267017.1999917328</v>
      </c>
    </row>
    <row r="58" spans="1:43" x14ac:dyDescent="0.15">
      <c r="A58" s="105"/>
      <c r="B58" s="106" t="s">
        <v>128</v>
      </c>
      <c r="C58" s="107"/>
      <c r="D58" s="107"/>
      <c r="E58" s="108">
        <v>-32408666</v>
      </c>
      <c r="F58" s="109"/>
      <c r="G58" s="109"/>
      <c r="H58" s="109">
        <v>-32856780.322131459</v>
      </c>
      <c r="I58" s="107"/>
      <c r="J58" s="107"/>
      <c r="K58" s="108">
        <f>K71</f>
        <v>-32856780.322131459</v>
      </c>
      <c r="L58" s="107">
        <f t="shared" ref="L58:N59" si="12">F58-I58</f>
        <v>0</v>
      </c>
      <c r="M58" s="107">
        <f t="shared" si="12"/>
        <v>0</v>
      </c>
      <c r="N58" s="110">
        <f t="shared" si="12"/>
        <v>0</v>
      </c>
      <c r="AB58" s="112"/>
      <c r="AC58" s="130" t="s">
        <v>98</v>
      </c>
      <c r="AD58" s="131"/>
      <c r="AE58" s="132"/>
      <c r="AF58" s="137">
        <v>0</v>
      </c>
      <c r="AG58" s="131"/>
      <c r="AH58" s="132"/>
      <c r="AI58" s="137">
        <v>0</v>
      </c>
      <c r="AJ58" s="131">
        <f t="shared" si="8"/>
        <v>0</v>
      </c>
      <c r="AK58" s="132">
        <f t="shared" si="8"/>
        <v>0</v>
      </c>
      <c r="AL58" s="137">
        <f t="shared" si="8"/>
        <v>0</v>
      </c>
      <c r="AO58" s="117">
        <v>0</v>
      </c>
      <c r="AP58" s="117">
        <v>0</v>
      </c>
      <c r="AQ58" s="117">
        <v>0</v>
      </c>
    </row>
    <row r="59" spans="1:43" x14ac:dyDescent="0.15">
      <c r="A59" s="105"/>
      <c r="B59" s="106" t="s">
        <v>129</v>
      </c>
      <c r="C59" s="107"/>
      <c r="D59" s="107"/>
      <c r="E59" s="108">
        <v>-14267653</v>
      </c>
      <c r="F59" s="109"/>
      <c r="G59" s="109"/>
      <c r="H59" s="109">
        <v>-14269458.564820955</v>
      </c>
      <c r="I59" s="107"/>
      <c r="J59" s="107"/>
      <c r="K59" s="108">
        <f>K75</f>
        <v>-1281994.2948209574</v>
      </c>
      <c r="L59" s="107">
        <f t="shared" si="12"/>
        <v>0</v>
      </c>
      <c r="M59" s="107">
        <f t="shared" si="12"/>
        <v>0</v>
      </c>
      <c r="N59" s="110">
        <f t="shared" si="12"/>
        <v>-12987464.269999998</v>
      </c>
      <c r="AB59" s="134">
        <v>12.03</v>
      </c>
      <c r="AC59" s="113" t="s">
        <v>123</v>
      </c>
      <c r="AD59" s="145">
        <v>0</v>
      </c>
      <c r="AE59" s="136">
        <v>-105392</v>
      </c>
      <c r="AF59" s="137">
        <v>-10328.205522631702</v>
      </c>
      <c r="AG59" s="145"/>
      <c r="AH59" s="136">
        <v>-105391.52511888376</v>
      </c>
      <c r="AI59" s="137">
        <v>-10328.158985230692</v>
      </c>
      <c r="AJ59" s="145">
        <f t="shared" si="8"/>
        <v>0</v>
      </c>
      <c r="AK59" s="136">
        <f t="shared" si="8"/>
        <v>-0.47488111624261364</v>
      </c>
      <c r="AL59" s="137">
        <f t="shared" si="8"/>
        <v>-4.6537401010937174E-2</v>
      </c>
      <c r="AO59" s="117">
        <v>0</v>
      </c>
      <c r="AP59" s="117">
        <v>0</v>
      </c>
      <c r="AQ59" s="117">
        <v>0</v>
      </c>
    </row>
    <row r="60" spans="1:43" x14ac:dyDescent="0.15">
      <c r="A60" s="155"/>
      <c r="B60" s="156" t="s">
        <v>130</v>
      </c>
      <c r="C60" s="157">
        <f t="shared" ref="C60:N60" si="13">SUM(C57:C59)</f>
        <v>86806213</v>
      </c>
      <c r="D60" s="157">
        <f t="shared" si="13"/>
        <v>2089020573</v>
      </c>
      <c r="E60" s="157">
        <f t="shared" si="13"/>
        <v>42930730.682865709</v>
      </c>
      <c r="F60" s="157">
        <v>86674773.268163085</v>
      </c>
      <c r="G60" s="157">
        <v>2067802703.0137105</v>
      </c>
      <c r="H60" s="157">
        <v>40575802.739721768</v>
      </c>
      <c r="I60" s="157">
        <f t="shared" si="13"/>
        <v>92908906.268163085</v>
      </c>
      <c r="J60" s="157">
        <f t="shared" si="13"/>
        <v>2067802703.0137105</v>
      </c>
      <c r="K60" s="157">
        <f t="shared" si="13"/>
        <v>45296249.636625178</v>
      </c>
      <c r="L60" s="157">
        <f t="shared" si="13"/>
        <v>-6234133.0000000019</v>
      </c>
      <c r="M60" s="157">
        <f t="shared" si="13"/>
        <v>0</v>
      </c>
      <c r="N60" s="159">
        <f t="shared" si="13"/>
        <v>-4720446.896903431</v>
      </c>
      <c r="AB60" s="160" t="s">
        <v>124</v>
      </c>
      <c r="AC60" s="113" t="s">
        <v>125</v>
      </c>
      <c r="AD60" s="145">
        <v>0</v>
      </c>
      <c r="AE60" s="138">
        <v>0</v>
      </c>
      <c r="AF60" s="133">
        <v>0</v>
      </c>
      <c r="AG60" s="145"/>
      <c r="AH60" s="138"/>
      <c r="AI60" s="133">
        <v>0</v>
      </c>
      <c r="AJ60" s="145">
        <f t="shared" si="8"/>
        <v>0</v>
      </c>
      <c r="AK60" s="138">
        <f t="shared" si="8"/>
        <v>0</v>
      </c>
      <c r="AL60" s="133">
        <f t="shared" si="8"/>
        <v>0</v>
      </c>
      <c r="AO60" s="117">
        <v>-6234132.8694621623</v>
      </c>
      <c r="AP60" s="117">
        <v>0</v>
      </c>
      <c r="AQ60" s="117">
        <v>8267017.1999917328</v>
      </c>
    </row>
    <row r="61" spans="1:43" x14ac:dyDescent="0.15">
      <c r="A61" s="105"/>
      <c r="B61" s="106" t="s">
        <v>131</v>
      </c>
      <c r="C61" s="107"/>
      <c r="D61" s="107"/>
      <c r="E61" s="108">
        <v>-4400000</v>
      </c>
      <c r="F61" s="109"/>
      <c r="G61" s="109"/>
      <c r="H61" s="109">
        <v>-4915768.45356932</v>
      </c>
      <c r="I61" s="107"/>
      <c r="J61" s="107"/>
      <c r="K61" s="108">
        <v>-4915768.45356932</v>
      </c>
      <c r="L61" s="107">
        <f t="shared" ref="L61:N62" si="14">F61-I61</f>
        <v>0</v>
      </c>
      <c r="M61" s="107">
        <f t="shared" si="14"/>
        <v>0</v>
      </c>
      <c r="N61" s="110">
        <f t="shared" si="14"/>
        <v>0</v>
      </c>
      <c r="O61" s="117"/>
      <c r="AB61" s="161"/>
      <c r="AC61" s="162" t="s">
        <v>126</v>
      </c>
      <c r="AD61" s="163">
        <v>-12233022</v>
      </c>
      <c r="AE61" s="164">
        <v>137768430</v>
      </c>
      <c r="AF61" s="165">
        <v>29723111.187287569</v>
      </c>
      <c r="AG61" s="163">
        <v>-10884089.851036398</v>
      </c>
      <c r="AH61" s="164">
        <v>191396582.23750415</v>
      </c>
      <c r="AI61" s="165">
        <v>33189758.450687319</v>
      </c>
      <c r="AJ61" s="163">
        <f t="shared" ref="AJ61:AK61" si="15">SUM(AJ11:AJ60)</f>
        <v>-1348932.1489635999</v>
      </c>
      <c r="AK61" s="164">
        <f t="shared" si="15"/>
        <v>-53628152.237504154</v>
      </c>
      <c r="AL61" s="165">
        <f>SUM(AL11:AL60)</f>
        <v>-3466647.2633997449</v>
      </c>
      <c r="AO61" s="117">
        <v>0</v>
      </c>
      <c r="AP61" s="117">
        <v>0</v>
      </c>
      <c r="AQ61" s="117">
        <v>0</v>
      </c>
    </row>
    <row r="62" spans="1:43" x14ac:dyDescent="0.15">
      <c r="A62" s="105"/>
      <c r="B62" s="106" t="s">
        <v>132</v>
      </c>
      <c r="C62" s="107"/>
      <c r="D62" s="107"/>
      <c r="E62" s="108">
        <v>-30800000</v>
      </c>
      <c r="F62" s="109"/>
      <c r="G62" s="109"/>
      <c r="H62" s="109">
        <v>-35472425.102341853</v>
      </c>
      <c r="I62" s="107"/>
      <c r="J62" s="107"/>
      <c r="K62" s="108">
        <v>-35472367.517737962</v>
      </c>
      <c r="L62" s="107">
        <f t="shared" si="14"/>
        <v>0</v>
      </c>
      <c r="M62" s="107">
        <f t="shared" si="14"/>
        <v>0</v>
      </c>
      <c r="N62" s="110">
        <f t="shared" si="14"/>
        <v>-57.584603890776634</v>
      </c>
      <c r="AB62" s="161"/>
      <c r="AC62" s="162" t="s">
        <v>127</v>
      </c>
      <c r="AD62" s="163">
        <v>91631282</v>
      </c>
      <c r="AE62" s="164">
        <v>2089020573</v>
      </c>
      <c r="AF62" s="165">
        <v>83208577.072578162</v>
      </c>
      <c r="AG62" s="163">
        <v>92980214.138964802</v>
      </c>
      <c r="AH62" s="164">
        <v>2142648725.4966137</v>
      </c>
      <c r="AI62" s="165">
        <v>86675224.374629438</v>
      </c>
      <c r="AJ62" s="163">
        <f t="shared" ref="AJ62:AK62" si="16">AJ8+AJ61</f>
        <v>-1348932.1389648016</v>
      </c>
      <c r="AK62" s="164">
        <f t="shared" si="16"/>
        <v>-53628152.496613652</v>
      </c>
      <c r="AL62" s="165">
        <f>AL8+AL61</f>
        <v>-3466647.3020512708</v>
      </c>
      <c r="AO62" s="117">
        <v>0</v>
      </c>
      <c r="AP62" s="117">
        <v>0</v>
      </c>
      <c r="AQ62" s="117">
        <v>-57.584603890776634</v>
      </c>
    </row>
    <row r="63" spans="1:43" x14ac:dyDescent="0.15">
      <c r="A63" s="166"/>
      <c r="B63" s="167" t="s">
        <v>133</v>
      </c>
      <c r="C63" s="168">
        <f t="shared" ref="C63:N63" si="17">SUM(C60:C62)</f>
        <v>86806213</v>
      </c>
      <c r="D63" s="168">
        <f t="shared" si="17"/>
        <v>2089020573</v>
      </c>
      <c r="E63" s="169">
        <f t="shared" si="17"/>
        <v>7730730.6828657091</v>
      </c>
      <c r="F63" s="170">
        <v>86674773.268163085</v>
      </c>
      <c r="G63" s="170">
        <v>2067802703.0137105</v>
      </c>
      <c r="H63" s="170">
        <v>187609.1838105917</v>
      </c>
      <c r="I63" s="168">
        <f t="shared" si="17"/>
        <v>92908906.268163085</v>
      </c>
      <c r="J63" s="168">
        <f t="shared" si="17"/>
        <v>2067802703.0137105</v>
      </c>
      <c r="K63" s="169">
        <f t="shared" si="17"/>
        <v>4908113.665317893</v>
      </c>
      <c r="L63" s="168">
        <f t="shared" si="17"/>
        <v>-6234133.0000000019</v>
      </c>
      <c r="M63" s="168">
        <f t="shared" si="17"/>
        <v>0</v>
      </c>
      <c r="N63" s="171">
        <f t="shared" si="17"/>
        <v>-4720504.4815073218</v>
      </c>
      <c r="O63" s="117"/>
      <c r="AB63" s="112"/>
      <c r="AC63" s="113" t="s">
        <v>128</v>
      </c>
      <c r="AD63" s="131"/>
      <c r="AE63" s="132"/>
      <c r="AF63" s="137">
        <v>-32408666</v>
      </c>
      <c r="AG63" s="131"/>
      <c r="AH63" s="132"/>
      <c r="AI63" s="137"/>
      <c r="AJ63" s="131">
        <f t="shared" ref="AJ63:AL64" si="18">AD63-AG63</f>
        <v>0</v>
      </c>
      <c r="AK63" s="132">
        <f t="shared" si="18"/>
        <v>0</v>
      </c>
      <c r="AL63" s="137">
        <f t="shared" si="18"/>
        <v>-32408666</v>
      </c>
      <c r="AO63" s="117">
        <v>-6234132.8694621623</v>
      </c>
      <c r="AP63" s="117">
        <v>0</v>
      </c>
      <c r="AQ63" s="117">
        <v>8266959.6153878383</v>
      </c>
    </row>
    <row r="64" spans="1:43" x14ac:dyDescent="0.15">
      <c r="I64" s="117"/>
      <c r="J64" s="117"/>
      <c r="K64" s="117">
        <v>0.19999173283576965</v>
      </c>
      <c r="N64" s="117"/>
      <c r="AB64" s="112"/>
      <c r="AC64" s="113" t="s">
        <v>129</v>
      </c>
      <c r="AD64" s="131"/>
      <c r="AE64" s="132"/>
      <c r="AF64" s="137">
        <v>-14267653</v>
      </c>
      <c r="AG64" s="131"/>
      <c r="AH64" s="132"/>
      <c r="AI64" s="137"/>
      <c r="AJ64" s="131">
        <f t="shared" si="18"/>
        <v>0</v>
      </c>
      <c r="AK64" s="132">
        <f t="shared" si="18"/>
        <v>0</v>
      </c>
      <c r="AL64" s="137">
        <f t="shared" si="18"/>
        <v>-14267653</v>
      </c>
      <c r="AO64" s="117">
        <v>0</v>
      </c>
      <c r="AP64" s="117">
        <v>0</v>
      </c>
      <c r="AQ64" s="117">
        <v>-12987464.46999174</v>
      </c>
    </row>
    <row r="65" spans="7:43" x14ac:dyDescent="0.15">
      <c r="I65" s="172"/>
      <c r="J65" s="172"/>
      <c r="N65" s="117"/>
      <c r="AB65" s="161"/>
      <c r="AC65" s="162" t="s">
        <v>130</v>
      </c>
      <c r="AD65" s="163">
        <v>91631282</v>
      </c>
      <c r="AE65" s="164">
        <v>2089020573</v>
      </c>
      <c r="AF65" s="165">
        <v>36532258.072578162</v>
      </c>
      <c r="AG65" s="163">
        <v>92980214.138964802</v>
      </c>
      <c r="AH65" s="164">
        <v>2142648725.4966137</v>
      </c>
      <c r="AI65" s="165">
        <v>86675224.374629438</v>
      </c>
      <c r="AJ65" s="163">
        <f t="shared" ref="AJ65:AK65" si="19">SUM(AJ62:AJ64)</f>
        <v>-1348932.1389648016</v>
      </c>
      <c r="AK65" s="164">
        <f t="shared" si="19"/>
        <v>-53628152.496613652</v>
      </c>
      <c r="AL65" s="165">
        <f>SUM(AL62:AL64)</f>
        <v>-50142966.302051269</v>
      </c>
      <c r="AO65" s="117">
        <v>0</v>
      </c>
      <c r="AP65" s="117">
        <v>0</v>
      </c>
      <c r="AQ65" s="117">
        <v>0</v>
      </c>
    </row>
    <row r="66" spans="7:43" x14ac:dyDescent="0.15">
      <c r="G66" s="69" t="s">
        <v>134</v>
      </c>
      <c r="H66" s="173">
        <f>I42/N3</f>
        <v>-3556692.3717321386</v>
      </c>
      <c r="AB66" s="112"/>
      <c r="AC66" s="113" t="s">
        <v>131</v>
      </c>
      <c r="AD66" s="131"/>
      <c r="AE66" s="132"/>
      <c r="AF66" s="137">
        <v>-4400000</v>
      </c>
      <c r="AG66" s="131"/>
      <c r="AH66" s="132"/>
      <c r="AI66" s="137"/>
      <c r="AJ66" s="131">
        <f t="shared" ref="AJ66:AL67" si="20">AD66-AG66</f>
        <v>0</v>
      </c>
      <c r="AK66" s="132">
        <f t="shared" si="20"/>
        <v>0</v>
      </c>
      <c r="AL66" s="137">
        <f t="shared" si="20"/>
        <v>-4400000</v>
      </c>
      <c r="AO66" s="117">
        <v>0</v>
      </c>
      <c r="AP66" s="117">
        <v>0</v>
      </c>
      <c r="AQ66" s="117">
        <v>0</v>
      </c>
    </row>
    <row r="67" spans="7:43" x14ac:dyDescent="0.15">
      <c r="G67" s="69" t="s">
        <v>135</v>
      </c>
      <c r="H67" s="173">
        <f>I44/N3</f>
        <v>-8465487.8616411407</v>
      </c>
      <c r="AB67" s="112"/>
      <c r="AC67" s="113" t="s">
        <v>136</v>
      </c>
      <c r="AD67" s="131"/>
      <c r="AE67" s="132"/>
      <c r="AF67" s="137">
        <v>-30800000</v>
      </c>
      <c r="AG67" s="131"/>
      <c r="AH67" s="132"/>
      <c r="AI67" s="137"/>
      <c r="AJ67" s="131">
        <f t="shared" si="20"/>
        <v>0</v>
      </c>
      <c r="AK67" s="132">
        <f t="shared" si="20"/>
        <v>0</v>
      </c>
      <c r="AL67" s="137">
        <f t="shared" si="20"/>
        <v>-30800000</v>
      </c>
      <c r="AO67" s="117">
        <v>0</v>
      </c>
      <c r="AP67" s="117">
        <v>0</v>
      </c>
      <c r="AQ67" s="117">
        <v>0</v>
      </c>
    </row>
    <row r="68" spans="7:43" ht="16.5" thickBot="1" x14ac:dyDescent="0.2">
      <c r="J68" s="69" t="s">
        <v>137</v>
      </c>
      <c r="K68" s="173">
        <v>-11099388.065468635</v>
      </c>
      <c r="AB68" s="174"/>
      <c r="AC68" s="175" t="s">
        <v>133</v>
      </c>
      <c r="AD68" s="176">
        <v>91631282</v>
      </c>
      <c r="AE68" s="177">
        <v>2089020573</v>
      </c>
      <c r="AF68" s="178">
        <v>1332258.072578162</v>
      </c>
      <c r="AG68" s="176">
        <v>92980214.138964802</v>
      </c>
      <c r="AH68" s="177">
        <v>2142648725.4966137</v>
      </c>
      <c r="AI68" s="178">
        <v>86675224.374629438</v>
      </c>
      <c r="AJ68" s="176">
        <f t="shared" ref="AJ68:AK68" si="21">SUM(AJ65:AJ67)</f>
        <v>-1348932.1389648016</v>
      </c>
      <c r="AK68" s="177">
        <f t="shared" si="21"/>
        <v>-53628152.496613652</v>
      </c>
      <c r="AL68" s="178">
        <f>SUM(AL65:AL67)</f>
        <v>-85342966.302051276</v>
      </c>
      <c r="AO68" s="117">
        <v>0</v>
      </c>
      <c r="AP68" s="117" t="e">
        <v>#VALUE!</v>
      </c>
      <c r="AQ68" s="117">
        <v>11099388.065468635</v>
      </c>
    </row>
    <row r="69" spans="7:43" ht="16.5" thickTop="1" x14ac:dyDescent="0.15">
      <c r="J69" s="69" t="s">
        <v>138</v>
      </c>
      <c r="K69" s="141">
        <v>-27933316.812042475</v>
      </c>
    </row>
    <row r="70" spans="7:43" x14ac:dyDescent="0.15">
      <c r="J70" s="69" t="s">
        <v>139</v>
      </c>
      <c r="K70" s="141">
        <v>6175924.5553796543</v>
      </c>
    </row>
    <row r="71" spans="7:43" ht="16.5" thickBot="1" x14ac:dyDescent="0.2">
      <c r="J71" s="69" t="s">
        <v>140</v>
      </c>
      <c r="K71" s="179">
        <f>SUM(K68:K70)</f>
        <v>-32856780.322131459</v>
      </c>
    </row>
    <row r="72" spans="7:43" ht="16.5" thickTop="1" x14ac:dyDescent="0.15"/>
    <row r="73" spans="7:43" x14ac:dyDescent="0.15">
      <c r="J73" s="69" t="s">
        <v>141</v>
      </c>
      <c r="K73" s="173">
        <v>-1281994.2948209574</v>
      </c>
    </row>
    <row r="74" spans="7:43" x14ac:dyDescent="0.15">
      <c r="J74" s="69" t="s">
        <v>142</v>
      </c>
      <c r="K74" s="141">
        <v>0</v>
      </c>
    </row>
    <row r="75" spans="7:43" ht="16.5" thickBot="1" x14ac:dyDescent="0.2">
      <c r="J75" s="69" t="s">
        <v>143</v>
      </c>
      <c r="K75" s="179">
        <f>SUM(K73:K74)</f>
        <v>-1281994.2948209574</v>
      </c>
    </row>
    <row r="76" spans="7:43" ht="16.5" thickTop="1" x14ac:dyDescent="0.1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11" sqref="C11"/>
    </sheetView>
  </sheetViews>
  <sheetFormatPr defaultColWidth="10.6640625" defaultRowHeight="12.75" x14ac:dyDescent="0.2"/>
  <cols>
    <col min="1" max="1" width="2.33203125" style="53" bestFit="1" customWidth="1"/>
    <col min="2" max="2" width="86.6640625" style="53" bestFit="1" customWidth="1"/>
    <col min="3" max="3" width="3.1640625" style="53" customWidth="1"/>
    <col min="4" max="4" width="10.6640625" style="53" bestFit="1" customWidth="1"/>
    <col min="5" max="5" width="11.33203125" style="53" bestFit="1" customWidth="1"/>
    <col min="6" max="16384" width="10.6640625" style="53"/>
  </cols>
  <sheetData>
    <row r="1" spans="1:5" x14ac:dyDescent="0.2">
      <c r="B1" s="180"/>
      <c r="C1" s="180"/>
      <c r="D1" s="181" t="s">
        <v>144</v>
      </c>
      <c r="E1" s="182"/>
    </row>
    <row r="2" spans="1:5" x14ac:dyDescent="0.2">
      <c r="B2" s="183"/>
      <c r="C2" s="184"/>
      <c r="D2" s="184"/>
      <c r="E2" s="184"/>
    </row>
    <row r="3" spans="1:5" x14ac:dyDescent="0.2">
      <c r="B3" s="183" t="s">
        <v>145</v>
      </c>
      <c r="C3" s="184"/>
      <c r="D3" s="184"/>
      <c r="E3" s="184"/>
    </row>
    <row r="4" spans="1:5" x14ac:dyDescent="0.2">
      <c r="B4" s="183" t="s">
        <v>146</v>
      </c>
      <c r="C4" s="184"/>
      <c r="D4" s="184"/>
      <c r="E4" s="184"/>
    </row>
    <row r="5" spans="1:5" x14ac:dyDescent="0.2">
      <c r="B5" s="183" t="s">
        <v>147</v>
      </c>
      <c r="C5" s="184"/>
      <c r="D5" s="184"/>
      <c r="E5" s="184"/>
    </row>
    <row r="6" spans="1:5" x14ac:dyDescent="0.2">
      <c r="B6" s="183" t="s">
        <v>148</v>
      </c>
      <c r="C6" s="183"/>
      <c r="D6" s="183"/>
      <c r="E6" s="183"/>
    </row>
    <row r="7" spans="1:5" x14ac:dyDescent="0.2">
      <c r="B7" s="183" t="s">
        <v>149</v>
      </c>
      <c r="C7" s="184"/>
      <c r="D7" s="184"/>
      <c r="E7" s="184"/>
    </row>
    <row r="8" spans="1:5" x14ac:dyDescent="0.2">
      <c r="B8" s="184"/>
      <c r="C8" s="184"/>
      <c r="D8" s="184"/>
      <c r="E8" s="180"/>
    </row>
    <row r="9" spans="1:5" x14ac:dyDescent="0.2">
      <c r="B9" s="185"/>
      <c r="C9" s="185"/>
      <c r="D9" s="180"/>
      <c r="E9" s="180"/>
    </row>
    <row r="10" spans="1:5" x14ac:dyDescent="0.2">
      <c r="B10" s="186" t="s">
        <v>150</v>
      </c>
      <c r="C10" s="186"/>
      <c r="D10" s="187"/>
      <c r="E10" s="187"/>
    </row>
    <row r="11" spans="1:5" x14ac:dyDescent="0.2">
      <c r="B11" s="180"/>
      <c r="C11" s="180"/>
      <c r="D11" s="180"/>
      <c r="E11" s="180"/>
    </row>
    <row r="12" spans="1:5" x14ac:dyDescent="0.2">
      <c r="A12" s="53">
        <v>1</v>
      </c>
      <c r="B12" s="188" t="s">
        <v>151</v>
      </c>
      <c r="C12" s="189"/>
      <c r="D12" s="189"/>
      <c r="E12" s="190">
        <v>5.1240000000000001E-3</v>
      </c>
    </row>
    <row r="13" spans="1:5" x14ac:dyDescent="0.2">
      <c r="A13" s="53">
        <v>2</v>
      </c>
      <c r="B13" s="188" t="s">
        <v>152</v>
      </c>
      <c r="C13" s="189"/>
      <c r="D13" s="189"/>
      <c r="E13" s="190">
        <v>2E-3</v>
      </c>
    </row>
    <row r="14" spans="1:5" x14ac:dyDescent="0.2">
      <c r="A14" s="53">
        <v>3</v>
      </c>
      <c r="B14" s="188" t="s">
        <v>153</v>
      </c>
      <c r="C14" s="180"/>
      <c r="D14" s="191">
        <v>3.8519999999999999E-2</v>
      </c>
      <c r="E14" s="192">
        <f>ROUND(D14-(D14*E12),6)</f>
        <v>3.8323000000000003E-2</v>
      </c>
    </row>
    <row r="15" spans="1:5" x14ac:dyDescent="0.2">
      <c r="A15" s="53">
        <v>4</v>
      </c>
      <c r="B15" s="188"/>
      <c r="C15" s="189"/>
      <c r="D15" s="189"/>
      <c r="E15" s="193"/>
    </row>
    <row r="16" spans="1:5" x14ac:dyDescent="0.2">
      <c r="A16" s="53">
        <v>5</v>
      </c>
      <c r="B16" s="188" t="s">
        <v>154</v>
      </c>
      <c r="C16" s="189"/>
      <c r="D16" s="189"/>
      <c r="E16" s="190">
        <f>ROUND(SUM(E12:E14),6)</f>
        <v>4.5447000000000001E-2</v>
      </c>
    </row>
    <row r="17" spans="1:5" x14ac:dyDescent="0.2">
      <c r="A17" s="53">
        <v>6</v>
      </c>
      <c r="B17" s="189"/>
      <c r="C17" s="189"/>
      <c r="D17" s="189"/>
      <c r="E17" s="190"/>
    </row>
    <row r="18" spans="1:5" x14ac:dyDescent="0.2">
      <c r="A18" s="53">
        <v>7</v>
      </c>
      <c r="B18" s="189" t="s">
        <v>155</v>
      </c>
      <c r="C18" s="189"/>
      <c r="D18" s="189"/>
      <c r="E18" s="190">
        <f>ROUND(1-E16,6)</f>
        <v>0.95455299999999998</v>
      </c>
    </row>
    <row r="19" spans="1:5" x14ac:dyDescent="0.2">
      <c r="A19" s="53">
        <v>8</v>
      </c>
      <c r="B19" s="188" t="s">
        <v>156</v>
      </c>
      <c r="C19" s="189"/>
      <c r="D19" s="194">
        <v>0.21</v>
      </c>
      <c r="E19" s="190">
        <v>0.200456</v>
      </c>
    </row>
    <row r="20" spans="1:5" ht="13.5" thickBot="1" x14ac:dyDescent="0.25">
      <c r="A20" s="53">
        <v>9</v>
      </c>
      <c r="B20" s="188" t="s">
        <v>157</v>
      </c>
      <c r="C20" s="189"/>
      <c r="D20" s="189"/>
      <c r="E20" s="195">
        <f>ROUND(1-E19-E16,6)</f>
        <v>0.75409700000000002</v>
      </c>
    </row>
    <row r="21" spans="1:5" ht="13.5" thickTop="1" x14ac:dyDescent="0.2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009F85CED416643813B55A925E6BC9E" ma:contentTypeVersion="36" ma:contentTypeDescription="" ma:contentTypeScope="" ma:versionID="88152d5c2ea936e91e18fd4a419a34a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2021-11-24T08:00:00+00:00</OpenedDate>
    <SignificantOrder xmlns="dc463f71-b30c-4ab2-9473-d307f9d35888">false</SignificantOrder>
    <Date1 xmlns="dc463f71-b30c-4ab2-9473-d307f9d35888">2021-11-24T08:00:00+00:00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210918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2CA7D10-97B0-4063-88E4-07FFB5B90C83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3DB35FF4-C8ED-4094-86F9-99FB28459F76}"/>
</file>

<file path=customXml/itemProps3.xml><?xml version="1.0" encoding="utf-8"?>
<ds:datastoreItem xmlns:ds="http://schemas.openxmlformats.org/officeDocument/2006/customXml" ds:itemID="{AFFCE5B2-BC3C-4DBC-BD6C-F6A809F445D5}"/>
</file>

<file path=customXml/itemProps4.xml><?xml version="1.0" encoding="utf-8"?>
<ds:datastoreItem xmlns:ds="http://schemas.openxmlformats.org/officeDocument/2006/customXml" ds:itemID="{645517FD-71DF-4460-94C9-54EB14415C50}"/>
</file>

<file path=customXml/itemProps5.xml><?xml version="1.0" encoding="utf-8"?>
<ds:datastoreItem xmlns:ds="http://schemas.openxmlformats.org/officeDocument/2006/customXml" ds:itemID="{C4AC25A8-BE15-4476-931D-27CBFD751C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LNG Earnings Erosion Analysis</vt:lpstr>
      <vt:lpstr>CBR w GRC Revenues</vt:lpstr>
      <vt:lpstr>GRC New Revenues</vt:lpstr>
      <vt:lpstr>10-1-2021 Gas Compl Flng PLR</vt:lpstr>
      <vt:lpstr>GRC Conversion Factor</vt:lpstr>
      <vt:lpstr>'LNG Earnings Erosion Analysis'!Print_Area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Free, Susan</cp:lastModifiedBy>
  <cp:lastPrinted>2018-03-21T23:27:54Z</cp:lastPrinted>
  <dcterms:created xsi:type="dcterms:W3CDTF">1997-10-13T22:59:17Z</dcterms:created>
  <dcterms:modified xsi:type="dcterms:W3CDTF">2021-11-23T01:35:03Z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#GS Dec 2019CBR.xlsx</vt:lpwstr>
  </property>
  <property fmtid="{D5CDD505-2E9C-101B-9397-08002B2CF9AE}" pid="3" name="ContentTypeId">
    <vt:lpwstr>0x0101006E56B4D1795A2E4DB2F0B01679ED314A001009F85CED416643813B55A925E6BC9E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