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uresources.sharepoint.com/sites/WestRegulatoryGeneral/Shared Documents/Projects/CARES Substitute Filing/"/>
    </mc:Choice>
  </mc:AlternateContent>
  <xr:revisionPtr revIDLastSave="34" documentId="13_ncr:1_{DA9E703F-C799-4916-9018-0289FB572EAC}" xr6:coauthVersionLast="47" xr6:coauthVersionMax="47" xr10:uidLastSave="{BB5F3A8F-000B-4C55-BE42-142D94D50BA6}"/>
  <bookViews>
    <workbookView minimized="1" xWindow="8145" yWindow="4020" windowWidth="28800" windowHeight="15345" tabRatio="934" firstSheet="2" activeTab="2" xr2:uid="{EAF6DFE6-A071-4917-8A22-E24CF41308EF}"/>
  </bookViews>
  <sheets>
    <sheet name="CARES Cost" sheetId="1" r:id="rId1"/>
    <sheet name="CARES Summary of Def. Accts." sheetId="23" r:id="rId2"/>
    <sheet name="Cost Recovery and Rates" sheetId="19" r:id="rId3"/>
    <sheet name="CARES Amount Change" sheetId="17" r:id="rId4"/>
    <sheet name="CARES Incremental Rate" sheetId="18" r:id="rId5"/>
    <sheet name="Rate Impact" sheetId="21" r:id="rId6"/>
    <sheet name="Workpapers ==&gt;" sheetId="16" r:id="rId7"/>
    <sheet name="EstimatedBalances" sheetId="24" r:id="rId8"/>
    <sheet name=" Int during Amort" sheetId="25" r:id="rId9"/>
    <sheet name="Int calc thru 10-31-2025" sheetId="26" r:id="rId10"/>
    <sheet name="Bills-Therms-Revs" sheetId="4" r:id="rId11"/>
    <sheet name="CARES Deferral Balances" sheetId="11" r:id="rId12"/>
    <sheet name="CARES Discount" sheetId="9" r:id="rId13"/>
    <sheet name="CARES Grants" sheetId="10" r:id="rId14"/>
    <sheet name="Forecasted Volumes" sheetId="3" r:id="rId15"/>
    <sheet name="Touchpoints" sheetId="27" r:id="rId16"/>
    <sheet name=" Conversion Factor" sheetId="28" r:id="rId17"/>
    <sheet name="EDP-AMP 1823.2073" sheetId="29" r:id="rId18"/>
    <sheet name="EDP-AMP 1823.2074" sheetId="30" r:id="rId19"/>
    <sheet name="EDP-AMP 1823.2075" sheetId="31" r:id="rId20"/>
    <sheet name="EDP-AMP 1823.2076" sheetId="32" r:id="rId21"/>
  </sheets>
  <definedNames>
    <definedName name="\0" localSheetId="8">#REF!</definedName>
    <definedName name="\0" localSheetId="1">#REF!</definedName>
    <definedName name="\0" localSheetId="7">#REF!</definedName>
    <definedName name="\0" localSheetId="9">#REF!</definedName>
    <definedName name="\0">#REF!</definedName>
    <definedName name="\a" localSheetId="8">#REF!</definedName>
    <definedName name="\a" localSheetId="1">#REF!</definedName>
    <definedName name="\a" localSheetId="7">#REF!</definedName>
    <definedName name="\a" localSheetId="9">#REF!</definedName>
    <definedName name="\a">#REF!</definedName>
    <definedName name="\b" localSheetId="8">#REF!</definedName>
    <definedName name="\b" localSheetId="1">#REF!</definedName>
    <definedName name="\b" localSheetId="7">#REF!</definedName>
    <definedName name="\b" localSheetId="9">#REF!</definedName>
    <definedName name="\b">#REF!</definedName>
    <definedName name="\bb" localSheetId="16">#REF!</definedName>
    <definedName name="\bb" localSheetId="3">#REF!</definedName>
    <definedName name="\bb">#REF!</definedName>
    <definedName name="\c" localSheetId="8">#REF!</definedName>
    <definedName name="\c" localSheetId="3">#REF!</definedName>
    <definedName name="\c" localSheetId="1">#REF!</definedName>
    <definedName name="\c" localSheetId="7">#REF!</definedName>
    <definedName name="\c" localSheetId="9">#REF!</definedName>
    <definedName name="\c">#REF!</definedName>
    <definedName name="\d" localSheetId="8">#REF!</definedName>
    <definedName name="\d" localSheetId="3">#REF!</definedName>
    <definedName name="\d" localSheetId="1">#REF!</definedName>
    <definedName name="\d" localSheetId="7">#REF!</definedName>
    <definedName name="\d" localSheetId="9">#REF!</definedName>
    <definedName name="\d">#REF!</definedName>
    <definedName name="\e" localSheetId="8">#REF!</definedName>
    <definedName name="\e" localSheetId="3">#REF!</definedName>
    <definedName name="\e" localSheetId="1">#REF!</definedName>
    <definedName name="\e" localSheetId="7">#REF!</definedName>
    <definedName name="\e" localSheetId="9">#REF!</definedName>
    <definedName name="\e">#REF!</definedName>
    <definedName name="\f" localSheetId="8">#REF!</definedName>
    <definedName name="\f" localSheetId="1">#REF!</definedName>
    <definedName name="\f" localSheetId="7">#REF!</definedName>
    <definedName name="\f" localSheetId="9">#REF!</definedName>
    <definedName name="\f">#REF!</definedName>
    <definedName name="\g" localSheetId="8">#REF!</definedName>
    <definedName name="\g" localSheetId="1">#REF!</definedName>
    <definedName name="\g" localSheetId="7">#REF!</definedName>
    <definedName name="\g" localSheetId="9">#REF!</definedName>
    <definedName name="\g">#REF!</definedName>
    <definedName name="\i" localSheetId="8">#REF!</definedName>
    <definedName name="\i" localSheetId="1">#REF!</definedName>
    <definedName name="\i" localSheetId="7">#REF!</definedName>
    <definedName name="\i" localSheetId="9">#REF!</definedName>
    <definedName name="\i">#REF!</definedName>
    <definedName name="\k" localSheetId="8">#REF!</definedName>
    <definedName name="\k" localSheetId="1">#REF!</definedName>
    <definedName name="\k" localSheetId="7">#REF!</definedName>
    <definedName name="\k" localSheetId="9">#REF!</definedName>
    <definedName name="\k">#REF!</definedName>
    <definedName name="\m" localSheetId="8">#REF!</definedName>
    <definedName name="\m" localSheetId="1">#REF!</definedName>
    <definedName name="\m" localSheetId="7">#REF!</definedName>
    <definedName name="\m" localSheetId="9">#REF!</definedName>
    <definedName name="\m">#REF!</definedName>
    <definedName name="\n" localSheetId="8">#REF!</definedName>
    <definedName name="\n" localSheetId="1">#REF!</definedName>
    <definedName name="\n" localSheetId="7">#REF!</definedName>
    <definedName name="\n" localSheetId="9">#REF!</definedName>
    <definedName name="\n">#REF!</definedName>
    <definedName name="\p" localSheetId="8">#REF!</definedName>
    <definedName name="\p" localSheetId="1">#REF!</definedName>
    <definedName name="\p" localSheetId="7">#REF!</definedName>
    <definedName name="\p" localSheetId="9">#REF!</definedName>
    <definedName name="\p">#REF!</definedName>
    <definedName name="\q" localSheetId="8">#REF!</definedName>
    <definedName name="\q" localSheetId="1">#REF!</definedName>
    <definedName name="\q" localSheetId="7">#REF!</definedName>
    <definedName name="\q" localSheetId="9">#REF!</definedName>
    <definedName name="\q">#REF!</definedName>
    <definedName name="\s" localSheetId="8">#REF!</definedName>
    <definedName name="\s" localSheetId="1">#REF!</definedName>
    <definedName name="\s" localSheetId="7">#REF!</definedName>
    <definedName name="\s" localSheetId="9">#REF!</definedName>
    <definedName name="\s">#REF!</definedName>
    <definedName name="\t" localSheetId="8">#REF!</definedName>
    <definedName name="\t" localSheetId="1">#REF!</definedName>
    <definedName name="\t" localSheetId="7">#REF!</definedName>
    <definedName name="\t" localSheetId="9">#REF!</definedName>
    <definedName name="\t">#REF!</definedName>
    <definedName name="\v" localSheetId="8">#REF!</definedName>
    <definedName name="\v" localSheetId="1">#REF!</definedName>
    <definedName name="\v" localSheetId="7">#REF!</definedName>
    <definedName name="\v" localSheetId="9">#REF!</definedName>
    <definedName name="\v">#REF!</definedName>
    <definedName name="\zzz" localSheetId="16">#REF!</definedName>
    <definedName name="\zzz" localSheetId="3">#REF!</definedName>
    <definedName name="\zzz">#REF!</definedName>
    <definedName name="___apr99" localSheetId="16">#REF!</definedName>
    <definedName name="___apr99">#REF!</definedName>
    <definedName name="___re22" localSheetId="16">#REF!</definedName>
    <definedName name="___re22">#REF!</definedName>
    <definedName name="___y1212" localSheetId="16">#REF!</definedName>
    <definedName name="___y1212">#REF!</definedName>
    <definedName name="__apr98" localSheetId="16">#REF!</definedName>
    <definedName name="__apr98">#REF!</definedName>
    <definedName name="__aug98" localSheetId="16">#REF!</definedName>
    <definedName name="__aug98">#REF!</definedName>
    <definedName name="__Aug99" localSheetId="16">#REF!</definedName>
    <definedName name="__Aug99">#REF!</definedName>
    <definedName name="__dec98" localSheetId="16">#REF!</definedName>
    <definedName name="__dec98">#REF!</definedName>
    <definedName name="__dec99" localSheetId="16">#REF!</definedName>
    <definedName name="__dec99">#REF!</definedName>
    <definedName name="__feb98" localSheetId="16">#REF!</definedName>
    <definedName name="__feb98">#REF!</definedName>
    <definedName name="__FEB99" localSheetId="16">#REF!</definedName>
    <definedName name="__FEB99">#REF!</definedName>
    <definedName name="__jan98" localSheetId="16">#REF!</definedName>
    <definedName name="__jan98">#REF!</definedName>
    <definedName name="__jan99" localSheetId="16">#REF!</definedName>
    <definedName name="__jan99">#REF!</definedName>
    <definedName name="__jul98" localSheetId="16">#REF!</definedName>
    <definedName name="__jul98">#REF!</definedName>
    <definedName name="__jul99" localSheetId="16">#REF!</definedName>
    <definedName name="__jul99">#REF!</definedName>
    <definedName name="__jun98" localSheetId="16">#REF!</definedName>
    <definedName name="__jun98">#REF!</definedName>
    <definedName name="__mar98" localSheetId="16">#REF!</definedName>
    <definedName name="__mar98">#REF!</definedName>
    <definedName name="__MAR99" localSheetId="16">#REF!</definedName>
    <definedName name="__MAR99">#REF!</definedName>
    <definedName name="__may98" localSheetId="16">#REF!</definedName>
    <definedName name="__may98">#REF!</definedName>
    <definedName name="__may99" localSheetId="16">#REF!</definedName>
    <definedName name="__may99">#REF!</definedName>
    <definedName name="__nov98" localSheetId="16">#REF!</definedName>
    <definedName name="__nov98">#REF!</definedName>
    <definedName name="__nov99" localSheetId="16">#REF!</definedName>
    <definedName name="__nov99">#REF!</definedName>
    <definedName name="__oct98" localSheetId="16">#REF!</definedName>
    <definedName name="__oct98">#REF!</definedName>
    <definedName name="__oct99" localSheetId="16">#REF!</definedName>
    <definedName name="__oct99">#REF!</definedName>
    <definedName name="__sep98" localSheetId="16">#REF!</definedName>
    <definedName name="__sep98">#REF!</definedName>
    <definedName name="__sep99" localSheetId="16">#REF!</definedName>
    <definedName name="__sep99">#REF!</definedName>
    <definedName name="_12_91" localSheetId="8">#REF!</definedName>
    <definedName name="_12_91" localSheetId="3">#REF!</definedName>
    <definedName name="_12_91" localSheetId="1">#REF!</definedName>
    <definedName name="_12_91" localSheetId="7">#REF!</definedName>
    <definedName name="_12_91" localSheetId="9">#REF!</definedName>
    <definedName name="_12_91">#REF!</definedName>
    <definedName name="_1994DD" localSheetId="8">#REF!</definedName>
    <definedName name="_1994DD" localSheetId="3">#REF!</definedName>
    <definedName name="_1994DD" localSheetId="1">#REF!</definedName>
    <definedName name="_1994DD" localSheetId="7">#REF!</definedName>
    <definedName name="_1994DD" localSheetId="9">#REF!</definedName>
    <definedName name="_1994DD">#REF!</definedName>
    <definedName name="_228" localSheetId="16">#REF!</definedName>
    <definedName name="_228" localSheetId="8">#REF!</definedName>
    <definedName name="_228" localSheetId="3">#REF!</definedName>
    <definedName name="_228" localSheetId="1">#REF!</definedName>
    <definedName name="_228" localSheetId="7">#REF!</definedName>
    <definedName name="_228" localSheetId="9">#REF!</definedName>
    <definedName name="_228">#REF!</definedName>
    <definedName name="_230" localSheetId="16">#REF!</definedName>
    <definedName name="_230" localSheetId="8">#REF!</definedName>
    <definedName name="_230" localSheetId="3">#REF!</definedName>
    <definedName name="_230" localSheetId="1">#REF!</definedName>
    <definedName name="_230" localSheetId="7">#REF!</definedName>
    <definedName name="_230" localSheetId="9">#REF!</definedName>
    <definedName name="_230">#REF!</definedName>
    <definedName name="_244" localSheetId="16">#REF!</definedName>
    <definedName name="_244" localSheetId="8">#REF!</definedName>
    <definedName name="_244" localSheetId="3">#REF!</definedName>
    <definedName name="_244" localSheetId="1">#REF!</definedName>
    <definedName name="_244" localSheetId="7">#REF!</definedName>
    <definedName name="_244" localSheetId="9">#REF!</definedName>
    <definedName name="_244">#REF!</definedName>
    <definedName name="_246" localSheetId="16">#REF!</definedName>
    <definedName name="_246" localSheetId="8">#REF!</definedName>
    <definedName name="_246" localSheetId="3">#REF!</definedName>
    <definedName name="_246" localSheetId="1">#REF!</definedName>
    <definedName name="_246" localSheetId="7">#REF!</definedName>
    <definedName name="_246" localSheetId="9">#REF!</definedName>
    <definedName name="_246">#REF!</definedName>
    <definedName name="_4000" localSheetId="8">#REF!</definedName>
    <definedName name="_4000" localSheetId="3">#REF!</definedName>
    <definedName name="_4000" localSheetId="1">#REF!</definedName>
    <definedName name="_4000" localSheetId="7">#REF!</definedName>
    <definedName name="_4000" localSheetId="9">#REF!</definedName>
    <definedName name="_4000">#REF!</definedName>
    <definedName name="_403" localSheetId="8">#REF!</definedName>
    <definedName name="_403" localSheetId="3">#REF!</definedName>
    <definedName name="_403" localSheetId="1">#REF!</definedName>
    <definedName name="_403" localSheetId="7">#REF!</definedName>
    <definedName name="_403" localSheetId="9">#REF!</definedName>
    <definedName name="_403">#REF!</definedName>
    <definedName name="_4030" localSheetId="8">#REF!</definedName>
    <definedName name="_4030" localSheetId="3">#REF!</definedName>
    <definedName name="_4030" localSheetId="1">#REF!</definedName>
    <definedName name="_4030" localSheetId="7">#REF!</definedName>
    <definedName name="_4030" localSheetId="9">#REF!</definedName>
    <definedName name="_4030">#REF!</definedName>
    <definedName name="_4085" localSheetId="8">#REF!</definedName>
    <definedName name="_4085" localSheetId="1">#REF!</definedName>
    <definedName name="_4085" localSheetId="7">#REF!</definedName>
    <definedName name="_4085" localSheetId="9">#REF!</definedName>
    <definedName name="_4085">#REF!</definedName>
    <definedName name="_4091" localSheetId="8">#REF!</definedName>
    <definedName name="_4091" localSheetId="1">#REF!</definedName>
    <definedName name="_4091" localSheetId="7">#REF!</definedName>
    <definedName name="_4091" localSheetId="9">#REF!</definedName>
    <definedName name="_4091">#REF!</definedName>
    <definedName name="_4150" localSheetId="8">#REF!</definedName>
    <definedName name="_4150" localSheetId="1">#REF!</definedName>
    <definedName name="_4150" localSheetId="7">#REF!</definedName>
    <definedName name="_4150" localSheetId="9">#REF!</definedName>
    <definedName name="_4150">#REF!</definedName>
    <definedName name="_4170" localSheetId="8">#REF!</definedName>
    <definedName name="_4170" localSheetId="1">#REF!</definedName>
    <definedName name="_4170" localSheetId="7">#REF!</definedName>
    <definedName name="_4170" localSheetId="9">#REF!</definedName>
    <definedName name="_4170">#REF!</definedName>
    <definedName name="_4181" localSheetId="8">#REF!</definedName>
    <definedName name="_4181" localSheetId="1">#REF!</definedName>
    <definedName name="_4181" localSheetId="7">#REF!</definedName>
    <definedName name="_4181" localSheetId="9">#REF!</definedName>
    <definedName name="_4181">#REF!</definedName>
    <definedName name="_4190" localSheetId="8">#REF!</definedName>
    <definedName name="_4190" localSheetId="1">#REF!</definedName>
    <definedName name="_4190" localSheetId="7">#REF!</definedName>
    <definedName name="_4190" localSheetId="9">#REF!</definedName>
    <definedName name="_4190">#REF!</definedName>
    <definedName name="_4270" localSheetId="8">#REF!</definedName>
    <definedName name="_4270" localSheetId="1">#REF!</definedName>
    <definedName name="_4270" localSheetId="7">#REF!</definedName>
    <definedName name="_4270" localSheetId="9">#REF!</definedName>
    <definedName name="_4270">#REF!</definedName>
    <definedName name="_428" localSheetId="8">#REF!</definedName>
    <definedName name="_428" localSheetId="1">#REF!</definedName>
    <definedName name="_428" localSheetId="7">#REF!</definedName>
    <definedName name="_428" localSheetId="9">#REF!</definedName>
    <definedName name="_428">#REF!</definedName>
    <definedName name="_4281" localSheetId="8">#REF!</definedName>
    <definedName name="_4281" localSheetId="1">#REF!</definedName>
    <definedName name="_4281" localSheetId="7">#REF!</definedName>
    <definedName name="_4281" localSheetId="9">#REF!</definedName>
    <definedName name="_4281">#REF!</definedName>
    <definedName name="_4310" localSheetId="8">#REF!</definedName>
    <definedName name="_4310" localSheetId="1">#REF!</definedName>
    <definedName name="_4310" localSheetId="7">#REF!</definedName>
    <definedName name="_4310" localSheetId="9">#REF!</definedName>
    <definedName name="_4310">#REF!</definedName>
    <definedName name="_4311" localSheetId="8">#REF!</definedName>
    <definedName name="_4311" localSheetId="1">#REF!</definedName>
    <definedName name="_4311" localSheetId="7">#REF!</definedName>
    <definedName name="_4311" localSheetId="9">#REF!</definedName>
    <definedName name="_4311">#REF!</definedName>
    <definedName name="_432" localSheetId="8">#REF!</definedName>
    <definedName name="_432" localSheetId="1">#REF!</definedName>
    <definedName name="_432" localSheetId="7">#REF!</definedName>
    <definedName name="_432" localSheetId="9">#REF!</definedName>
    <definedName name="_432">#REF!</definedName>
    <definedName name="_4320" localSheetId="8">#REF!</definedName>
    <definedName name="_4320" localSheetId="1">#REF!</definedName>
    <definedName name="_4320" localSheetId="7">#REF!</definedName>
    <definedName name="_4320" localSheetId="9">#REF!</definedName>
    <definedName name="_4320">#REF!</definedName>
    <definedName name="_4800" localSheetId="8">#REF!</definedName>
    <definedName name="_4800" localSheetId="1">#REF!</definedName>
    <definedName name="_4800" localSheetId="7">#REF!</definedName>
    <definedName name="_4800" localSheetId="9">#REF!</definedName>
    <definedName name="_4800">#REF!</definedName>
    <definedName name="_4930" localSheetId="8">#REF!</definedName>
    <definedName name="_4930" localSheetId="1">#REF!</definedName>
    <definedName name="_4930" localSheetId="7">#REF!</definedName>
    <definedName name="_4930" localSheetId="9">#REF!</definedName>
    <definedName name="_4930">#REF!</definedName>
    <definedName name="_7120" localSheetId="8">#REF!</definedName>
    <definedName name="_7120" localSheetId="1">#REF!</definedName>
    <definedName name="_7120" localSheetId="7">#REF!</definedName>
    <definedName name="_7120" localSheetId="9">#REF!</definedName>
    <definedName name="_7120">#REF!</definedName>
    <definedName name="_8040" localSheetId="8">#REF!</definedName>
    <definedName name="_8040" localSheetId="1">#REF!</definedName>
    <definedName name="_8040" localSheetId="7">#REF!</definedName>
    <definedName name="_8040" localSheetId="9">#REF!</definedName>
    <definedName name="_8040">#REF!</definedName>
    <definedName name="_8120" localSheetId="8">#REF!</definedName>
    <definedName name="_8120" localSheetId="1">#REF!</definedName>
    <definedName name="_8120" localSheetId="7">#REF!</definedName>
    <definedName name="_8120" localSheetId="9">#REF!</definedName>
    <definedName name="_8120">#REF!</definedName>
    <definedName name="_8700">#N/A</definedName>
    <definedName name="_8743" localSheetId="8">#REF!</definedName>
    <definedName name="_8743" localSheetId="1">#REF!</definedName>
    <definedName name="_8743" localSheetId="7">#REF!</definedName>
    <definedName name="_8743" localSheetId="9">#REF!</definedName>
    <definedName name="_8743">#REF!</definedName>
    <definedName name="_8750" localSheetId="8">#REF!</definedName>
    <definedName name="_8750" localSheetId="1">#REF!</definedName>
    <definedName name="_8750" localSheetId="7">#REF!</definedName>
    <definedName name="_8750" localSheetId="9">#REF!</definedName>
    <definedName name="_8750">#REF!</definedName>
    <definedName name="_8873" localSheetId="8">#REF!</definedName>
    <definedName name="_8873" localSheetId="1">#REF!</definedName>
    <definedName name="_8873" localSheetId="7">#REF!</definedName>
    <definedName name="_8873" localSheetId="9">#REF!</definedName>
    <definedName name="_8873">#REF!</definedName>
    <definedName name="_8890" localSheetId="8">#REF!</definedName>
    <definedName name="_8890" localSheetId="1">#REF!</definedName>
    <definedName name="_8890" localSheetId="7">#REF!</definedName>
    <definedName name="_8890" localSheetId="9">#REF!</definedName>
    <definedName name="_8890">#REF!</definedName>
    <definedName name="_89">#N/A</definedName>
    <definedName name="_9010" localSheetId="8">#REF!</definedName>
    <definedName name="_9010" localSheetId="1">#REF!</definedName>
    <definedName name="_9010" localSheetId="7">#REF!</definedName>
    <definedName name="_9010" localSheetId="9">#REF!</definedName>
    <definedName name="_9010">#REF!</definedName>
    <definedName name="_9070" localSheetId="8">#REF!</definedName>
    <definedName name="_9070" localSheetId="1">#REF!</definedName>
    <definedName name="_9070" localSheetId="7">#REF!</definedName>
    <definedName name="_9070" localSheetId="9">#REF!</definedName>
    <definedName name="_9070">#REF!</definedName>
    <definedName name="_9110" localSheetId="8">#REF!</definedName>
    <definedName name="_9110" localSheetId="1">#REF!</definedName>
    <definedName name="_9110" localSheetId="7">#REF!</definedName>
    <definedName name="_9110" localSheetId="9">#REF!</definedName>
    <definedName name="_9110">#REF!</definedName>
    <definedName name="_9200" localSheetId="8">#REF!</definedName>
    <definedName name="_9200" localSheetId="1">#REF!</definedName>
    <definedName name="_9200" localSheetId="7">#REF!</definedName>
    <definedName name="_9200" localSheetId="9">#REF!</definedName>
    <definedName name="_9200">#REF!</definedName>
    <definedName name="_9304" localSheetId="8">#REF!</definedName>
    <definedName name="_9304" localSheetId="1">#REF!</definedName>
    <definedName name="_9304" localSheetId="7">#REF!</definedName>
    <definedName name="_9304" localSheetId="9">#REF!</definedName>
    <definedName name="_9304">#REF!</definedName>
    <definedName name="_9310" localSheetId="8">#REF!</definedName>
    <definedName name="_9310" localSheetId="1">#REF!</definedName>
    <definedName name="_9310" localSheetId="7">#REF!</definedName>
    <definedName name="_9310" localSheetId="9">#REF!</definedName>
    <definedName name="_9310">#REF!</definedName>
    <definedName name="_apr99" localSheetId="3">#REF!</definedName>
    <definedName name="_AUG92" localSheetId="8">#REF!</definedName>
    <definedName name="_AUG92" localSheetId="3">#REF!</definedName>
    <definedName name="_AUG92" localSheetId="1">#REF!</definedName>
    <definedName name="_AUG92" localSheetId="7">#REF!</definedName>
    <definedName name="_AUG92" localSheetId="9">#REF!</definedName>
    <definedName name="_AUG92">#REF!</definedName>
    <definedName name="_DEC91" localSheetId="8">#REF!</definedName>
    <definedName name="_DEC91" localSheetId="1">#REF!</definedName>
    <definedName name="_DEC91" localSheetId="7">#REF!</definedName>
    <definedName name="_DEC91" localSheetId="9">#REF!</definedName>
    <definedName name="_DEC91">#REF!</definedName>
    <definedName name="_JUL92" localSheetId="8">#REF!</definedName>
    <definedName name="_JUL92" localSheetId="3">#REF!</definedName>
    <definedName name="_JUL92" localSheetId="1">#REF!</definedName>
    <definedName name="_JUL92" localSheetId="7">#REF!</definedName>
    <definedName name="_JUL92" localSheetId="9">#REF!</definedName>
    <definedName name="_JUL92">#REF!</definedName>
    <definedName name="_JUN92" localSheetId="8">#REF!</definedName>
    <definedName name="_JUN92" localSheetId="1">#REF!</definedName>
    <definedName name="_JUN92" localSheetId="7">#REF!</definedName>
    <definedName name="_JUN92" localSheetId="9">#REF!</definedName>
    <definedName name="_JUN92">#REF!</definedName>
    <definedName name="_JUN99" localSheetId="8">#REF!</definedName>
    <definedName name="_JUN99" localSheetId="1">#REF!</definedName>
    <definedName name="_JUN99" localSheetId="7">#REF!</definedName>
    <definedName name="_JUN99" localSheetId="9">#REF!</definedName>
    <definedName name="_JUN99">#REF!</definedName>
    <definedName name="_MAY92" localSheetId="8">#REF!</definedName>
    <definedName name="_MAY92" localSheetId="1">#REF!</definedName>
    <definedName name="_MAY92" localSheetId="7">#REF!</definedName>
    <definedName name="_MAY92" localSheetId="9">#REF!</definedName>
    <definedName name="_MAY92">#REF!</definedName>
    <definedName name="_OR321" localSheetId="8">#REF!</definedName>
    <definedName name="_OR321" localSheetId="1">#REF!</definedName>
    <definedName name="_OR321" localSheetId="7">#REF!</definedName>
    <definedName name="_OR321" localSheetId="9">#REF!</definedName>
    <definedName name="_OR321">#REF!</definedName>
    <definedName name="_OR324" localSheetId="8">#REF!</definedName>
    <definedName name="_OR324" localSheetId="1">#REF!</definedName>
    <definedName name="_OR324" localSheetId="7">#REF!</definedName>
    <definedName name="_OR324" localSheetId="9">#REF!</definedName>
    <definedName name="_OR324">#REF!</definedName>
    <definedName name="_OR325" localSheetId="8">#REF!</definedName>
    <definedName name="_OR325" localSheetId="1">#REF!</definedName>
    <definedName name="_OR325" localSheetId="7">#REF!</definedName>
    <definedName name="_OR325" localSheetId="9">#REF!</definedName>
    <definedName name="_OR325">#REF!</definedName>
    <definedName name="_re22" localSheetId="3">#REF!</definedName>
    <definedName name="_SEP92" localSheetId="8">#REF!</definedName>
    <definedName name="_SEP92" localSheetId="3">#REF!</definedName>
    <definedName name="_SEP92" localSheetId="1">#REF!</definedName>
    <definedName name="_SEP92" localSheetId="7">#REF!</definedName>
    <definedName name="_SEP92" localSheetId="9">#REF!</definedName>
    <definedName name="_SEP92">#REF!</definedName>
    <definedName name="_WA321" localSheetId="8">#REF!</definedName>
    <definedName name="_WA321" localSheetId="1">#REF!</definedName>
    <definedName name="_WA321" localSheetId="7">#REF!</definedName>
    <definedName name="_WA321" localSheetId="9">#REF!</definedName>
    <definedName name="_WA321">#REF!</definedName>
    <definedName name="_WA324" localSheetId="8">#REF!</definedName>
    <definedName name="_WA324" localSheetId="1">#REF!</definedName>
    <definedName name="_WA324" localSheetId="7">#REF!</definedName>
    <definedName name="_WA324" localSheetId="9">#REF!</definedName>
    <definedName name="_WA324">#REF!</definedName>
    <definedName name="_WA325" localSheetId="8">#REF!</definedName>
    <definedName name="_WA325" localSheetId="1">#REF!</definedName>
    <definedName name="_WA325" localSheetId="7">#REF!</definedName>
    <definedName name="_WA325" localSheetId="9">#REF!</definedName>
    <definedName name="_WA325">#REF!</definedName>
    <definedName name="_y1212" localSheetId="3">#REF!</definedName>
    <definedName name="ACODINT22" localSheetId="16">#REF!</definedName>
    <definedName name="ACODINT22">#REF!</definedName>
    <definedName name="ACODINT23" localSheetId="16">#REF!</definedName>
    <definedName name="ACODINT23">#REF!</definedName>
    <definedName name="ACODINT24" localSheetId="16">#REF!</definedName>
    <definedName name="ACODINT24">#REF!</definedName>
    <definedName name="ACODINT25">#REF!</definedName>
    <definedName name="Actual">#REF!</definedName>
    <definedName name="AGREE" localSheetId="16">#REF!</definedName>
    <definedName name="AGREE" localSheetId="8">#REF!</definedName>
    <definedName name="AGREE" localSheetId="3">#REF!</definedName>
    <definedName name="AGREE" localSheetId="1">#REF!</definedName>
    <definedName name="AGREE" localSheetId="7">#REF!</definedName>
    <definedName name="AGREE" localSheetId="9">#REF!</definedName>
    <definedName name="AGREE">#REF!</definedName>
    <definedName name="alc" localSheetId="16">#REF!</definedName>
    <definedName name="alc" localSheetId="8">#REF!</definedName>
    <definedName name="alc" localSheetId="3">#REF!</definedName>
    <definedName name="alc" localSheetId="1">#REF!</definedName>
    <definedName name="alc" localSheetId="7">#REF!</definedName>
    <definedName name="alc" localSheetId="9">#REF!</definedName>
    <definedName name="alc">#REF!</definedName>
    <definedName name="ALCOA1" localSheetId="16">#REF!</definedName>
    <definedName name="ALCOA1" localSheetId="3">#REF!</definedName>
    <definedName name="ALCOA1">#REF!</definedName>
    <definedName name="ALCOA2" localSheetId="16">#REF!</definedName>
    <definedName name="ALCOA2" localSheetId="3">#REF!</definedName>
    <definedName name="ALCOA2">#REF!</definedName>
    <definedName name="AMORTINT">#REF!</definedName>
    <definedName name="AMORTINT13">#REF!</definedName>
    <definedName name="AMORTINT14">#REF!</definedName>
    <definedName name="AMORTINT15">#REF!</definedName>
    <definedName name="AMORTINT16">#REF!</definedName>
    <definedName name="AMORTINT17">#REF!</definedName>
    <definedName name="AMORTINT18">#REF!</definedName>
    <definedName name="AMORTINT19">#REF!</definedName>
    <definedName name="AMORTINT20">#REF!</definedName>
    <definedName name="AMORTINT21">#REF!</definedName>
    <definedName name="AMORTINT22">#REF!</definedName>
    <definedName name="AMORTINT23">#REF!</definedName>
    <definedName name="AMORTINT24">#REF!</definedName>
    <definedName name="AMORTINT25">#REF!</definedName>
    <definedName name="ARORINT22" localSheetId="16">#REF!</definedName>
    <definedName name="ARORINT22">#REF!</definedName>
    <definedName name="ARORINT23" localSheetId="16">#REF!</definedName>
    <definedName name="ARORINT23">#REF!</definedName>
    <definedName name="ARORINT24" localSheetId="16">#REF!</definedName>
    <definedName name="ARORINT24">#REF!</definedName>
    <definedName name="ARORINT25">#REF!</definedName>
    <definedName name="BalancesJuly" localSheetId="8">#REF!</definedName>
    <definedName name="BalancesJuly" localSheetId="1">#REF!</definedName>
    <definedName name="BalancesJuly" localSheetId="7">#REF!</definedName>
    <definedName name="BalancesJuly" localSheetId="9">#REF!</definedName>
    <definedName name="BalancesJuly">#REF!</definedName>
    <definedName name="BEGINNING">#N/A</definedName>
    <definedName name="BELLINGHAM_24_H" localSheetId="8">#REF!</definedName>
    <definedName name="BELLINGHAM_24_H" localSheetId="1">#REF!</definedName>
    <definedName name="BELLINGHAM_24_H" localSheetId="7">#REF!</definedName>
    <definedName name="BELLINGHAM_24_H" localSheetId="9">#REF!</definedName>
    <definedName name="BELLINGHAM_24_H">#REF!</definedName>
    <definedName name="BELLINGHAM_MAX" localSheetId="8">#REF!</definedName>
    <definedName name="BELLINGHAM_MAX" localSheetId="1">#REF!</definedName>
    <definedName name="BELLINGHAM_MAX" localSheetId="7">#REF!</definedName>
    <definedName name="BELLINGHAM_MAX" localSheetId="9">#REF!</definedName>
    <definedName name="BELLINGHAM_MAX">#REF!</definedName>
    <definedName name="BELLINGHAM_MAX_" localSheetId="8">#REF!</definedName>
    <definedName name="BELLINGHAM_MAX_" localSheetId="1">#REF!</definedName>
    <definedName name="BELLINGHAM_MAX_" localSheetId="7">#REF!</definedName>
    <definedName name="BELLINGHAM_MAX_" localSheetId="9">#REF!</definedName>
    <definedName name="BELLINGHAM_MAX_">#REF!</definedName>
    <definedName name="BELLINGHAM_MIN" localSheetId="8">#REF!</definedName>
    <definedName name="BELLINGHAM_MIN" localSheetId="1">#REF!</definedName>
    <definedName name="BELLINGHAM_MIN" localSheetId="7">#REF!</definedName>
    <definedName name="BELLINGHAM_MIN" localSheetId="9">#REF!</definedName>
    <definedName name="BELLINGHAM_MIN">#REF!</definedName>
    <definedName name="BUYSELL" localSheetId="16">#REF!</definedName>
    <definedName name="BUYSELL">#REF!</definedName>
    <definedName name="C_" localSheetId="8">#REF!</definedName>
    <definedName name="C_" localSheetId="3">#REF!</definedName>
    <definedName name="C_" localSheetId="1">#REF!</definedName>
    <definedName name="C_" localSheetId="7">#REF!</definedName>
    <definedName name="C_" localSheetId="9">#REF!</definedName>
    <definedName name="C_">#REF!</definedName>
    <definedName name="calc_w_o">#REF!</definedName>
    <definedName name="canadian_toll_DataTable" localSheetId="8">#REF!</definedName>
    <definedName name="canadian_toll_DataTable" localSheetId="3">#REF!</definedName>
    <definedName name="canadian_toll_DataTable" localSheetId="1">#REF!</definedName>
    <definedName name="canadian_toll_DataTable" localSheetId="7">#REF!</definedName>
    <definedName name="canadian_toll_DataTable" localSheetId="9">#REF!</definedName>
    <definedName name="canadian_toll_DataTable">#REF!</definedName>
    <definedName name="Canadian_tolls_DataTable" localSheetId="8">#REF!</definedName>
    <definedName name="Canadian_tolls_DataTable" localSheetId="3">#REF!</definedName>
    <definedName name="Canadian_tolls_DataTable" localSheetId="1">#REF!</definedName>
    <definedName name="Canadian_tolls_DataTable" localSheetId="7">#REF!</definedName>
    <definedName name="Canadian_tolls_DataTable" localSheetId="9">#REF!</definedName>
    <definedName name="Canadian_tolls_DataTable">#REF!</definedName>
    <definedName name="CAP" localSheetId="16">#REF!</definedName>
    <definedName name="CAP" localSheetId="8">#REF!</definedName>
    <definedName name="CAP" localSheetId="3">#REF!</definedName>
    <definedName name="CAP" localSheetId="1">#REF!</definedName>
    <definedName name="CAP" localSheetId="7">#REF!</definedName>
    <definedName name="CAP" localSheetId="9">#REF!</definedName>
    <definedName name="CAP">#REF!</definedName>
    <definedName name="CENTRAL_STORES" localSheetId="8">#REF!</definedName>
    <definedName name="CENTRAL_STORES" localSheetId="3">#REF!</definedName>
    <definedName name="CENTRAL_STORES" localSheetId="1">#REF!</definedName>
    <definedName name="CENTRAL_STORES" localSheetId="7">#REF!</definedName>
    <definedName name="CENTRAL_STORES" localSheetId="9">#REF!</definedName>
    <definedName name="CENTRAL_STORES">#REF!</definedName>
    <definedName name="Citygate_all_monts_DataTable" localSheetId="8">#REF!</definedName>
    <definedName name="Citygate_all_monts_DataTable" localSheetId="3">#REF!</definedName>
    <definedName name="Citygate_all_monts_DataTable" localSheetId="1">#REF!</definedName>
    <definedName name="Citygate_all_monts_DataTable" localSheetId="7">#REF!</definedName>
    <definedName name="Citygate_all_monts_DataTable" localSheetId="9">#REF!</definedName>
    <definedName name="Citygate_all_monts_DataTable">#REF!</definedName>
    <definedName name="Citygate_DataTable" localSheetId="8">#REF!</definedName>
    <definedName name="Citygate_DataTable" localSheetId="3">#REF!</definedName>
    <definedName name="Citygate_DataTable" localSheetId="1">#REF!</definedName>
    <definedName name="Citygate_DataTable" localSheetId="7">#REF!</definedName>
    <definedName name="Citygate_DataTable" localSheetId="9">#REF!</definedName>
    <definedName name="Citygate_DataTable">#REF!</definedName>
    <definedName name="Citygate_Delivery_DataTable" localSheetId="8">#REF!</definedName>
    <definedName name="Citygate_Delivery_DataTable" localSheetId="1">#REF!</definedName>
    <definedName name="Citygate_Delivery_DataTable" localSheetId="7">#REF!</definedName>
    <definedName name="Citygate_Delivery_DataTable" localSheetId="9">#REF!</definedName>
    <definedName name="Citygate_Delivery_DataTable">#REF!</definedName>
    <definedName name="Citygate_info_DataTable" localSheetId="8">#REF!</definedName>
    <definedName name="Citygate_info_DataTable" localSheetId="1">#REF!</definedName>
    <definedName name="Citygate_info_DataTable" localSheetId="7">#REF!</definedName>
    <definedName name="Citygate_info_DataTable" localSheetId="9">#REF!</definedName>
    <definedName name="Citygate_info_DataTable">#REF!</definedName>
    <definedName name="CODINT22" localSheetId="16">#REF!</definedName>
    <definedName name="CODINT22">#REF!</definedName>
    <definedName name="CODINT23" localSheetId="16">#REF!</definedName>
    <definedName name="CODINT23">#REF!</definedName>
    <definedName name="CODINT24" localSheetId="16">#REF!</definedName>
    <definedName name="CODINT24">#REF!</definedName>
    <definedName name="CODINT25">#REF!</definedName>
    <definedName name="COMBINTAX" localSheetId="8">#REF!</definedName>
    <definedName name="COMBINTAX" localSheetId="1">#REF!</definedName>
    <definedName name="COMBINTAX" localSheetId="7">#REF!</definedName>
    <definedName name="COMBINTAX" localSheetId="9">#REF!</definedName>
    <definedName name="COMBINTAX">#REF!</definedName>
    <definedName name="COVIDINT20">#REF!</definedName>
    <definedName name="COVIDINT22">#REF!</definedName>
    <definedName name="COVIDINT23">#REF!</definedName>
    <definedName name="COVIDINT24">#REF!</definedName>
    <definedName name="CPRINT">#N/A</definedName>
    <definedName name="_xlnm.Criteria" localSheetId="8">#REF!</definedName>
    <definedName name="_xlnm.Criteria" localSheetId="1">#REF!</definedName>
    <definedName name="_xlnm.Criteria" localSheetId="7">#REF!</definedName>
    <definedName name="_xlnm.Criteria" localSheetId="9">#REF!</definedName>
    <definedName name="_xlnm.Criteria">#REF!</definedName>
    <definedName name="Criteria_MI" localSheetId="8">#REF!</definedName>
    <definedName name="Criteria_MI" localSheetId="1">#REF!</definedName>
    <definedName name="Criteria_MI" localSheetId="7">#REF!</definedName>
    <definedName name="Criteria_MI" localSheetId="9">#REF!</definedName>
    <definedName name="Criteria_MI">#REF!</definedName>
    <definedName name="CUST" localSheetId="16">#REF!</definedName>
    <definedName name="CUST">#REF!</definedName>
    <definedName name="Daily_Flow_DataTable" localSheetId="8">#REF!</definedName>
    <definedName name="Daily_Flow_DataTable" localSheetId="3">#REF!</definedName>
    <definedName name="Daily_Flow_DataTable" localSheetId="1">#REF!</definedName>
    <definedName name="Daily_Flow_DataTable" localSheetId="7">#REF!</definedName>
    <definedName name="Daily_Flow_DataTable" localSheetId="9">#REF!</definedName>
    <definedName name="Daily_Flow_DataTable">#REF!</definedName>
    <definedName name="Data" localSheetId="16">#REF!</definedName>
    <definedName name="Data">#REF!</definedName>
    <definedName name="_xlnm.Database" localSheetId="8">#REF!</definedName>
    <definedName name="_xlnm.Database" localSheetId="3">#REF!</definedName>
    <definedName name="_xlnm.Database" localSheetId="1">#REF!</definedName>
    <definedName name="_xlnm.Database" localSheetId="7">#REF!</definedName>
    <definedName name="_xlnm.Database" localSheetId="9">#REF!</definedName>
    <definedName name="_xlnm.Database">#REF!</definedName>
    <definedName name="Database_MI" localSheetId="8">#REF!</definedName>
    <definedName name="Database_MI" localSheetId="1">#REF!</definedName>
    <definedName name="Database_MI" localSheetId="7">#REF!</definedName>
    <definedName name="Database_MI" localSheetId="9">#REF!</definedName>
    <definedName name="Database_MI">#REF!</definedName>
    <definedName name="DATE" localSheetId="8">#REF!</definedName>
    <definedName name="DATE" localSheetId="1">#REF!</definedName>
    <definedName name="DATE" localSheetId="7">#REF!</definedName>
    <definedName name="DATE" localSheetId="9">#REF!</definedName>
    <definedName name="DATE">#REF!</definedName>
    <definedName name="DAY" localSheetId="16">#REF!</definedName>
    <definedName name="DAY" localSheetId="8">#REF!</definedName>
    <definedName name="DAY" localSheetId="1">#REF!</definedName>
    <definedName name="DAY" localSheetId="7">#REF!</definedName>
    <definedName name="DAY" localSheetId="9">#REF!</definedName>
    <definedName name="DAY">#REF!</definedName>
    <definedName name="DECJUN">#N/A</definedName>
    <definedName name="DECNOV">#N/A</definedName>
    <definedName name="DECSEP">#N/A</definedName>
    <definedName name="DEFINT">#REF!</definedName>
    <definedName name="DEFINT13">#REF!</definedName>
    <definedName name="DEFINT14">#REF!</definedName>
    <definedName name="DEFINT15">#REF!</definedName>
    <definedName name="DEFINT16">#REF!</definedName>
    <definedName name="DEFINT17">#REF!</definedName>
    <definedName name="DEFINT18">#REF!</definedName>
    <definedName name="DEFINT19">#REF!</definedName>
    <definedName name="DEFINT20">#REF!</definedName>
    <definedName name="DEFINT21">#REF!</definedName>
    <definedName name="DEFINT22">#REF!</definedName>
    <definedName name="DEFINT23">#REF!</definedName>
    <definedName name="DEFINT24">#REF!</definedName>
    <definedName name="DEM_COST___DEPR">#N/A</definedName>
    <definedName name="DEMAND_OR">#N/A</definedName>
    <definedName name="DEMAND_WA">#N/A</definedName>
    <definedName name="Elec">#REF!</definedName>
    <definedName name="ElecFranchise">#REF!</definedName>
    <definedName name="EstimatedBalances" localSheetId="8">#REF!</definedName>
    <definedName name="EstimatedBalances" localSheetId="1">#REF!</definedName>
    <definedName name="EstimatedBalances" localSheetId="7">#REF!</definedName>
    <definedName name="EstimatedBalances" localSheetId="9">#REF!</definedName>
    <definedName name="EstimatedBalances">#REF!</definedName>
    <definedName name="exhibit">#REF!</definedName>
    <definedName name="FERC" localSheetId="8">#REF!</definedName>
    <definedName name="FERC" localSheetId="1">#REF!</definedName>
    <definedName name="FERC" localSheetId="7">#REF!</definedName>
    <definedName name="FERC" localSheetId="9">#REF!</definedName>
    <definedName name="FERC">#REF!</definedName>
    <definedName name="FERC320A" localSheetId="8">#REF!</definedName>
    <definedName name="FERC320A" localSheetId="1">#REF!</definedName>
    <definedName name="FERC320A" localSheetId="7">#REF!</definedName>
    <definedName name="FERC320A" localSheetId="9">#REF!</definedName>
    <definedName name="FERC320A">#REF!</definedName>
    <definedName name="FERC321" localSheetId="8">#REF!</definedName>
    <definedName name="FERC321" localSheetId="1">#REF!</definedName>
    <definedName name="FERC321" localSheetId="7">#REF!</definedName>
    <definedName name="FERC321" localSheetId="9">#REF!</definedName>
    <definedName name="FERC321">#REF!</definedName>
    <definedName name="FERC324" localSheetId="8">#REF!</definedName>
    <definedName name="FERC324" localSheetId="1">#REF!</definedName>
    <definedName name="FERC324" localSheetId="7">#REF!</definedName>
    <definedName name="FERC324" localSheetId="9">#REF!</definedName>
    <definedName name="FERC324">#REF!</definedName>
    <definedName name="FERC325" localSheetId="8">#REF!</definedName>
    <definedName name="FERC325" localSheetId="1">#REF!</definedName>
    <definedName name="FERC325" localSheetId="7">#REF!</definedName>
    <definedName name="FERC325" localSheetId="9">#REF!</definedName>
    <definedName name="FERC325">#REF!</definedName>
    <definedName name="FERCINT05" localSheetId="16">#REF!</definedName>
    <definedName name="FERCINT05">#REF!</definedName>
    <definedName name="FERCINT06" localSheetId="16">#REF!</definedName>
    <definedName name="FERCINT06">#REF!</definedName>
    <definedName name="FERCINT07" localSheetId="16">#REF!</definedName>
    <definedName name="FERCINT07" localSheetId="3">#REF!</definedName>
    <definedName name="FERCINT07">#REF!</definedName>
    <definedName name="FERCINT08" localSheetId="16">#REF!</definedName>
    <definedName name="FERCINT08" localSheetId="3">#REF!</definedName>
    <definedName name="FERCINT08">#REF!</definedName>
    <definedName name="FERCINT09" localSheetId="16">#REF!</definedName>
    <definedName name="FERCINT09" localSheetId="3">#REF!</definedName>
    <definedName name="FERCINT09">#REF!</definedName>
    <definedName name="FERCINT10" localSheetId="16">#REF!</definedName>
    <definedName name="FERCINT10">#REF!</definedName>
    <definedName name="FERCINT13" localSheetId="16">#REF!</definedName>
    <definedName name="FERCINT13">#REF!</definedName>
    <definedName name="FERCINT14" localSheetId="16">#REF!</definedName>
    <definedName name="FERCINT14">#REF!</definedName>
    <definedName name="FERCINT15" localSheetId="16">#REF!</definedName>
    <definedName name="FERCINT15">#REF!</definedName>
    <definedName name="FERCINT16" localSheetId="16">#REF!</definedName>
    <definedName name="FERCINT16">#REF!</definedName>
    <definedName name="FERCINT17" localSheetId="16">#REF!</definedName>
    <definedName name="FERCINT17">#REF!</definedName>
    <definedName name="FERCINT18" localSheetId="16">#REF!</definedName>
    <definedName name="FERCINT18">#REF!</definedName>
    <definedName name="FERCINT19" localSheetId="16">#REF!</definedName>
    <definedName name="FERCINT19">#REF!</definedName>
    <definedName name="FERCINT20" localSheetId="16">#REF!</definedName>
    <definedName name="FERCINT20">#REF!</definedName>
    <definedName name="FERCINT21" localSheetId="16">#REF!</definedName>
    <definedName name="FERCINT21">#REF!</definedName>
    <definedName name="FERCINT22" localSheetId="16">#REF!</definedName>
    <definedName name="FERCINT22">#REF!</definedName>
    <definedName name="FERCINT23" localSheetId="16">#REF!</definedName>
    <definedName name="FERCINT23">#REF!</definedName>
    <definedName name="FERCINT24" localSheetId="16">#REF!</definedName>
    <definedName name="FERCINT24">#REF!</definedName>
    <definedName name="FERCINT25">#REF!</definedName>
    <definedName name="FERCINTRATE" localSheetId="16">#REF!</definedName>
    <definedName name="FERCINTRATE" localSheetId="3">#REF!</definedName>
    <definedName name="FERCINTRATE">#REF!</definedName>
    <definedName name="FERCINTRATE02" localSheetId="16">#REF!</definedName>
    <definedName name="FERCINTRATE02" localSheetId="3">#REF!</definedName>
    <definedName name="FERCINTRATE02">#REF!</definedName>
    <definedName name="FERCINTRATE03" localSheetId="16">#REF!</definedName>
    <definedName name="FERCINTRATE03">#REF!</definedName>
    <definedName name="FERCOR" localSheetId="8">#REF!</definedName>
    <definedName name="FERCOR" localSheetId="3">#REF!</definedName>
    <definedName name="FERCOR" localSheetId="1">#REF!</definedName>
    <definedName name="FERCOR" localSheetId="7">#REF!</definedName>
    <definedName name="FERCOR" localSheetId="9">#REF!</definedName>
    <definedName name="FERCOR">#REF!</definedName>
    <definedName name="FERCWA" localSheetId="8">#REF!</definedName>
    <definedName name="FERCWA" localSheetId="3">#REF!</definedName>
    <definedName name="FERCWA" localSheetId="1">#REF!</definedName>
    <definedName name="FERCWA" localSheetId="7">#REF!</definedName>
    <definedName name="FERCWA" localSheetId="9">#REF!</definedName>
    <definedName name="FERCWA">#REF!</definedName>
    <definedName name="FILE" localSheetId="16">#REF!</definedName>
    <definedName name="FILE" localSheetId="3">#REF!</definedName>
    <definedName name="FILE">#REF!</definedName>
    <definedName name="FIT" localSheetId="16">#REF!</definedName>
    <definedName name="FIT" localSheetId="3">#REF!</definedName>
    <definedName name="FIT">#REF!</definedName>
    <definedName name="FITRBADJ" localSheetId="16">#REF!</definedName>
    <definedName name="FITRBADJ" localSheetId="3">#REF!</definedName>
    <definedName name="FITRBADJ">#REF!</definedName>
    <definedName name="FO3_4">#N/A</definedName>
    <definedName name="FORM2259" localSheetId="8">#REF!</definedName>
    <definedName name="FORM2259" localSheetId="1">#REF!</definedName>
    <definedName name="FORM2259" localSheetId="7">#REF!</definedName>
    <definedName name="FORM2259" localSheetId="9">#REF!</definedName>
    <definedName name="FORM2259">#REF!</definedName>
    <definedName name="Gas">#REF!</definedName>
    <definedName name="Gas_Price_DataTable" localSheetId="8">#REF!</definedName>
    <definedName name="Gas_Price_DataTable" localSheetId="1">#REF!</definedName>
    <definedName name="Gas_Price_DataTable" localSheetId="7">#REF!</definedName>
    <definedName name="Gas_Price_DataTable" localSheetId="9">#REF!</definedName>
    <definedName name="Gas_Price_DataTable">#REF!</definedName>
    <definedName name="gas_yr2009_10_DataTable" localSheetId="8">#REF!</definedName>
    <definedName name="gas_yr2009_10_DataTable" localSheetId="1">#REF!</definedName>
    <definedName name="gas_yr2009_10_DataTable" localSheetId="7">#REF!</definedName>
    <definedName name="gas_yr2009_10_DataTable" localSheetId="9">#REF!</definedName>
    <definedName name="gas_yr2009_10_DataTable">#REF!</definedName>
    <definedName name="GasFranchise">#REF!</definedName>
    <definedName name="GC" localSheetId="16">#REF!</definedName>
    <definedName name="GC">#REF!</definedName>
    <definedName name="gcnew" localSheetId="16">#REF!</definedName>
    <definedName name="gcnew">#REF!</definedName>
    <definedName name="GEN_OFFICE" localSheetId="8">#REF!</definedName>
    <definedName name="GEN_OFFICE" localSheetId="3">#REF!</definedName>
    <definedName name="GEN_OFFICE" localSheetId="1">#REF!</definedName>
    <definedName name="GEN_OFFICE" localSheetId="7">#REF!</definedName>
    <definedName name="GEN_OFFICE" localSheetId="9">#REF!</definedName>
    <definedName name="GEN_OFFICE">#REF!</definedName>
    <definedName name="HOQUIAM_24_HR_A" localSheetId="8">#REF!</definedName>
    <definedName name="HOQUIAM_24_HR_A" localSheetId="3">#REF!</definedName>
    <definedName name="HOQUIAM_24_HR_A" localSheetId="1">#REF!</definedName>
    <definedName name="HOQUIAM_24_HR_A" localSheetId="7">#REF!</definedName>
    <definedName name="HOQUIAM_24_HR_A" localSheetId="9">#REF!</definedName>
    <definedName name="HOQUIAM_24_HR_A">#REF!</definedName>
    <definedName name="HOQUIAM_MAX" localSheetId="8">#REF!</definedName>
    <definedName name="HOQUIAM_MAX" localSheetId="1">#REF!</definedName>
    <definedName name="HOQUIAM_MAX" localSheetId="7">#REF!</definedName>
    <definedName name="HOQUIAM_MAX" localSheetId="9">#REF!</definedName>
    <definedName name="HOQUIAM_MAX">#REF!</definedName>
    <definedName name="HOQUIAM_MAX_MIN" localSheetId="8">#REF!</definedName>
    <definedName name="HOQUIAM_MAX_MIN" localSheetId="1">#REF!</definedName>
    <definedName name="HOQUIAM_MAX_MIN" localSheetId="7">#REF!</definedName>
    <definedName name="HOQUIAM_MAX_MIN" localSheetId="9">#REF!</definedName>
    <definedName name="HOQUIAM_MAX_MIN">#REF!</definedName>
    <definedName name="HOQUIAM_MIN" localSheetId="8">#REF!</definedName>
    <definedName name="HOQUIAM_MIN" localSheetId="1">#REF!</definedName>
    <definedName name="HOQUIAM_MIN" localSheetId="7">#REF!</definedName>
    <definedName name="HOQUIAM_MIN" localSheetId="9">#REF!</definedName>
    <definedName name="HOQUIAM_MIN">#REF!</definedName>
    <definedName name="I" localSheetId="16">#REF!</definedName>
    <definedName name="I">#REF!</definedName>
    <definedName name="ID" localSheetId="16">#REF!</definedName>
    <definedName name="ID" localSheetId="3">#REF!</definedName>
    <definedName name="ID">#REF!</definedName>
    <definedName name="IMPORT" localSheetId="8">#REF!</definedName>
    <definedName name="IMPORT" localSheetId="3">#REF!</definedName>
    <definedName name="IMPORT" localSheetId="1">#REF!</definedName>
    <definedName name="IMPORT" localSheetId="7">#REF!</definedName>
    <definedName name="IMPORT" localSheetId="9">#REF!</definedName>
    <definedName name="IMPORT">#REF!</definedName>
    <definedName name="INCOMETAX" localSheetId="8">#REF!</definedName>
    <definedName name="INCOMETAX" localSheetId="3">#REF!</definedName>
    <definedName name="INCOMETAX" localSheetId="1">#REF!</definedName>
    <definedName name="INCOMETAX" localSheetId="7">#REF!</definedName>
    <definedName name="INCOMETAX" localSheetId="9">#REF!</definedName>
    <definedName name="INCOMETAX">#REF!</definedName>
    <definedName name="INCTAX4092" localSheetId="8">#REF!</definedName>
    <definedName name="INCTAX4092" localSheetId="1">#REF!</definedName>
    <definedName name="INCTAX4092" localSheetId="7">#REF!</definedName>
    <definedName name="INCTAX4092" localSheetId="9">#REF!</definedName>
    <definedName name="INCTAX4092">#REF!</definedName>
    <definedName name="INCTAXOP" localSheetId="8">#REF!</definedName>
    <definedName name="INCTAXOP" localSheetId="1">#REF!</definedName>
    <definedName name="INCTAXOP" localSheetId="7">#REF!</definedName>
    <definedName name="INCTAXOP" localSheetId="9">#REF!</definedName>
    <definedName name="INCTAXOP">#REF!</definedName>
    <definedName name="Index_DataTable" localSheetId="8">#REF!</definedName>
    <definedName name="Index_DataTable" localSheetId="1">#REF!</definedName>
    <definedName name="Index_DataTable" localSheetId="7">#REF!</definedName>
    <definedName name="Index_DataTable" localSheetId="9">#REF!</definedName>
    <definedName name="Index_DataTable">#REF!</definedName>
    <definedName name="ine">#REF!</definedName>
    <definedName name="INPUT" localSheetId="8">#REF!</definedName>
    <definedName name="INPUT" localSheetId="1">#REF!</definedName>
    <definedName name="INPUT" localSheetId="7">#REF!</definedName>
    <definedName name="INPUT" localSheetId="9">#REF!</definedName>
    <definedName name="INPUT">#REF!</definedName>
    <definedName name="INSTRUCTIONS" localSheetId="8">#REF!</definedName>
    <definedName name="INSTRUCTIONS" localSheetId="1">#REF!</definedName>
    <definedName name="INSTRUCTIONS" localSheetId="7">#REF!</definedName>
    <definedName name="INSTRUCTIONS" localSheetId="9">#REF!</definedName>
    <definedName name="INSTRUCTIONS">#REF!</definedName>
    <definedName name="INTCY08" localSheetId="16">#REF!</definedName>
    <definedName name="INTCY08" localSheetId="3">#REF!</definedName>
    <definedName name="INTCY08">#REF!</definedName>
    <definedName name="IntCY09" localSheetId="16">#REF!</definedName>
    <definedName name="IntCY09" localSheetId="3">#REF!</definedName>
    <definedName name="IntCY09">#REF!</definedName>
    <definedName name="intdate" localSheetId="16">#REF!</definedName>
    <definedName name="intdate">#REF!</definedName>
    <definedName name="InterestDuringAmort" localSheetId="8">#REF!</definedName>
    <definedName name="InterestDuringAmort" localSheetId="1">#REF!</definedName>
    <definedName name="InterestDuringAmort" localSheetId="7">#REF!</definedName>
    <definedName name="InterestDuringAmort" localSheetId="9">#REF!</definedName>
    <definedName name="InterestDuringAmort">#REF!</definedName>
    <definedName name="INTERSTATE" localSheetId="8">#REF!</definedName>
    <definedName name="INTERSTATE" localSheetId="3">#REF!</definedName>
    <definedName name="INTERSTATE" localSheetId="1">#REF!</definedName>
    <definedName name="INTERSTATE" localSheetId="7">#REF!</definedName>
    <definedName name="INTERSTATE" localSheetId="9">#REF!</definedName>
    <definedName name="INTERSTATE">#REF!</definedName>
    <definedName name="INTFY05" localSheetId="16">#REF!</definedName>
    <definedName name="INTFY05">#REF!</definedName>
    <definedName name="INTFY06" localSheetId="16">#REF!</definedName>
    <definedName name="INTFY06">#REF!</definedName>
    <definedName name="INTFY07" localSheetId="16">#REF!</definedName>
    <definedName name="INTFY07" localSheetId="3">#REF!</definedName>
    <definedName name="INTFY07">#REF!</definedName>
    <definedName name="JANSEP">#N/A</definedName>
    <definedName name="jjjj" localSheetId="16">#REF!</definedName>
    <definedName name="jjjj" localSheetId="8">#REF!</definedName>
    <definedName name="jjjj" localSheetId="3">#REF!</definedName>
    <definedName name="jjjj" localSheetId="1">#REF!</definedName>
    <definedName name="jjjj" localSheetId="7">#REF!</definedName>
    <definedName name="jjjj" localSheetId="9">#REF!</definedName>
    <definedName name="jjjj">#REF!</definedName>
    <definedName name="jjjjjjjjj" localSheetId="16">#REF!</definedName>
    <definedName name="jjjjjjjjj" localSheetId="8">#REF!</definedName>
    <definedName name="jjjjjjjjj" localSheetId="3">#REF!</definedName>
    <definedName name="jjjjjjjjj" localSheetId="1">#REF!</definedName>
    <definedName name="jjjjjjjjj" localSheetId="7">#REF!</definedName>
    <definedName name="jjjjjjjjj" localSheetId="9">#REF!</definedName>
    <definedName name="jjjjjjjjj">#REF!</definedName>
    <definedName name="JRS" localSheetId="8">#REF!</definedName>
    <definedName name="JRS" localSheetId="3">#REF!</definedName>
    <definedName name="JRS" localSheetId="1">#REF!</definedName>
    <definedName name="JRS" localSheetId="7">#REF!</definedName>
    <definedName name="JRS" localSheetId="9">#REF!</definedName>
    <definedName name="JRS">#REF!</definedName>
    <definedName name="july_int_rate" localSheetId="16">#REF!</definedName>
    <definedName name="july_int_rate" localSheetId="3">#REF!</definedName>
    <definedName name="july_int_rate">#REF!</definedName>
    <definedName name="kkkkkk" localSheetId="16">#REF!</definedName>
    <definedName name="kkkkkk" localSheetId="8">#REF!</definedName>
    <definedName name="kkkkkk" localSheetId="3">#REF!</definedName>
    <definedName name="kkkkkk" localSheetId="1">#REF!</definedName>
    <definedName name="kkkkkk" localSheetId="7">#REF!</definedName>
    <definedName name="kkkkkk" localSheetId="9">#REF!</definedName>
    <definedName name="kkkkkk">#REF!</definedName>
    <definedName name="LEGEND" localSheetId="8">#REF!</definedName>
    <definedName name="LEGEND" localSheetId="3">#REF!</definedName>
    <definedName name="LEGEND" localSheetId="1">#REF!</definedName>
    <definedName name="LEGEND" localSheetId="7">#REF!</definedName>
    <definedName name="LEGEND" localSheetId="9">#REF!</definedName>
    <definedName name="LEGEND">#REF!</definedName>
    <definedName name="llllll" localSheetId="16">#REF!</definedName>
    <definedName name="llllll" localSheetId="8">#REF!</definedName>
    <definedName name="llllll" localSheetId="3">#REF!</definedName>
    <definedName name="llllll" localSheetId="1">#REF!</definedName>
    <definedName name="llllll" localSheetId="7">#REF!</definedName>
    <definedName name="llllll" localSheetId="9">#REF!</definedName>
    <definedName name="llllll">#REF!</definedName>
    <definedName name="M" localSheetId="16">#REF!</definedName>
    <definedName name="M" localSheetId="8">#REF!</definedName>
    <definedName name="M" localSheetId="1">#REF!</definedName>
    <definedName name="M" localSheetId="7">#REF!</definedName>
    <definedName name="M" localSheetId="9">#REF!</definedName>
    <definedName name="M">#REF!</definedName>
    <definedName name="M___R" localSheetId="8">#REF!</definedName>
    <definedName name="M___R" localSheetId="3">#REF!</definedName>
    <definedName name="M___R" localSheetId="1">#REF!</definedName>
    <definedName name="M___R" localSheetId="7">#REF!</definedName>
    <definedName name="M___R" localSheetId="9">#REF!</definedName>
    <definedName name="M___R">#REF!</definedName>
    <definedName name="MACRO">#N/A</definedName>
    <definedName name="MACROS" localSheetId="8">#REF!</definedName>
    <definedName name="MACROS" localSheetId="3">#REF!</definedName>
    <definedName name="MACROS" localSheetId="1">#REF!</definedName>
    <definedName name="MACROS" localSheetId="7">#REF!</definedName>
    <definedName name="MACROS" localSheetId="9">#REF!</definedName>
    <definedName name="MACROS">#REF!</definedName>
    <definedName name="MAIN_AB" localSheetId="8">#REF!</definedName>
    <definedName name="MAIN_AB" localSheetId="1">#REF!</definedName>
    <definedName name="MAIN_AB" localSheetId="7">#REF!</definedName>
    <definedName name="MAIN_AB" localSheetId="9">#REF!</definedName>
    <definedName name="MAIN_AB">#REF!</definedName>
    <definedName name="MAIN_CR" localSheetId="8">#REF!</definedName>
    <definedName name="MAIN_CR" localSheetId="1">#REF!</definedName>
    <definedName name="MAIN_CR" localSheetId="7">#REF!</definedName>
    <definedName name="MAIN_CR" localSheetId="9">#REF!</definedName>
    <definedName name="MAIN_CR">#REF!</definedName>
    <definedName name="MAIN_DB" localSheetId="8">#REF!</definedName>
    <definedName name="MAIN_DB" localSheetId="1">#REF!</definedName>
    <definedName name="MAIN_DB" localSheetId="7">#REF!</definedName>
    <definedName name="MAIN_DB" localSheetId="9">#REF!</definedName>
    <definedName name="MAIN_DB">#REF!</definedName>
    <definedName name="MAIN_DF" localSheetId="8">#REF!</definedName>
    <definedName name="MAIN_DF" localSheetId="1">#REF!</definedName>
    <definedName name="MAIN_DF" localSheetId="7">#REF!</definedName>
    <definedName name="MAIN_DF" localSheetId="9">#REF!</definedName>
    <definedName name="MAIN_DF">#REF!</definedName>
    <definedName name="MAIN_EN" localSheetId="8">#REF!</definedName>
    <definedName name="MAIN_EN" localSheetId="1">#REF!</definedName>
    <definedName name="MAIN_EN" localSheetId="7">#REF!</definedName>
    <definedName name="MAIN_EN" localSheetId="9">#REF!</definedName>
    <definedName name="MAIN_EN">#REF!</definedName>
    <definedName name="MAIN_MA" localSheetId="8">#REF!</definedName>
    <definedName name="MAIN_MA" localSheetId="1">#REF!</definedName>
    <definedName name="MAIN_MA" localSheetId="7">#REF!</definedName>
    <definedName name="MAIN_MA" localSheetId="9">#REF!</definedName>
    <definedName name="MAIN_MA">#REF!</definedName>
    <definedName name="MARDEMAND">#N/A</definedName>
    <definedName name="MARDEPREC" localSheetId="8">#REF!</definedName>
    <definedName name="MARDEPREC" localSheetId="1">#REF!</definedName>
    <definedName name="MARDEPREC" localSheetId="7">#REF!</definedName>
    <definedName name="MARDEPREC" localSheetId="9">#REF!</definedName>
    <definedName name="MARDEPREC">#REF!</definedName>
    <definedName name="MENU" localSheetId="8">#REF!</definedName>
    <definedName name="MENU" localSheetId="1">#REF!</definedName>
    <definedName name="MENU" localSheetId="7">#REF!</definedName>
    <definedName name="MENU" localSheetId="9">#REF!</definedName>
    <definedName name="MENU">#REF!</definedName>
    <definedName name="MONTH" localSheetId="8">#REF!</definedName>
    <definedName name="MONTH" localSheetId="1">#REF!</definedName>
    <definedName name="MONTH" localSheetId="7">#REF!</definedName>
    <definedName name="MONTH" localSheetId="9">#REF!</definedName>
    <definedName name="MONTH">#REF!</definedName>
    <definedName name="Monthly_index_DataTable" localSheetId="8">#REF!</definedName>
    <definedName name="Monthly_index_DataTable" localSheetId="1">#REF!</definedName>
    <definedName name="Monthly_index_DataTable" localSheetId="7">#REF!</definedName>
    <definedName name="Monthly_index_DataTable" localSheetId="9">#REF!</definedName>
    <definedName name="Monthly_index_DataTable">#REF!</definedName>
    <definedName name="Monthly_storage_DataTable" localSheetId="8">#REF!</definedName>
    <definedName name="Monthly_storage_DataTable" localSheetId="1">#REF!</definedName>
    <definedName name="Monthly_storage_DataTable" localSheetId="7">#REF!</definedName>
    <definedName name="Monthly_storage_DataTable" localSheetId="9">#REF!</definedName>
    <definedName name="Monthly_storage_DataTable">#REF!</definedName>
    <definedName name="Monthly_Volumes_DataTable" localSheetId="8">#REF!</definedName>
    <definedName name="Monthly_Volumes_DataTable" localSheetId="1">#REF!</definedName>
    <definedName name="Monthly_Volumes_DataTable" localSheetId="7">#REF!</definedName>
    <definedName name="Monthly_Volumes_DataTable" localSheetId="9">#REF!</definedName>
    <definedName name="Monthly_Volumes_DataTable">#REF!</definedName>
    <definedName name="N" localSheetId="16">#REF!</definedName>
    <definedName name="N">#REF!</definedName>
    <definedName name="NCT" localSheetId="16">#REF!</definedName>
    <definedName name="NCT">#REF!</definedName>
    <definedName name="new" localSheetId="8">#REF!</definedName>
    <definedName name="new" localSheetId="3">#REF!</definedName>
    <definedName name="new" localSheetId="1">#REF!</definedName>
    <definedName name="new" localSheetId="7">#REF!</definedName>
    <definedName name="new" localSheetId="9">#REF!</definedName>
    <definedName name="new">#REF!</definedName>
    <definedName name="new_int" localSheetId="8">#REF!</definedName>
    <definedName name="new_int" localSheetId="1">#REF!</definedName>
    <definedName name="new_int" localSheetId="7">#REF!</definedName>
    <definedName name="new_int" localSheetId="9">#REF!</definedName>
    <definedName name="new_int">#REF!</definedName>
    <definedName name="njnjn" localSheetId="8">#REF!</definedName>
    <definedName name="njnjn" localSheetId="3">#REF!</definedName>
    <definedName name="njnjn" localSheetId="1">#REF!</definedName>
    <definedName name="njnjn" localSheetId="7">#REF!</definedName>
    <definedName name="njnjn" localSheetId="9">#REF!</definedName>
    <definedName name="njnjn">#REF!</definedName>
    <definedName name="NN" localSheetId="16">#REF!</definedName>
    <definedName name="NN">#REF!</definedName>
    <definedName name="nnnnn" localSheetId="16">#REF!</definedName>
    <definedName name="nnnnn" localSheetId="3">#REF!</definedName>
    <definedName name="nnnnn">#REF!</definedName>
    <definedName name="Oct_07">"INTCY08"</definedName>
    <definedName name="OF" localSheetId="16">#REF!</definedName>
    <definedName name="OF">#REF!</definedName>
    <definedName name="old_int" localSheetId="8">#REF!</definedName>
    <definedName name="old_int" localSheetId="3">#REF!</definedName>
    <definedName name="old_int" localSheetId="1">#REF!</definedName>
    <definedName name="old_int" localSheetId="7">#REF!</definedName>
    <definedName name="old_int" localSheetId="9">#REF!</definedName>
    <definedName name="old_int">#REF!</definedName>
    <definedName name="OR" localSheetId="8">#REF!</definedName>
    <definedName name="OR" localSheetId="3">#REF!</definedName>
    <definedName name="OR" localSheetId="1">#REF!</definedName>
    <definedName name="OR" localSheetId="7">#REF!</definedName>
    <definedName name="OR" localSheetId="9">#REF!</definedName>
    <definedName name="OR">#REF!</definedName>
    <definedName name="OR_3_FACTOR" localSheetId="8">#REF!</definedName>
    <definedName name="OR_3_FACTOR" localSheetId="1">#REF!</definedName>
    <definedName name="OR_3_FACTOR" localSheetId="7">#REF!</definedName>
    <definedName name="OR_3_FACTOR" localSheetId="9">#REF!</definedName>
    <definedName name="OR_3_FACTOR">#REF!</definedName>
    <definedName name="OR_CUST" localSheetId="8">#REF!</definedName>
    <definedName name="OR_CUST" localSheetId="1">#REF!</definedName>
    <definedName name="OR_CUST" localSheetId="7">#REF!</definedName>
    <definedName name="OR_CUST" localSheetId="9">#REF!</definedName>
    <definedName name="OR_CUST">#REF!</definedName>
    <definedName name="OR_PEAK_DAY" localSheetId="8">#REF!</definedName>
    <definedName name="OR_PEAK_DAY" localSheetId="1">#REF!</definedName>
    <definedName name="OR_PEAK_DAY" localSheetId="7">#REF!</definedName>
    <definedName name="OR_PEAK_DAY" localSheetId="9">#REF!</definedName>
    <definedName name="OR_PEAK_DAY">#REF!</definedName>
    <definedName name="OR_PLANT" localSheetId="8">#REF!</definedName>
    <definedName name="OR_PLANT" localSheetId="1">#REF!</definedName>
    <definedName name="OR_PLANT" localSheetId="7">#REF!</definedName>
    <definedName name="OR_PLANT" localSheetId="9">#REF!</definedName>
    <definedName name="OR_PLANT">#REF!</definedName>
    <definedName name="OR320A" localSheetId="8">#REF!</definedName>
    <definedName name="OR320A" localSheetId="1">#REF!</definedName>
    <definedName name="OR320A" localSheetId="7">#REF!</definedName>
    <definedName name="OR320A" localSheetId="9">#REF!</definedName>
    <definedName name="OR320A">#REF!</definedName>
    <definedName name="OREGON_24_HR_AV" localSheetId="8">#REF!</definedName>
    <definedName name="OREGON_24_HR_AV" localSheetId="1">#REF!</definedName>
    <definedName name="OREGON_24_HR_AV" localSheetId="7">#REF!</definedName>
    <definedName name="OREGON_24_HR_AV" localSheetId="9">#REF!</definedName>
    <definedName name="OREGON_24_HR_AV">#REF!</definedName>
    <definedName name="OREGON_MAX" localSheetId="8">#REF!</definedName>
    <definedName name="OREGON_MAX" localSheetId="1">#REF!</definedName>
    <definedName name="OREGON_MAX" localSheetId="7">#REF!</definedName>
    <definedName name="OREGON_MAX" localSheetId="9">#REF!</definedName>
    <definedName name="OREGON_MAX">#REF!</definedName>
    <definedName name="OREGON_MAX_MIN" localSheetId="8">#REF!</definedName>
    <definedName name="OREGON_MAX_MIN" localSheetId="1">#REF!</definedName>
    <definedName name="OREGON_MAX_MIN" localSheetId="7">#REF!</definedName>
    <definedName name="OREGON_MAX_MIN" localSheetId="9">#REF!</definedName>
    <definedName name="OREGON_MAX_MIN">#REF!</definedName>
    <definedName name="OREGON_MIN" localSheetId="8">#REF!</definedName>
    <definedName name="OREGON_MIN" localSheetId="1">#REF!</definedName>
    <definedName name="OREGON_MIN" localSheetId="7">#REF!</definedName>
    <definedName name="OREGON_MIN" localSheetId="9">#REF!</definedName>
    <definedName name="OREGON_MIN">#REF!</definedName>
    <definedName name="ORTAXES" localSheetId="8">#REF!</definedName>
    <definedName name="ORTAXES" localSheetId="1">#REF!</definedName>
    <definedName name="ORTAXES" localSheetId="7">#REF!</definedName>
    <definedName name="ORTAXES" localSheetId="9">#REF!</definedName>
    <definedName name="ORTAXES">#REF!</definedName>
    <definedName name="ORTAXS" localSheetId="8">#REF!</definedName>
    <definedName name="ORTAXS" localSheetId="1">#REF!</definedName>
    <definedName name="ORTAXS" localSheetId="7">#REF!</definedName>
    <definedName name="ORTAXS" localSheetId="9">#REF!</definedName>
    <definedName name="ORTAXS">#REF!</definedName>
    <definedName name="OTI" localSheetId="16">#REF!</definedName>
    <definedName name="OTI" localSheetId="3">#REF!</definedName>
    <definedName name="OTI">#REF!</definedName>
    <definedName name="OVER" localSheetId="16">#REF!</definedName>
    <definedName name="OVER">#REF!</definedName>
    <definedName name="Page1" localSheetId="8">#REF!</definedName>
    <definedName name="Page1" localSheetId="3">#REF!</definedName>
    <definedName name="Page1" localSheetId="1">#REF!</definedName>
    <definedName name="Page1" localSheetId="7">#REF!</definedName>
    <definedName name="Page1" localSheetId="9">#REF!</definedName>
    <definedName name="Page1">#REF!</definedName>
    <definedName name="Page2" localSheetId="8">#REF!</definedName>
    <definedName name="Page2" localSheetId="3">#REF!</definedName>
    <definedName name="Page2" localSheetId="1">#REF!</definedName>
    <definedName name="Page2" localSheetId="7">#REF!</definedName>
    <definedName name="Page2" localSheetId="9">#REF!</definedName>
    <definedName name="Page2">#REF!</definedName>
    <definedName name="Page4" localSheetId="8">#REF!</definedName>
    <definedName name="Page4" localSheetId="3">#REF!</definedName>
    <definedName name="Page4" localSheetId="1">#REF!</definedName>
    <definedName name="Page4" localSheetId="7">#REF!</definedName>
    <definedName name="Page4" localSheetId="9">#REF!</definedName>
    <definedName name="Page4">#REF!</definedName>
    <definedName name="Page5" localSheetId="8">#REF!</definedName>
    <definedName name="Page5" localSheetId="3">#REF!</definedName>
    <definedName name="Page5" localSheetId="1">#REF!</definedName>
    <definedName name="Page5" localSheetId="7">#REF!</definedName>
    <definedName name="Page5" localSheetId="9">#REF!</definedName>
    <definedName name="Page5">#REF!</definedName>
    <definedName name="page6" localSheetId="8">#REF!</definedName>
    <definedName name="page6" localSheetId="3">#REF!</definedName>
    <definedName name="page6" localSheetId="1">#REF!</definedName>
    <definedName name="page6" localSheetId="7">#REF!</definedName>
    <definedName name="page6" localSheetId="9">#REF!</definedName>
    <definedName name="page6">#REF!</definedName>
    <definedName name="Penalty__DataTable" localSheetId="8">#REF!</definedName>
    <definedName name="Penalty__DataTable" localSheetId="1">#REF!</definedName>
    <definedName name="Penalty__DataTable" localSheetId="7">#REF!</definedName>
    <definedName name="Penalty__DataTable" localSheetId="9">#REF!</definedName>
    <definedName name="Penalty__DataTable">#REF!</definedName>
    <definedName name="Penalty_cost_DataTable" localSheetId="8">#REF!</definedName>
    <definedName name="Penalty_cost_DataTable" localSheetId="1">#REF!</definedName>
    <definedName name="Penalty_cost_DataTable" localSheetId="7">#REF!</definedName>
    <definedName name="Penalty_cost_DataTable" localSheetId="9">#REF!</definedName>
    <definedName name="Penalty_cost_DataTable">#REF!</definedName>
    <definedName name="Penalty_DataTable" localSheetId="8">#REF!</definedName>
    <definedName name="Penalty_DataTable" localSheetId="1">#REF!</definedName>
    <definedName name="Penalty_DataTable" localSheetId="7">#REF!</definedName>
    <definedName name="Penalty_DataTable" localSheetId="9">#REF!</definedName>
    <definedName name="Penalty_DataTable">#REF!</definedName>
    <definedName name="penalty_info_DataTable" localSheetId="8">#REF!</definedName>
    <definedName name="penalty_info_DataTable" localSheetId="1">#REF!</definedName>
    <definedName name="penalty_info_DataTable" localSheetId="7">#REF!</definedName>
    <definedName name="penalty_info_DataTable" localSheetId="9">#REF!</definedName>
    <definedName name="penalty_info_DataTable">#REF!</definedName>
    <definedName name="PFU" localSheetId="16">#REF!</definedName>
    <definedName name="PFU" localSheetId="3">#REF!</definedName>
    <definedName name="PFU">#REF!</definedName>
    <definedName name="PGAPeriodVolumes" localSheetId="16">#REF!</definedName>
    <definedName name="PGAPeriodVolumes" localSheetId="8">#REF!</definedName>
    <definedName name="PGAPeriodVolumes" localSheetId="1">#REF!</definedName>
    <definedName name="PGAPeriodVolumes" localSheetId="7">#REF!</definedName>
    <definedName name="PGAPeriodVolumes" localSheetId="9">#REF!</definedName>
    <definedName name="PGAPeriodVolumes">#REF!</definedName>
    <definedName name="pint3" localSheetId="16">' Conversion Factor'!pint3</definedName>
    <definedName name="pint3" localSheetId="8">' Int during Amort'!pint3</definedName>
    <definedName name="pint3" localSheetId="3">'CARES Amount Change'!pint3</definedName>
    <definedName name="pint3" localSheetId="1">'CARES Summary of Def. Accts.'!pint3</definedName>
    <definedName name="pint3" localSheetId="7">EstimatedBalances!pint3</definedName>
    <definedName name="pint3" localSheetId="9">'Int calc thru 10-31-2025'!pint3</definedName>
    <definedName name="pint3">[0]!pint3</definedName>
    <definedName name="pint3r" localSheetId="16">' Conversion Factor'!pint3r</definedName>
    <definedName name="pint3r" localSheetId="8">' Int during Amort'!pint3r</definedName>
    <definedName name="pint3r" localSheetId="3">'CARES Amount Change'!pint3r</definedName>
    <definedName name="pint3r" localSheetId="1">'CARES Summary of Def. Accts.'!pint3r</definedName>
    <definedName name="pint3r" localSheetId="7">EstimatedBalances!pint3r</definedName>
    <definedName name="pint3r" localSheetId="9">'Int calc thru 10-31-2025'!pint3r</definedName>
    <definedName name="pint3r">[0]!pint3r</definedName>
    <definedName name="ppopo" localSheetId="8">#REF!</definedName>
    <definedName name="ppopo" localSheetId="3">#REF!</definedName>
    <definedName name="ppopo" localSheetId="1">#REF!</definedName>
    <definedName name="ppopo" localSheetId="7">#REF!</definedName>
    <definedName name="ppopo" localSheetId="9">#REF!</definedName>
    <definedName name="ppopo">#REF!</definedName>
    <definedName name="ppppp" localSheetId="8">#REF!</definedName>
    <definedName name="ppppp" localSheetId="3">#REF!</definedName>
    <definedName name="ppppp" localSheetId="1">#REF!</definedName>
    <definedName name="ppppp" localSheetId="7">#REF!</definedName>
    <definedName name="ppppp" localSheetId="9">#REF!</definedName>
    <definedName name="ppppp">#REF!</definedName>
    <definedName name="PRINT" localSheetId="8">#REF!</definedName>
    <definedName name="PRINT" localSheetId="3">#REF!</definedName>
    <definedName name="PRINT" localSheetId="1">#REF!</definedName>
    <definedName name="PRINT" localSheetId="7">#REF!</definedName>
    <definedName name="PRINT" localSheetId="9">#REF!</definedName>
    <definedName name="PRINT">#REF!</definedName>
    <definedName name="_xlnm.Print_Area" localSheetId="8">' Int during Amort'!$A$1:$S$51</definedName>
    <definedName name="_xlnm.Print_Area" localSheetId="10">'Bills-Therms-Revs'!$A$1:$J$48</definedName>
    <definedName name="_xlnm.Print_Area" localSheetId="3">'CARES Amount Change'!$A$1:$M$28</definedName>
    <definedName name="_xlnm.Print_Area" localSheetId="0">'CARES Cost'!$A$1:$D$37</definedName>
    <definedName name="_xlnm.Print_Area" localSheetId="4">'CARES Incremental Rate'!$B$1:$H$21</definedName>
    <definedName name="_xlnm.Print_Area" localSheetId="1">'CARES Summary of Def. Accts.'!$A$1:$H$21</definedName>
    <definedName name="_xlnm.Print_Area" localSheetId="2">'Cost Recovery and Rates'!$A$1:$G$25</definedName>
    <definedName name="_xlnm.Print_Area" localSheetId="17">'EDP-AMP 1823.2073'!$A$1:$M$35</definedName>
    <definedName name="_xlnm.Print_Area" localSheetId="18">'EDP-AMP 1823.2074'!$A$1:$N$40</definedName>
    <definedName name="_xlnm.Print_Area" localSheetId="19">'EDP-AMP 1823.2075'!$A$1:$N$40</definedName>
    <definedName name="_xlnm.Print_Area" localSheetId="20">'EDP-AMP 1823.2076'!$A$1:$M$36</definedName>
    <definedName name="_xlnm.Print_Area" localSheetId="5">'Rate Impact'!$A$1:$K$44</definedName>
    <definedName name="Print_Area_MI" localSheetId="8">#REF!</definedName>
    <definedName name="Print_Area_MI" localSheetId="3">#REF!</definedName>
    <definedName name="Print_Area_MI" localSheetId="1">#REF!</definedName>
    <definedName name="Print_Area_MI" localSheetId="7">#REF!</definedName>
    <definedName name="Print_Area_MI" localSheetId="9">#REF!</definedName>
    <definedName name="Print_Area_MI">#REF!</definedName>
    <definedName name="print1" localSheetId="16">#REF!</definedName>
    <definedName name="print1" localSheetId="3">#REF!</definedName>
    <definedName name="print1" localSheetId="5">#REF!</definedName>
    <definedName name="print1">#REF!</definedName>
    <definedName name="print10" localSheetId="16">' Conversion Factor'!print10</definedName>
    <definedName name="print10" localSheetId="8">' Int during Amort'!print10</definedName>
    <definedName name="print10" localSheetId="3">'CARES Amount Change'!print10</definedName>
    <definedName name="print10" localSheetId="1">'CARES Summary of Def. Accts.'!print10</definedName>
    <definedName name="print10" localSheetId="7">EstimatedBalances!print10</definedName>
    <definedName name="print10" localSheetId="9">'Int calc thru 10-31-2025'!print10</definedName>
    <definedName name="print10">[0]!print10</definedName>
    <definedName name="print2" localSheetId="16">#REF!</definedName>
    <definedName name="print2" localSheetId="3">#REF!</definedName>
    <definedName name="print2" localSheetId="5">#REF!</definedName>
    <definedName name="print2">#REF!</definedName>
    <definedName name="print3" localSheetId="16">#REF!</definedName>
    <definedName name="print3" localSheetId="3">#REF!</definedName>
    <definedName name="print3" localSheetId="5">#REF!</definedName>
    <definedName name="print3">#REF!</definedName>
    <definedName name="PrintAll">#REF!</definedName>
    <definedName name="pzint3" localSheetId="16">' Conversion Factor'!pzint3</definedName>
    <definedName name="pzint3" localSheetId="8">' Int during Amort'!pzint3</definedName>
    <definedName name="pzint3" localSheetId="3">'CARES Amount Change'!pzint3</definedName>
    <definedName name="pzint3" localSheetId="1">'CARES Summary of Def. Accts.'!pzint3</definedName>
    <definedName name="pzint3" localSheetId="7">EstimatedBalances!pzint3</definedName>
    <definedName name="pzint3" localSheetId="9">'Int calc thru 10-31-2025'!pzint3</definedName>
    <definedName name="pzint3">[0]!pzint3</definedName>
    <definedName name="qqqq" localSheetId="8">#REF!</definedName>
    <definedName name="qqqq" localSheetId="3">#REF!</definedName>
    <definedName name="qqqq" localSheetId="1">#REF!</definedName>
    <definedName name="qqqq" localSheetId="7">#REF!</definedName>
    <definedName name="qqqq" localSheetId="9">#REF!</definedName>
    <definedName name="qqqq">#REF!</definedName>
    <definedName name="QUIT" localSheetId="8">#REF!</definedName>
    <definedName name="QUIT" localSheetId="3">#REF!</definedName>
    <definedName name="QUIT" localSheetId="1">#REF!</definedName>
    <definedName name="QUIT" localSheetId="7">#REF!</definedName>
    <definedName name="QUIT" localSheetId="9">#REF!</definedName>
    <definedName name="QUIT">#REF!</definedName>
    <definedName name="Recover">#REF!</definedName>
    <definedName name="revsens" localSheetId="16">#REF!</definedName>
    <definedName name="revsens" localSheetId="3">#REF!</definedName>
    <definedName name="revsens">#REF!</definedName>
    <definedName name="S" localSheetId="16">#REF!</definedName>
    <definedName name="S">#REF!</definedName>
    <definedName name="SAVE" localSheetId="8">#REF!</definedName>
    <definedName name="SAVE" localSheetId="3">#REF!</definedName>
    <definedName name="SAVE" localSheetId="1">#REF!</definedName>
    <definedName name="SAVE" localSheetId="7">#REF!</definedName>
    <definedName name="SAVE" localSheetId="9">#REF!</definedName>
    <definedName name="SAVE">#REF!</definedName>
    <definedName name="scenario_2790_DataTable" localSheetId="8">#REF!</definedName>
    <definedName name="scenario_2790_DataTable" localSheetId="3">#REF!</definedName>
    <definedName name="scenario_2790_DataTable" localSheetId="1">#REF!</definedName>
    <definedName name="scenario_2790_DataTable" localSheetId="7">#REF!</definedName>
    <definedName name="scenario_2790_DataTable" localSheetId="9">#REF!</definedName>
    <definedName name="scenario_2790_DataTable">#REF!</definedName>
    <definedName name="Sheet1_DataTable" localSheetId="8">#REF!</definedName>
    <definedName name="Sheet1_DataTable" localSheetId="3">#REF!</definedName>
    <definedName name="Sheet1_DataTable" localSheetId="1">#REF!</definedName>
    <definedName name="Sheet1_DataTable" localSheetId="7">#REF!</definedName>
    <definedName name="Sheet1_DataTable" localSheetId="9">#REF!</definedName>
    <definedName name="Sheet1_DataTable">#REF!</definedName>
    <definedName name="Sheet3_DataTable" localSheetId="8">#REF!</definedName>
    <definedName name="Sheet3_DataTable" localSheetId="1">#REF!</definedName>
    <definedName name="Sheet3_DataTable" localSheetId="7">#REF!</definedName>
    <definedName name="Sheet3_DataTable" localSheetId="9">#REF!</definedName>
    <definedName name="Sheet3_DataTable">#REF!</definedName>
    <definedName name="Sheet5_DataTable" localSheetId="8">#REF!</definedName>
    <definedName name="Sheet5_DataTable" localSheetId="1">#REF!</definedName>
    <definedName name="Sheet5_DataTable" localSheetId="7">#REF!</definedName>
    <definedName name="Sheet5_DataTable" localSheetId="9">#REF!</definedName>
    <definedName name="Sheet5_DataTable">#REF!</definedName>
    <definedName name="SSPBILL" localSheetId="16">#REF!</definedName>
    <definedName name="SSPBILL">#REF!</definedName>
    <definedName name="SSPREF" localSheetId="16">#REF!</definedName>
    <definedName name="SSPREF">#REF!</definedName>
    <definedName name="STDINT22">#REF!</definedName>
    <definedName name="STDINT23">#REF!</definedName>
    <definedName name="Storage_DataTable" localSheetId="8">#REF!</definedName>
    <definedName name="Storage_DataTable" localSheetId="3">#REF!</definedName>
    <definedName name="Storage_DataTable" localSheetId="1">#REF!</definedName>
    <definedName name="Storage_DataTable" localSheetId="7">#REF!</definedName>
    <definedName name="Storage_DataTable" localSheetId="9">#REF!</definedName>
    <definedName name="Storage_DataTable">#REF!</definedName>
    <definedName name="storage_info_DataTable" localSheetId="8">#REF!</definedName>
    <definedName name="storage_info_DataTable" localSheetId="3">#REF!</definedName>
    <definedName name="storage_info_DataTable" localSheetId="1">#REF!</definedName>
    <definedName name="storage_info_DataTable" localSheetId="7">#REF!</definedName>
    <definedName name="storage_info_DataTable" localSheetId="9">#REF!</definedName>
    <definedName name="storage_info_DataTable">#REF!</definedName>
    <definedName name="Storage_Inj_DataTable" localSheetId="8">#REF!</definedName>
    <definedName name="Storage_Inj_DataTable" localSheetId="3">#REF!</definedName>
    <definedName name="Storage_Inj_DataTable" localSheetId="1">#REF!</definedName>
    <definedName name="Storage_Inj_DataTable" localSheetId="7">#REF!</definedName>
    <definedName name="Storage_Inj_DataTable" localSheetId="9">#REF!</definedName>
    <definedName name="Storage_Inj_DataTable">#REF!</definedName>
    <definedName name="Storage_Monthly_DataTable" localSheetId="8">#REF!</definedName>
    <definedName name="Storage_Monthly_DataTable" localSheetId="1">#REF!</definedName>
    <definedName name="Storage_Monthly_DataTable" localSheetId="7">#REF!</definedName>
    <definedName name="Storage_Monthly_DataTable" localSheetId="9">#REF!</definedName>
    <definedName name="Storage_Monthly_DataTable">#REF!</definedName>
    <definedName name="Supply_DataTable" localSheetId="8">#REF!</definedName>
    <definedName name="Supply_DataTable" localSheetId="1">#REF!</definedName>
    <definedName name="Supply_DataTable" localSheetId="7">#REF!</definedName>
    <definedName name="Supply_DataTable" localSheetId="9">#REF!</definedName>
    <definedName name="Supply_DataTable">#REF!</definedName>
    <definedName name="Supply_Info_all_years_DataTable" localSheetId="8">#REF!</definedName>
    <definedName name="Supply_Info_all_years_DataTable" localSheetId="1">#REF!</definedName>
    <definedName name="Supply_Info_all_years_DataTable" localSheetId="7">#REF!</definedName>
    <definedName name="Supply_Info_all_years_DataTable" localSheetId="9">#REF!</definedName>
    <definedName name="Supply_Info_all_years_DataTable">#REF!</definedName>
    <definedName name="Supply_Info_DataTable" localSheetId="8">#REF!</definedName>
    <definedName name="Supply_Info_DataTable" localSheetId="1">#REF!</definedName>
    <definedName name="Supply_Info_DataTable" localSheetId="7">#REF!</definedName>
    <definedName name="Supply_Info_DataTable" localSheetId="9">#REF!</definedName>
    <definedName name="Supply_Info_DataTable">#REF!</definedName>
    <definedName name="supply_pull_DataTable" localSheetId="8">#REF!</definedName>
    <definedName name="supply_pull_DataTable" localSheetId="1">#REF!</definedName>
    <definedName name="supply_pull_DataTable" localSheetId="7">#REF!</definedName>
    <definedName name="supply_pull_DataTable" localSheetId="9">#REF!</definedName>
    <definedName name="supply_pull_DataTable">#REF!</definedName>
    <definedName name="T" localSheetId="16">#REF!</definedName>
    <definedName name="T">#REF!</definedName>
    <definedName name="TableName">"Dummy"</definedName>
    <definedName name="TAXINT18" localSheetId="16">#REF!</definedName>
    <definedName name="TAXINT18" localSheetId="8">#REF!</definedName>
    <definedName name="TAXINT18" localSheetId="3">#REF!</definedName>
    <definedName name="TAXINT18" localSheetId="1">#REF!</definedName>
    <definedName name="TAXINT18" localSheetId="7">#REF!</definedName>
    <definedName name="TAXINT18" localSheetId="9">#REF!</definedName>
    <definedName name="TAXINT18">#REF!</definedName>
    <definedName name="TAXINT19" localSheetId="16">#REF!</definedName>
    <definedName name="TAXINT19" localSheetId="8">#REF!</definedName>
    <definedName name="TAXINT19" localSheetId="3">#REF!</definedName>
    <definedName name="TAXINT19" localSheetId="1">#REF!</definedName>
    <definedName name="TAXINT19" localSheetId="7">#REF!</definedName>
    <definedName name="TAXINT19" localSheetId="9">#REF!</definedName>
    <definedName name="TAXINT19">#REF!</definedName>
    <definedName name="TAXINT20" localSheetId="16">#REF!</definedName>
    <definedName name="TAXINT20">#REF!</definedName>
    <definedName name="TAXINT21" localSheetId="16">#REF!</definedName>
    <definedName name="TAXINT21">#REF!</definedName>
    <definedName name="TAXINT22" localSheetId="16">#REF!</definedName>
    <definedName name="TAXINT22">#REF!</definedName>
    <definedName name="TAXINT23" localSheetId="16">#REF!</definedName>
    <definedName name="TAXINT23">#REF!</definedName>
    <definedName name="TESTPERIOD" localSheetId="16">#REF!</definedName>
    <definedName name="TESTPERIOD" localSheetId="3">#REF!</definedName>
    <definedName name="TESTPERIOD">#REF!</definedName>
    <definedName name="TestPeriodVolumes" localSheetId="16">#REF!</definedName>
    <definedName name="TestPeriodVolumes" localSheetId="8">#REF!</definedName>
    <definedName name="TestPeriodVolumes" localSheetId="1">#REF!</definedName>
    <definedName name="TestPeriodVolumes" localSheetId="7">#REF!</definedName>
    <definedName name="TestPeriodVolumes" localSheetId="9">#REF!</definedName>
    <definedName name="TestPeriodVolumes">#REF!</definedName>
    <definedName name="TITLES" localSheetId="8">#REF!</definedName>
    <definedName name="TITLES" localSheetId="3">#REF!</definedName>
    <definedName name="TITLES" localSheetId="1">#REF!</definedName>
    <definedName name="TITLES" localSheetId="7">#REF!</definedName>
    <definedName name="TITLES" localSheetId="9">#REF!</definedName>
    <definedName name="TITLES">#REF!</definedName>
    <definedName name="TRANSPORT" localSheetId="16">#REF!</definedName>
    <definedName name="TRANSPORT" localSheetId="8">#REF!</definedName>
    <definedName name="TRANSPORT" localSheetId="3">#REF!</definedName>
    <definedName name="TRANSPORT" localSheetId="1">#REF!</definedName>
    <definedName name="TRANSPORT" localSheetId="7">#REF!</definedName>
    <definedName name="TRANSPORT" localSheetId="9">#REF!</definedName>
    <definedName name="TRANSPORT">#REF!</definedName>
    <definedName name="Transport_DataTable" localSheetId="8">#REF!</definedName>
    <definedName name="Transport_DataTable" localSheetId="3">#REF!</definedName>
    <definedName name="Transport_DataTable" localSheetId="1">#REF!</definedName>
    <definedName name="Transport_DataTable" localSheetId="7">#REF!</definedName>
    <definedName name="Transport_DataTable" localSheetId="9">#REF!</definedName>
    <definedName name="Transport_DataTable">#REF!</definedName>
    <definedName name="Transport_Info_DataTable" localSheetId="8">#REF!</definedName>
    <definedName name="Transport_Info_DataTable" localSheetId="3">#REF!</definedName>
    <definedName name="Transport_Info_DataTable" localSheetId="1">#REF!</definedName>
    <definedName name="Transport_Info_DataTable" localSheetId="7">#REF!</definedName>
    <definedName name="Transport_Info_DataTable" localSheetId="9">#REF!</definedName>
    <definedName name="Transport_Info_DataTable">#REF!</definedName>
    <definedName name="TRNSPTREV" localSheetId="16">#REF!</definedName>
    <definedName name="TRNSPTREV" localSheetId="3">#REF!</definedName>
    <definedName name="TRNSPTREV">#REF!</definedName>
    <definedName name="VARIANCE" localSheetId="8">#REF!</definedName>
    <definedName name="VARIANCE" localSheetId="3">#REF!</definedName>
    <definedName name="VARIANCE" localSheetId="1">#REF!</definedName>
    <definedName name="VARIANCE" localSheetId="7">#REF!</definedName>
    <definedName name="VARIANCE" localSheetId="9">#REF!</definedName>
    <definedName name="VARIANCE">#REF!</definedName>
    <definedName name="VARIANCEREVENUE" localSheetId="8">#REF!</definedName>
    <definedName name="VARIANCEREVENUE" localSheetId="3">#REF!</definedName>
    <definedName name="VARIANCEREVENUE" localSheetId="1">#REF!</definedName>
    <definedName name="VARIANCEREVENUE" localSheetId="7">#REF!</definedName>
    <definedName name="VARIANCEREVENUE" localSheetId="9">#REF!</definedName>
    <definedName name="VARIANCEREVENUE">#REF!</definedName>
    <definedName name="WA" localSheetId="8">#REF!</definedName>
    <definedName name="WA" localSheetId="3">#REF!</definedName>
    <definedName name="WA" localSheetId="1">#REF!</definedName>
    <definedName name="WA" localSheetId="7">#REF!</definedName>
    <definedName name="WA" localSheetId="9">#REF!</definedName>
    <definedName name="WA">#REF!</definedName>
    <definedName name="WA_3_FACTOR" localSheetId="8">#REF!</definedName>
    <definedName name="WA_3_FACTOR" localSheetId="1">#REF!</definedName>
    <definedName name="WA_3_FACTOR" localSheetId="7">#REF!</definedName>
    <definedName name="WA_3_FACTOR" localSheetId="9">#REF!</definedName>
    <definedName name="WA_3_FACTOR">#REF!</definedName>
    <definedName name="WA_CUST" localSheetId="8">#REF!</definedName>
    <definedName name="WA_CUST" localSheetId="1">#REF!</definedName>
    <definedName name="WA_CUST" localSheetId="7">#REF!</definedName>
    <definedName name="WA_CUST" localSheetId="9">#REF!</definedName>
    <definedName name="WA_CUST">#REF!</definedName>
    <definedName name="WA_PLANT" localSheetId="8">#REF!</definedName>
    <definedName name="WA_PLANT" localSheetId="1">#REF!</definedName>
    <definedName name="WA_PLANT" localSheetId="7">#REF!</definedName>
    <definedName name="WA_PLANT" localSheetId="9">#REF!</definedName>
    <definedName name="WA_PLANT">#REF!</definedName>
    <definedName name="wa_revsens" localSheetId="16">#REF!</definedName>
    <definedName name="wa_revsens" localSheetId="3">#REF!</definedName>
    <definedName name="wa_revsens">#REF!</definedName>
    <definedName name="WA320A" localSheetId="8">#REF!</definedName>
    <definedName name="WA320A" localSheetId="3">#REF!</definedName>
    <definedName name="WA320A" localSheetId="1">#REF!</definedName>
    <definedName name="WA320A" localSheetId="7">#REF!</definedName>
    <definedName name="WA320A" localSheetId="9">#REF!</definedName>
    <definedName name="WA320A">#REF!</definedName>
    <definedName name="WACOG" localSheetId="8">#REF!</definedName>
    <definedName name="WACOG" localSheetId="3">#REF!</definedName>
    <definedName name="WACOG" localSheetId="1">#REF!</definedName>
    <definedName name="WACOG" localSheetId="7">#REF!</definedName>
    <definedName name="WACOG" localSheetId="9">#REF!</definedName>
    <definedName name="WACOG">#REF!</definedName>
    <definedName name="WALLA_WALLA_24_" localSheetId="8">#REF!</definedName>
    <definedName name="WALLA_WALLA_24_" localSheetId="1">#REF!</definedName>
    <definedName name="WALLA_WALLA_24_" localSheetId="7">#REF!</definedName>
    <definedName name="WALLA_WALLA_24_" localSheetId="9">#REF!</definedName>
    <definedName name="WALLA_WALLA_24_">#REF!</definedName>
    <definedName name="WALLA_WALLA_MAX" localSheetId="8">#REF!</definedName>
    <definedName name="WALLA_WALLA_MAX" localSheetId="1">#REF!</definedName>
    <definedName name="WALLA_WALLA_MAX" localSheetId="7">#REF!</definedName>
    <definedName name="WALLA_WALLA_MAX" localSheetId="9">#REF!</definedName>
    <definedName name="WALLA_WALLA_MAX">#REF!</definedName>
    <definedName name="WALLA_WALLA_MIN" localSheetId="8">#REF!</definedName>
    <definedName name="WALLA_WALLA_MIN" localSheetId="1">#REF!</definedName>
    <definedName name="WALLA_WALLA_MIN" localSheetId="7">#REF!</definedName>
    <definedName name="WALLA_WALLA_MIN" localSheetId="9">#REF!</definedName>
    <definedName name="WALLA_WALLA_MIN">#REF!</definedName>
    <definedName name="WATAXES" localSheetId="8">#REF!</definedName>
    <definedName name="WATAXES" localSheetId="1">#REF!</definedName>
    <definedName name="WATAXES" localSheetId="7">#REF!</definedName>
    <definedName name="WATAXES" localSheetId="9">#REF!</definedName>
    <definedName name="WATAXES">#REF!</definedName>
    <definedName name="WATAXS" localSheetId="8">#REF!</definedName>
    <definedName name="WATAXS" localSheetId="1">#REF!</definedName>
    <definedName name="WATAXS" localSheetId="7">#REF!</definedName>
    <definedName name="WATAXS" localSheetId="9">#REF!</definedName>
    <definedName name="WATAXS">#REF!</definedName>
    <definedName name="WCALL">#N/A</definedName>
    <definedName name="xyz5" localSheetId="8">#N/A</definedName>
    <definedName name="xyz5" localSheetId="3">'CARES Amount Change'!xyz5</definedName>
    <definedName name="xyz5" localSheetId="1">#N/A</definedName>
    <definedName name="xyz5" localSheetId="7">#N/A</definedName>
    <definedName name="xyz5" localSheetId="9">#N/A</definedName>
    <definedName name="xyz5">#N/A</definedName>
    <definedName name="YAKIMA_24_HR_AV" localSheetId="8">#REF!</definedName>
    <definedName name="YAKIMA_24_HR_AV" localSheetId="3">#REF!</definedName>
    <definedName name="YAKIMA_24_HR_AV" localSheetId="1">#REF!</definedName>
    <definedName name="YAKIMA_24_HR_AV" localSheetId="7">#REF!</definedName>
    <definedName name="YAKIMA_24_HR_AV" localSheetId="9">#REF!</definedName>
    <definedName name="YAKIMA_24_HR_AV">#REF!</definedName>
    <definedName name="YAKIMA_MAX" localSheetId="8">#REF!</definedName>
    <definedName name="YAKIMA_MAX" localSheetId="1">#REF!</definedName>
    <definedName name="YAKIMA_MAX" localSheetId="7">#REF!</definedName>
    <definedName name="YAKIMA_MAX" localSheetId="9">#REF!</definedName>
    <definedName name="YAKIMA_MAX">#REF!</definedName>
    <definedName name="YAKIMA_MAX_MIN_" localSheetId="8">#REF!</definedName>
    <definedName name="YAKIMA_MAX_MIN_" localSheetId="1">#REF!</definedName>
    <definedName name="YAKIMA_MAX_MIN_" localSheetId="7">#REF!</definedName>
    <definedName name="YAKIMA_MAX_MIN_" localSheetId="9">#REF!</definedName>
    <definedName name="YAKIMA_MAX_MIN_">#REF!</definedName>
    <definedName name="YAKIMA_MIN" localSheetId="8">#REF!</definedName>
    <definedName name="YAKIMA_MIN" localSheetId="1">#REF!</definedName>
    <definedName name="YAKIMA_MIN" localSheetId="7">#REF!</definedName>
    <definedName name="YAKIMA_MIN" localSheetId="9">#REF!</definedName>
    <definedName name="YAKIMA_MIN">#REF!</definedName>
    <definedName name="YEAR" localSheetId="8">#REF!</definedName>
    <definedName name="YEAR" localSheetId="1">#REF!</definedName>
    <definedName name="YEAR" localSheetId="7">#REF!</definedName>
    <definedName name="YEAR" localSheetId="9">#REF!</definedName>
    <definedName name="YEAR">#REF!</definedName>
    <definedName name="YTD_Firm_therms_query" localSheetId="8">#REF!</definedName>
    <definedName name="YTD_Firm_therms_query" localSheetId="1">#REF!</definedName>
    <definedName name="YTD_Firm_therms_query" localSheetId="7">#REF!</definedName>
    <definedName name="YTD_Firm_therms_query" localSheetId="9">#REF!</definedName>
    <definedName name="YTD_Firm_therms_query">#REF!</definedName>
    <definedName name="Z" localSheetId="8">#REF!</definedName>
    <definedName name="Z" localSheetId="1">#REF!</definedName>
    <definedName name="Z" localSheetId="7">#REF!</definedName>
    <definedName name="Z" localSheetId="9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9" l="1"/>
  <c r="F18" i="19"/>
  <c r="D18" i="19"/>
  <c r="B18" i="19"/>
  <c r="C16" i="19"/>
  <c r="G14" i="19"/>
  <c r="G8" i="19"/>
  <c r="G6" i="19"/>
  <c r="G12" i="19"/>
  <c r="H24" i="3"/>
  <c r="I20" i="3"/>
  <c r="B14" i="19"/>
  <c r="B16" i="19"/>
  <c r="B12" i="19"/>
  <c r="B8" i="19"/>
  <c r="H5" i="19"/>
  <c r="B6" i="19"/>
  <c r="E5" i="11"/>
  <c r="E6" i="11"/>
  <c r="E7" i="11"/>
  <c r="E8" i="11"/>
  <c r="E9" i="11"/>
  <c r="E10" i="11"/>
  <c r="E11" i="11"/>
  <c r="E12" i="11"/>
  <c r="E13" i="11"/>
  <c r="E14" i="11"/>
  <c r="E4" i="11"/>
  <c r="D5" i="11"/>
  <c r="D6" i="11"/>
  <c r="D7" i="11"/>
  <c r="D8" i="11"/>
  <c r="D9" i="11"/>
  <c r="D10" i="11"/>
  <c r="D11" i="11"/>
  <c r="D12" i="11"/>
  <c r="D13" i="11"/>
  <c r="D14" i="11"/>
  <c r="D4" i="11"/>
  <c r="C5" i="11"/>
  <c r="C6" i="11"/>
  <c r="C7" i="11"/>
  <c r="C8" i="11"/>
  <c r="C9" i="11"/>
  <c r="C10" i="11"/>
  <c r="C11" i="11"/>
  <c r="C12" i="11"/>
  <c r="C13" i="11"/>
  <c r="C14" i="11"/>
  <c r="C4" i="11"/>
  <c r="B7" i="11"/>
  <c r="B8" i="11"/>
  <c r="B9" i="11"/>
  <c r="B10" i="11"/>
  <c r="B11" i="11"/>
  <c r="B12" i="11"/>
  <c r="B13" i="11"/>
  <c r="B14" i="11"/>
  <c r="B16" i="11" s="1"/>
  <c r="B6" i="11"/>
  <c r="B5" i="11"/>
  <c r="B4" i="11"/>
  <c r="C16" i="11"/>
  <c r="D16" i="11"/>
  <c r="E16" i="11"/>
  <c r="H12" i="29"/>
  <c r="H13" i="32"/>
  <c r="H12" i="31"/>
  <c r="D40" i="30"/>
  <c r="D38" i="30"/>
  <c r="D34" i="30"/>
  <c r="D32" i="30"/>
  <c r="H12" i="30"/>
  <c r="G27" i="29"/>
  <c r="H13" i="30" l="1"/>
  <c r="K12" i="30"/>
  <c r="K12" i="29"/>
  <c r="H13" i="29"/>
  <c r="K12" i="31"/>
  <c r="H13" i="31"/>
  <c r="H14" i="32"/>
  <c r="K13" i="31" l="1"/>
  <c r="H14" i="31"/>
  <c r="K13" i="30"/>
  <c r="H14" i="30"/>
  <c r="K14" i="32"/>
  <c r="H15" i="32"/>
  <c r="K13" i="29"/>
  <c r="H14" i="29"/>
  <c r="K14" i="29" l="1"/>
  <c r="H15" i="29"/>
  <c r="H16" i="32"/>
  <c r="K15" i="32"/>
  <c r="H15" i="31"/>
  <c r="K14" i="31"/>
  <c r="K14" i="30"/>
  <c r="H15" i="30"/>
  <c r="H16" i="30" l="1"/>
  <c r="K15" i="30"/>
  <c r="K15" i="31"/>
  <c r="H16" i="31"/>
  <c r="K15" i="29"/>
  <c r="H16" i="29"/>
  <c r="H17" i="32"/>
  <c r="K16" i="32"/>
  <c r="K16" i="29" l="1"/>
  <c r="H17" i="29"/>
  <c r="K16" i="31"/>
  <c r="H17" i="31"/>
  <c r="H17" i="30"/>
  <c r="K16" i="30"/>
  <c r="K17" i="32"/>
  <c r="H18" i="32"/>
  <c r="H19" i="32" l="1"/>
  <c r="K18" i="32"/>
  <c r="K17" i="30"/>
  <c r="H18" i="30"/>
  <c r="K17" i="31"/>
  <c r="H18" i="31"/>
  <c r="H18" i="29"/>
  <c r="K17" i="29"/>
  <c r="K18" i="31" l="1"/>
  <c r="H19" i="31"/>
  <c r="H20" i="32"/>
  <c r="K19" i="32"/>
  <c r="K18" i="29"/>
  <c r="H19" i="29"/>
  <c r="K18" i="30"/>
  <c r="H19" i="30"/>
  <c r="K20" i="32" l="1"/>
  <c r="H21" i="32"/>
  <c r="K19" i="30"/>
  <c r="H20" i="30"/>
  <c r="K19" i="29"/>
  <c r="H20" i="29"/>
  <c r="K19" i="31"/>
  <c r="H20" i="31"/>
  <c r="K20" i="30" l="1"/>
  <c r="H21" i="30"/>
  <c r="H21" i="31"/>
  <c r="K20" i="31"/>
  <c r="K20" i="29"/>
  <c r="H21" i="29"/>
  <c r="K21" i="32"/>
  <c r="H22" i="32"/>
  <c r="H22" i="29" l="1"/>
  <c r="K21" i="29"/>
  <c r="H22" i="30"/>
  <c r="K21" i="30"/>
  <c r="K21" i="31"/>
  <c r="H22" i="31"/>
  <c r="H23" i="32"/>
  <c r="K22" i="32"/>
  <c r="K23" i="32" l="1"/>
  <c r="H24" i="32"/>
  <c r="K22" i="30"/>
  <c r="H23" i="30"/>
  <c r="K22" i="31"/>
  <c r="H23" i="31"/>
  <c r="K22" i="29"/>
  <c r="H23" i="29"/>
  <c r="K23" i="29" l="1"/>
  <c r="H24" i="29"/>
  <c r="H24" i="31"/>
  <c r="K23" i="31"/>
  <c r="K23" i="30"/>
  <c r="H24" i="30"/>
  <c r="H25" i="32"/>
  <c r="K24" i="32"/>
  <c r="H25" i="30" l="1"/>
  <c r="K24" i="30"/>
  <c r="H26" i="32"/>
  <c r="K25" i="32"/>
  <c r="K24" i="31"/>
  <c r="H25" i="31"/>
  <c r="K24" i="29"/>
  <c r="H25" i="29"/>
  <c r="K25" i="31" l="1"/>
  <c r="H26" i="31"/>
  <c r="H27" i="32"/>
  <c r="K26" i="32"/>
  <c r="K25" i="30"/>
  <c r="H26" i="30"/>
  <c r="H26" i="29"/>
  <c r="K26" i="29" l="1"/>
  <c r="H27" i="29"/>
  <c r="K26" i="30"/>
  <c r="H27" i="30"/>
  <c r="K27" i="32"/>
  <c r="H28" i="32"/>
  <c r="H27" i="31"/>
  <c r="K26" i="31"/>
  <c r="K27" i="31" l="1"/>
  <c r="H28" i="31"/>
  <c r="K27" i="30"/>
  <c r="H28" i="30"/>
  <c r="K27" i="29"/>
  <c r="H28" i="29"/>
  <c r="K28" i="32"/>
  <c r="H29" i="32"/>
  <c r="K29" i="32" l="1"/>
  <c r="H30" i="32"/>
  <c r="K28" i="30"/>
  <c r="H29" i="30"/>
  <c r="H29" i="29"/>
  <c r="K28" i="29"/>
  <c r="K28" i="31"/>
  <c r="H29" i="31"/>
  <c r="H30" i="31" l="1"/>
  <c r="K29" i="31"/>
  <c r="H30" i="29"/>
  <c r="K29" i="29"/>
  <c r="K29" i="30"/>
  <c r="H30" i="30"/>
  <c r="H31" i="32"/>
  <c r="K30" i="32"/>
  <c r="H31" i="30" l="1"/>
  <c r="K30" i="30"/>
  <c r="H32" i="32"/>
  <c r="K31" i="32"/>
  <c r="H31" i="29"/>
  <c r="K30" i="29"/>
  <c r="K30" i="31"/>
  <c r="H31" i="31"/>
  <c r="H32" i="30" l="1"/>
  <c r="K31" i="30"/>
  <c r="K31" i="31"/>
  <c r="H32" i="31"/>
  <c r="K31" i="29"/>
  <c r="H32" i="29"/>
  <c r="H33" i="32"/>
  <c r="K32" i="32"/>
  <c r="H33" i="31" l="1"/>
  <c r="K32" i="31"/>
  <c r="K32" i="30"/>
  <c r="H33" i="30"/>
  <c r="H33" i="29"/>
  <c r="K32" i="29"/>
  <c r="K33" i="32"/>
  <c r="H34" i="32"/>
  <c r="K34" i="32" l="1"/>
  <c r="H35" i="32"/>
  <c r="K33" i="29"/>
  <c r="H34" i="29"/>
  <c r="H34" i="31"/>
  <c r="K33" i="31"/>
  <c r="H34" i="30"/>
  <c r="K33" i="30"/>
  <c r="K34" i="30" l="1"/>
  <c r="H35" i="30"/>
  <c r="H36" i="32"/>
  <c r="K35" i="32"/>
  <c r="H35" i="31"/>
  <c r="K34" i="31"/>
  <c r="K34" i="29"/>
  <c r="H35" i="29"/>
  <c r="K35" i="31" l="1"/>
  <c r="H36" i="31"/>
  <c r="K35" i="29"/>
  <c r="K36" i="32"/>
  <c r="H36" i="30"/>
  <c r="K35" i="30"/>
  <c r="K36" i="30" l="1"/>
  <c r="H37" i="30"/>
  <c r="K36" i="31"/>
  <c r="H37" i="31"/>
  <c r="H38" i="30" l="1"/>
  <c r="K37" i="30"/>
  <c r="H38" i="31"/>
  <c r="K37" i="31"/>
  <c r="K38" i="30" l="1"/>
  <c r="H39" i="30"/>
  <c r="K38" i="31"/>
  <c r="H39" i="31"/>
  <c r="K39" i="30" l="1"/>
  <c r="H40" i="30"/>
  <c r="H40" i="31"/>
  <c r="K39" i="31"/>
  <c r="K40" i="31" l="1"/>
  <c r="K40" i="30"/>
  <c r="G39" i="21" l="1"/>
  <c r="G41" i="21"/>
  <c r="G42" i="21"/>
  <c r="B35" i="1"/>
  <c r="F10" i="28"/>
  <c r="E10" i="28"/>
  <c r="C33" i="28"/>
  <c r="C12" i="28"/>
  <c r="C16" i="28" s="1"/>
  <c r="C18" i="28" s="1"/>
  <c r="C20" i="28" s="1"/>
  <c r="C22" i="28" s="1"/>
  <c r="C25" i="28" s="1"/>
  <c r="D10" i="28"/>
  <c r="G40" i="21"/>
  <c r="G19" i="21"/>
  <c r="G23" i="21"/>
  <c r="G22" i="21"/>
  <c r="G17" i="21"/>
  <c r="J20" i="3"/>
  <c r="H23" i="3"/>
  <c r="I7" i="3"/>
  <c r="I8" i="3"/>
  <c r="I9" i="3"/>
  <c r="I10" i="3"/>
  <c r="I11" i="3"/>
  <c r="I12" i="3"/>
  <c r="I13" i="3"/>
  <c r="I14" i="3"/>
  <c r="I15" i="3"/>
  <c r="I16" i="3"/>
  <c r="I17" i="3"/>
  <c r="I18" i="3"/>
  <c r="G44" i="21" l="1"/>
  <c r="D9" i="26"/>
  <c r="B17" i="1"/>
  <c r="B11" i="1"/>
  <c r="B13" i="1"/>
  <c r="D19" i="27"/>
  <c r="C27" i="27" s="1"/>
  <c r="C19" i="27"/>
  <c r="M5" i="9"/>
  <c r="M4" i="9"/>
  <c r="K5" i="10"/>
  <c r="K4" i="10"/>
  <c r="C20" i="27" l="1"/>
  <c r="C21" i="27" s="1"/>
  <c r="C26" i="27" s="1"/>
  <c r="D20" i="27"/>
  <c r="D21" i="27" s="1"/>
  <c r="C28" i="27" l="1"/>
  <c r="B22" i="1" s="1"/>
  <c r="B27" i="1" s="1"/>
  <c r="M7" i="10"/>
  <c r="L4" i="10" l="1"/>
  <c r="B10" i="1" l="1"/>
  <c r="B6" i="1" s="1"/>
  <c r="N4" i="9" l="1"/>
  <c r="A26" i="25"/>
  <c r="D16" i="25"/>
  <c r="C20" i="25" l="1"/>
  <c r="O20" i="25" s="1"/>
  <c r="J8" i="3"/>
  <c r="J9" i="3"/>
  <c r="J10" i="3"/>
  <c r="J11" i="3"/>
  <c r="J12" i="3"/>
  <c r="J13" i="3"/>
  <c r="J14" i="3"/>
  <c r="J15" i="3"/>
  <c r="J16" i="3"/>
  <c r="J17" i="3"/>
  <c r="J18" i="3"/>
  <c r="J7" i="3"/>
  <c r="F9" i="26"/>
  <c r="E9" i="26"/>
  <c r="B26" i="25"/>
  <c r="C21" i="25"/>
  <c r="C24" i="25"/>
  <c r="B24" i="25"/>
  <c r="A24" i="25"/>
  <c r="C23" i="25"/>
  <c r="B23" i="25"/>
  <c r="A23" i="25"/>
  <c r="C22" i="25"/>
  <c r="B22" i="25"/>
  <c r="A22" i="25"/>
  <c r="B21" i="25"/>
  <c r="A21" i="25"/>
  <c r="M10" i="25" l="1"/>
  <c r="M11" i="25"/>
  <c r="M8" i="25"/>
  <c r="M9" i="25"/>
  <c r="I10" i="25"/>
  <c r="I11" i="25"/>
  <c r="I8" i="25"/>
  <c r="I9" i="25"/>
  <c r="G10" i="25"/>
  <c r="G11" i="25"/>
  <c r="G9" i="25"/>
  <c r="G8" i="25"/>
  <c r="P9" i="25"/>
  <c r="P8" i="25"/>
  <c r="P10" i="25"/>
  <c r="P11" i="25"/>
  <c r="F10" i="25"/>
  <c r="F11" i="25"/>
  <c r="F9" i="25"/>
  <c r="F8" i="25"/>
  <c r="O10" i="25"/>
  <c r="O11" i="25"/>
  <c r="O9" i="25"/>
  <c r="O8" i="25"/>
  <c r="N9" i="25"/>
  <c r="N10" i="25"/>
  <c r="N11" i="25"/>
  <c r="N8" i="25"/>
  <c r="L10" i="25"/>
  <c r="L9" i="25"/>
  <c r="L11" i="25"/>
  <c r="L8" i="25"/>
  <c r="K10" i="25"/>
  <c r="K8" i="25"/>
  <c r="K9" i="25"/>
  <c r="K11" i="25"/>
  <c r="J9" i="25"/>
  <c r="J11" i="25"/>
  <c r="J10" i="25"/>
  <c r="J8" i="25"/>
  <c r="H10" i="25"/>
  <c r="H9" i="25"/>
  <c r="H11" i="25"/>
  <c r="H8" i="25"/>
  <c r="Q11" i="25"/>
  <c r="Q9" i="25"/>
  <c r="Q10" i="25"/>
  <c r="Q8" i="25"/>
  <c r="P20" i="25"/>
  <c r="J20" i="25"/>
  <c r="K20" i="25"/>
  <c r="F20" i="25"/>
  <c r="G20" i="25"/>
  <c r="L20" i="25"/>
  <c r="H20" i="25"/>
  <c r="M20" i="25"/>
  <c r="N20" i="25"/>
  <c r="Q20" i="25"/>
  <c r="I20" i="25"/>
  <c r="H16" i="25" l="1"/>
  <c r="R11" i="25"/>
  <c r="J16" i="25"/>
  <c r="N16" i="25"/>
  <c r="L16" i="25"/>
  <c r="R10" i="25"/>
  <c r="G16" i="25"/>
  <c r="R9" i="25"/>
  <c r="K16" i="25"/>
  <c r="F16" i="25"/>
  <c r="R8" i="25"/>
  <c r="M16" i="25"/>
  <c r="I16" i="25"/>
  <c r="P16" i="25"/>
  <c r="Q16" i="25"/>
  <c r="O16" i="25"/>
  <c r="R15" i="25" l="1"/>
  <c r="R16" i="25"/>
  <c r="G34" i="21"/>
  <c r="G36" i="21" s="1"/>
  <c r="G28" i="21"/>
  <c r="G31" i="21" s="1"/>
  <c r="G12" i="21"/>
  <c r="C6" i="19"/>
  <c r="H23" i="17"/>
  <c r="H24" i="17" s="1"/>
  <c r="E23" i="17"/>
  <c r="E24" i="17" s="1"/>
  <c r="E20" i="17"/>
  <c r="H19" i="17"/>
  <c r="E19" i="17"/>
  <c r="H18" i="17"/>
  <c r="E18" i="17"/>
  <c r="H17" i="17"/>
  <c r="E17" i="17"/>
  <c r="G25" i="21" l="1"/>
  <c r="F6" i="19"/>
  <c r="E6" i="19"/>
  <c r="D6" i="19"/>
  <c r="H6" i="19" l="1"/>
  <c r="C13" i="26"/>
  <c r="D13" i="26" s="1"/>
  <c r="C11" i="26"/>
  <c r="C14" i="26"/>
  <c r="D14" i="26" s="1"/>
  <c r="C12" i="26"/>
  <c r="D12" i="26" s="1"/>
  <c r="M7" i="9"/>
  <c r="H20" i="3"/>
  <c r="G20" i="3"/>
  <c r="F20" i="3"/>
  <c r="E20" i="3"/>
  <c r="D20" i="3"/>
  <c r="C20" i="3"/>
  <c r="C15" i="26" l="1"/>
  <c r="D11" i="26"/>
  <c r="C10" i="19"/>
  <c r="F17" i="17"/>
  <c r="F10" i="19"/>
  <c r="F20" i="17"/>
  <c r="F16" i="17"/>
  <c r="B10" i="19"/>
  <c r="D10" i="19"/>
  <c r="F18" i="17"/>
  <c r="E10" i="19"/>
  <c r="F19" i="17"/>
  <c r="G10" i="19"/>
  <c r="F23" i="17"/>
  <c r="F24" i="17" s="1"/>
  <c r="B25" i="1"/>
  <c r="B12" i="1"/>
  <c r="B20" i="1" s="1"/>
  <c r="K7" i="10"/>
  <c r="C16" i="23"/>
  <c r="C14" i="24"/>
  <c r="D14" i="24" s="1"/>
  <c r="C14" i="23"/>
  <c r="C12" i="24"/>
  <c r="D12" i="24" s="1"/>
  <c r="C11" i="24"/>
  <c r="C13" i="23"/>
  <c r="F16" i="11"/>
  <c r="C13" i="24"/>
  <c r="D13" i="24" s="1"/>
  <c r="C15" i="23"/>
  <c r="D11" i="24" l="1"/>
  <c r="D15" i="24" s="1"/>
  <c r="E12" i="24"/>
  <c r="F12" i="26" s="1"/>
  <c r="E12" i="26"/>
  <c r="E14" i="24"/>
  <c r="F14" i="26" s="1"/>
  <c r="E14" i="26"/>
  <c r="E13" i="24"/>
  <c r="E13" i="26"/>
  <c r="F21" i="17"/>
  <c r="F26" i="17" s="1"/>
  <c r="B7" i="1"/>
  <c r="B26" i="1"/>
  <c r="B29" i="1" s="1"/>
  <c r="C19" i="23"/>
  <c r="D15" i="26"/>
  <c r="C15" i="24"/>
  <c r="E11" i="26" l="1"/>
  <c r="E15" i="26" s="1"/>
  <c r="E11" i="24"/>
  <c r="F11" i="26" s="1"/>
  <c r="B31" i="1"/>
  <c r="B33" i="1" s="1"/>
  <c r="F13" i="26"/>
  <c r="F13" i="24" s="1"/>
  <c r="H14" i="26"/>
  <c r="H12" i="26"/>
  <c r="E15" i="24" l="1"/>
  <c r="H13" i="26"/>
  <c r="E10" i="25"/>
  <c r="O23" i="25" s="1"/>
  <c r="H13" i="24"/>
  <c r="D15" i="23" s="1"/>
  <c r="F14" i="24"/>
  <c r="E11" i="25" s="1"/>
  <c r="F12" i="24"/>
  <c r="H12" i="24" s="1"/>
  <c r="D14" i="23" s="1"/>
  <c r="H14" i="24" l="1"/>
  <c r="D16" i="23" s="1"/>
  <c r="Q23" i="25"/>
  <c r="J23" i="25"/>
  <c r="N23" i="25"/>
  <c r="K23" i="25"/>
  <c r="P23" i="25"/>
  <c r="L23" i="25"/>
  <c r="G23" i="25"/>
  <c r="I23" i="25"/>
  <c r="H23" i="25"/>
  <c r="S10" i="25"/>
  <c r="M23" i="25"/>
  <c r="F23" i="25"/>
  <c r="E9" i="25"/>
  <c r="J22" i="25" s="1"/>
  <c r="S11" i="25"/>
  <c r="P24" i="25"/>
  <c r="M24" i="25"/>
  <c r="I24" i="25"/>
  <c r="N24" i="25"/>
  <c r="J24" i="25"/>
  <c r="G24" i="25"/>
  <c r="H24" i="25"/>
  <c r="F24" i="25"/>
  <c r="K24" i="25"/>
  <c r="L24" i="25"/>
  <c r="Q24" i="25"/>
  <c r="O24" i="25"/>
  <c r="I22" i="25" l="1"/>
  <c r="R23" i="25"/>
  <c r="E15" i="23" s="1"/>
  <c r="F15" i="23" s="1"/>
  <c r="H22" i="25"/>
  <c r="P22" i="25"/>
  <c r="F22" i="25"/>
  <c r="O22" i="25"/>
  <c r="N22" i="25"/>
  <c r="S9" i="25"/>
  <c r="S16" i="25" s="1"/>
  <c r="Q22" i="25"/>
  <c r="G22" i="25"/>
  <c r="M22" i="25"/>
  <c r="K22" i="25"/>
  <c r="L22" i="25"/>
  <c r="R24" i="25"/>
  <c r="E16" i="23" s="1"/>
  <c r="F16" i="23" s="1"/>
  <c r="G15" i="23" l="1"/>
  <c r="H15" i="23" s="1"/>
  <c r="G16" i="23"/>
  <c r="H16" i="23" s="1"/>
  <c r="R22" i="25"/>
  <c r="E14" i="23" s="1"/>
  <c r="F14" i="23" s="1"/>
  <c r="I47" i="4"/>
  <c r="G47" i="4"/>
  <c r="F47" i="4"/>
  <c r="I40" i="4"/>
  <c r="H20" i="17" s="1"/>
  <c r="G40" i="4"/>
  <c r="F40" i="4"/>
  <c r="I33" i="4"/>
  <c r="G33" i="4"/>
  <c r="F33" i="4"/>
  <c r="I27" i="4"/>
  <c r="G27" i="4"/>
  <c r="F27" i="4"/>
  <c r="C23" i="4"/>
  <c r="C32" i="4" s="1"/>
  <c r="C37" i="4" s="1"/>
  <c r="C22" i="4"/>
  <c r="C31" i="4" s="1"/>
  <c r="C36" i="4" s="1"/>
  <c r="G17" i="4"/>
  <c r="F17" i="4"/>
  <c r="E16" i="17" s="1"/>
  <c r="E21" i="17" s="1"/>
  <c r="E26" i="17" s="1"/>
  <c r="I17" i="4"/>
  <c r="H16" i="17" s="1"/>
  <c r="H21" i="17" l="1"/>
  <c r="H26" i="17" s="1"/>
  <c r="G41" i="4"/>
  <c r="G48" i="4" s="1"/>
  <c r="G14" i="23"/>
  <c r="H14" i="23" s="1"/>
  <c r="I41" i="4"/>
  <c r="F41" i="4"/>
  <c r="F48" i="4" s="1"/>
  <c r="I48" i="4" l="1"/>
  <c r="K48" i="4"/>
  <c r="B37" i="1" l="1"/>
  <c r="B21" i="19" s="1"/>
  <c r="F8" i="19" s="1"/>
  <c r="C8" i="19" l="1"/>
  <c r="C12" i="19" s="1"/>
  <c r="E8" i="19"/>
  <c r="E12" i="19" s="1"/>
  <c r="F12" i="19"/>
  <c r="D8" i="19"/>
  <c r="D12" i="19" s="1"/>
  <c r="H8" i="19" l="1"/>
  <c r="H11" i="26"/>
  <c r="H15" i="26" s="1"/>
  <c r="F15" i="26"/>
  <c r="F11" i="24"/>
  <c r="E8" i="25" s="1"/>
  <c r="I21" i="25" s="1"/>
  <c r="I26" i="25" s="1"/>
  <c r="P21" i="25" l="1"/>
  <c r="P26" i="25" s="1"/>
  <c r="H11" i="24"/>
  <c r="G21" i="25"/>
  <c r="G26" i="25" s="1"/>
  <c r="F15" i="24"/>
  <c r="J21" i="25"/>
  <c r="J26" i="25" s="1"/>
  <c r="S8" i="25"/>
  <c r="E16" i="25"/>
  <c r="F15" i="25" s="1"/>
  <c r="G15" i="25" s="1"/>
  <c r="H15" i="25" s="1"/>
  <c r="I15" i="25" s="1"/>
  <c r="J15" i="25" s="1"/>
  <c r="K15" i="25" s="1"/>
  <c r="L15" i="25" s="1"/>
  <c r="M15" i="25" s="1"/>
  <c r="N15" i="25" s="1"/>
  <c r="O15" i="25" s="1"/>
  <c r="P15" i="25" s="1"/>
  <c r="Q15" i="25" s="1"/>
  <c r="N21" i="25"/>
  <c r="N26" i="25" s="1"/>
  <c r="O21" i="25"/>
  <c r="O26" i="25" s="1"/>
  <c r="Q21" i="25"/>
  <c r="Q26" i="25" s="1"/>
  <c r="F21" i="25"/>
  <c r="L21" i="25"/>
  <c r="L26" i="25" s="1"/>
  <c r="M21" i="25"/>
  <c r="M26" i="25" s="1"/>
  <c r="K21" i="25"/>
  <c r="K26" i="25" s="1"/>
  <c r="H21" i="25"/>
  <c r="H26" i="25" s="1"/>
  <c r="D13" i="23" l="1"/>
  <c r="D19" i="23" s="1"/>
  <c r="H15" i="24"/>
  <c r="F26" i="25"/>
  <c r="R21" i="25"/>
  <c r="R26" i="25" l="1"/>
  <c r="E13" i="23"/>
  <c r="F13" i="23" s="1"/>
  <c r="F19" i="23" l="1"/>
  <c r="G13" i="23"/>
  <c r="H13" i="23" s="1"/>
  <c r="E19" i="23"/>
  <c r="G19" i="23" l="1"/>
  <c r="H19" i="23"/>
  <c r="B20" i="19" s="1"/>
  <c r="D14" i="19" l="1"/>
  <c r="D16" i="19" s="1"/>
  <c r="E14" i="18" s="1"/>
  <c r="G14" i="18" s="1"/>
  <c r="B22" i="19"/>
  <c r="G16" i="19"/>
  <c r="E17" i="18" s="1"/>
  <c r="G17" i="18" s="1"/>
  <c r="E14" i="19"/>
  <c r="E16" i="19" s="1"/>
  <c r="E18" i="19" s="1"/>
  <c r="E15" i="18" s="1"/>
  <c r="F15" i="18" s="1"/>
  <c r="C14" i="19"/>
  <c r="F14" i="19"/>
  <c r="F16" i="19" s="1"/>
  <c r="E16" i="18" s="1"/>
  <c r="F16" i="18" s="1"/>
  <c r="F14" i="18" l="1"/>
  <c r="H22" i="21" s="1"/>
  <c r="I22" i="21" s="1"/>
  <c r="H29" i="21"/>
  <c r="H28" i="21"/>
  <c r="H30" i="21"/>
  <c r="H34" i="21"/>
  <c r="H35" i="21"/>
  <c r="C18" i="19"/>
  <c r="E13" i="18" s="1"/>
  <c r="F13" i="18" s="1"/>
  <c r="H19" i="21" s="1"/>
  <c r="I19" i="21" s="1"/>
  <c r="E12" i="18"/>
  <c r="G15" i="18"/>
  <c r="F17" i="18"/>
  <c r="H42" i="21" s="1"/>
  <c r="I42" i="21" s="1"/>
  <c r="G16" i="18"/>
  <c r="J20" i="17"/>
  <c r="K20" i="17" s="1"/>
  <c r="J19" i="17"/>
  <c r="K19" i="17" s="1"/>
  <c r="F12" i="18" l="1"/>
  <c r="G12" i="18"/>
  <c r="J18" i="17"/>
  <c r="K18" i="17" s="1"/>
  <c r="L18" i="17" s="1"/>
  <c r="H23" i="21"/>
  <c r="I23" i="21" s="1"/>
  <c r="I25" i="21" s="1"/>
  <c r="J25" i="21" s="1"/>
  <c r="K25" i="21" s="1"/>
  <c r="H24" i="21"/>
  <c r="I34" i="21"/>
  <c r="I36" i="21" s="1"/>
  <c r="J36" i="21" s="1"/>
  <c r="K36" i="21" s="1"/>
  <c r="I28" i="21"/>
  <c r="I31" i="21" s="1"/>
  <c r="J31" i="21" s="1"/>
  <c r="K31" i="21" s="1"/>
  <c r="H41" i="21"/>
  <c r="I41" i="21" s="1"/>
  <c r="H40" i="21"/>
  <c r="I40" i="21" s="1"/>
  <c r="H17" i="21"/>
  <c r="I17" i="21" s="1"/>
  <c r="J17" i="21" s="1"/>
  <c r="G13" i="18"/>
  <c r="J23" i="17"/>
  <c r="K23" i="17" s="1"/>
  <c r="L19" i="17"/>
  <c r="L20" i="17"/>
  <c r="I44" i="21" l="1"/>
  <c r="J44" i="21" s="1"/>
  <c r="K44" i="21" s="1"/>
  <c r="J17" i="17"/>
  <c r="K17" i="17" s="1"/>
  <c r="L17" i="17" s="1"/>
  <c r="J19" i="21"/>
  <c r="K19" i="21" s="1"/>
  <c r="J16" i="17"/>
  <c r="K16" i="17" s="1"/>
  <c r="K17" i="21"/>
  <c r="K24" i="17"/>
  <c r="L23" i="17"/>
  <c r="L16" i="17" l="1"/>
  <c r="K21" i="17"/>
  <c r="L21" i="17" s="1"/>
  <c r="K26" i="17" l="1"/>
  <c r="L26" i="17" s="1"/>
</calcChain>
</file>

<file path=xl/sharedStrings.xml><?xml version="1.0" encoding="utf-8"?>
<sst xmlns="http://schemas.openxmlformats.org/spreadsheetml/2006/main" count="936" uniqueCount="360">
  <si>
    <t>Cascade Natural Gas  Advice No. W25-09-02</t>
  </si>
  <si>
    <t>CARES Cost Recovery Work Paper</t>
  </si>
  <si>
    <t xml:space="preserve">NOTES: </t>
  </si>
  <si>
    <t>Average Discount</t>
  </si>
  <si>
    <t>Average monthly CARES Discount issued during the CARES Program Year</t>
  </si>
  <si>
    <t>Average Grant</t>
  </si>
  <si>
    <t>Average grant issued during the CARES Program Year</t>
  </si>
  <si>
    <t>Agency Fee Per Touchpoint</t>
  </si>
  <si>
    <t>Per Rule 20, PY 2025-2026 Agency Fees is $75 per touchpoint</t>
  </si>
  <si>
    <t>Total Number of Discounts</t>
  </si>
  <si>
    <t>Actual PY Discounts through August 2025</t>
  </si>
  <si>
    <t>Total Dollar of Discounts</t>
  </si>
  <si>
    <t>Total Number of Grants</t>
  </si>
  <si>
    <t>Actuals PY Grants through August 2025</t>
  </si>
  <si>
    <t>Total Dollar of Grants</t>
  </si>
  <si>
    <t>Total Customers Eligible for Discount</t>
  </si>
  <si>
    <t>Estimated low-income customers in CNGC WA service territory is 59,909 as determined in the Low Income Needs Assessment used to develop CARES and filed in UG-230551</t>
  </si>
  <si>
    <t>Assumed Discount Program Penetration</t>
  </si>
  <si>
    <t xml:space="preserve">Cascade assumed 30% in prior the PY, achieved 28%, and is now expecting more moderate growth based on EBA feedback that growth flatens at 30% and an understanding that forecasting  a larger percentage for the full year does not mimic PY enrollments and results in an overstatement of program costs. </t>
  </si>
  <si>
    <t>Total Customers Receiving Discount</t>
  </si>
  <si>
    <t>Estimated Increase in Total Number of Grants</t>
  </si>
  <si>
    <t>Total Grants for PY with Estimated growth</t>
  </si>
  <si>
    <t>Estimated Number of Customers to Receive Grant</t>
  </si>
  <si>
    <t>Total Number of Touchpoints</t>
  </si>
  <si>
    <t>Defined in Rule 20 as enrollments, re-enrollments, grants, and PEV</t>
  </si>
  <si>
    <t>Cost of Discount</t>
  </si>
  <si>
    <t>Total Customers Receiving Discount X Average Discount</t>
  </si>
  <si>
    <t>Total Estimated Dollar Amount of Grants</t>
  </si>
  <si>
    <t>Agency</t>
  </si>
  <si>
    <t xml:space="preserve">Per Rule 20, PY 2025-2026 Agency Fees is $75 per touchpoint, defined as $75 for each an Agency_x0002_processed CARES enrollment whether initiated independently or through the processing of a LIHEAP 
grant; an Agency-processed CARES grant; or an Agency’s verification of a CARES customer’s self-attested 
income. </t>
  </si>
  <si>
    <t xml:space="preserve">Community Based Organizations (CBO) Pilot </t>
  </si>
  <si>
    <t>Per Order No. 09 issued in Docket UG-210755, annual budget is the greater of 5% of arrearage relief grants or $73,000</t>
  </si>
  <si>
    <t>Subtotal Budget</t>
  </si>
  <si>
    <t>Administrative</t>
  </si>
  <si>
    <t>6% of budget based on UG-230551 and conservative industry average</t>
  </si>
  <si>
    <t>Estimated CARES Costs</t>
  </si>
  <si>
    <t>Revenue Sensitive</t>
  </si>
  <si>
    <t>Grand Total</t>
  </si>
  <si>
    <t>CARES CALCULATION OF PER THERM RATES TO AMORTIZE DEFERRED ACCOUNTS</t>
  </si>
  <si>
    <t>Line No.</t>
  </si>
  <si>
    <t>Consolidated Account</t>
  </si>
  <si>
    <t>Interest Accruals Through Am.</t>
  </si>
  <si>
    <t>Subtotal</t>
  </si>
  <si>
    <t>Revenue Sensitive costs</t>
  </si>
  <si>
    <t>Amount</t>
  </si>
  <si>
    <t>(a)</t>
  </si>
  <si>
    <t>(b)</t>
  </si>
  <si>
    <t>(c)</t>
  </si>
  <si>
    <t>(d)</t>
  </si>
  <si>
    <t>(e)</t>
  </si>
  <si>
    <t xml:space="preserve"> (f)</t>
  </si>
  <si>
    <t>WA Cares EDP-AMP Bill Discounts (Current)</t>
  </si>
  <si>
    <t>WA Cares EDP-AMP Admin Costs (Current)</t>
  </si>
  <si>
    <t>WA Cares EDP-AMP Arrears Forgiveness (Current)</t>
  </si>
  <si>
    <t>WA Cares (EDP-AMP) Recovery</t>
  </si>
  <si>
    <t xml:space="preserve">TOTAL </t>
  </si>
  <si>
    <t>Sch. 503</t>
  </si>
  <si>
    <t>Sch. 504</t>
  </si>
  <si>
    <t>Sch. 505</t>
  </si>
  <si>
    <t>Sch. 511</t>
  </si>
  <si>
    <t>Sch. 570</t>
  </si>
  <si>
    <t>Sch. 663/900</t>
  </si>
  <si>
    <t>Total</t>
  </si>
  <si>
    <t>Base Revenue*</t>
  </si>
  <si>
    <t>% of Total</t>
  </si>
  <si>
    <t>Allocated CARES Amount</t>
  </si>
  <si>
    <t>Forecasted Volumes</t>
  </si>
  <si>
    <t>CARES Rate Adjustment</t>
  </si>
  <si>
    <t>Allocated Amort. of Deferred Accts</t>
  </si>
  <si>
    <t>Allocated Amort. Rate (1 Year)</t>
  </si>
  <si>
    <t>Total CARES Rate Adjustment</t>
  </si>
  <si>
    <t>Deferral/Amortization</t>
  </si>
  <si>
    <t>CARES Amount</t>
  </si>
  <si>
    <t>Net</t>
  </si>
  <si>
    <t>*Notes:</t>
  </si>
  <si>
    <t>Base Revenue for 2025 from MYRP UG-240008.</t>
  </si>
  <si>
    <t>Cascade Natural Gas Corporation</t>
  </si>
  <si>
    <t>CARES AMOUNT OF CHANGE BY RATE SCHEDULE</t>
  </si>
  <si>
    <t>State of Washington</t>
  </si>
  <si>
    <t>Per Therm</t>
  </si>
  <si>
    <t>Rate</t>
  </si>
  <si>
    <t>Average</t>
  </si>
  <si>
    <t>Forecasted</t>
  </si>
  <si>
    <t xml:space="preserve">  Actual</t>
  </si>
  <si>
    <t>CARES</t>
  </si>
  <si>
    <t>Amount of</t>
  </si>
  <si>
    <t>Percentage</t>
  </si>
  <si>
    <t xml:space="preserve">Line No. </t>
  </si>
  <si>
    <t>Description</t>
  </si>
  <si>
    <t>Schedule</t>
  </si>
  <si>
    <t># of Bills</t>
  </si>
  <si>
    <t>Therms Sold</t>
  </si>
  <si>
    <t xml:space="preserve">  Revenue</t>
  </si>
  <si>
    <t>Change</t>
  </si>
  <si>
    <t xml:space="preserve">  (e)</t>
  </si>
  <si>
    <t>(f)</t>
  </si>
  <si>
    <t>(g)</t>
  </si>
  <si>
    <t>(h)</t>
  </si>
  <si>
    <t xml:space="preserve"> CORE MARKET RATE SCHEDULES</t>
  </si>
  <si>
    <t xml:space="preserve">    Residential</t>
  </si>
  <si>
    <t>503</t>
  </si>
  <si>
    <t xml:space="preserve">    Commercial</t>
  </si>
  <si>
    <t>504</t>
  </si>
  <si>
    <t xml:space="preserve">    Industrial Firm</t>
  </si>
  <si>
    <t>505</t>
  </si>
  <si>
    <t xml:space="preserve">    Large Volume</t>
  </si>
  <si>
    <t>511</t>
  </si>
  <si>
    <t xml:space="preserve">    Industrial Interruptible</t>
  </si>
  <si>
    <t>570</t>
  </si>
  <si>
    <t xml:space="preserve">  Subtotal  Core</t>
  </si>
  <si>
    <t xml:space="preserve"> NONCORE MARKET RATE SCHEDULES</t>
  </si>
  <si>
    <t xml:space="preserve">     Distribution</t>
  </si>
  <si>
    <t>Subtotal Non-core</t>
  </si>
  <si>
    <t>CORE &amp; NON-CORE</t>
  </si>
  <si>
    <t>DERIVATION OF PROPOSED RATE LEVEL WITHIN</t>
  </si>
  <si>
    <t>RATE ADDITION SCHEDULE NO. 592</t>
  </si>
  <si>
    <t>Rate Schedule</t>
  </si>
  <si>
    <t>Reverse Prior CARES Rate Adj.</t>
  </si>
  <si>
    <t>CARES Rate Adj.</t>
  </si>
  <si>
    <t>Incremental Rate Change</t>
  </si>
  <si>
    <t>Posted R/S 592 Tariff Rate</t>
  </si>
  <si>
    <t xml:space="preserve">  CORE MARKET RATE SCHEDULES</t>
  </si>
  <si>
    <t>Residential</t>
  </si>
  <si>
    <t>Commercial</t>
  </si>
  <si>
    <t>Industrial Firm</t>
  </si>
  <si>
    <t>Com-Ind Dual Service</t>
  </si>
  <si>
    <t>Industrial Interr.</t>
  </si>
  <si>
    <t>Transportation</t>
  </si>
  <si>
    <t>Cascade Natural Gas Advice No. W25-09-02</t>
  </si>
  <si>
    <t xml:space="preserve"> PROPOSED TYPICAL MONTHLY BILL BY CLASS</t>
  </si>
  <si>
    <t>FOR TWELVE MONTHS ENDED 6/30/08</t>
  </si>
  <si>
    <t>UG-210755</t>
  </si>
  <si>
    <t>Typical</t>
  </si>
  <si>
    <t>Current</t>
  </si>
  <si>
    <t>Proposed</t>
  </si>
  <si>
    <t>Line</t>
  </si>
  <si>
    <t>Monthly</t>
  </si>
  <si>
    <t>Basic</t>
  </si>
  <si>
    <t>Bill</t>
  </si>
  <si>
    <t>No.</t>
  </si>
  <si>
    <t>Type of Service</t>
  </si>
  <si>
    <t>Therm Used</t>
  </si>
  <si>
    <t>Service Charge</t>
  </si>
  <si>
    <t>Billing Rates</t>
  </si>
  <si>
    <t>Average Bill</t>
  </si>
  <si>
    <t>Difference</t>
  </si>
  <si>
    <t>% Bill Change</t>
  </si>
  <si>
    <t>e=c+(b*d)</t>
  </si>
  <si>
    <t>g=c+(b*f)</t>
  </si>
  <si>
    <t>(i)</t>
  </si>
  <si>
    <t>Residential, Schedule 503</t>
  </si>
  <si>
    <t>Commercial, Schedule 504</t>
  </si>
  <si>
    <t>Industrial Firm, Schedule 505</t>
  </si>
  <si>
    <t>First 500 therms</t>
  </si>
  <si>
    <t>Next 3,500 therms</t>
  </si>
  <si>
    <t>Over 4,000 therms</t>
  </si>
  <si>
    <t>Total 505</t>
  </si>
  <si>
    <t>Large Volume, Schedule 511</t>
  </si>
  <si>
    <t>First 20,000 therms</t>
  </si>
  <si>
    <t>Next 80,000 therms</t>
  </si>
  <si>
    <t>Over 100,000 therms</t>
  </si>
  <si>
    <t>Total 511</t>
  </si>
  <si>
    <t>Industrial Interruptible, Schedule 570</t>
  </si>
  <si>
    <t>First 30,000 therms</t>
  </si>
  <si>
    <t>Over 30,000 therms</t>
  </si>
  <si>
    <t>Total 570</t>
  </si>
  <si>
    <t>System Balancing Charge</t>
  </si>
  <si>
    <t>First 100,000 therms</t>
  </si>
  <si>
    <t>Next 200,000 therms</t>
  </si>
  <si>
    <t>Over 500,000 therms</t>
  </si>
  <si>
    <t>Total 663</t>
  </si>
  <si>
    <t>ESTIMATED BALANCES FOR DEFERRED ACCOUNTS PERIOD ENDING: 10/31/2025</t>
  </si>
  <si>
    <t xml:space="preserve">Interest </t>
  </si>
  <si>
    <t>ENDING</t>
  </si>
  <si>
    <t>Thru</t>
  </si>
  <si>
    <t>ACCT NO</t>
  </si>
  <si>
    <t>BALANCE</t>
  </si>
  <si>
    <t>-</t>
  </si>
  <si>
    <t>47WA.1823.2073</t>
  </si>
  <si>
    <t>47WA.1823.2074</t>
  </si>
  <si>
    <t>47WA.1823.2075</t>
  </si>
  <si>
    <t>47WA.1823.2076</t>
  </si>
  <si>
    <t>TOTAL</t>
  </si>
  <si>
    <t>INTEREST CALCULATIONS FOR AMORTIZATION PERIOD 11/1/2025 TO 10/31/2026</t>
  </si>
  <si>
    <t>Amortization Calculations</t>
  </si>
  <si>
    <t>Proposed Amortization by Month</t>
  </si>
  <si>
    <t>Market</t>
  </si>
  <si>
    <t>Calculated Amortization
Rate</t>
  </si>
  <si>
    <t>10/31/2025
Balance</t>
  </si>
  <si>
    <t>Total Amortization</t>
  </si>
  <si>
    <t>Remaining
Balance</t>
  </si>
  <si>
    <t>ALL</t>
  </si>
  <si>
    <t>All Class</t>
  </si>
  <si>
    <t>Total CARES</t>
  </si>
  <si>
    <t>Interest During Amortization</t>
  </si>
  <si>
    <t>Interest Rate:</t>
  </si>
  <si>
    <t>Total Interest</t>
  </si>
  <si>
    <t>Annual and Monthly Interest Rate</t>
  </si>
  <si>
    <t>DATE</t>
  </si>
  <si>
    <t>July 2025</t>
  </si>
  <si>
    <t>ANNUAL INTEREST RATE</t>
  </si>
  <si>
    <t xml:space="preserve">through </t>
  </si>
  <si>
    <t>MONTHLY INTEREST RATE</t>
  </si>
  <si>
    <t>Acct</t>
  </si>
  <si>
    <t>ACTUAL BILL, THERMS, AND REVENUE</t>
  </si>
  <si>
    <t>BASED UPON THE  TWELVE MONTHS ENDED 7/31/2025</t>
  </si>
  <si>
    <t xml:space="preserve"> Actual</t>
  </si>
  <si>
    <t>General Service</t>
  </si>
  <si>
    <t>EOM</t>
  </si>
  <si>
    <t>LM</t>
  </si>
  <si>
    <t>Total Residential</t>
  </si>
  <si>
    <t>Large Volume</t>
  </si>
  <si>
    <t>Less Company Use</t>
  </si>
  <si>
    <t>Total Commercial</t>
  </si>
  <si>
    <t>Total Industrial Firm</t>
  </si>
  <si>
    <t>Interruptible</t>
  </si>
  <si>
    <t>General</t>
  </si>
  <si>
    <t>Total Institut. Interr.</t>
  </si>
  <si>
    <t>Subtotal  Core</t>
  </si>
  <si>
    <t xml:space="preserve"> Distribution</t>
  </si>
  <si>
    <t>663</t>
  </si>
  <si>
    <t>Special Contracts</t>
  </si>
  <si>
    <t>9xx</t>
  </si>
  <si>
    <t>Subtotal  Noncore</t>
  </si>
  <si>
    <t>TOTAL CORE AND NONCORE</t>
  </si>
  <si>
    <t>Date</t>
  </si>
  <si>
    <t>AS_OF</t>
  </si>
  <si>
    <t>MO</t>
  </si>
  <si>
    <t>TIER</t>
  </si>
  <si>
    <t>YR</t>
  </si>
  <si>
    <t>TOTAL_DISCOUNT</t>
  </si>
  <si>
    <t>AVG_DISCOUNT</t>
  </si>
  <si>
    <t>AVG_PRE_DISCOUNT</t>
  </si>
  <si>
    <t>AVG_CUR_AMT</t>
  </si>
  <si>
    <t>NBR</t>
  </si>
  <si>
    <t>Through Aug</t>
  </si>
  <si>
    <t>Monthly Avg</t>
  </si>
  <si>
    <t>08</t>
  </si>
  <si>
    <t>WA-T1</t>
  </si>
  <si>
    <t>Total # Discounts</t>
  </si>
  <si>
    <t>WA-T2</t>
  </si>
  <si>
    <t>Total $ Discount</t>
  </si>
  <si>
    <t>WA-T3</t>
  </si>
  <si>
    <t>WA-T4</t>
  </si>
  <si>
    <t>WA-T5</t>
  </si>
  <si>
    <t>07</t>
  </si>
  <si>
    <t>06</t>
  </si>
  <si>
    <t>05</t>
  </si>
  <si>
    <t>04</t>
  </si>
  <si>
    <t>03</t>
  </si>
  <si>
    <t>02</t>
  </si>
  <si>
    <t>01</t>
  </si>
  <si>
    <t>12</t>
  </si>
  <si>
    <t>11</t>
  </si>
  <si>
    <t>10</t>
  </si>
  <si>
    <t>09</t>
  </si>
  <si>
    <t>GRANT_TOTAL</t>
  </si>
  <si>
    <t>AVG_PAYMENT</t>
  </si>
  <si>
    <t>No Discount</t>
  </si>
  <si>
    <t>Total # Grants</t>
  </si>
  <si>
    <t>Total $ Grants</t>
  </si>
  <si>
    <t>Avg. Grant</t>
  </si>
  <si>
    <t>Full 12 Months of Grants</t>
  </si>
  <si>
    <t>TEST PERIOD VOLUME - WEATHER NORMALIZED</t>
  </si>
  <si>
    <t>Month</t>
  </si>
  <si>
    <t>Total Core</t>
  </si>
  <si>
    <t xml:space="preserve">12 month </t>
  </si>
  <si>
    <t>total</t>
  </si>
  <si>
    <t>Customers</t>
  </si>
  <si>
    <t>Monthly Avg.</t>
  </si>
  <si>
    <t xml:space="preserve">Touchpoint Estimates for Agency Fee </t>
  </si>
  <si>
    <t>AGENCY NAME</t>
  </si>
  <si>
    <t>Dollars Pledge</t>
  </si>
  <si>
    <t>Grant</t>
  </si>
  <si>
    <t>BDR</t>
  </si>
  <si>
    <t>Cmbnd Qty</t>
  </si>
  <si>
    <t>Avg</t>
  </si>
  <si>
    <t>10-1-2024 thru 8-31-2025</t>
  </si>
  <si>
    <t>BMAC</t>
  </si>
  <si>
    <t>CAC</t>
  </si>
  <si>
    <t>CACLMT</t>
  </si>
  <si>
    <t>CCAP</t>
  </si>
  <si>
    <t>CDAC</t>
  </si>
  <si>
    <t>CDCAC</t>
  </si>
  <si>
    <t>KCR</t>
  </si>
  <si>
    <t>NCACTOPP</t>
  </si>
  <si>
    <t>OIC</t>
  </si>
  <si>
    <t>OPPCO</t>
  </si>
  <si>
    <t>SCCAA</t>
  </si>
  <si>
    <t>SCEAP</t>
  </si>
  <si>
    <t>Year</t>
  </si>
  <si>
    <t>Touchpoints</t>
  </si>
  <si>
    <t>PEV</t>
  </si>
  <si>
    <t>Grants</t>
  </si>
  <si>
    <t>Cascade Natural Gas</t>
  </si>
  <si>
    <t>Results of Operations Summary Sheet</t>
  </si>
  <si>
    <t>Twelve Months Ended December 31, 2023</t>
  </si>
  <si>
    <t xml:space="preserve">REVENUE SENSITIVE COSTS </t>
  </si>
  <si>
    <t xml:space="preserve">  Revenues</t>
  </si>
  <si>
    <t>Operating Revenue Deductions</t>
  </si>
  <si>
    <t>Uncollectible Accounts</t>
  </si>
  <si>
    <t>State B&amp;O Tax</t>
  </si>
  <si>
    <t>UTC Fees</t>
  </si>
  <si>
    <t>Interest expense</t>
  </si>
  <si>
    <t>State Taxable Income</t>
  </si>
  <si>
    <t>State Income Tax</t>
  </si>
  <si>
    <t>Federal Taxable Income</t>
  </si>
  <si>
    <t>Federal Income Tax @ 21%</t>
  </si>
  <si>
    <t>Total Income Taxes</t>
  </si>
  <si>
    <t>Total Revenue Sensitive Costs</t>
  </si>
  <si>
    <t>RESULTS OF OPERATIONS SUMMARY SHEET</t>
  </si>
  <si>
    <t xml:space="preserve">Net-to-Gross Factor </t>
  </si>
  <si>
    <t>Combo-State &amp; Federal Income Tax</t>
  </si>
  <si>
    <t xml:space="preserve">  State</t>
  </si>
  <si>
    <t xml:space="preserve">  Federal </t>
  </si>
  <si>
    <t>State and Federal Effective Tax Rate</t>
  </si>
  <si>
    <t>Account Balance 7/31/2025</t>
  </si>
  <si>
    <t>Interest Assignments &amp; Amortization through 10/31/2025</t>
  </si>
  <si>
    <t>Bills and Revenues Based Upon the Twelve Months Ended 7/31/25</t>
  </si>
  <si>
    <t>State:</t>
  </si>
  <si>
    <t>Washington</t>
  </si>
  <si>
    <t>Description:</t>
  </si>
  <si>
    <t>Account number:</t>
  </si>
  <si>
    <t>Class of customers:</t>
  </si>
  <si>
    <t>Deferral period:</t>
  </si>
  <si>
    <t>10/1/23 - ????</t>
  </si>
  <si>
    <t>Amortization period:</t>
  </si>
  <si>
    <t>Unknown</t>
  </si>
  <si>
    <t>Narrative:</t>
  </si>
  <si>
    <t>Senate Bill 5295 requires low income assistance program to qualifying customers.  Docket UG-230243 Order 01 allows for deferral treatment of customer bill discounts.</t>
  </si>
  <si>
    <t>Debit (Credit)</t>
  </si>
  <si>
    <t>Month/ Year</t>
  </si>
  <si>
    <t>Therms</t>
  </si>
  <si>
    <t>Deferral</t>
  </si>
  <si>
    <t>Amortization</t>
  </si>
  <si>
    <t>Interest</t>
  </si>
  <si>
    <t>Adjustments</t>
  </si>
  <si>
    <t>Deferred Balance</t>
  </si>
  <si>
    <t>General Ledger Balance</t>
  </si>
  <si>
    <t>Difference to G/L Balance</t>
  </si>
  <si>
    <t>Reconciled By</t>
  </si>
  <si>
    <t>Date Reconciled</t>
  </si>
  <si>
    <t>T Durado</t>
  </si>
  <si>
    <t>Brian</t>
  </si>
  <si>
    <t>Balance transferred from 1823.2073</t>
  </si>
  <si>
    <t>Adj (20,973.19) from Big Heart &amp; ($770.88) used to retire WEAF 47WA.2429.02</t>
  </si>
  <si>
    <t>All</t>
  </si>
  <si>
    <t>4/14/23 to unknown</t>
  </si>
  <si>
    <t>Senate Bill 5295 requires low income assistance program to qualifying customers.  Accounting Petition under Docket UG-230243 asked for deferral treatment of related administrative &amp; development costs.</t>
  </si>
  <si>
    <t>1,249.80 Aug Uncorrected Bal</t>
  </si>
  <si>
    <t>1,255.98 Sept True-up AJE</t>
  </si>
  <si>
    <t>-6.18 Int True up in Sep</t>
  </si>
  <si>
    <t>$1,255.98 AJE in Sep to reverse all Labor Postings</t>
  </si>
  <si>
    <t>$5.14 True-up in Oct</t>
  </si>
  <si>
    <t>Jan Int True-up of $46.43</t>
  </si>
  <si>
    <t>All (Except Special Contracts)</t>
  </si>
  <si>
    <t>10/1/23 to ????</t>
  </si>
  <si>
    <t>Recovery of WA Cares Program Costs, including customer discounts, arrears forgiveness and administrative costs.  UG-230243 Order 01  Rate Schedule 592</t>
  </si>
  <si>
    <t>Transport, Schedule 663/900</t>
  </si>
  <si>
    <t>663/900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</si>
</sst>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General_)"/>
    <numFmt numFmtId="166" formatCode="_(* #,##0_);_(* \(#,##0\);_(* &quot;-&quot;??_);_(@_)"/>
    <numFmt numFmtId="167" formatCode="0_);\(0\)"/>
    <numFmt numFmtId="168" formatCode="_(&quot;$&quot;* #,##0.00000_);_(&quot;$&quot;* \(#,##0.00000\);_(&quot;$&quot;* &quot;-&quot;??_);_(@_)"/>
    <numFmt numFmtId="169" formatCode="&quot;$&quot;#,##0.00"/>
    <numFmt numFmtId="170" formatCode="&quot;$&quot;#,##0"/>
    <numFmt numFmtId="171" formatCode="0.00000"/>
    <numFmt numFmtId="172" formatCode="&quot;$&quot;#,##0.00000"/>
    <numFmt numFmtId="173" formatCode="#,##0;\-#,##0"/>
    <numFmt numFmtId="174" formatCode="[$$]\ #,##0.00"/>
    <numFmt numFmtId="175" formatCode="mm/dd/yyyy"/>
    <numFmt numFmtId="176" formatCode="[$$-380A]\ #,##0.00"/>
    <numFmt numFmtId="177" formatCode="_(* #,##0.00000_);_(* \(#,##0.00000\);_(* &quot;-&quot;??_);_(@_)"/>
    <numFmt numFmtId="178" formatCode="&quot;$&quot;#,##0.00000_);\(&quot;$&quot;#,##0.00000\)"/>
    <numFmt numFmtId="179" formatCode="0.0000000%"/>
    <numFmt numFmtId="180" formatCode="0.0000%"/>
    <numFmt numFmtId="181" formatCode="0.000%"/>
    <numFmt numFmtId="182" formatCode="0.000000_)"/>
    <numFmt numFmtId="183" formatCode="[$$]\ #,##0"/>
    <numFmt numFmtId="184" formatCode="_([$$-409]* #,##0_);_([$$-409]* \(#,##0\);_([$$-409]* &quot;-&quot;??_);_(@_)"/>
    <numFmt numFmtId="185" formatCode="&quot;$&quot;#,##0.00000_);[Red]\(&quot;$&quot;#,##0.00000\)"/>
    <numFmt numFmtId="186" formatCode="#,##0.00000_);\(#,##0.00000\)"/>
    <numFmt numFmtId="187" formatCode="mm/dd/yy;@"/>
    <numFmt numFmtId="188" formatCode="m/d/yy;@"/>
  </numFmts>
  <fonts count="5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8"/>
      <name val="Helv"/>
    </font>
    <font>
      <sz val="12"/>
      <name val="Helv"/>
    </font>
    <font>
      <sz val="12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.6"/>
      <color indexed="12"/>
      <name val="Helv"/>
    </font>
    <font>
      <sz val="10"/>
      <name val="Arial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sz val="8"/>
      <name val="Helv"/>
    </font>
    <font>
      <sz val="10"/>
      <name val="Times New Roman"/>
      <family val="1"/>
    </font>
    <font>
      <b/>
      <sz val="11"/>
      <color indexed="8"/>
      <name val="Calibri"/>
      <family val="2"/>
      <scheme val="minor"/>
    </font>
    <font>
      <b/>
      <sz val="12"/>
      <name val="Times New Roman"/>
      <family val="1"/>
    </font>
    <font>
      <sz val="10"/>
      <name val="Times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indexed="8"/>
      <name val="Calibri"/>
      <family val="2"/>
      <scheme val="minor"/>
    </font>
    <font>
      <sz val="12"/>
      <color theme="1"/>
      <name val="Times New Roman"/>
      <family val="1"/>
    </font>
    <font>
      <sz val="10"/>
      <name val="Calibri"/>
      <family val="2"/>
      <scheme val="minor"/>
    </font>
    <font>
      <b/>
      <sz val="11"/>
      <name val="Arial"/>
      <family val="2"/>
    </font>
    <font>
      <b/>
      <i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7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" borderId="4" applyNumberFormat="0" applyAlignment="0" applyProtection="0"/>
    <xf numFmtId="165" fontId="8" fillId="0" borderId="0"/>
    <xf numFmtId="165" fontId="8" fillId="0" borderId="0"/>
    <xf numFmtId="39" fontId="12" fillId="0" borderId="0"/>
    <xf numFmtId="43" fontId="1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22" applyNumberFormat="0" applyAlignment="0" applyProtection="0"/>
    <xf numFmtId="0" fontId="22" fillId="6" borderId="4" applyNumberFormat="0" applyAlignment="0" applyProtection="0"/>
    <xf numFmtId="0" fontId="23" fillId="0" borderId="23" applyNumberFormat="0" applyFill="0" applyAlignment="0" applyProtection="0"/>
    <xf numFmtId="0" fontId="24" fillId="7" borderId="24" applyNumberFormat="0" applyAlignment="0" applyProtection="0"/>
    <xf numFmtId="0" fontId="3" fillId="0" borderId="0" applyNumberFormat="0" applyFill="0" applyBorder="0" applyAlignment="0" applyProtection="0"/>
    <xf numFmtId="0" fontId="5" fillId="8" borderId="25" applyNumberFormat="0" applyFont="0" applyAlignment="0" applyProtection="0"/>
    <xf numFmtId="0" fontId="25" fillId="0" borderId="0" applyNumberFormat="0" applyFill="0" applyBorder="0" applyAlignment="0" applyProtection="0"/>
    <xf numFmtId="0" fontId="4" fillId="0" borderId="26" applyNumberFormat="0" applyFill="0" applyAlignment="0" applyProtection="0"/>
    <xf numFmtId="0" fontId="2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9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0" fontId="5" fillId="0" borderId="0"/>
    <xf numFmtId="165" fontId="31" fillId="0" borderId="0"/>
    <xf numFmtId="9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8" fillId="0" borderId="0"/>
    <xf numFmtId="0" fontId="28" fillId="0" borderId="0"/>
    <xf numFmtId="39" fontId="12" fillId="0" borderId="0"/>
    <xf numFmtId="10" fontId="8" fillId="0" borderId="0"/>
    <xf numFmtId="0" fontId="5" fillId="0" borderId="0"/>
  </cellStyleXfs>
  <cellXfs count="521">
    <xf numFmtId="0" fontId="0" fillId="0" borderId="0" xfId="0"/>
    <xf numFmtId="8" fontId="0" fillId="0" borderId="0" xfId="0" applyNumberFormat="1"/>
    <xf numFmtId="16" fontId="0" fillId="0" borderId="0" xfId="0" applyNumberFormat="1"/>
    <xf numFmtId="0" fontId="2" fillId="0" borderId="1" xfId="1" applyFont="1" applyBorder="1" applyAlignment="1">
      <alignment horizontal="center"/>
    </xf>
    <xf numFmtId="164" fontId="0" fillId="0" borderId="0" xfId="4" applyNumberFormat="1" applyFont="1"/>
    <xf numFmtId="0" fontId="7" fillId="0" borderId="0" xfId="0" applyFont="1"/>
    <xf numFmtId="165" fontId="7" fillId="0" borderId="0" xfId="7" quotePrefix="1" applyFont="1" applyAlignment="1">
      <alignment horizontal="left"/>
    </xf>
    <xf numFmtId="165" fontId="7" fillId="0" borderId="0" xfId="7" applyFont="1" applyAlignment="1">
      <alignment horizontal="center"/>
    </xf>
    <xf numFmtId="165" fontId="7" fillId="0" borderId="0" xfId="7" applyFont="1"/>
    <xf numFmtId="165" fontId="7" fillId="0" borderId="9" xfId="7" applyFont="1" applyBorder="1" applyAlignment="1">
      <alignment horizontal="center"/>
    </xf>
    <xf numFmtId="165" fontId="7" fillId="0" borderId="10" xfId="7" applyFont="1" applyBorder="1"/>
    <xf numFmtId="165" fontId="7" fillId="0" borderId="7" xfId="7" applyFont="1" applyBorder="1" applyAlignment="1">
      <alignment horizontal="center"/>
    </xf>
    <xf numFmtId="165" fontId="7" fillId="0" borderId="0" xfId="7" applyFont="1" applyAlignment="1">
      <alignment horizontal="left"/>
    </xf>
    <xf numFmtId="165" fontId="7" fillId="0" borderId="8" xfId="7" applyFont="1" applyBorder="1" applyAlignment="1">
      <alignment horizontal="center"/>
    </xf>
    <xf numFmtId="165" fontId="7" fillId="0" borderId="11" xfId="7" applyFont="1" applyBorder="1" applyAlignment="1">
      <alignment horizontal="center"/>
    </xf>
    <xf numFmtId="165" fontId="9" fillId="0" borderId="11" xfId="7" applyFont="1" applyBorder="1" applyAlignment="1">
      <alignment horizontal="left"/>
    </xf>
    <xf numFmtId="165" fontId="7" fillId="0" borderId="11" xfId="7" applyFont="1" applyBorder="1"/>
    <xf numFmtId="37" fontId="7" fillId="0" borderId="11" xfId="7" applyNumberFormat="1" applyFont="1" applyBorder="1"/>
    <xf numFmtId="165" fontId="7" fillId="0" borderId="12" xfId="7" applyFont="1" applyBorder="1" applyAlignment="1">
      <alignment horizontal="left"/>
    </xf>
    <xf numFmtId="165" fontId="7" fillId="0" borderId="13" xfId="7" applyFont="1" applyBorder="1"/>
    <xf numFmtId="165" fontId="7" fillId="0" borderId="13" xfId="7" applyFont="1" applyBorder="1" applyAlignment="1">
      <alignment horizontal="center"/>
    </xf>
    <xf numFmtId="165" fontId="7" fillId="0" borderId="9" xfId="7" applyFont="1" applyBorder="1"/>
    <xf numFmtId="165" fontId="7" fillId="0" borderId="14" xfId="7" applyFont="1" applyBorder="1" applyAlignment="1">
      <alignment horizontal="left" indent="1"/>
    </xf>
    <xf numFmtId="165" fontId="7" fillId="0" borderId="15" xfId="7" applyFont="1" applyBorder="1"/>
    <xf numFmtId="165" fontId="7" fillId="0" borderId="15" xfId="7" applyFont="1" applyBorder="1" applyAlignment="1">
      <alignment horizontal="center"/>
    </xf>
    <xf numFmtId="37" fontId="7" fillId="0" borderId="15" xfId="0" applyNumberFormat="1" applyFont="1" applyBorder="1"/>
    <xf numFmtId="37" fontId="7" fillId="0" borderId="7" xfId="7" applyNumberFormat="1" applyFont="1" applyBorder="1"/>
    <xf numFmtId="164" fontId="7" fillId="0" borderId="7" xfId="4" applyNumberFormat="1" applyFont="1" applyFill="1" applyBorder="1"/>
    <xf numFmtId="37" fontId="7" fillId="0" borderId="0" xfId="7" applyNumberFormat="1" applyFont="1"/>
    <xf numFmtId="43" fontId="7" fillId="0" borderId="0" xfId="5" applyFont="1" applyFill="1" applyBorder="1" applyProtection="1"/>
    <xf numFmtId="165" fontId="7" fillId="0" borderId="14" xfId="8" applyFont="1" applyBorder="1"/>
    <xf numFmtId="165" fontId="7" fillId="0" borderId="16" xfId="8" applyFont="1" applyBorder="1"/>
    <xf numFmtId="165" fontId="7" fillId="0" borderId="2" xfId="7" applyFont="1" applyBorder="1"/>
    <xf numFmtId="37" fontId="7" fillId="0" borderId="17" xfId="0" applyNumberFormat="1" applyFont="1" applyBorder="1"/>
    <xf numFmtId="37" fontId="7" fillId="0" borderId="8" xfId="7" applyNumberFormat="1" applyFont="1" applyBorder="1"/>
    <xf numFmtId="165" fontId="9" fillId="0" borderId="0" xfId="7" applyFont="1"/>
    <xf numFmtId="165" fontId="9" fillId="0" borderId="11" xfId="7" applyFont="1" applyBorder="1" applyAlignment="1">
      <alignment horizontal="left" indent="1"/>
    </xf>
    <xf numFmtId="165" fontId="9" fillId="0" borderId="17" xfId="7" applyFont="1" applyBorder="1"/>
    <xf numFmtId="165" fontId="9" fillId="0" borderId="6" xfId="7" applyFont="1" applyBorder="1" applyAlignment="1">
      <alignment horizontal="center"/>
    </xf>
    <xf numFmtId="37" fontId="9" fillId="0" borderId="11" xfId="7" applyNumberFormat="1" applyFont="1" applyBorder="1"/>
    <xf numFmtId="37" fontId="9" fillId="0" borderId="5" xfId="7" applyNumberFormat="1" applyFont="1" applyBorder="1"/>
    <xf numFmtId="37" fontId="9" fillId="0" borderId="0" xfId="7" applyNumberFormat="1" applyFont="1"/>
    <xf numFmtId="164" fontId="9" fillId="0" borderId="5" xfId="4" applyNumberFormat="1" applyFont="1" applyFill="1" applyBorder="1"/>
    <xf numFmtId="10" fontId="9" fillId="0" borderId="0" xfId="5" applyNumberFormat="1" applyFont="1" applyFill="1" applyBorder="1" applyProtection="1"/>
    <xf numFmtId="10" fontId="7" fillId="0" borderId="0" xfId="7" applyNumberFormat="1" applyFont="1"/>
    <xf numFmtId="165" fontId="7" fillId="0" borderId="0" xfId="7" applyFont="1" applyAlignment="1">
      <alignment horizontal="left" indent="1"/>
    </xf>
    <xf numFmtId="10" fontId="7" fillId="0" borderId="0" xfId="5" applyNumberFormat="1" applyFont="1" applyFill="1" applyBorder="1" applyProtection="1"/>
    <xf numFmtId="165" fontId="9" fillId="0" borderId="6" xfId="7" applyFont="1" applyBorder="1"/>
    <xf numFmtId="167" fontId="7" fillId="0" borderId="7" xfId="7" applyNumberFormat="1" applyFont="1" applyBorder="1"/>
    <xf numFmtId="164" fontId="9" fillId="0" borderId="5" xfId="4" applyNumberFormat="1" applyFont="1" applyFill="1" applyBorder="1" applyProtection="1"/>
    <xf numFmtId="165" fontId="9" fillId="0" borderId="0" xfId="7" applyFont="1" applyAlignment="1">
      <alignment horizontal="left" indent="1"/>
    </xf>
    <xf numFmtId="165" fontId="9" fillId="0" borderId="5" xfId="7" applyFont="1" applyBorder="1" applyAlignment="1">
      <alignment horizontal="center"/>
    </xf>
    <xf numFmtId="44" fontId="7" fillId="0" borderId="0" xfId="4" applyFont="1" applyFill="1" applyBorder="1"/>
    <xf numFmtId="37" fontId="7" fillId="0" borderId="0" xfId="7" applyNumberFormat="1" applyFont="1" applyAlignment="1">
      <alignment horizontal="left"/>
    </xf>
    <xf numFmtId="44" fontId="7" fillId="0" borderId="9" xfId="4" applyFont="1" applyFill="1" applyBorder="1"/>
    <xf numFmtId="165" fontId="7" fillId="0" borderId="14" xfId="7" applyFont="1" applyBorder="1" applyAlignment="1">
      <alignment horizontal="left"/>
    </xf>
    <xf numFmtId="44" fontId="7" fillId="0" borderId="7" xfId="4" applyFont="1" applyFill="1" applyBorder="1"/>
    <xf numFmtId="37" fontId="7" fillId="0" borderId="16" xfId="7" applyNumberFormat="1" applyFont="1" applyBorder="1"/>
    <xf numFmtId="165" fontId="9" fillId="0" borderId="18" xfId="7" applyFont="1" applyBorder="1" applyAlignment="1">
      <alignment horizontal="left" indent="1"/>
    </xf>
    <xf numFmtId="37" fontId="9" fillId="0" borderId="2" xfId="7" applyNumberFormat="1" applyFont="1" applyBorder="1"/>
    <xf numFmtId="37" fontId="9" fillId="0" borderId="8" xfId="7" applyNumberFormat="1" applyFont="1" applyBorder="1"/>
    <xf numFmtId="165" fontId="9" fillId="0" borderId="11" xfId="7" applyFont="1" applyBorder="1"/>
    <xf numFmtId="165" fontId="7" fillId="0" borderId="0" xfId="7" quotePrefix="1" applyFont="1" applyAlignment="1">
      <alignment horizontal="center"/>
    </xf>
    <xf numFmtId="43" fontId="7" fillId="0" borderId="0" xfId="5" applyFont="1" applyFill="1" applyAlignment="1" applyProtection="1">
      <alignment horizontal="left"/>
    </xf>
    <xf numFmtId="165" fontId="9" fillId="0" borderId="0" xfId="7" quotePrefix="1" applyFont="1" applyAlignment="1">
      <alignment horizontal="left"/>
    </xf>
    <xf numFmtId="43" fontId="9" fillId="0" borderId="0" xfId="5" quotePrefix="1" applyFont="1" applyFill="1" applyAlignment="1">
      <alignment horizontal="left"/>
    </xf>
    <xf numFmtId="165" fontId="9" fillId="0" borderId="0" xfId="55" applyFont="1" applyAlignment="1" applyProtection="1">
      <alignment horizontal="center"/>
    </xf>
    <xf numFmtId="3" fontId="7" fillId="0" borderId="0" xfId="53" applyNumberFormat="1" applyFont="1" applyFill="1"/>
    <xf numFmtId="166" fontId="7" fillId="0" borderId="0" xfId="53" applyNumberFormat="1" applyFont="1" applyFill="1"/>
    <xf numFmtId="17" fontId="7" fillId="0" borderId="0" xfId="55" applyNumberFormat="1" applyFont="1"/>
    <xf numFmtId="165" fontId="11" fillId="0" borderId="0" xfId="55" applyFont="1" applyAlignment="1">
      <alignment horizontal="center"/>
    </xf>
    <xf numFmtId="44" fontId="0" fillId="0" borderId="0" xfId="2" applyFont="1"/>
    <xf numFmtId="165" fontId="9" fillId="0" borderId="0" xfId="55" applyFont="1" applyAlignment="1">
      <alignment horizontal="center"/>
    </xf>
    <xf numFmtId="165" fontId="10" fillId="0" borderId="0" xfId="55" applyFont="1"/>
    <xf numFmtId="165" fontId="31" fillId="0" borderId="0" xfId="55"/>
    <xf numFmtId="165" fontId="9" fillId="0" borderId="2" xfId="55" applyFont="1" applyBorder="1" applyAlignment="1">
      <alignment horizontal="center"/>
    </xf>
    <xf numFmtId="174" fontId="1" fillId="0" borderId="0" xfId="1" applyNumberFormat="1"/>
    <xf numFmtId="3" fontId="9" fillId="0" borderId="0" xfId="53" applyNumberFormat="1" applyFont="1" applyFill="1" applyAlignment="1">
      <alignment horizontal="center"/>
    </xf>
    <xf numFmtId="174" fontId="1" fillId="0" borderId="15" xfId="1" applyNumberFormat="1" applyBorder="1"/>
    <xf numFmtId="168" fontId="0" fillId="0" borderId="0" xfId="4" applyNumberFormat="1" applyFont="1"/>
    <xf numFmtId="0" fontId="1" fillId="0" borderId="12" xfId="1" applyBorder="1"/>
    <xf numFmtId="0" fontId="1" fillId="0" borderId="14" xfId="1" applyBorder="1"/>
    <xf numFmtId="0" fontId="1" fillId="0" borderId="13" xfId="1" applyBorder="1"/>
    <xf numFmtId="0" fontId="1" fillId="0" borderId="15" xfId="1" applyBorder="1"/>
    <xf numFmtId="176" fontId="1" fillId="0" borderId="0" xfId="1" applyNumberFormat="1"/>
    <xf numFmtId="0" fontId="1" fillId="0" borderId="16" xfId="1" applyBorder="1"/>
    <xf numFmtId="44" fontId="0" fillId="0" borderId="17" xfId="2" applyFont="1" applyBorder="1"/>
    <xf numFmtId="165" fontId="9" fillId="0" borderId="2" xfId="55" applyFont="1" applyBorder="1" applyAlignment="1" applyProtection="1">
      <alignment horizontal="center"/>
    </xf>
    <xf numFmtId="0" fontId="1" fillId="0" borderId="0" xfId="1"/>
    <xf numFmtId="166" fontId="0" fillId="0" borderId="0" xfId="5" applyNumberFormat="1" applyFont="1"/>
    <xf numFmtId="164" fontId="0" fillId="0" borderId="0" xfId="0" applyNumberFormat="1"/>
    <xf numFmtId="0" fontId="33" fillId="0" borderId="0" xfId="1" applyFont="1" applyAlignment="1">
      <alignment horizontal="center"/>
    </xf>
    <xf numFmtId="0" fontId="29" fillId="0" borderId="0" xfId="1" applyFont="1"/>
    <xf numFmtId="17" fontId="1" fillId="0" borderId="0" xfId="1" applyNumberFormat="1"/>
    <xf numFmtId="44" fontId="1" fillId="0" borderId="0" xfId="1" applyNumberFormat="1"/>
    <xf numFmtId="0" fontId="33" fillId="0" borderId="0" xfId="1" applyFont="1"/>
    <xf numFmtId="165" fontId="13" fillId="0" borderId="0" xfId="68" applyFont="1"/>
    <xf numFmtId="177" fontId="13" fillId="0" borderId="0" xfId="68" applyNumberFormat="1" applyFont="1"/>
    <xf numFmtId="10" fontId="13" fillId="0" borderId="0" xfId="69" applyNumberFormat="1" applyFont="1" applyFill="1"/>
    <xf numFmtId="44" fontId="13" fillId="0" borderId="0" xfId="70" applyFont="1" applyFill="1"/>
    <xf numFmtId="165" fontId="13" fillId="0" borderId="0" xfId="68" applyFont="1" applyAlignment="1">
      <alignment horizontal="left"/>
    </xf>
    <xf numFmtId="165" fontId="13" fillId="0" borderId="0" xfId="68" quotePrefix="1" applyFont="1" applyAlignment="1">
      <alignment horizontal="left"/>
    </xf>
    <xf numFmtId="165" fontId="32" fillId="0" borderId="0" xfId="68" applyFont="1"/>
    <xf numFmtId="165" fontId="32" fillId="0" borderId="0" xfId="68" applyFont="1" applyAlignment="1">
      <alignment horizontal="left"/>
    </xf>
    <xf numFmtId="0" fontId="4" fillId="0" borderId="27" xfId="0" applyFont="1" applyBorder="1"/>
    <xf numFmtId="6" fontId="0" fillId="0" borderId="0" xfId="0" applyNumberFormat="1"/>
    <xf numFmtId="0" fontId="7" fillId="0" borderId="0" xfId="75" applyFont="1"/>
    <xf numFmtId="0" fontId="7" fillId="0" borderId="0" xfId="75" applyFont="1" applyAlignment="1">
      <alignment horizontal="center"/>
    </xf>
    <xf numFmtId="0" fontId="7" fillId="0" borderId="0" xfId="75" applyFont="1" applyAlignment="1">
      <alignment horizontal="center" wrapText="1"/>
    </xf>
    <xf numFmtId="0" fontId="7" fillId="0" borderId="0" xfId="75" applyFont="1" applyAlignment="1">
      <alignment wrapText="1"/>
    </xf>
    <xf numFmtId="165" fontId="7" fillId="0" borderId="0" xfId="8" applyFont="1" applyAlignment="1">
      <alignment horizontal="center"/>
    </xf>
    <xf numFmtId="168" fontId="7" fillId="0" borderId="0" xfId="71" applyNumberFormat="1" applyFont="1" applyFill="1" applyBorder="1"/>
    <xf numFmtId="168" fontId="7" fillId="0" borderId="0" xfId="71" applyNumberFormat="1" applyFont="1" applyFill="1"/>
    <xf numFmtId="0" fontId="7" fillId="0" borderId="0" xfId="75" applyFont="1" applyAlignment="1">
      <alignment horizontal="left"/>
    </xf>
    <xf numFmtId="0" fontId="30" fillId="0" borderId="0" xfId="75" quotePrefix="1" applyFont="1" applyAlignment="1">
      <alignment horizontal="left"/>
    </xf>
    <xf numFmtId="168" fontId="7" fillId="0" borderId="0" xfId="75" applyNumberFormat="1" applyFont="1"/>
    <xf numFmtId="166" fontId="7" fillId="0" borderId="0" xfId="72" applyNumberFormat="1" applyFont="1" applyFill="1"/>
    <xf numFmtId="44" fontId="7" fillId="0" borderId="0" xfId="71" applyFont="1" applyFill="1"/>
    <xf numFmtId="179" fontId="7" fillId="0" borderId="0" xfId="69" applyNumberFormat="1" applyFont="1" applyFill="1" applyBorder="1" applyAlignment="1">
      <alignment horizontal="right"/>
    </xf>
    <xf numFmtId="0" fontId="7" fillId="0" borderId="0" xfId="75" applyFont="1" applyAlignment="1">
      <alignment horizontal="right"/>
    </xf>
    <xf numFmtId="0" fontId="2" fillId="0" borderId="0" xfId="1" applyFont="1" applyAlignment="1">
      <alignment horizontal="center"/>
    </xf>
    <xf numFmtId="10" fontId="0" fillId="0" borderId="0" xfId="12" applyNumberFormat="1" applyFont="1"/>
    <xf numFmtId="6" fontId="4" fillId="0" borderId="28" xfId="0" applyNumberFormat="1" applyFont="1" applyBorder="1"/>
    <xf numFmtId="166" fontId="7" fillId="0" borderId="0" xfId="0" applyNumberFormat="1" applyFont="1"/>
    <xf numFmtId="44" fontId="7" fillId="0" borderId="0" xfId="4" applyFont="1"/>
    <xf numFmtId="168" fontId="5" fillId="0" borderId="0" xfId="4" applyNumberFormat="1" applyFont="1" applyBorder="1"/>
    <xf numFmtId="165" fontId="7" fillId="0" borderId="0" xfId="55" applyFont="1" applyAlignment="1">
      <alignment horizontal="center"/>
    </xf>
    <xf numFmtId="165" fontId="7" fillId="0" borderId="0" xfId="55" applyFont="1"/>
    <xf numFmtId="165" fontId="13" fillId="0" borderId="0" xfId="55" applyFont="1"/>
    <xf numFmtId="43" fontId="7" fillId="0" borderId="0" xfId="72" applyFont="1" applyFill="1"/>
    <xf numFmtId="165" fontId="7" fillId="0" borderId="0" xfId="55" applyFont="1" applyAlignment="1" applyProtection="1">
      <alignment horizontal="center" wrapText="1"/>
    </xf>
    <xf numFmtId="165" fontId="7" fillId="0" borderId="2" xfId="55" applyFont="1" applyBorder="1" applyAlignment="1">
      <alignment horizontal="center"/>
    </xf>
    <xf numFmtId="165" fontId="7" fillId="0" borderId="2" xfId="55" applyFont="1" applyBorder="1" applyAlignment="1" applyProtection="1">
      <alignment horizontal="center"/>
    </xf>
    <xf numFmtId="165" fontId="7" fillId="0" borderId="0" xfId="55" applyFont="1" applyAlignment="1" applyProtection="1">
      <alignment horizontal="centerContinuous"/>
    </xf>
    <xf numFmtId="165" fontId="7" fillId="0" borderId="0" xfId="55" applyFont="1" applyAlignment="1" applyProtection="1">
      <alignment horizontal="center"/>
    </xf>
    <xf numFmtId="165" fontId="7" fillId="0" borderId="0" xfId="55" applyFont="1" applyAlignment="1" applyProtection="1">
      <alignment horizontal="left"/>
    </xf>
    <xf numFmtId="7" fontId="9" fillId="0" borderId="0" xfId="55" applyNumberFormat="1" applyFont="1" applyAlignment="1" applyProtection="1">
      <alignment horizontal="right"/>
    </xf>
    <xf numFmtId="168" fontId="4" fillId="0" borderId="29" xfId="0" applyNumberFormat="1" applyFont="1" applyBorder="1"/>
    <xf numFmtId="168" fontId="4" fillId="0" borderId="28" xfId="0" applyNumberFormat="1" applyFont="1" applyBorder="1"/>
    <xf numFmtId="14" fontId="9" fillId="0" borderId="0" xfId="55" applyNumberFormat="1" applyFont="1" applyAlignment="1" applyProtection="1">
      <alignment horizontal="center"/>
    </xf>
    <xf numFmtId="17" fontId="9" fillId="0" borderId="0" xfId="55" quotePrefix="1" applyNumberFormat="1" applyFont="1" applyAlignment="1" applyProtection="1">
      <alignment horizontal="center"/>
    </xf>
    <xf numFmtId="165" fontId="9" fillId="0" borderId="0" xfId="55" applyFont="1" applyAlignment="1">
      <alignment horizontal="centerContinuous"/>
    </xf>
    <xf numFmtId="165" fontId="9" fillId="0" borderId="0" xfId="55" applyFont="1" applyAlignment="1" applyProtection="1">
      <alignment horizontal="left"/>
    </xf>
    <xf numFmtId="165" fontId="36" fillId="0" borderId="0" xfId="55" applyFont="1" applyAlignment="1">
      <alignment horizontal="center"/>
    </xf>
    <xf numFmtId="165" fontId="7" fillId="0" borderId="0" xfId="55" applyFont="1" applyAlignment="1" applyProtection="1">
      <alignment horizontal="fill"/>
    </xf>
    <xf numFmtId="39" fontId="7" fillId="0" borderId="0" xfId="76" applyFont="1" applyAlignment="1">
      <alignment horizontal="right"/>
    </xf>
    <xf numFmtId="7" fontId="7" fillId="0" borderId="0" xfId="55" applyNumberFormat="1" applyFont="1" applyProtection="1"/>
    <xf numFmtId="38" fontId="7" fillId="0" borderId="0" xfId="77" applyNumberFormat="1" applyFont="1" applyAlignment="1" applyProtection="1">
      <alignment horizontal="left"/>
      <protection locked="0"/>
    </xf>
    <xf numFmtId="164" fontId="7" fillId="0" borderId="0" xfId="71" applyNumberFormat="1" applyFont="1" applyFill="1" applyProtection="1"/>
    <xf numFmtId="164" fontId="7" fillId="0" borderId="0" xfId="71" applyNumberFormat="1" applyFont="1" applyFill="1"/>
    <xf numFmtId="164" fontId="7" fillId="0" borderId="0" xfId="71" applyNumberFormat="1" applyFont="1" applyFill="1" applyAlignment="1" applyProtection="1">
      <alignment horizontal="left"/>
      <protection locked="0"/>
    </xf>
    <xf numFmtId="164" fontId="9" fillId="0" borderId="3" xfId="71" applyNumberFormat="1" applyFont="1" applyFill="1" applyBorder="1" applyProtection="1"/>
    <xf numFmtId="165" fontId="9" fillId="0" borderId="0" xfId="55" applyFont="1"/>
    <xf numFmtId="44" fontId="7" fillId="0" borderId="0" xfId="55" applyNumberFormat="1" applyFont="1" applyProtection="1"/>
    <xf numFmtId="4" fontId="7" fillId="0" borderId="0" xfId="55" applyNumberFormat="1" applyFont="1"/>
    <xf numFmtId="39" fontId="7" fillId="0" borderId="0" xfId="55" applyNumberFormat="1" applyFont="1"/>
    <xf numFmtId="165" fontId="9" fillId="0" borderId="0" xfId="55" quotePrefix="1" applyFont="1"/>
    <xf numFmtId="165" fontId="7" fillId="0" borderId="2" xfId="55" applyFont="1" applyBorder="1" applyAlignment="1">
      <alignment horizontal="center" vertical="center" wrapText="1"/>
    </xf>
    <xf numFmtId="165" fontId="7" fillId="0" borderId="2" xfId="55" quotePrefix="1" applyFont="1" applyBorder="1" applyAlignment="1">
      <alignment horizontal="center" wrapText="1"/>
    </xf>
    <xf numFmtId="17" fontId="7" fillId="0" borderId="2" xfId="55" applyNumberFormat="1" applyFont="1" applyBorder="1" applyAlignment="1">
      <alignment horizontal="center"/>
    </xf>
    <xf numFmtId="165" fontId="7" fillId="0" borderId="2" xfId="55" applyFont="1" applyBorder="1" applyAlignment="1">
      <alignment horizontal="center" wrapText="1"/>
    </xf>
    <xf numFmtId="37" fontId="7" fillId="0" borderId="0" xfId="55" applyNumberFormat="1" applyFont="1"/>
    <xf numFmtId="168" fontId="9" fillId="0" borderId="0" xfId="71" applyNumberFormat="1" applyFont="1" applyFill="1"/>
    <xf numFmtId="164" fontId="9" fillId="0" borderId="0" xfId="71" applyNumberFormat="1" applyFont="1" applyFill="1"/>
    <xf numFmtId="37" fontId="9" fillId="0" borderId="0" xfId="71" applyNumberFormat="1" applyFont="1" applyFill="1"/>
    <xf numFmtId="164" fontId="9" fillId="0" borderId="0" xfId="71" applyNumberFormat="1" applyFont="1" applyFill="1" applyBorder="1"/>
    <xf numFmtId="37" fontId="7" fillId="0" borderId="0" xfId="71" applyNumberFormat="1" applyFont="1" applyFill="1"/>
    <xf numFmtId="166" fontId="7" fillId="0" borderId="0" xfId="72" applyNumberFormat="1" applyFont="1" applyFill="1" applyBorder="1"/>
    <xf numFmtId="165" fontId="9" fillId="0" borderId="0" xfId="55" applyFont="1" applyAlignment="1">
      <alignment horizontal="right"/>
    </xf>
    <xf numFmtId="10" fontId="9" fillId="0" borderId="0" xfId="69" applyNumberFormat="1" applyFont="1" applyFill="1"/>
    <xf numFmtId="180" fontId="9" fillId="0" borderId="0" xfId="69" applyNumberFormat="1" applyFont="1" applyFill="1"/>
    <xf numFmtId="180" fontId="9" fillId="0" borderId="0" xfId="69" applyNumberFormat="1" applyFont="1" applyFill="1" applyBorder="1"/>
    <xf numFmtId="166" fontId="9" fillId="0" borderId="0" xfId="72" applyNumberFormat="1" applyFont="1" applyFill="1" applyAlignment="1">
      <alignment horizontal="center"/>
    </xf>
    <xf numFmtId="164" fontId="7" fillId="0" borderId="0" xfId="71" applyNumberFormat="1" applyFont="1" applyFill="1" applyBorder="1"/>
    <xf numFmtId="44" fontId="7" fillId="0" borderId="0" xfId="71" applyFont="1" applyFill="1" applyBorder="1"/>
    <xf numFmtId="166" fontId="9" fillId="0" borderId="0" xfId="72" applyNumberFormat="1" applyFont="1" applyFill="1"/>
    <xf numFmtId="164" fontId="9" fillId="0" borderId="0" xfId="72" applyNumberFormat="1" applyFont="1" applyFill="1"/>
    <xf numFmtId="164" fontId="7" fillId="0" borderId="0" xfId="72" applyNumberFormat="1" applyFont="1" applyFill="1" applyBorder="1"/>
    <xf numFmtId="164" fontId="7" fillId="0" borderId="0" xfId="72" applyNumberFormat="1" applyFont="1" applyFill="1"/>
    <xf numFmtId="165" fontId="7" fillId="0" borderId="30" xfId="55" applyFont="1" applyBorder="1"/>
    <xf numFmtId="17" fontId="9" fillId="0" borderId="0" xfId="55" applyNumberFormat="1" applyFont="1" applyAlignment="1" applyProtection="1">
      <alignment horizontal="right"/>
    </xf>
    <xf numFmtId="165" fontId="36" fillId="0" borderId="0" xfId="55" applyFont="1" applyAlignment="1" applyProtection="1">
      <alignment horizontal="left"/>
    </xf>
    <xf numFmtId="165" fontId="36" fillId="0" borderId="0" xfId="55" applyFont="1"/>
    <xf numFmtId="10" fontId="36" fillId="0" borderId="0" xfId="55" applyNumberFormat="1" applyFont="1" applyProtection="1"/>
    <xf numFmtId="182" fontId="36" fillId="0" borderId="0" xfId="55" applyNumberFormat="1" applyFont="1" applyProtection="1"/>
    <xf numFmtId="14" fontId="36" fillId="0" borderId="0" xfId="55" applyNumberFormat="1" applyFont="1" applyAlignment="1">
      <alignment horizontal="centerContinuous"/>
    </xf>
    <xf numFmtId="165" fontId="37" fillId="0" borderId="0" xfId="55" applyFont="1" applyAlignment="1" applyProtection="1">
      <alignment horizontal="center"/>
    </xf>
    <xf numFmtId="165" fontId="37" fillId="0" borderId="0" xfId="55" applyFont="1" applyAlignment="1">
      <alignment horizontal="center"/>
    </xf>
    <xf numFmtId="164" fontId="7" fillId="0" borderId="3" xfId="71" applyNumberFormat="1" applyFont="1" applyFill="1" applyBorder="1"/>
    <xf numFmtId="7" fontId="7" fillId="0" borderId="0" xfId="72" applyNumberFormat="1" applyFont="1" applyFill="1" applyBorder="1"/>
    <xf numFmtId="181" fontId="36" fillId="0" borderId="0" xfId="55" applyNumberFormat="1" applyFont="1" applyProtection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/>
    <xf numFmtId="44" fontId="0" fillId="0" borderId="0" xfId="0" applyNumberFormat="1"/>
    <xf numFmtId="43" fontId="1" fillId="0" borderId="0" xfId="1" applyNumberFormat="1"/>
    <xf numFmtId="0" fontId="38" fillId="0" borderId="0" xfId="0" applyFont="1"/>
    <xf numFmtId="43" fontId="0" fillId="0" borderId="0" xfId="0" applyNumberFormat="1"/>
    <xf numFmtId="44" fontId="0" fillId="0" borderId="0" xfId="4" applyFont="1"/>
    <xf numFmtId="10" fontId="1" fillId="0" borderId="0" xfId="12" applyNumberFormat="1" applyFont="1"/>
    <xf numFmtId="44" fontId="0" fillId="0" borderId="0" xfId="4" applyFont="1" applyFill="1"/>
    <xf numFmtId="164" fontId="0" fillId="0" borderId="0" xfId="4" applyNumberFormat="1" applyFont="1" applyFill="1"/>
    <xf numFmtId="176" fontId="1" fillId="0" borderId="5" xfId="1" applyNumberFormat="1" applyBorder="1"/>
    <xf numFmtId="3" fontId="0" fillId="0" borderId="0" xfId="0" applyNumberFormat="1"/>
    <xf numFmtId="3" fontId="7" fillId="0" borderId="0" xfId="0" applyNumberFormat="1" applyFont="1"/>
    <xf numFmtId="166" fontId="0" fillId="0" borderId="0" xfId="5" applyNumberFormat="1" applyFont="1" applyFill="1"/>
    <xf numFmtId="9" fontId="0" fillId="0" borderId="0" xfId="0" applyNumberFormat="1"/>
    <xf numFmtId="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164" fontId="0" fillId="0" borderId="2" xfId="4" applyNumberFormat="1" applyFont="1" applyFill="1" applyBorder="1"/>
    <xf numFmtId="8" fontId="0" fillId="0" borderId="0" xfId="0" applyNumberFormat="1" applyAlignment="1">
      <alignment wrapText="1"/>
    </xf>
    <xf numFmtId="164" fontId="4" fillId="0" borderId="0" xfId="4" applyNumberFormat="1" applyFont="1" applyFill="1"/>
    <xf numFmtId="164" fontId="0" fillId="0" borderId="0" xfId="4" applyNumberFormat="1" applyFont="1" applyFill="1" applyBorder="1"/>
    <xf numFmtId="6" fontId="4" fillId="0" borderId="0" xfId="0" applyNumberFormat="1" applyFont="1"/>
    <xf numFmtId="164" fontId="0" fillId="0" borderId="0" xfId="2" applyNumberFormat="1" applyFont="1"/>
    <xf numFmtId="164" fontId="33" fillId="0" borderId="0" xfId="1" applyNumberFormat="1" applyFont="1"/>
    <xf numFmtId="164" fontId="1" fillId="0" borderId="0" xfId="1" applyNumberFormat="1"/>
    <xf numFmtId="0" fontId="9" fillId="0" borderId="0" xfId="0" applyFont="1"/>
    <xf numFmtId="175" fontId="0" fillId="0" borderId="0" xfId="0" applyNumberFormat="1"/>
    <xf numFmtId="174" fontId="0" fillId="0" borderId="0" xfId="0" applyNumberFormat="1"/>
    <xf numFmtId="173" fontId="0" fillId="0" borderId="0" xfId="0" applyNumberFormat="1"/>
    <xf numFmtId="0" fontId="1" fillId="0" borderId="9" xfId="1" applyBorder="1"/>
    <xf numFmtId="43" fontId="0" fillId="0" borderId="8" xfId="54" applyFont="1" applyBorder="1"/>
    <xf numFmtId="166" fontId="0" fillId="0" borderId="15" xfId="54" applyNumberFormat="1" applyFont="1" applyBorder="1"/>
    <xf numFmtId="0" fontId="4" fillId="0" borderId="6" xfId="0" applyFont="1" applyBorder="1"/>
    <xf numFmtId="1" fontId="0" fillId="0" borderId="0" xfId="0" applyNumberFormat="1"/>
    <xf numFmtId="0" fontId="4" fillId="0" borderId="11" xfId="0" applyFont="1" applyBorder="1"/>
    <xf numFmtId="184" fontId="0" fillId="0" borderId="0" xfId="0" applyNumberFormat="1"/>
    <xf numFmtId="0" fontId="4" fillId="0" borderId="18" xfId="0" applyFont="1" applyBorder="1"/>
    <xf numFmtId="0" fontId="4" fillId="0" borderId="0" xfId="0" applyFont="1" applyAlignment="1">
      <alignment horizontal="center"/>
    </xf>
    <xf numFmtId="164" fontId="7" fillId="0" borderId="0" xfId="4" applyNumberFormat="1" applyFont="1"/>
    <xf numFmtId="49" fontId="9" fillId="0" borderId="0" xfId="55" applyNumberFormat="1" applyFont="1"/>
    <xf numFmtId="164" fontId="7" fillId="0" borderId="0" xfId="4" applyNumberFormat="1" applyFont="1" applyFill="1" applyAlignment="1" applyProtection="1">
      <alignment horizontal="left"/>
    </xf>
    <xf numFmtId="164" fontId="7" fillId="0" borderId="7" xfId="71" applyNumberFormat="1" applyFont="1" applyFill="1" applyBorder="1"/>
    <xf numFmtId="164" fontId="7" fillId="0" borderId="8" xfId="71" applyNumberFormat="1" applyFont="1" applyFill="1" applyBorder="1" applyProtection="1"/>
    <xf numFmtId="164" fontId="7" fillId="0" borderId="7" xfId="71" applyNumberFormat="1" applyFont="1" applyFill="1" applyBorder="1" applyProtection="1"/>
    <xf numFmtId="37" fontId="7" fillId="0" borderId="0" xfId="0" applyNumberFormat="1" applyFont="1"/>
    <xf numFmtId="0" fontId="9" fillId="0" borderId="2" xfId="0" applyFont="1" applyBorder="1" applyAlignment="1">
      <alignment horizontal="center"/>
    </xf>
    <xf numFmtId="166" fontId="1" fillId="0" borderId="0" xfId="5" applyNumberFormat="1" applyFont="1" applyFill="1"/>
    <xf numFmtId="183" fontId="1" fillId="0" borderId="0" xfId="1" applyNumberFormat="1"/>
    <xf numFmtId="44" fontId="1" fillId="0" borderId="0" xfId="4" applyFont="1" applyFill="1"/>
    <xf numFmtId="166" fontId="4" fillId="0" borderId="31" xfId="5" applyNumberFormat="1" applyFont="1" applyBorder="1"/>
    <xf numFmtId="164" fontId="9" fillId="0" borderId="8" xfId="4" applyNumberFormat="1" applyFont="1" applyFill="1" applyBorder="1"/>
    <xf numFmtId="165" fontId="39" fillId="0" borderId="0" xfId="68" applyFont="1"/>
    <xf numFmtId="165" fontId="40" fillId="0" borderId="0" xfId="68" applyFont="1" applyAlignment="1">
      <alignment horizontal="centerContinuous"/>
    </xf>
    <xf numFmtId="165" fontId="39" fillId="0" borderId="0" xfId="68" applyFont="1" applyAlignment="1">
      <alignment horizontal="centerContinuous"/>
    </xf>
    <xf numFmtId="177" fontId="39" fillId="0" borderId="0" xfId="68" applyNumberFormat="1" applyFont="1" applyAlignment="1">
      <alignment horizontal="centerContinuous"/>
    </xf>
    <xf numFmtId="165" fontId="41" fillId="0" borderId="0" xfId="68" applyFont="1" applyAlignment="1">
      <alignment horizontal="centerContinuous"/>
    </xf>
    <xf numFmtId="177" fontId="39" fillId="0" borderId="0" xfId="68" applyNumberFormat="1" applyFont="1"/>
    <xf numFmtId="165" fontId="39" fillId="0" borderId="9" xfId="68" applyFont="1" applyBorder="1"/>
    <xf numFmtId="165" fontId="39" fillId="0" borderId="10" xfId="68" applyFont="1" applyBorder="1"/>
    <xf numFmtId="165" fontId="39" fillId="0" borderId="13" xfId="68" applyFont="1" applyBorder="1"/>
    <xf numFmtId="165" fontId="39" fillId="0" borderId="13" xfId="68" applyFont="1" applyBorder="1" applyAlignment="1">
      <alignment horizontal="center"/>
    </xf>
    <xf numFmtId="165" fontId="39" fillId="0" borderId="9" xfId="68" applyFont="1" applyBorder="1" applyAlignment="1">
      <alignment horizontal="center"/>
    </xf>
    <xf numFmtId="177" fontId="39" fillId="0" borderId="13" xfId="68" applyNumberFormat="1" applyFont="1" applyBorder="1" applyAlignment="1">
      <alignment horizontal="centerContinuous"/>
    </xf>
    <xf numFmtId="165" fontId="39" fillId="0" borderId="7" xfId="68" applyFont="1" applyBorder="1" applyAlignment="1">
      <alignment horizontal="left"/>
    </xf>
    <xf numFmtId="165" fontId="39" fillId="0" borderId="15" xfId="68" quotePrefix="1" applyFont="1" applyBorder="1"/>
    <xf numFmtId="165" fontId="39" fillId="0" borderId="15" xfId="68" applyFont="1" applyBorder="1" applyAlignment="1">
      <alignment horizontal="center"/>
    </xf>
    <xf numFmtId="165" fontId="39" fillId="0" borderId="7" xfId="68" applyFont="1" applyBorder="1"/>
    <xf numFmtId="165" fontId="39" fillId="0" borderId="7" xfId="68" applyFont="1" applyBorder="1" applyAlignment="1">
      <alignment horizontal="center"/>
    </xf>
    <xf numFmtId="165" fontId="39" fillId="0" borderId="15" xfId="68" applyFont="1" applyBorder="1"/>
    <xf numFmtId="177" fontId="39" fillId="0" borderId="15" xfId="68" applyNumberFormat="1" applyFont="1" applyBorder="1" applyAlignment="1">
      <alignment horizontal="centerContinuous"/>
    </xf>
    <xf numFmtId="165" fontId="39" fillId="0" borderId="15" xfId="68" applyFont="1" applyBorder="1" applyAlignment="1">
      <alignment horizontal="centerContinuous"/>
    </xf>
    <xf numFmtId="177" fontId="39" fillId="0" borderId="15" xfId="68" applyNumberFormat="1" applyFont="1" applyBorder="1" applyAlignment="1">
      <alignment horizontal="center"/>
    </xf>
    <xf numFmtId="165" fontId="39" fillId="0" borderId="8" xfId="68" applyFont="1" applyBorder="1" applyAlignment="1">
      <alignment horizontal="center"/>
    </xf>
    <xf numFmtId="165" fontId="39" fillId="0" borderId="18" xfId="68" applyFont="1" applyBorder="1"/>
    <xf numFmtId="165" fontId="40" fillId="0" borderId="11" xfId="68" applyFont="1" applyBorder="1" applyAlignment="1">
      <alignment horizontal="left"/>
    </xf>
    <xf numFmtId="165" fontId="39" fillId="0" borderId="11" xfId="68" applyFont="1" applyBorder="1"/>
    <xf numFmtId="165" fontId="39" fillId="0" borderId="6" xfId="68" applyFont="1" applyBorder="1"/>
    <xf numFmtId="165" fontId="39" fillId="0" borderId="5" xfId="68" applyFont="1" applyBorder="1"/>
    <xf numFmtId="37" fontId="39" fillId="0" borderId="5" xfId="68" applyNumberFormat="1" applyFont="1" applyBorder="1"/>
    <xf numFmtId="177" fontId="39" fillId="0" borderId="5" xfId="68" applyNumberFormat="1" applyFont="1" applyBorder="1"/>
    <xf numFmtId="165" fontId="39" fillId="0" borderId="0" xfId="68" applyFont="1" applyAlignment="1">
      <alignment horizontal="left"/>
    </xf>
    <xf numFmtId="177" fontId="39" fillId="0" borderId="15" xfId="68" applyNumberFormat="1" applyFont="1" applyBorder="1"/>
    <xf numFmtId="165" fontId="39" fillId="0" borderId="15" xfId="68" quotePrefix="1" applyFont="1" applyBorder="1" applyAlignment="1">
      <alignment horizontal="left"/>
    </xf>
    <xf numFmtId="37" fontId="39" fillId="0" borderId="15" xfId="68" applyNumberFormat="1" applyFont="1" applyBorder="1"/>
    <xf numFmtId="37" fontId="39" fillId="0" borderId="7" xfId="68" applyNumberFormat="1" applyFont="1" applyBorder="1"/>
    <xf numFmtId="166" fontId="39" fillId="0" borderId="7" xfId="73" applyNumberFormat="1" applyFont="1" applyFill="1" applyBorder="1"/>
    <xf numFmtId="177" fontId="39" fillId="0" borderId="15" xfId="73" applyNumberFormat="1" applyFont="1" applyFill="1" applyBorder="1" applyProtection="1"/>
    <xf numFmtId="164" fontId="39" fillId="0" borderId="7" xfId="4" applyNumberFormat="1" applyFont="1" applyFill="1" applyBorder="1"/>
    <xf numFmtId="168" fontId="39" fillId="0" borderId="15" xfId="4" applyNumberFormat="1" applyFont="1" applyFill="1" applyBorder="1" applyProtection="1"/>
    <xf numFmtId="164" fontId="39" fillId="0" borderId="15" xfId="4" applyNumberFormat="1" applyFont="1" applyBorder="1"/>
    <xf numFmtId="10" fontId="39" fillId="0" borderId="7" xfId="68" applyNumberFormat="1" applyFont="1" applyBorder="1"/>
    <xf numFmtId="165" fontId="39" fillId="0" borderId="11" xfId="68" applyFont="1" applyBorder="1" applyAlignment="1">
      <alignment horizontal="left"/>
    </xf>
    <xf numFmtId="37" fontId="39" fillId="0" borderId="6" xfId="68" applyNumberFormat="1" applyFont="1" applyBorder="1"/>
    <xf numFmtId="37" fontId="39" fillId="0" borderId="11" xfId="68" applyNumberFormat="1" applyFont="1" applyBorder="1"/>
    <xf numFmtId="164" fontId="39" fillId="0" borderId="11" xfId="4" applyNumberFormat="1" applyFont="1" applyFill="1" applyBorder="1"/>
    <xf numFmtId="164" fontId="39" fillId="0" borderId="5" xfId="4" applyNumberFormat="1" applyFont="1" applyBorder="1"/>
    <xf numFmtId="10" fontId="39" fillId="0" borderId="5" xfId="68" applyNumberFormat="1" applyFont="1" applyBorder="1"/>
    <xf numFmtId="165" fontId="39" fillId="0" borderId="16" xfId="68" applyFont="1" applyBorder="1" applyAlignment="1">
      <alignment horizontal="center"/>
    </xf>
    <xf numFmtId="165" fontId="40" fillId="0" borderId="2" xfId="68" applyFont="1" applyBorder="1" applyAlignment="1">
      <alignment horizontal="left"/>
    </xf>
    <xf numFmtId="165" fontId="39" fillId="0" borderId="2" xfId="68" applyFont="1" applyBorder="1"/>
    <xf numFmtId="166" fontId="39" fillId="0" borderId="2" xfId="72" applyNumberFormat="1" applyFont="1" applyFill="1" applyBorder="1" applyProtection="1"/>
    <xf numFmtId="37" fontId="39" fillId="0" borderId="0" xfId="68" applyNumberFormat="1" applyFont="1"/>
    <xf numFmtId="166" fontId="39" fillId="0" borderId="2" xfId="72" applyNumberFormat="1" applyFont="1" applyFill="1" applyBorder="1"/>
    <xf numFmtId="177" fontId="39" fillId="0" borderId="2" xfId="71" applyNumberFormat="1" applyFont="1" applyFill="1" applyBorder="1" applyProtection="1"/>
    <xf numFmtId="10" fontId="39" fillId="0" borderId="2" xfId="69" applyNumberFormat="1" applyFont="1" applyFill="1" applyBorder="1" applyProtection="1"/>
    <xf numFmtId="10" fontId="39" fillId="0" borderId="15" xfId="68" applyNumberFormat="1" applyFont="1" applyBorder="1"/>
    <xf numFmtId="165" fontId="39" fillId="0" borderId="14" xfId="68" applyFont="1" applyBorder="1" applyAlignment="1">
      <alignment horizontal="center"/>
    </xf>
    <xf numFmtId="165" fontId="39" fillId="0" borderId="14" xfId="68" applyFont="1" applyBorder="1" applyAlignment="1">
      <alignment horizontal="left"/>
    </xf>
    <xf numFmtId="166" fontId="39" fillId="0" borderId="9" xfId="72" applyNumberFormat="1" applyFont="1" applyFill="1" applyBorder="1"/>
    <xf numFmtId="166" fontId="39" fillId="0" borderId="12" xfId="72" applyNumberFormat="1" applyFont="1" applyFill="1" applyBorder="1" applyProtection="1"/>
    <xf numFmtId="164" fontId="39" fillId="0" borderId="13" xfId="4" applyNumberFormat="1" applyFont="1" applyFill="1" applyBorder="1"/>
    <xf numFmtId="168" fontId="39" fillId="0" borderId="9" xfId="4" applyNumberFormat="1" applyFont="1" applyFill="1" applyBorder="1"/>
    <xf numFmtId="164" fontId="39" fillId="0" borderId="9" xfId="4" applyNumberFormat="1" applyFont="1" applyFill="1" applyBorder="1" applyProtection="1"/>
    <xf numFmtId="165" fontId="39" fillId="0" borderId="5" xfId="68" applyFont="1" applyBorder="1" applyAlignment="1">
      <alignment horizontal="center"/>
    </xf>
    <xf numFmtId="165" fontId="40" fillId="0" borderId="18" xfId="68" applyFont="1" applyBorder="1" applyAlignment="1">
      <alignment horizontal="left"/>
    </xf>
    <xf numFmtId="165" fontId="40" fillId="0" borderId="11" xfId="68" applyFont="1" applyBorder="1"/>
    <xf numFmtId="165" fontId="40" fillId="0" borderId="5" xfId="68" applyFont="1" applyBorder="1"/>
    <xf numFmtId="166" fontId="39" fillId="0" borderId="5" xfId="72" applyNumberFormat="1" applyFont="1" applyFill="1" applyBorder="1"/>
    <xf numFmtId="166" fontId="39" fillId="0" borderId="18" xfId="72" applyNumberFormat="1" applyFont="1" applyFill="1" applyBorder="1"/>
    <xf numFmtId="165" fontId="40" fillId="0" borderId="7" xfId="68" applyFont="1" applyBorder="1"/>
    <xf numFmtId="164" fontId="39" fillId="0" borderId="6" xfId="4" applyNumberFormat="1" applyFont="1" applyFill="1" applyBorder="1"/>
    <xf numFmtId="165" fontId="40" fillId="0" borderId="0" xfId="68" applyFont="1"/>
    <xf numFmtId="164" fontId="40" fillId="0" borderId="5" xfId="71" applyNumberFormat="1" applyFont="1" applyFill="1" applyBorder="1"/>
    <xf numFmtId="164" fontId="40" fillId="0" borderId="5" xfId="4" applyNumberFormat="1" applyFont="1" applyFill="1" applyBorder="1"/>
    <xf numFmtId="165" fontId="40" fillId="0" borderId="0" xfId="68" applyFont="1" applyAlignment="1">
      <alignment horizontal="left"/>
    </xf>
    <xf numFmtId="166" fontId="40" fillId="0" borderId="10" xfId="72" applyNumberFormat="1" applyFont="1" applyFill="1" applyBorder="1"/>
    <xf numFmtId="166" fontId="40" fillId="0" borderId="0" xfId="72" applyNumberFormat="1" applyFont="1" applyFill="1" applyBorder="1"/>
    <xf numFmtId="164" fontId="40" fillId="0" borderId="0" xfId="71" applyNumberFormat="1" applyFont="1" applyFill="1" applyBorder="1"/>
    <xf numFmtId="10" fontId="40" fillId="0" borderId="0" xfId="69" applyNumberFormat="1" applyFont="1" applyFill="1" applyBorder="1"/>
    <xf numFmtId="165" fontId="39" fillId="0" borderId="18" xfId="68" applyFont="1" applyBorder="1" applyAlignment="1">
      <alignment horizontal="center"/>
    </xf>
    <xf numFmtId="166" fontId="40" fillId="0" borderId="5" xfId="72" applyNumberFormat="1" applyFont="1" applyFill="1" applyBorder="1"/>
    <xf numFmtId="166" fontId="40" fillId="0" borderId="18" xfId="72" applyNumberFormat="1" applyFont="1" applyFill="1" applyBorder="1"/>
    <xf numFmtId="164" fontId="40" fillId="0" borderId="6" xfId="4" applyNumberFormat="1" applyFont="1" applyFill="1" applyBorder="1"/>
    <xf numFmtId="166" fontId="40" fillId="0" borderId="11" xfId="72" applyNumberFormat="1" applyFont="1" applyFill="1" applyBorder="1"/>
    <xf numFmtId="164" fontId="40" fillId="0" borderId="5" xfId="4" applyNumberFormat="1" applyFont="1" applyBorder="1"/>
    <xf numFmtId="0" fontId="42" fillId="0" borderId="0" xfId="75" applyFont="1"/>
    <xf numFmtId="0" fontId="42" fillId="0" borderId="0" xfId="75" applyFont="1" applyAlignment="1">
      <alignment horizontal="center"/>
    </xf>
    <xf numFmtId="0" fontId="42" fillId="0" borderId="9" xfId="75" applyFont="1" applyBorder="1" applyAlignment="1">
      <alignment horizontal="center" wrapText="1"/>
    </xf>
    <xf numFmtId="0" fontId="42" fillId="0" borderId="13" xfId="75" applyFont="1" applyBorder="1" applyAlignment="1">
      <alignment horizontal="center" wrapText="1"/>
    </xf>
    <xf numFmtId="0" fontId="42" fillId="0" borderId="12" xfId="75" applyFont="1" applyBorder="1" applyAlignment="1">
      <alignment horizontal="center" wrapText="1"/>
    </xf>
    <xf numFmtId="0" fontId="42" fillId="0" borderId="8" xfId="75" applyFont="1" applyBorder="1" applyAlignment="1">
      <alignment horizontal="center"/>
    </xf>
    <xf numFmtId="0" fontId="42" fillId="0" borderId="17" xfId="75" applyFont="1" applyBorder="1" applyAlignment="1">
      <alignment horizontal="center"/>
    </xf>
    <xf numFmtId="0" fontId="42" fillId="0" borderId="8" xfId="75" quotePrefix="1" applyFont="1" applyBorder="1" applyAlignment="1">
      <alignment horizontal="center"/>
    </xf>
    <xf numFmtId="0" fontId="42" fillId="0" borderId="2" xfId="75" quotePrefix="1" applyFont="1" applyBorder="1" applyAlignment="1">
      <alignment horizontal="center"/>
    </xf>
    <xf numFmtId="0" fontId="42" fillId="0" borderId="17" xfId="75" quotePrefix="1" applyFont="1" applyBorder="1" applyAlignment="1">
      <alignment horizontal="center"/>
    </xf>
    <xf numFmtId="0" fontId="43" fillId="0" borderId="11" xfId="75" applyFont="1" applyBorder="1" applyAlignment="1">
      <alignment horizontal="left"/>
    </xf>
    <xf numFmtId="0" fontId="42" fillId="0" borderId="11" xfId="75" applyFont="1" applyBorder="1"/>
    <xf numFmtId="0" fontId="42" fillId="0" borderId="6" xfId="75" applyFont="1" applyBorder="1"/>
    <xf numFmtId="0" fontId="42" fillId="0" borderId="14" xfId="75" applyFont="1" applyBorder="1" applyAlignment="1">
      <alignment horizontal="left"/>
    </xf>
    <xf numFmtId="0" fontId="42" fillId="0" borderId="7" xfId="75" quotePrefix="1" applyFont="1" applyBorder="1" applyAlignment="1">
      <alignment horizontal="center"/>
    </xf>
    <xf numFmtId="168" fontId="42" fillId="0" borderId="7" xfId="71" applyNumberFormat="1" applyFont="1" applyFill="1" applyBorder="1"/>
    <xf numFmtId="168" fontId="42" fillId="0" borderId="14" xfId="71" applyNumberFormat="1" applyFont="1" applyFill="1" applyBorder="1"/>
    <xf numFmtId="168" fontId="42" fillId="0" borderId="7" xfId="75" applyNumberFormat="1" applyFont="1" applyBorder="1"/>
    <xf numFmtId="168" fontId="42" fillId="0" borderId="15" xfId="75" applyNumberFormat="1" applyFont="1" applyBorder="1"/>
    <xf numFmtId="0" fontId="42" fillId="0" borderId="7" xfId="75" applyFont="1" applyBorder="1" applyAlignment="1">
      <alignment horizontal="center"/>
    </xf>
    <xf numFmtId="0" fontId="42" fillId="0" borderId="16" xfId="75" applyFont="1" applyBorder="1" applyAlignment="1">
      <alignment horizontal="left"/>
    </xf>
    <xf numFmtId="168" fontId="42" fillId="0" borderId="8" xfId="71" applyNumberFormat="1" applyFont="1" applyFill="1" applyBorder="1"/>
    <xf numFmtId="168" fontId="42" fillId="0" borderId="8" xfId="75" applyNumberFormat="1" applyFont="1" applyBorder="1"/>
    <xf numFmtId="0" fontId="0" fillId="33" borderId="0" xfId="0" applyFill="1"/>
    <xf numFmtId="9" fontId="0" fillId="33" borderId="0" xfId="0" applyNumberFormat="1" applyFill="1" applyAlignment="1">
      <alignment wrapText="1"/>
    </xf>
    <xf numFmtId="166" fontId="0" fillId="33" borderId="0" xfId="5" applyNumberFormat="1" applyFont="1" applyFill="1"/>
    <xf numFmtId="171" fontId="0" fillId="0" borderId="0" xfId="0" applyNumberFormat="1"/>
    <xf numFmtId="10" fontId="0" fillId="0" borderId="0" xfId="0" applyNumberFormat="1"/>
    <xf numFmtId="10" fontId="42" fillId="0" borderId="0" xfId="69" applyNumberFormat="1" applyFont="1" applyFill="1" applyBorder="1" applyAlignment="1" applyProtection="1">
      <alignment horizontal="center"/>
    </xf>
    <xf numFmtId="10" fontId="0" fillId="0" borderId="0" xfId="12" applyNumberFormat="1" applyFont="1" applyFill="1"/>
    <xf numFmtId="166" fontId="0" fillId="0" borderId="0" xfId="0" applyNumberFormat="1"/>
    <xf numFmtId="165" fontId="42" fillId="0" borderId="0" xfId="55" applyFont="1"/>
    <xf numFmtId="165" fontId="43" fillId="0" borderId="0" xfId="55" applyFont="1" applyAlignment="1">
      <alignment horizontal="center"/>
    </xf>
    <xf numFmtId="165" fontId="43" fillId="0" borderId="0" xfId="55" applyFont="1" applyAlignment="1" applyProtection="1">
      <alignment horizontal="center"/>
    </xf>
    <xf numFmtId="165" fontId="42" fillId="0" borderId="0" xfId="55" applyFont="1" applyAlignment="1">
      <alignment horizontal="centerContinuous"/>
    </xf>
    <xf numFmtId="165" fontId="42" fillId="0" borderId="0" xfId="55" applyFont="1" applyAlignment="1">
      <alignment horizontal="center"/>
    </xf>
    <xf numFmtId="165" fontId="42" fillId="0" borderId="0" xfId="55" applyFont="1" applyAlignment="1" applyProtection="1">
      <alignment horizontal="center"/>
    </xf>
    <xf numFmtId="43" fontId="42" fillId="0" borderId="0" xfId="72" applyFont="1" applyFill="1" applyAlignment="1">
      <alignment horizontal="center"/>
    </xf>
    <xf numFmtId="165" fontId="42" fillId="0" borderId="0" xfId="55" applyFont="1" applyAlignment="1">
      <alignment horizontal="center" wrapText="1"/>
    </xf>
    <xf numFmtId="165" fontId="42" fillId="0" borderId="0" xfId="55" quotePrefix="1" applyFont="1" applyAlignment="1">
      <alignment horizontal="center" wrapText="1"/>
    </xf>
    <xf numFmtId="165" fontId="42" fillId="0" borderId="2" xfId="55" applyFont="1" applyBorder="1" applyAlignment="1" applyProtection="1">
      <alignment horizontal="center"/>
    </xf>
    <xf numFmtId="164" fontId="42" fillId="0" borderId="0" xfId="71" applyNumberFormat="1" applyFont="1" applyFill="1"/>
    <xf numFmtId="164" fontId="42" fillId="0" borderId="0" xfId="71" applyNumberFormat="1" applyFont="1" applyFill="1" applyProtection="1"/>
    <xf numFmtId="42" fontId="42" fillId="0" borderId="0" xfId="71" applyNumberFormat="1" applyFont="1" applyFill="1" applyProtection="1"/>
    <xf numFmtId="165" fontId="42" fillId="0" borderId="0" xfId="55" applyFont="1" applyAlignment="1" applyProtection="1">
      <alignment horizontal="left"/>
    </xf>
    <xf numFmtId="166" fontId="42" fillId="0" borderId="0" xfId="72" applyNumberFormat="1" applyFont="1" applyFill="1" applyBorder="1" applyProtection="1"/>
    <xf numFmtId="164" fontId="43" fillId="0" borderId="0" xfId="71" applyNumberFormat="1" applyFont="1" applyFill="1" applyProtection="1"/>
    <xf numFmtId="171" fontId="42" fillId="0" borderId="0" xfId="55" applyNumberFormat="1" applyFont="1"/>
    <xf numFmtId="0" fontId="45" fillId="0" borderId="0" xfId="1" applyFont="1"/>
    <xf numFmtId="0" fontId="46" fillId="0" borderId="0" xfId="78" applyFont="1"/>
    <xf numFmtId="0" fontId="13" fillId="0" borderId="14" xfId="62" applyFont="1" applyBorder="1"/>
    <xf numFmtId="0" fontId="13" fillId="0" borderId="0" xfId="62" applyFont="1"/>
    <xf numFmtId="171" fontId="13" fillId="0" borderId="15" xfId="62" applyNumberFormat="1" applyFont="1" applyBorder="1"/>
    <xf numFmtId="0" fontId="13" fillId="0" borderId="14" xfId="62" quotePrefix="1" applyFont="1" applyBorder="1" applyAlignment="1">
      <alignment horizontal="left" indent="1"/>
    </xf>
    <xf numFmtId="0" fontId="13" fillId="0" borderId="14" xfId="62" quotePrefix="1" applyFont="1" applyBorder="1" applyAlignment="1">
      <alignment horizontal="left" indent="2"/>
    </xf>
    <xf numFmtId="171" fontId="13" fillId="0" borderId="15" xfId="63" applyNumberFormat="1" applyFont="1" applyBorder="1"/>
    <xf numFmtId="171" fontId="46" fillId="0" borderId="0" xfId="78" applyNumberFormat="1" applyFont="1"/>
    <xf numFmtId="171" fontId="13" fillId="0" borderId="17" xfId="62" applyNumberFormat="1" applyFont="1" applyBorder="1"/>
    <xf numFmtId="171" fontId="13" fillId="0" borderId="32" xfId="62" applyNumberFormat="1" applyFont="1" applyBorder="1"/>
    <xf numFmtId="0" fontId="13" fillId="0" borderId="14" xfId="62" applyFont="1" applyBorder="1" applyAlignment="1">
      <alignment horizontal="left" indent="1"/>
    </xf>
    <xf numFmtId="171" fontId="13" fillId="0" borderId="33" xfId="62" applyNumberFormat="1" applyFont="1" applyBorder="1"/>
    <xf numFmtId="171" fontId="34" fillId="0" borderId="34" xfId="62" applyNumberFormat="1" applyFont="1" applyBorder="1"/>
    <xf numFmtId="0" fontId="13" fillId="0" borderId="16" xfId="62" applyFont="1" applyBorder="1"/>
    <xf numFmtId="0" fontId="13" fillId="0" borderId="2" xfId="62" applyFont="1" applyBorder="1"/>
    <xf numFmtId="0" fontId="13" fillId="0" borderId="14" xfId="78" applyFont="1" applyBorder="1" applyAlignment="1">
      <alignment horizontal="left"/>
    </xf>
    <xf numFmtId="0" fontId="13" fillId="0" borderId="0" xfId="78" applyFont="1"/>
    <xf numFmtId="186" fontId="13" fillId="0" borderId="15" xfId="78" applyNumberFormat="1" applyFont="1" applyBorder="1"/>
    <xf numFmtId="0" fontId="13" fillId="0" borderId="14" xfId="78" applyFont="1" applyBorder="1"/>
    <xf numFmtId="0" fontId="13" fillId="0" borderId="15" xfId="78" applyFont="1" applyBorder="1"/>
    <xf numFmtId="0" fontId="13" fillId="0" borderId="16" xfId="78" applyFont="1" applyBorder="1" applyAlignment="1">
      <alignment horizontal="left"/>
    </xf>
    <xf numFmtId="0" fontId="13" fillId="0" borderId="2" xfId="78" applyFont="1" applyBorder="1"/>
    <xf numFmtId="0" fontId="13" fillId="0" borderId="17" xfId="78" applyFont="1" applyBorder="1"/>
    <xf numFmtId="171" fontId="44" fillId="0" borderId="5" xfId="0" applyNumberFormat="1" applyFont="1" applyBorder="1"/>
    <xf numFmtId="168" fontId="0" fillId="0" borderId="0" xfId="0" applyNumberFormat="1"/>
    <xf numFmtId="165" fontId="13" fillId="0" borderId="0" xfId="74" applyFont="1"/>
    <xf numFmtId="165" fontId="13" fillId="0" borderId="0" xfId="74" applyFont="1" applyAlignment="1">
      <alignment horizontal="left"/>
    </xf>
    <xf numFmtId="165" fontId="13" fillId="0" borderId="0" xfId="74" applyFont="1" applyAlignment="1">
      <alignment horizontal="centerContinuous"/>
    </xf>
    <xf numFmtId="165" fontId="34" fillId="0" borderId="0" xfId="7" applyFont="1"/>
    <xf numFmtId="165" fontId="43" fillId="0" borderId="0" xfId="74" applyFont="1" applyAlignment="1">
      <alignment horizontal="centerContinuous"/>
    </xf>
    <xf numFmtId="165" fontId="42" fillId="0" borderId="0" xfId="74" applyFont="1" applyAlignment="1">
      <alignment horizontal="centerContinuous"/>
    </xf>
    <xf numFmtId="165" fontId="42" fillId="0" borderId="0" xfId="74" applyFont="1"/>
    <xf numFmtId="165" fontId="42" fillId="0" borderId="0" xfId="74" applyFont="1" applyAlignment="1">
      <alignment horizontal="center"/>
    </xf>
    <xf numFmtId="14" fontId="42" fillId="0" borderId="0" xfId="74" applyNumberFormat="1" applyFont="1" applyAlignment="1">
      <alignment horizontal="center"/>
    </xf>
    <xf numFmtId="165" fontId="13" fillId="0" borderId="0" xfId="74" applyFont="1" applyAlignment="1">
      <alignment horizontal="right"/>
    </xf>
    <xf numFmtId="165" fontId="13" fillId="0" borderId="0" xfId="74" applyFont="1" applyAlignment="1">
      <alignment horizontal="center"/>
    </xf>
    <xf numFmtId="165" fontId="42" fillId="0" borderId="2" xfId="74" applyFont="1" applyBorder="1" applyAlignment="1">
      <alignment horizontal="center"/>
    </xf>
    <xf numFmtId="165" fontId="42" fillId="0" borderId="2" xfId="74" applyFont="1" applyBorder="1"/>
    <xf numFmtId="165" fontId="42" fillId="0" borderId="2" xfId="74" applyFont="1" applyBorder="1" applyAlignment="1">
      <alignment horizontal="centerContinuous"/>
    </xf>
    <xf numFmtId="1" fontId="42" fillId="0" borderId="0" xfId="74" applyNumberFormat="1" applyFont="1" applyAlignment="1">
      <alignment horizontal="center"/>
    </xf>
    <xf numFmtId="44" fontId="42" fillId="0" borderId="0" xfId="4" applyFont="1" applyFill="1" applyAlignment="1">
      <alignment horizontal="center"/>
    </xf>
    <xf numFmtId="168" fontId="42" fillId="0" borderId="0" xfId="4" applyNumberFormat="1" applyFont="1" applyFill="1" applyAlignment="1">
      <alignment horizontal="center"/>
    </xf>
    <xf numFmtId="44" fontId="42" fillId="0" borderId="0" xfId="4" applyFont="1" applyFill="1"/>
    <xf numFmtId="7" fontId="13" fillId="0" borderId="0" xfId="74" applyNumberFormat="1" applyFont="1"/>
    <xf numFmtId="10" fontId="13" fillId="0" borderId="0" xfId="74" applyNumberFormat="1" applyFont="1"/>
    <xf numFmtId="170" fontId="42" fillId="0" borderId="0" xfId="74" applyNumberFormat="1" applyFont="1" applyAlignment="1">
      <alignment horizontal="center"/>
    </xf>
    <xf numFmtId="172" fontId="42" fillId="0" borderId="0" xfId="74" applyNumberFormat="1" applyFont="1" applyAlignment="1">
      <alignment horizontal="center"/>
    </xf>
    <xf numFmtId="7" fontId="42" fillId="0" borderId="0" xfId="74" applyNumberFormat="1" applyFont="1"/>
    <xf numFmtId="7" fontId="42" fillId="0" borderId="0" xfId="74" applyNumberFormat="1" applyFont="1" applyAlignment="1">
      <alignment horizontal="center"/>
    </xf>
    <xf numFmtId="169" fontId="42" fillId="0" borderId="0" xfId="74" applyNumberFormat="1" applyFont="1" applyAlignment="1">
      <alignment horizontal="center"/>
    </xf>
    <xf numFmtId="44" fontId="42" fillId="0" borderId="0" xfId="4" applyFont="1" applyFill="1" applyAlignment="1"/>
    <xf numFmtId="178" fontId="13" fillId="0" borderId="0" xfId="74" applyNumberFormat="1" applyFont="1"/>
    <xf numFmtId="165" fontId="42" fillId="0" borderId="0" xfId="74" applyFont="1" applyAlignment="1">
      <alignment horizontal="right"/>
    </xf>
    <xf numFmtId="3" fontId="42" fillId="0" borderId="0" xfId="74" applyNumberFormat="1" applyFont="1" applyAlignment="1">
      <alignment horizontal="center"/>
    </xf>
    <xf numFmtId="165" fontId="42" fillId="0" borderId="0" xfId="74" applyFont="1" applyAlignment="1">
      <alignment horizontal="left"/>
    </xf>
    <xf numFmtId="168" fontId="42" fillId="0" borderId="0" xfId="4" applyNumberFormat="1" applyFont="1" applyFill="1" applyAlignment="1"/>
    <xf numFmtId="185" fontId="7" fillId="0" borderId="0" xfId="0" applyNumberFormat="1" applyFont="1"/>
    <xf numFmtId="44" fontId="13" fillId="0" borderId="0" xfId="71" applyFont="1" applyFill="1"/>
    <xf numFmtId="166" fontId="42" fillId="0" borderId="0" xfId="5" applyNumberFormat="1" applyFont="1" applyFill="1"/>
    <xf numFmtId="10" fontId="7" fillId="0" borderId="0" xfId="12" applyNumberFormat="1" applyFont="1"/>
    <xf numFmtId="39" fontId="47" fillId="0" borderId="0" xfId="9" applyFont="1" applyAlignment="1" applyProtection="1">
      <alignment horizontal="left"/>
      <protection locked="0"/>
    </xf>
    <xf numFmtId="39" fontId="47" fillId="0" borderId="0" xfId="9" applyFont="1"/>
    <xf numFmtId="39" fontId="47" fillId="0" borderId="0" xfId="9" applyFont="1" applyAlignment="1">
      <alignment horizontal="left" vertical="top" wrapText="1"/>
    </xf>
    <xf numFmtId="39" fontId="47" fillId="0" borderId="0" xfId="9" applyFont="1" applyAlignment="1">
      <alignment horizontal="left" vertical="top"/>
    </xf>
    <xf numFmtId="39" fontId="47" fillId="0" borderId="0" xfId="9" applyFont="1" applyAlignment="1">
      <alignment horizontal="left" wrapText="1"/>
    </xf>
    <xf numFmtId="39" fontId="47" fillId="0" borderId="0" xfId="9" applyFont="1" applyAlignment="1">
      <alignment horizontal="left"/>
    </xf>
    <xf numFmtId="39" fontId="50" fillId="0" borderId="2" xfId="9" applyFont="1" applyBorder="1" applyAlignment="1">
      <alignment horizontal="center" wrapText="1"/>
    </xf>
    <xf numFmtId="39" fontId="50" fillId="35" borderId="2" xfId="9" applyFont="1" applyFill="1" applyBorder="1" applyAlignment="1">
      <alignment horizontal="center" wrapText="1"/>
    </xf>
    <xf numFmtId="39" fontId="50" fillId="0" borderId="2" xfId="9" applyFont="1" applyBorder="1" applyAlignment="1">
      <alignment horizontal="center"/>
    </xf>
    <xf numFmtId="39" fontId="50" fillId="0" borderId="0" xfId="9" applyFont="1" applyAlignment="1">
      <alignment horizontal="center" wrapText="1"/>
    </xf>
    <xf numFmtId="39" fontId="50" fillId="35" borderId="0" xfId="9" applyFont="1" applyFill="1" applyAlignment="1">
      <alignment horizontal="center" wrapText="1"/>
    </xf>
    <xf numFmtId="39" fontId="50" fillId="0" borderId="0" xfId="9" applyFont="1" applyAlignment="1">
      <alignment horizontal="center"/>
    </xf>
    <xf numFmtId="17" fontId="47" fillId="0" borderId="0" xfId="9" applyNumberFormat="1" applyFont="1"/>
    <xf numFmtId="39" fontId="47" fillId="36" borderId="0" xfId="9" applyFont="1" applyFill="1"/>
    <xf numFmtId="39" fontId="47" fillId="35" borderId="0" xfId="9" applyFont="1" applyFill="1"/>
    <xf numFmtId="39" fontId="47" fillId="0" borderId="0" xfId="9" applyFont="1" applyAlignment="1">
      <alignment horizontal="center"/>
    </xf>
    <xf numFmtId="187" fontId="47" fillId="0" borderId="0" xfId="9" applyNumberFormat="1" applyFont="1" applyAlignment="1">
      <alignment horizontal="center"/>
    </xf>
    <xf numFmtId="39" fontId="47" fillId="37" borderId="0" xfId="9" applyFont="1" applyFill="1"/>
    <xf numFmtId="43" fontId="47" fillId="35" borderId="0" xfId="10" applyFont="1" applyFill="1"/>
    <xf numFmtId="17" fontId="47" fillId="0" borderId="0" xfId="9" applyNumberFormat="1" applyFont="1" applyAlignment="1">
      <alignment horizontal="right"/>
    </xf>
    <xf numFmtId="43" fontId="47" fillId="0" borderId="0" xfId="10" applyFont="1"/>
    <xf numFmtId="39" fontId="47" fillId="0" borderId="0" xfId="9" quotePrefix="1" applyFont="1" applyAlignment="1">
      <alignment horizontal="left"/>
    </xf>
    <xf numFmtId="39" fontId="47" fillId="0" borderId="2" xfId="9" quotePrefix="1" applyFont="1" applyBorder="1" applyAlignment="1">
      <alignment horizontal="left"/>
    </xf>
    <xf numFmtId="39" fontId="47" fillId="0" borderId="0" xfId="9" quotePrefix="1" applyFont="1"/>
    <xf numFmtId="39" fontId="47" fillId="0" borderId="0" xfId="11" applyNumberFormat="1" applyFont="1" applyAlignment="1" applyProtection="1">
      <alignment horizontal="left"/>
      <protection locked="0"/>
    </xf>
    <xf numFmtId="0" fontId="47" fillId="0" borderId="0" xfId="11" applyFont="1"/>
    <xf numFmtId="0" fontId="47" fillId="0" borderId="0" xfId="11" applyFont="1" applyAlignment="1">
      <alignment vertical="center" wrapText="1"/>
    </xf>
    <xf numFmtId="39" fontId="47" fillId="0" borderId="0" xfId="11" applyNumberFormat="1" applyFont="1" applyAlignment="1">
      <alignment horizontal="left" vertical="top" wrapText="1"/>
    </xf>
    <xf numFmtId="0" fontId="51" fillId="0" borderId="0" xfId="11" applyFont="1"/>
    <xf numFmtId="39" fontId="47" fillId="0" borderId="0" xfId="11" applyNumberFormat="1" applyFont="1" applyAlignment="1">
      <alignment horizontal="fill"/>
    </xf>
    <xf numFmtId="39" fontId="47" fillId="0" borderId="0" xfId="11" applyNumberFormat="1" applyFont="1"/>
    <xf numFmtId="39" fontId="47" fillId="35" borderId="0" xfId="11" applyNumberFormat="1" applyFont="1" applyFill="1"/>
    <xf numFmtId="43" fontId="51" fillId="0" borderId="0" xfId="10" applyFont="1"/>
    <xf numFmtId="17" fontId="47" fillId="0" borderId="0" xfId="11" applyNumberFormat="1" applyFont="1"/>
    <xf numFmtId="43" fontId="47" fillId="0" borderId="0" xfId="10" applyFont="1" applyFill="1"/>
    <xf numFmtId="39" fontId="47" fillId="0" borderId="0" xfId="67" applyNumberFormat="1" applyFont="1"/>
    <xf numFmtId="188" fontId="47" fillId="0" borderId="0" xfId="9" applyNumberFormat="1" applyFont="1" applyAlignment="1">
      <alignment horizontal="center"/>
    </xf>
    <xf numFmtId="43" fontId="51" fillId="0" borderId="0" xfId="10" applyFont="1" applyFill="1"/>
    <xf numFmtId="39" fontId="51" fillId="0" borderId="0" xfId="11" applyNumberFormat="1" applyFont="1"/>
    <xf numFmtId="39" fontId="51" fillId="35" borderId="0" xfId="11" applyNumberFormat="1" applyFont="1" applyFill="1"/>
    <xf numFmtId="44" fontId="1" fillId="0" borderId="0" xfId="4" applyFont="1"/>
    <xf numFmtId="17" fontId="33" fillId="0" borderId="0" xfId="1" applyNumberFormat="1" applyFont="1"/>
    <xf numFmtId="165" fontId="43" fillId="0" borderId="0" xfId="55" applyFont="1" applyAlignment="1">
      <alignment horizontal="centerContinuous"/>
    </xf>
    <xf numFmtId="164" fontId="42" fillId="0" borderId="0" xfId="71" applyNumberFormat="1" applyFont="1" applyFill="1" applyBorder="1" applyAlignment="1" applyProtection="1">
      <alignment horizontal="center"/>
    </xf>
    <xf numFmtId="164" fontId="42" fillId="0" borderId="0" xfId="55" applyNumberFormat="1" applyFont="1" applyProtection="1"/>
    <xf numFmtId="164" fontId="42" fillId="0" borderId="0" xfId="55" applyNumberFormat="1" applyFont="1"/>
    <xf numFmtId="165" fontId="43" fillId="0" borderId="0" xfId="55" applyFont="1" applyAlignment="1">
      <alignment horizontal="center"/>
    </xf>
    <xf numFmtId="165" fontId="43" fillId="0" borderId="0" xfId="55" applyFont="1" applyAlignment="1" applyProtection="1">
      <alignment horizontal="center"/>
    </xf>
    <xf numFmtId="177" fontId="40" fillId="0" borderId="0" xfId="68" quotePrefix="1" applyNumberFormat="1" applyFont="1" applyAlignment="1">
      <alignment horizontal="center"/>
    </xf>
    <xf numFmtId="177" fontId="40" fillId="0" borderId="0" xfId="68" applyNumberFormat="1" applyFont="1" applyAlignment="1">
      <alignment horizontal="center"/>
    </xf>
    <xf numFmtId="0" fontId="38" fillId="0" borderId="0" xfId="0" applyFont="1" applyAlignment="1">
      <alignment wrapText="1"/>
    </xf>
    <xf numFmtId="0" fontId="0" fillId="0" borderId="0" xfId="0"/>
    <xf numFmtId="165" fontId="43" fillId="0" borderId="0" xfId="7" applyFont="1" applyAlignment="1">
      <alignment horizontal="center"/>
    </xf>
    <xf numFmtId="165" fontId="43" fillId="0" borderId="0" xfId="74" applyFont="1" applyAlignment="1">
      <alignment horizontal="center"/>
    </xf>
    <xf numFmtId="0" fontId="38" fillId="0" borderId="0" xfId="0" applyFont="1" applyAlignment="1">
      <alignment horizontal="left" wrapText="1"/>
    </xf>
    <xf numFmtId="165" fontId="9" fillId="0" borderId="0" xfId="7" applyFont="1" applyAlignment="1">
      <alignment horizontal="center"/>
    </xf>
    <xf numFmtId="165" fontId="9" fillId="0" borderId="0" xfId="55" quotePrefix="1" applyFont="1" applyAlignment="1">
      <alignment horizontal="center"/>
    </xf>
    <xf numFmtId="165" fontId="7" fillId="0" borderId="0" xfId="55" applyFont="1" applyAlignment="1">
      <alignment horizontal="center"/>
    </xf>
    <xf numFmtId="165" fontId="9" fillId="0" borderId="0" xfId="7" quotePrefix="1" applyFont="1" applyAlignment="1">
      <alignment horizontal="center"/>
    </xf>
    <xf numFmtId="165" fontId="7" fillId="0" borderId="0" xfId="7" applyFont="1"/>
    <xf numFmtId="165" fontId="9" fillId="0" borderId="0" xfId="55" applyFont="1" applyAlignment="1" applyProtection="1">
      <alignment horizontal="center"/>
    </xf>
    <xf numFmtId="0" fontId="34" fillId="34" borderId="0" xfId="61" applyFont="1" applyFill="1" applyAlignment="1">
      <alignment horizontal="center"/>
    </xf>
    <xf numFmtId="0" fontId="34" fillId="34" borderId="2" xfId="61" quotePrefix="1" applyFont="1" applyFill="1" applyBorder="1" applyAlignment="1">
      <alignment horizontal="center"/>
    </xf>
    <xf numFmtId="0" fontId="34" fillId="34" borderId="12" xfId="62" applyFont="1" applyFill="1" applyBorder="1" applyAlignment="1">
      <alignment horizontal="center"/>
    </xf>
    <xf numFmtId="0" fontId="34" fillId="34" borderId="10" xfId="62" applyFont="1" applyFill="1" applyBorder="1" applyAlignment="1">
      <alignment horizontal="center"/>
    </xf>
    <xf numFmtId="0" fontId="34" fillId="34" borderId="13" xfId="62" applyFont="1" applyFill="1" applyBorder="1" applyAlignment="1">
      <alignment horizontal="center"/>
    </xf>
    <xf numFmtId="39" fontId="47" fillId="0" borderId="0" xfId="9" applyFont="1" applyAlignment="1">
      <alignment horizontal="right"/>
    </xf>
    <xf numFmtId="39" fontId="28" fillId="0" borderId="38" xfId="9" applyFont="1" applyBorder="1" applyAlignment="1">
      <alignment horizontal="left"/>
    </xf>
    <xf numFmtId="39" fontId="28" fillId="0" borderId="0" xfId="9" applyFont="1" applyAlignment="1">
      <alignment horizontal="left"/>
    </xf>
    <xf numFmtId="39" fontId="28" fillId="0" borderId="0" xfId="9" applyFont="1" applyProtection="1">
      <protection locked="0"/>
    </xf>
    <xf numFmtId="39" fontId="28" fillId="0" borderId="39" xfId="9" applyFont="1" applyBorder="1" applyProtection="1">
      <protection locked="0"/>
    </xf>
    <xf numFmtId="39" fontId="28" fillId="0" borderId="0" xfId="9" applyFont="1" applyAlignment="1" applyProtection="1">
      <alignment horizontal="left"/>
      <protection locked="0"/>
    </xf>
    <xf numFmtId="39" fontId="28" fillId="0" borderId="39" xfId="9" applyFont="1" applyBorder="1" applyAlignment="1" applyProtection="1">
      <alignment horizontal="left"/>
      <protection locked="0"/>
    </xf>
    <xf numFmtId="39" fontId="28" fillId="0" borderId="40" xfId="9" applyFont="1" applyBorder="1" applyAlignment="1">
      <alignment horizontal="left" vertical="top"/>
    </xf>
    <xf numFmtId="39" fontId="28" fillId="0" borderId="41" xfId="9" applyFont="1" applyBorder="1" applyAlignment="1">
      <alignment horizontal="left" vertical="top"/>
    </xf>
    <xf numFmtId="39" fontId="28" fillId="0" borderId="41" xfId="9" applyFont="1" applyBorder="1" applyAlignment="1">
      <alignment horizontal="left" vertical="top" wrapText="1"/>
    </xf>
    <xf numFmtId="39" fontId="28" fillId="0" borderId="42" xfId="9" applyFont="1" applyBorder="1" applyAlignment="1">
      <alignment horizontal="left" vertical="top" wrapText="1"/>
    </xf>
    <xf numFmtId="39" fontId="49" fillId="0" borderId="0" xfId="9" applyFont="1" applyAlignment="1">
      <alignment horizontal="center"/>
    </xf>
    <xf numFmtId="39" fontId="28" fillId="0" borderId="35" xfId="9" applyFont="1" applyBorder="1" applyAlignment="1">
      <alignment horizontal="left"/>
    </xf>
    <xf numFmtId="39" fontId="28" fillId="0" borderId="36" xfId="9" applyFont="1" applyBorder="1" applyAlignment="1">
      <alignment horizontal="left"/>
    </xf>
    <xf numFmtId="39" fontId="28" fillId="0" borderId="36" xfId="9" applyFont="1" applyBorder="1" applyProtection="1">
      <protection locked="0"/>
    </xf>
    <xf numFmtId="39" fontId="28" fillId="0" borderId="37" xfId="9" applyFont="1" applyBorder="1" applyProtection="1">
      <protection locked="0"/>
    </xf>
    <xf numFmtId="39" fontId="48" fillId="0" borderId="0" xfId="9" applyFont="1" applyAlignment="1" applyProtection="1">
      <alignment horizontal="left"/>
      <protection locked="0"/>
    </xf>
    <xf numFmtId="39" fontId="48" fillId="0" borderId="39" xfId="9" applyFont="1" applyBorder="1" applyAlignment="1" applyProtection="1">
      <alignment horizontal="left"/>
      <protection locked="0"/>
    </xf>
    <xf numFmtId="39" fontId="47" fillId="0" borderId="0" xfId="11" applyNumberFormat="1" applyFont="1" applyAlignment="1">
      <alignment horizontal="right"/>
    </xf>
  </cellXfs>
  <cellStyles count="79"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2" builtinId="22" customBuiltin="1"/>
    <cellStyle name="Check Cell" xfId="24" builtinId="23" customBuiltin="1"/>
    <cellStyle name="Comma" xfId="5" builtinId="3"/>
    <cellStyle name="Comma 13 4" xfId="72" xr:uid="{5548A2FB-966B-4A85-851E-6359EDB654E0}"/>
    <cellStyle name="Comma 2" xfId="10" xr:uid="{82A663B1-951D-4084-BC92-6DD63FB05243}"/>
    <cellStyle name="Comma 3" xfId="60" xr:uid="{1185035A-674E-4EDA-838B-726EEE5B3D55}"/>
    <cellStyle name="Comma 4" xfId="53" xr:uid="{FB8330F9-CA80-4EF6-B5CF-84BC881DBF15}"/>
    <cellStyle name="Comma 5" xfId="54" xr:uid="{766365D9-400C-40C7-BDC6-35D91F8F914F}"/>
    <cellStyle name="Comma 6 3 2" xfId="73" xr:uid="{1A146CAE-9D8D-4B3B-A61B-1625399C88D8}"/>
    <cellStyle name="Currency" xfId="4" builtinId="4"/>
    <cellStyle name="Currency 12 18" xfId="71" xr:uid="{A997E8BC-F0E9-4671-B659-EAABBEE9F6CB}"/>
    <cellStyle name="Currency 2" xfId="2" xr:uid="{4CAD3612-A245-4FDD-8D5B-03382D797DE5}"/>
    <cellStyle name="Currency 2 2" xfId="65" xr:uid="{B96523DA-2BA7-40C2-B2C3-DC8A17F53CC6}"/>
    <cellStyle name="Currency 20" xfId="70" xr:uid="{097F3932-C7BA-4E4A-90F7-C6A2CF74D985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 2" xfId="56" xr:uid="{D0BBC557-0F3F-4451-8600-F73D4A08F464}"/>
    <cellStyle name="Input" xfId="6" builtinId="20" customBuiltin="1"/>
    <cellStyle name="Linked Cell" xfId="23" builtinId="24" customBuiltin="1"/>
    <cellStyle name="Neutral" xfId="20" builtinId="28" customBuiltin="1"/>
    <cellStyle name="Normal" xfId="0" builtinId="0"/>
    <cellStyle name="Normal 2" xfId="9" xr:uid="{7461B0C3-3176-4138-B053-011F4A2BC331}"/>
    <cellStyle name="Normal 2 2" xfId="66" xr:uid="{95072DDA-E042-4D07-B5C2-9D02D7C236F9}"/>
    <cellStyle name="Normal 2 3" xfId="67" xr:uid="{C244E135-2913-46BA-874A-3AA04ABC16C1}"/>
    <cellStyle name="Normal 2 4 2" xfId="11" xr:uid="{C5AF557A-72BF-4AB4-B0EE-5DB5F61E5972}"/>
    <cellStyle name="Normal 25 3" xfId="68" xr:uid="{150E3C9A-C87A-4D65-88BA-D860563246FB}"/>
    <cellStyle name="Normal 3" xfId="57" xr:uid="{7FC65861-0B5F-44CB-A3B9-0822F761AD98}"/>
    <cellStyle name="Normal 4" xfId="64" xr:uid="{3197E831-95B9-4037-B7B4-E0B9B40B5558}"/>
    <cellStyle name="Normal 5" xfId="1" xr:uid="{565C0BDE-F3DA-4B47-AB74-838ECD531AA6}"/>
    <cellStyle name="Normal 6" xfId="55" xr:uid="{C190FE1A-35FA-4EA5-9702-A98E75735E26}"/>
    <cellStyle name="Normal 72" xfId="78" xr:uid="{D8537392-F37C-433B-ADB8-B87A14C3B99F}"/>
    <cellStyle name="Normal 8" xfId="59" xr:uid="{5FD31443-B202-4C6E-9F42-729B0704E1B5}"/>
    <cellStyle name="Normal 81" xfId="63" xr:uid="{7CF201F3-AD86-4A00-ACE1-53C81D61BB90}"/>
    <cellStyle name="Normal 92" xfId="61" xr:uid="{3F506186-70FB-44B2-BB1F-BDC0DFE97681}"/>
    <cellStyle name="Normal 93" xfId="62" xr:uid="{6565DFF4-6863-4BCD-B60D-E53C646EB08E}"/>
    <cellStyle name="Normal_Book2" xfId="75" xr:uid="{371B410D-36E7-460E-B8AD-3882203D1DD9}"/>
    <cellStyle name="Normal_CNGC Deferral Workpapers" xfId="7" xr:uid="{B3F52469-D19E-4344-B469-165F9091E1C1}"/>
    <cellStyle name="Normal_CNGC Deferral Workpapers 2" xfId="74" xr:uid="{0AB2A7C1-6FC2-4606-8DCF-9E0332954966}"/>
    <cellStyle name="Normal_DEFSUMO2" xfId="77" xr:uid="{CAE840B1-72B0-458C-9668-CE32CAE94DA0}"/>
    <cellStyle name="Normal_INDEX &amp; PRINTER" xfId="76" xr:uid="{2387F94B-17CC-4E69-9A95-DDC798C9A1EC}"/>
    <cellStyle name="Normal_RORO9912" xfId="8" xr:uid="{9A66856C-36D6-4D9E-8643-2762F4D9DAB9}"/>
    <cellStyle name="Note" xfId="26" builtinId="10" customBuiltin="1"/>
    <cellStyle name="Output" xfId="21" builtinId="21" customBuiltin="1"/>
    <cellStyle name="Percent" xfId="12" builtinId="5"/>
    <cellStyle name="Percent 2" xfId="58" xr:uid="{7FAE5985-C45D-45A4-8A0D-13BB2015075F}"/>
    <cellStyle name="Percent 2 26" xfId="69" xr:uid="{F06AB546-1E09-480C-9246-05A1EB378054}"/>
    <cellStyle name="Percent 3" xfId="3" xr:uid="{007F1EE1-6773-4DC7-8D75-44BAB2F2D164}"/>
    <cellStyle name="Title" xfId="13" builtinId="15" customBuiltin="1"/>
    <cellStyle name="Total" xfId="28" builtinId="25" customBuiltin="1"/>
    <cellStyle name="Warning Text" xfId="25" builtinId="11" customBuiltin="1"/>
  </cellStyles>
  <dxfs count="0"/>
  <tableStyles count="1" defaultTableStyle="TableStyleMedium2" defaultPivotStyle="PivotStyleLight16">
    <tableStyle name="Invisible" pivot="0" table="0" count="0" xr9:uid="{A4A90094-B0B7-460D-86F7-09D8235743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22</xdr:col>
      <xdr:colOff>104000</xdr:colOff>
      <xdr:row>6</xdr:row>
      <xdr:rowOff>117928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191718-D67B-411C-8E12-E320A5BC7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323850"/>
          <a:ext cx="6200000" cy="7942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</xdr:row>
      <xdr:rowOff>0</xdr:rowOff>
    </xdr:from>
    <xdr:to>
      <xdr:col>23</xdr:col>
      <xdr:colOff>104000</xdr:colOff>
      <xdr:row>6</xdr:row>
      <xdr:rowOff>304701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2C501D-5483-43CC-B814-6A9F63A9F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0" y="514350"/>
          <a:ext cx="6200000" cy="7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</xdr:row>
      <xdr:rowOff>0</xdr:rowOff>
    </xdr:from>
    <xdr:to>
      <xdr:col>23</xdr:col>
      <xdr:colOff>104000</xdr:colOff>
      <xdr:row>6</xdr:row>
      <xdr:rowOff>304701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33C570-7982-44E0-BC54-4C20AF9B1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0525" y="514350"/>
          <a:ext cx="6200000" cy="7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22</xdr:col>
      <xdr:colOff>107175</xdr:colOff>
      <xdr:row>7</xdr:row>
      <xdr:rowOff>126901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7F4D51-B880-4B19-AF78-2F7BD86D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8850" y="676275"/>
          <a:ext cx="6203175" cy="7936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16D2-19D0-4B72-9456-56BBB00162B5}">
  <dimension ref="A1:H41"/>
  <sheetViews>
    <sheetView topLeftCell="A3" zoomScale="115" zoomScaleNormal="115" workbookViewId="0">
      <selection activeCell="B31" sqref="B31"/>
    </sheetView>
  </sheetViews>
  <sheetFormatPr defaultRowHeight="15" x14ac:dyDescent="0.25"/>
  <cols>
    <col min="1" max="1" width="48" bestFit="1" customWidth="1"/>
    <col min="2" max="2" width="15.5703125" bestFit="1" customWidth="1"/>
    <col min="3" max="3" width="5.28515625" customWidth="1"/>
    <col min="4" max="4" width="67.85546875" customWidth="1"/>
    <col min="5" max="5" width="33.28515625" customWidth="1"/>
    <col min="7" max="7" width="14.7109375" customWidth="1"/>
    <col min="8" max="8" width="14.28515625" bestFit="1" customWidth="1"/>
  </cols>
  <sheetData>
    <row r="1" spans="1:7" ht="18.75" x14ac:dyDescent="0.3">
      <c r="A1" s="196" t="s">
        <v>0</v>
      </c>
    </row>
    <row r="2" spans="1:7" x14ac:dyDescent="0.25">
      <c r="A2" s="217" t="s">
        <v>1</v>
      </c>
    </row>
    <row r="5" spans="1:7" x14ac:dyDescent="0.25">
      <c r="D5" s="193" t="s">
        <v>2</v>
      </c>
    </row>
    <row r="6" spans="1:7" x14ac:dyDescent="0.25">
      <c r="A6" t="s">
        <v>3</v>
      </c>
      <c r="B6" s="194">
        <f>B11/B10</f>
        <v>22.98148258526934</v>
      </c>
      <c r="C6" s="194"/>
      <c r="D6" s="207" t="s">
        <v>4</v>
      </c>
    </row>
    <row r="7" spans="1:7" x14ac:dyDescent="0.25">
      <c r="A7" t="s">
        <v>5</v>
      </c>
      <c r="B7" s="200">
        <f>B13/B12</f>
        <v>216.29753152039561</v>
      </c>
      <c r="C7" s="200"/>
      <c r="D7" s="1" t="s">
        <v>6</v>
      </c>
    </row>
    <row r="8" spans="1:7" x14ac:dyDescent="0.25">
      <c r="A8" t="s">
        <v>7</v>
      </c>
      <c r="B8" s="200">
        <v>75</v>
      </c>
      <c r="D8" t="s">
        <v>8</v>
      </c>
    </row>
    <row r="10" spans="1:7" x14ac:dyDescent="0.25">
      <c r="A10" t="s">
        <v>9</v>
      </c>
      <c r="B10" s="203">
        <f>'CARES Discount'!M4</f>
        <v>160726</v>
      </c>
      <c r="C10" s="203"/>
      <c r="D10" s="204" t="s">
        <v>10</v>
      </c>
    </row>
    <row r="11" spans="1:7" x14ac:dyDescent="0.25">
      <c r="A11" t="s">
        <v>11</v>
      </c>
      <c r="B11" s="201">
        <f>-'CARES Discount'!M5</f>
        <v>3693721.77</v>
      </c>
      <c r="C11" s="203"/>
      <c r="D11" s="204"/>
    </row>
    <row r="12" spans="1:7" x14ac:dyDescent="0.25">
      <c r="A12" t="s">
        <v>12</v>
      </c>
      <c r="B12" s="205">
        <f>'CARES Grants'!K4</f>
        <v>8090</v>
      </c>
      <c r="C12" s="205"/>
      <c r="D12" s="204" t="s">
        <v>13</v>
      </c>
      <c r="E12" s="121"/>
    </row>
    <row r="13" spans="1:7" x14ac:dyDescent="0.25">
      <c r="A13" t="s">
        <v>14</v>
      </c>
      <c r="B13" s="201">
        <f>'CARES Grants'!K5</f>
        <v>1749847.0300000005</v>
      </c>
      <c r="C13" s="205"/>
      <c r="D13" s="204"/>
      <c r="E13" s="198"/>
    </row>
    <row r="15" spans="1:7" ht="45" x14ac:dyDescent="0.25">
      <c r="A15" t="s">
        <v>15</v>
      </c>
      <c r="B15" s="205">
        <v>59909</v>
      </c>
      <c r="D15" s="208" t="s">
        <v>16</v>
      </c>
    </row>
    <row r="16" spans="1:7" ht="81" customHeight="1" x14ac:dyDescent="0.25">
      <c r="A16" t="s">
        <v>17</v>
      </c>
      <c r="B16" s="206">
        <v>0.35</v>
      </c>
      <c r="C16" s="206"/>
      <c r="D16" s="351" t="s">
        <v>18</v>
      </c>
      <c r="G16" s="197"/>
    </row>
    <row r="17" spans="1:8" x14ac:dyDescent="0.25">
      <c r="A17" t="s">
        <v>19</v>
      </c>
      <c r="B17" s="203">
        <f>B15*B16</f>
        <v>20968.149999999998</v>
      </c>
      <c r="C17" s="203"/>
      <c r="E17" s="194"/>
      <c r="G17" s="198"/>
    </row>
    <row r="18" spans="1:8" x14ac:dyDescent="0.25">
      <c r="B18" s="203"/>
      <c r="C18" s="203"/>
      <c r="D18" s="208"/>
      <c r="E18" s="194"/>
      <c r="G18" s="198"/>
    </row>
    <row r="19" spans="1:8" x14ac:dyDescent="0.25">
      <c r="A19" t="s">
        <v>20</v>
      </c>
      <c r="B19" s="356">
        <v>0.25</v>
      </c>
      <c r="C19" s="203"/>
      <c r="D19" s="1" t="s">
        <v>21</v>
      </c>
      <c r="E19" s="194"/>
      <c r="G19" s="198"/>
    </row>
    <row r="20" spans="1:8" x14ac:dyDescent="0.25">
      <c r="A20" t="s">
        <v>22</v>
      </c>
      <c r="B20" s="357">
        <f>B12*(1+B19)</f>
        <v>10112.5</v>
      </c>
    </row>
    <row r="21" spans="1:8" x14ac:dyDescent="0.25">
      <c r="B21" s="357"/>
    </row>
    <row r="22" spans="1:8" x14ac:dyDescent="0.25">
      <c r="A22" t="s">
        <v>23</v>
      </c>
      <c r="B22" s="205">
        <f>Touchpoints!C28</f>
        <v>4359</v>
      </c>
      <c r="D22" t="s">
        <v>24</v>
      </c>
    </row>
    <row r="24" spans="1:8" x14ac:dyDescent="0.25">
      <c r="E24" s="194"/>
      <c r="G24" s="197"/>
      <c r="H24" s="198"/>
    </row>
    <row r="25" spans="1:8" x14ac:dyDescent="0.25">
      <c r="A25" t="s">
        <v>25</v>
      </c>
      <c r="B25" s="90">
        <f>B6*B17*12</f>
        <v>5782550.0888437834</v>
      </c>
      <c r="C25" s="90"/>
      <c r="D25" s="1" t="s">
        <v>26</v>
      </c>
      <c r="G25" s="197"/>
      <c r="H25" s="198"/>
    </row>
    <row r="26" spans="1:8" x14ac:dyDescent="0.25">
      <c r="A26" t="s">
        <v>27</v>
      </c>
      <c r="B26" s="201">
        <f>B20*B7</f>
        <v>2187308.7875000006</v>
      </c>
      <c r="C26" s="90"/>
      <c r="G26" s="197"/>
      <c r="H26" s="198"/>
    </row>
    <row r="27" spans="1:8" ht="90" x14ac:dyDescent="0.25">
      <c r="A27" t="s">
        <v>28</v>
      </c>
      <c r="B27" s="201">
        <f>B22*B8</f>
        <v>326925</v>
      </c>
      <c r="C27" s="105"/>
      <c r="D27" s="207" t="s">
        <v>29</v>
      </c>
      <c r="G27" s="197"/>
      <c r="H27" s="198"/>
    </row>
    <row r="28" spans="1:8" ht="30" x14ac:dyDescent="0.25">
      <c r="A28" t="s">
        <v>30</v>
      </c>
      <c r="B28" s="209">
        <v>73000</v>
      </c>
      <c r="C28" s="212"/>
      <c r="D28" s="210" t="s">
        <v>31</v>
      </c>
      <c r="G28" s="198"/>
      <c r="H28" s="198"/>
    </row>
    <row r="29" spans="1:8" x14ac:dyDescent="0.25">
      <c r="A29" t="s">
        <v>32</v>
      </c>
      <c r="B29" s="212">
        <f>SUM(B25:B28)</f>
        <v>8369783.8763437839</v>
      </c>
      <c r="C29" s="212"/>
      <c r="D29" s="210"/>
      <c r="G29" s="198"/>
      <c r="H29" s="198"/>
    </row>
    <row r="30" spans="1:8" x14ac:dyDescent="0.25">
      <c r="B30" s="212"/>
      <c r="C30" s="212"/>
      <c r="D30" s="210"/>
      <c r="G30" s="198"/>
      <c r="H30" s="198"/>
    </row>
    <row r="31" spans="1:8" x14ac:dyDescent="0.25">
      <c r="A31" t="s">
        <v>33</v>
      </c>
      <c r="B31" s="201">
        <f>B29*6%</f>
        <v>502187.03258062701</v>
      </c>
      <c r="C31" s="212"/>
      <c r="D31" s="1" t="s">
        <v>34</v>
      </c>
      <c r="G31" s="198"/>
      <c r="H31" s="198"/>
    </row>
    <row r="32" spans="1:8" x14ac:dyDescent="0.25">
      <c r="B32" s="212"/>
      <c r="C32" s="212"/>
      <c r="D32" s="210"/>
      <c r="G32" s="198"/>
      <c r="H32" s="198"/>
    </row>
    <row r="33" spans="1:8" x14ac:dyDescent="0.25">
      <c r="A33" t="s">
        <v>35</v>
      </c>
      <c r="B33" s="211">
        <f>B29+B31</f>
        <v>8871970.9089244101</v>
      </c>
      <c r="C33" s="211"/>
      <c r="D33" s="1"/>
      <c r="G33" s="197"/>
    </row>
    <row r="34" spans="1:8" x14ac:dyDescent="0.25">
      <c r="G34" s="194"/>
      <c r="H34" s="198"/>
    </row>
    <row r="35" spans="1:8" x14ac:dyDescent="0.25">
      <c r="A35" t="s">
        <v>36</v>
      </c>
      <c r="B35" s="399">
        <f>' Conversion Factor'!F10</f>
        <v>1.0517901468299045</v>
      </c>
      <c r="C35" s="353"/>
      <c r="G35" s="197"/>
    </row>
    <row r="36" spans="1:8" ht="15.75" thickBot="1" x14ac:dyDescent="0.3">
      <c r="G36" s="194"/>
    </row>
    <row r="37" spans="1:8" ht="15.75" thickBot="1" x14ac:dyDescent="0.3">
      <c r="A37" s="104" t="s">
        <v>37</v>
      </c>
      <c r="B37" s="122">
        <f>B33*B35</f>
        <v>9331451.5849682465</v>
      </c>
      <c r="C37" s="213"/>
      <c r="G37" s="198"/>
    </row>
    <row r="38" spans="1:8" x14ac:dyDescent="0.25">
      <c r="D38" s="1"/>
    </row>
    <row r="41" spans="1:8" x14ac:dyDescent="0.25">
      <c r="E41" s="2"/>
    </row>
  </sheetData>
  <pageMargins left="0.7" right="0.7" top="0.75" bottom="0.75" header="0.3" footer="0.3"/>
  <pageSetup scale="66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5E95-104D-4AAD-B51D-1762777796D7}">
  <sheetPr>
    <pageSetUpPr fitToPage="1"/>
  </sheetPr>
  <dimension ref="A1:I16"/>
  <sheetViews>
    <sheetView view="pageBreakPreview" zoomScale="130" zoomScaleNormal="160" zoomScaleSheetLayoutView="130" workbookViewId="0">
      <selection activeCell="E11" sqref="E11"/>
    </sheetView>
  </sheetViews>
  <sheetFormatPr defaultColWidth="8" defaultRowHeight="15" x14ac:dyDescent="0.25"/>
  <cols>
    <col min="1" max="1" width="24.5703125" style="127" bestFit="1" customWidth="1"/>
    <col min="2" max="2" width="48.85546875" style="127" customWidth="1"/>
    <col min="3" max="3" width="16.42578125" style="127" customWidth="1"/>
    <col min="4" max="6" width="15.5703125" style="127" customWidth="1"/>
    <col min="7" max="7" width="1.42578125" style="127" customWidth="1"/>
    <col min="8" max="8" width="15.5703125" style="127" customWidth="1"/>
    <col min="9" max="9" width="15.140625" style="127" bestFit="1" customWidth="1"/>
    <col min="10" max="16384" width="8" style="127"/>
  </cols>
  <sheetData>
    <row r="1" spans="1:9" ht="18.75" x14ac:dyDescent="0.3">
      <c r="A1" s="196" t="s">
        <v>0</v>
      </c>
    </row>
    <row r="2" spans="1:9" x14ac:dyDescent="0.25">
      <c r="A2" s="491" t="s">
        <v>76</v>
      </c>
      <c r="B2" s="491"/>
      <c r="C2" s="491"/>
      <c r="D2" s="491"/>
      <c r="E2" s="491"/>
      <c r="F2" s="491"/>
      <c r="G2" s="491"/>
      <c r="H2" s="491"/>
    </row>
    <row r="3" spans="1:9" x14ac:dyDescent="0.25">
      <c r="A3" s="491" t="s">
        <v>197</v>
      </c>
      <c r="B3" s="491"/>
      <c r="C3" s="491"/>
      <c r="D3" s="491"/>
      <c r="E3" s="491"/>
      <c r="F3" s="491"/>
      <c r="G3" s="491"/>
      <c r="H3" s="491"/>
    </row>
    <row r="4" spans="1:9" x14ac:dyDescent="0.25">
      <c r="A4" s="491" t="s">
        <v>78</v>
      </c>
      <c r="B4" s="491"/>
      <c r="C4" s="491"/>
      <c r="D4" s="491"/>
      <c r="E4" s="491"/>
      <c r="F4" s="491"/>
      <c r="G4" s="491"/>
      <c r="H4" s="491"/>
    </row>
    <row r="7" spans="1:9" s="152" customFormat="1" x14ac:dyDescent="0.25">
      <c r="A7" s="142" t="s">
        <v>198</v>
      </c>
      <c r="C7" s="231" t="s">
        <v>199</v>
      </c>
      <c r="D7" s="180">
        <v>45900</v>
      </c>
      <c r="E7" s="180">
        <v>45930</v>
      </c>
      <c r="F7" s="180">
        <v>45961</v>
      </c>
      <c r="G7" s="180"/>
      <c r="H7" s="72" t="s">
        <v>196</v>
      </c>
    </row>
    <row r="8" spans="1:9" x14ac:dyDescent="0.25">
      <c r="A8" s="181" t="s">
        <v>200</v>
      </c>
      <c r="B8" s="182"/>
      <c r="C8" s="182"/>
      <c r="D8" s="190">
        <v>5.4399999999999997E-2</v>
      </c>
      <c r="E8" s="190">
        <v>5.4399999999999997E-2</v>
      </c>
      <c r="F8" s="190">
        <v>5.4399999999999997E-2</v>
      </c>
      <c r="G8" s="183"/>
      <c r="H8" s="143" t="s">
        <v>201</v>
      </c>
    </row>
    <row r="9" spans="1:9" x14ac:dyDescent="0.25">
      <c r="A9" s="181" t="s">
        <v>202</v>
      </c>
      <c r="B9" s="143"/>
      <c r="C9" s="143"/>
      <c r="D9" s="184">
        <f>ROUND(D8/365*31,6)</f>
        <v>4.62E-3</v>
      </c>
      <c r="E9" s="184">
        <f>ROUND(E8/365*30,6)</f>
        <v>4.4710000000000001E-3</v>
      </c>
      <c r="F9" s="184">
        <f>ROUND(F8/365*31,6)</f>
        <v>4.62E-3</v>
      </c>
      <c r="G9" s="184"/>
      <c r="H9" s="185">
        <v>45961</v>
      </c>
    </row>
    <row r="10" spans="1:9" x14ac:dyDescent="0.25">
      <c r="A10" s="186" t="s">
        <v>203</v>
      </c>
      <c r="B10" s="187" t="s">
        <v>88</v>
      </c>
      <c r="C10" s="187"/>
      <c r="D10" s="187"/>
      <c r="E10" s="129"/>
      <c r="F10" s="116"/>
    </row>
    <row r="11" spans="1:9" x14ac:dyDescent="0.25">
      <c r="A11" s="135" t="s">
        <v>178</v>
      </c>
      <c r="B11" s="135" t="s">
        <v>51</v>
      </c>
      <c r="C11" s="232">
        <f>'CARES Deferral Balances'!B16</f>
        <v>4481964.42</v>
      </c>
      <c r="D11" s="148">
        <f>C11*$D$9</f>
        <v>20706.675620400001</v>
      </c>
      <c r="E11" s="230">
        <f>EstimatedBalances!D11*$E$9</f>
        <v>20131.44246851881</v>
      </c>
      <c r="F11" s="148">
        <f>EstimatedBalances!E11*$F$9</f>
        <v>20898.005303132501</v>
      </c>
      <c r="G11" s="148"/>
      <c r="H11" s="148">
        <f>SUM(D11:F11)</f>
        <v>61736.123392051311</v>
      </c>
      <c r="I11" s="129"/>
    </row>
    <row r="12" spans="1:9" x14ac:dyDescent="0.25">
      <c r="A12" s="135" t="s">
        <v>179</v>
      </c>
      <c r="B12" s="135" t="s">
        <v>52</v>
      </c>
      <c r="C12" s="232">
        <f>'CARES Deferral Balances'!C16</f>
        <v>1658975.1700000002</v>
      </c>
      <c r="D12" s="148">
        <f t="shared" ref="D12:D14" si="0">C12*$D$9</f>
        <v>7664.4652854000005</v>
      </c>
      <c r="E12" s="230">
        <f>EstimatedBalances!D12*$E$9</f>
        <v>7451.5458093610241</v>
      </c>
      <c r="F12" s="148">
        <f>EstimatedBalances!E12*$F$9</f>
        <v>7735.2849446370956</v>
      </c>
      <c r="G12" s="148"/>
      <c r="H12" s="148">
        <f>SUM(D12:F12)</f>
        <v>22851.296039398119</v>
      </c>
      <c r="I12" s="129"/>
    </row>
    <row r="13" spans="1:9" x14ac:dyDescent="0.25">
      <c r="A13" s="135" t="s">
        <v>180</v>
      </c>
      <c r="B13" s="135" t="s">
        <v>53</v>
      </c>
      <c r="C13" s="232">
        <f>'CARES Deferral Balances'!D16</f>
        <v>2063411.2700000005</v>
      </c>
      <c r="D13" s="148">
        <f t="shared" si="0"/>
        <v>9532.960067400003</v>
      </c>
      <c r="E13" s="230">
        <f>EstimatedBalances!D13*$E$9</f>
        <v>9268.133652631348</v>
      </c>
      <c r="F13" s="148">
        <f>EstimatedBalances!E13*$F$9</f>
        <v>9621.0446184227785</v>
      </c>
      <c r="G13" s="148"/>
      <c r="H13" s="148">
        <f>SUM(D13:F13)</f>
        <v>28422.138338454126</v>
      </c>
      <c r="I13" s="129"/>
    </row>
    <row r="14" spans="1:9" x14ac:dyDescent="0.25">
      <c r="A14" s="135" t="s">
        <v>181</v>
      </c>
      <c r="B14" s="135" t="s">
        <v>54</v>
      </c>
      <c r="C14" s="232">
        <f>'CARES Deferral Balances'!E16</f>
        <v>-7248817.8300000001</v>
      </c>
      <c r="D14" s="148">
        <f t="shared" si="0"/>
        <v>-33489.538374600001</v>
      </c>
      <c r="E14" s="230">
        <f>EstimatedBalances!D14*$E$9</f>
        <v>-32559.196244002836</v>
      </c>
      <c r="F14" s="148">
        <f>EstimatedBalances!E14*$F$9</f>
        <v>-33798.981709181302</v>
      </c>
      <c r="G14" s="148"/>
      <c r="H14" s="148">
        <f>SUM(D14:F14)</f>
        <v>-99847.716327784146</v>
      </c>
      <c r="I14" s="129"/>
    </row>
    <row r="15" spans="1:9" ht="15.75" thickBot="1" x14ac:dyDescent="0.3">
      <c r="A15" s="152" t="s">
        <v>196</v>
      </c>
      <c r="C15" s="188">
        <f>SUM(C11:C14)</f>
        <v>955533.03000000026</v>
      </c>
      <c r="D15" s="188">
        <f>SUM(D11:D14)</f>
        <v>4414.5625986000086</v>
      </c>
      <c r="E15" s="188">
        <f>SUM(E11:E14)</f>
        <v>4291.9256865083444</v>
      </c>
      <c r="F15" s="188">
        <f>SUM(F11:F14)</f>
        <v>4455.3531570110717</v>
      </c>
      <c r="G15" s="188"/>
      <c r="H15" s="188">
        <f>SUM(H11:H14)</f>
        <v>13161.841442119417</v>
      </c>
    </row>
    <row r="16" spans="1:9" ht="15.75" thickTop="1" x14ac:dyDescent="0.25">
      <c r="A16" s="152"/>
      <c r="E16" s="189"/>
      <c r="F16" s="189"/>
      <c r="G16" s="189"/>
      <c r="H16" s="189"/>
    </row>
  </sheetData>
  <mergeCells count="3">
    <mergeCell ref="A2:H2"/>
    <mergeCell ref="A3:H3"/>
    <mergeCell ref="A4:H4"/>
  </mergeCells>
  <printOptions horizontalCentered="1"/>
  <pageMargins left="0.25" right="0.25" top="1" bottom="1" header="0.5" footer="0.5"/>
  <pageSetup scale="8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76AF-7D66-4C89-833B-30AFB73E5CA0}">
  <dimension ref="A1:L50"/>
  <sheetViews>
    <sheetView view="pageBreakPreview" topLeftCell="A19" zoomScale="115" zoomScaleNormal="100" zoomScaleSheetLayoutView="115" workbookViewId="0">
      <selection activeCell="L52" sqref="L52"/>
    </sheetView>
  </sheetViews>
  <sheetFormatPr defaultColWidth="9.85546875" defaultRowHeight="15" x14ac:dyDescent="0.25"/>
  <cols>
    <col min="1" max="1" width="1.42578125" style="8" customWidth="1"/>
    <col min="2" max="2" width="4.7109375" style="7" customWidth="1"/>
    <col min="3" max="3" width="12.5703125" style="8" customWidth="1"/>
    <col min="4" max="4" width="16.42578125" style="8" customWidth="1"/>
    <col min="5" max="5" width="8.7109375" style="7" bestFit="1" customWidth="1"/>
    <col min="6" max="6" width="13.140625" style="8" bestFit="1" customWidth="1"/>
    <col min="7" max="7" width="13.42578125" style="8" customWidth="1"/>
    <col min="8" max="8" width="1.85546875" style="8" customWidth="1"/>
    <col min="9" max="9" width="16.28515625" style="8" bestFit="1" customWidth="1"/>
    <col min="10" max="10" width="1.85546875" style="8" customWidth="1"/>
    <col min="11" max="12" width="12.28515625" style="8" bestFit="1" customWidth="1"/>
    <col min="13" max="13" width="4.5703125" style="8" customWidth="1"/>
    <col min="14" max="16384" width="9.85546875" style="8"/>
  </cols>
  <sheetData>
    <row r="1" spans="1:12" ht="18.75" x14ac:dyDescent="0.3">
      <c r="B1" s="196" t="s">
        <v>0</v>
      </c>
    </row>
    <row r="2" spans="1:12" ht="18" customHeight="1" x14ac:dyDescent="0.25">
      <c r="A2" s="6"/>
      <c r="C2" s="491" t="s">
        <v>76</v>
      </c>
      <c r="D2" s="491"/>
      <c r="E2" s="491"/>
      <c r="F2" s="491"/>
      <c r="G2" s="491"/>
      <c r="H2" s="491"/>
      <c r="I2" s="491"/>
      <c r="J2" s="491"/>
    </row>
    <row r="3" spans="1:12" x14ac:dyDescent="0.25">
      <c r="C3" s="494" t="s">
        <v>204</v>
      </c>
      <c r="D3" s="495"/>
      <c r="E3" s="495"/>
      <c r="F3" s="495"/>
      <c r="G3" s="495"/>
      <c r="H3" s="495"/>
      <c r="I3" s="495"/>
      <c r="J3" s="495"/>
    </row>
    <row r="4" spans="1:12" x14ac:dyDescent="0.25">
      <c r="C4" s="494" t="s">
        <v>205</v>
      </c>
      <c r="D4" s="495"/>
      <c r="E4" s="495"/>
      <c r="F4" s="495"/>
      <c r="G4" s="495"/>
      <c r="H4" s="495"/>
      <c r="I4" s="495"/>
      <c r="J4" s="495"/>
    </row>
    <row r="5" spans="1:12" x14ac:dyDescent="0.25">
      <c r="C5" s="491" t="s">
        <v>78</v>
      </c>
      <c r="D5" s="495"/>
      <c r="E5" s="495"/>
      <c r="F5" s="495"/>
      <c r="G5" s="495"/>
      <c r="H5" s="495"/>
      <c r="I5" s="495"/>
      <c r="J5" s="495"/>
    </row>
    <row r="6" spans="1:12" ht="6" customHeight="1" x14ac:dyDescent="0.25"/>
    <row r="7" spans="1:12" x14ac:dyDescent="0.25">
      <c r="B7" s="9"/>
      <c r="C7" s="10"/>
      <c r="D7" s="10"/>
      <c r="E7" s="9"/>
      <c r="F7" s="9"/>
      <c r="G7" s="9"/>
      <c r="I7" s="9"/>
    </row>
    <row r="8" spans="1:12" x14ac:dyDescent="0.25">
      <c r="B8" s="11" t="s">
        <v>135</v>
      </c>
      <c r="C8" s="7"/>
      <c r="D8" s="7"/>
      <c r="E8" s="11" t="s">
        <v>80</v>
      </c>
      <c r="F8" s="11" t="s">
        <v>81</v>
      </c>
      <c r="G8" s="11" t="s">
        <v>206</v>
      </c>
      <c r="H8" s="7"/>
      <c r="I8" s="11" t="s">
        <v>83</v>
      </c>
      <c r="J8" s="7"/>
      <c r="K8" s="7"/>
      <c r="L8" s="7"/>
    </row>
    <row r="9" spans="1:12" x14ac:dyDescent="0.25">
      <c r="B9" s="11" t="s">
        <v>139</v>
      </c>
      <c r="C9" s="12"/>
      <c r="D9" s="7" t="s">
        <v>88</v>
      </c>
      <c r="E9" s="11" t="s">
        <v>89</v>
      </c>
      <c r="F9" s="11" t="s">
        <v>90</v>
      </c>
      <c r="G9" s="11" t="s">
        <v>91</v>
      </c>
      <c r="H9" s="7"/>
      <c r="I9" s="11" t="s">
        <v>92</v>
      </c>
      <c r="J9" s="7"/>
      <c r="K9" s="7"/>
      <c r="L9" s="7"/>
    </row>
    <row r="10" spans="1:12" x14ac:dyDescent="0.25">
      <c r="B10" s="11"/>
      <c r="C10" s="12"/>
      <c r="D10" s="7" t="s">
        <v>45</v>
      </c>
      <c r="E10" s="13" t="s">
        <v>46</v>
      </c>
      <c r="F10" s="13" t="s">
        <v>47</v>
      </c>
      <c r="G10" s="13" t="s">
        <v>48</v>
      </c>
      <c r="H10" s="7"/>
      <c r="I10" s="13" t="s">
        <v>94</v>
      </c>
      <c r="J10" s="7"/>
      <c r="K10" s="7"/>
      <c r="L10" s="7"/>
    </row>
    <row r="11" spans="1:12" x14ac:dyDescent="0.25">
      <c r="B11" s="14"/>
      <c r="C11" s="15" t="s">
        <v>98</v>
      </c>
      <c r="D11" s="16"/>
      <c r="E11" s="14"/>
      <c r="F11" s="16"/>
      <c r="G11" s="16"/>
      <c r="I11" s="17"/>
    </row>
    <row r="12" spans="1:12" x14ac:dyDescent="0.25">
      <c r="B12" s="9"/>
      <c r="C12" s="18" t="s">
        <v>122</v>
      </c>
      <c r="D12" s="19"/>
      <c r="E12" s="20"/>
      <c r="F12" s="10"/>
      <c r="G12" s="21"/>
      <c r="I12" s="21"/>
    </row>
    <row r="13" spans="1:12" x14ac:dyDescent="0.25">
      <c r="B13" s="11">
        <v>1</v>
      </c>
      <c r="C13" s="22" t="s">
        <v>207</v>
      </c>
      <c r="D13" s="23"/>
      <c r="E13" s="24">
        <v>503</v>
      </c>
      <c r="F13" s="25">
        <v>205693</v>
      </c>
      <c r="G13" s="26">
        <v>120391233</v>
      </c>
      <c r="I13" s="233">
        <v>224936090.02000001</v>
      </c>
      <c r="K13" s="28"/>
      <c r="L13" s="29"/>
    </row>
    <row r="14" spans="1:12" x14ac:dyDescent="0.25">
      <c r="B14" s="11">
        <v>2</v>
      </c>
      <c r="C14" s="22"/>
      <c r="D14" s="23"/>
      <c r="E14" s="24"/>
      <c r="F14" s="25"/>
      <c r="G14" s="26"/>
      <c r="I14" s="233"/>
      <c r="K14" s="28"/>
      <c r="L14" s="29"/>
    </row>
    <row r="15" spans="1:12" x14ac:dyDescent="0.25">
      <c r="B15" s="11">
        <v>3</v>
      </c>
      <c r="C15" s="30" t="s">
        <v>208</v>
      </c>
      <c r="E15" s="11">
        <v>503</v>
      </c>
      <c r="F15" s="25"/>
      <c r="G15" s="26">
        <v>1190482</v>
      </c>
      <c r="H15" s="28"/>
      <c r="I15" s="233">
        <v>2580496.86</v>
      </c>
      <c r="J15" s="28"/>
      <c r="K15" s="28"/>
      <c r="L15" s="29"/>
    </row>
    <row r="16" spans="1:12" x14ac:dyDescent="0.25">
      <c r="B16" s="11">
        <v>4</v>
      </c>
      <c r="C16" s="31" t="s">
        <v>209</v>
      </c>
      <c r="D16" s="32"/>
      <c r="E16" s="13">
        <v>503</v>
      </c>
      <c r="F16" s="33"/>
      <c r="G16" s="34">
        <v>-1709750</v>
      </c>
      <c r="H16" s="28"/>
      <c r="I16" s="234">
        <v>-2892288.17</v>
      </c>
      <c r="J16" s="28"/>
      <c r="K16" s="28"/>
      <c r="L16" s="29"/>
    </row>
    <row r="17" spans="2:12" s="35" customFormat="1" x14ac:dyDescent="0.25">
      <c r="B17" s="11">
        <v>5</v>
      </c>
      <c r="C17" s="36" t="s">
        <v>210</v>
      </c>
      <c r="D17" s="37"/>
      <c r="E17" s="38"/>
      <c r="F17" s="39">
        <f>SUM(F13:F16)</f>
        <v>205693</v>
      </c>
      <c r="G17" s="40">
        <f>SUM(G13:G16)</f>
        <v>119871965</v>
      </c>
      <c r="H17" s="41"/>
      <c r="I17" s="42">
        <f>SUM(I13:I16)</f>
        <v>224624298.71000004</v>
      </c>
      <c r="J17" s="41"/>
      <c r="K17" s="41"/>
      <c r="L17" s="43"/>
    </row>
    <row r="18" spans="2:12" x14ac:dyDescent="0.25">
      <c r="B18" s="11">
        <v>6</v>
      </c>
      <c r="C18" s="18" t="s">
        <v>123</v>
      </c>
      <c r="D18" s="23"/>
      <c r="E18" s="24"/>
      <c r="F18" s="28"/>
      <c r="G18" s="26"/>
      <c r="H18" s="28"/>
      <c r="I18" s="27"/>
      <c r="K18" s="28"/>
      <c r="L18" s="44"/>
    </row>
    <row r="19" spans="2:12" x14ac:dyDescent="0.25">
      <c r="B19" s="11">
        <v>7</v>
      </c>
      <c r="C19" s="45" t="s">
        <v>207</v>
      </c>
      <c r="D19" s="23"/>
      <c r="E19" s="24" t="s">
        <v>102</v>
      </c>
      <c r="F19" s="28">
        <v>27641</v>
      </c>
      <c r="G19" s="26">
        <v>89588030</v>
      </c>
      <c r="H19" s="28"/>
      <c r="I19" s="233">
        <v>152179900.40000001</v>
      </c>
      <c r="K19" s="28"/>
      <c r="L19" s="29"/>
    </row>
    <row r="20" spans="2:12" x14ac:dyDescent="0.25">
      <c r="B20" s="11">
        <v>8</v>
      </c>
      <c r="C20" s="45" t="s">
        <v>211</v>
      </c>
      <c r="D20" s="23"/>
      <c r="E20" s="24" t="s">
        <v>106</v>
      </c>
      <c r="F20" s="28">
        <v>73</v>
      </c>
      <c r="G20" s="26">
        <v>11337700</v>
      </c>
      <c r="I20" s="233">
        <v>16599863.32</v>
      </c>
      <c r="K20" s="28"/>
      <c r="L20" s="29"/>
    </row>
    <row r="21" spans="2:12" x14ac:dyDescent="0.25">
      <c r="B21" s="11">
        <v>9</v>
      </c>
      <c r="C21" s="45"/>
      <c r="D21" s="23"/>
      <c r="E21" s="24"/>
      <c r="F21" s="28"/>
      <c r="G21" s="26"/>
      <c r="I21" s="233"/>
      <c r="K21" s="28"/>
      <c r="L21" s="29"/>
    </row>
    <row r="22" spans="2:12" x14ac:dyDescent="0.25">
      <c r="B22" s="11">
        <v>10</v>
      </c>
      <c r="C22" s="8" t="str">
        <f>C15</f>
        <v>EOM</v>
      </c>
      <c r="D22" s="23"/>
      <c r="E22" s="24">
        <v>504</v>
      </c>
      <c r="G22" s="26">
        <v>1104441</v>
      </c>
      <c r="H22" s="28"/>
      <c r="I22" s="235">
        <v>2104914.98</v>
      </c>
      <c r="J22" s="28"/>
      <c r="K22" s="28"/>
      <c r="L22" s="29"/>
    </row>
    <row r="23" spans="2:12" x14ac:dyDescent="0.25">
      <c r="B23" s="11">
        <v>11</v>
      </c>
      <c r="C23" s="8" t="str">
        <f>C16</f>
        <v>LM</v>
      </c>
      <c r="D23" s="23"/>
      <c r="E23" s="24">
        <v>504</v>
      </c>
      <c r="G23" s="26">
        <v>-1592933</v>
      </c>
      <c r="H23" s="28"/>
      <c r="I23" s="235">
        <v>-2374361.67</v>
      </c>
      <c r="J23" s="28"/>
      <c r="K23" s="28"/>
      <c r="L23" s="29"/>
    </row>
    <row r="24" spans="2:12" x14ac:dyDescent="0.25">
      <c r="B24" s="11">
        <v>12</v>
      </c>
      <c r="C24" s="8" t="s">
        <v>208</v>
      </c>
      <c r="D24" s="23"/>
      <c r="E24" s="24">
        <v>511</v>
      </c>
      <c r="G24" s="26">
        <v>155603</v>
      </c>
      <c r="H24" s="28"/>
      <c r="I24" s="235">
        <v>227744.79</v>
      </c>
      <c r="J24" s="28"/>
      <c r="K24" s="28"/>
      <c r="L24" s="29"/>
    </row>
    <row r="25" spans="2:12" x14ac:dyDescent="0.25">
      <c r="B25" s="11">
        <v>13</v>
      </c>
      <c r="C25" s="8" t="s">
        <v>209</v>
      </c>
      <c r="D25" s="23"/>
      <c r="E25" s="24">
        <v>511</v>
      </c>
      <c r="G25" s="26">
        <v>-195051</v>
      </c>
      <c r="H25" s="28"/>
      <c r="I25" s="235">
        <v>-250281.57</v>
      </c>
      <c r="J25" s="28"/>
      <c r="K25" s="28"/>
      <c r="L25" s="29"/>
    </row>
    <row r="26" spans="2:12" x14ac:dyDescent="0.25">
      <c r="B26" s="11">
        <v>14</v>
      </c>
      <c r="C26" s="45" t="s">
        <v>212</v>
      </c>
      <c r="D26" s="23"/>
      <c r="E26" s="24"/>
      <c r="F26" s="28"/>
      <c r="G26" s="26">
        <v>0</v>
      </c>
      <c r="H26" s="28"/>
      <c r="I26" s="234"/>
      <c r="K26" s="28"/>
      <c r="L26" s="46"/>
    </row>
    <row r="27" spans="2:12" s="35" customFormat="1" x14ac:dyDescent="0.25">
      <c r="B27" s="11">
        <v>15</v>
      </c>
      <c r="C27" s="36" t="s">
        <v>213</v>
      </c>
      <c r="D27" s="47"/>
      <c r="E27" s="38"/>
      <c r="F27" s="39">
        <f>SUM(F19:F26)</f>
        <v>27714</v>
      </c>
      <c r="G27" s="40">
        <f>SUM(G19:G26)</f>
        <v>100397790</v>
      </c>
      <c r="H27" s="41"/>
      <c r="I27" s="42">
        <f>SUM(I19:I26)</f>
        <v>168487780.25</v>
      </c>
      <c r="J27" s="41"/>
      <c r="K27" s="41"/>
      <c r="L27" s="43"/>
    </row>
    <row r="28" spans="2:12" x14ac:dyDescent="0.25">
      <c r="B28" s="11">
        <v>16</v>
      </c>
      <c r="C28" s="18" t="s">
        <v>124</v>
      </c>
      <c r="D28" s="23"/>
      <c r="E28" s="24"/>
      <c r="F28" s="28"/>
      <c r="G28" s="26"/>
      <c r="H28" s="28"/>
      <c r="I28" s="27"/>
      <c r="K28" s="28"/>
      <c r="L28" s="46"/>
    </row>
    <row r="29" spans="2:12" x14ac:dyDescent="0.25">
      <c r="B29" s="11">
        <v>17</v>
      </c>
      <c r="C29" s="45" t="s">
        <v>207</v>
      </c>
      <c r="D29" s="23"/>
      <c r="E29" s="24" t="s">
        <v>104</v>
      </c>
      <c r="F29" s="28">
        <v>492</v>
      </c>
      <c r="G29" s="26">
        <v>11633919</v>
      </c>
      <c r="H29" s="28"/>
      <c r="I29" s="233">
        <v>18933228.050000001</v>
      </c>
      <c r="K29" s="28"/>
      <c r="L29" s="46"/>
    </row>
    <row r="30" spans="2:12" x14ac:dyDescent="0.25">
      <c r="B30" s="11">
        <v>18</v>
      </c>
      <c r="C30" s="45" t="s">
        <v>211</v>
      </c>
      <c r="D30" s="23"/>
      <c r="E30" s="24" t="s">
        <v>106</v>
      </c>
      <c r="F30" s="28">
        <v>27</v>
      </c>
      <c r="G30" s="26">
        <v>4752914</v>
      </c>
      <c r="I30" s="233">
        <v>6777725.5499999998</v>
      </c>
      <c r="K30" s="28"/>
      <c r="L30" s="46"/>
    </row>
    <row r="31" spans="2:12" x14ac:dyDescent="0.25">
      <c r="B31" s="11">
        <v>19</v>
      </c>
      <c r="C31" s="8" t="str">
        <f>+C22</f>
        <v>EOM</v>
      </c>
      <c r="D31" s="23"/>
      <c r="E31" s="24" t="s">
        <v>104</v>
      </c>
      <c r="F31" s="28"/>
      <c r="G31" s="26"/>
      <c r="I31" s="233">
        <v>24800</v>
      </c>
      <c r="K31" s="28"/>
      <c r="L31" s="46"/>
    </row>
    <row r="32" spans="2:12" x14ac:dyDescent="0.25">
      <c r="B32" s="11">
        <v>20</v>
      </c>
      <c r="C32" s="12" t="str">
        <f>+C23</f>
        <v>LM</v>
      </c>
      <c r="D32" s="23"/>
      <c r="E32" s="24" t="s">
        <v>104</v>
      </c>
      <c r="F32" s="28"/>
      <c r="G32" s="48">
        <v>0</v>
      </c>
      <c r="I32" s="233">
        <v>-12936</v>
      </c>
      <c r="K32" s="28"/>
      <c r="L32" s="46"/>
    </row>
    <row r="33" spans="2:12" s="35" customFormat="1" x14ac:dyDescent="0.25">
      <c r="B33" s="11">
        <v>21</v>
      </c>
      <c r="C33" s="36" t="s">
        <v>214</v>
      </c>
      <c r="D33" s="47"/>
      <c r="E33" s="38"/>
      <c r="F33" s="40">
        <f>SUM(F29:F32)</f>
        <v>519</v>
      </c>
      <c r="G33" s="40">
        <f>SUM(G29:G32)</f>
        <v>16386833</v>
      </c>
      <c r="H33" s="41"/>
      <c r="I33" s="49">
        <f>SUM(I29:I32)</f>
        <v>25722817.600000001</v>
      </c>
      <c r="J33" s="41"/>
      <c r="K33" s="41"/>
      <c r="L33" s="43"/>
    </row>
    <row r="34" spans="2:12" x14ac:dyDescent="0.25">
      <c r="B34" s="11">
        <v>22</v>
      </c>
      <c r="C34" s="18" t="s">
        <v>215</v>
      </c>
      <c r="D34" s="23"/>
      <c r="E34" s="24"/>
      <c r="F34" s="28"/>
      <c r="G34" s="26"/>
      <c r="H34" s="28"/>
      <c r="I34" s="27"/>
      <c r="K34" s="28"/>
      <c r="L34" s="46"/>
    </row>
    <row r="35" spans="2:12" x14ac:dyDescent="0.25">
      <c r="B35" s="11">
        <v>23</v>
      </c>
      <c r="C35" s="45" t="s">
        <v>216</v>
      </c>
      <c r="D35" s="23"/>
      <c r="E35" s="24" t="s">
        <v>108</v>
      </c>
      <c r="F35" s="28">
        <v>6</v>
      </c>
      <c r="G35" s="26">
        <v>847257</v>
      </c>
      <c r="H35" s="28"/>
      <c r="I35" s="233">
        <v>1121259.95</v>
      </c>
      <c r="K35" s="28"/>
      <c r="L35" s="46"/>
    </row>
    <row r="36" spans="2:12" x14ac:dyDescent="0.25">
      <c r="B36" s="11">
        <v>24</v>
      </c>
      <c r="C36" s="45" t="str">
        <f>+C31</f>
        <v>EOM</v>
      </c>
      <c r="D36" s="23"/>
      <c r="E36" s="24"/>
      <c r="F36" s="28"/>
      <c r="G36" s="26">
        <v>42604</v>
      </c>
      <c r="I36" s="233">
        <v>56716.14</v>
      </c>
      <c r="K36" s="28"/>
      <c r="L36" s="46"/>
    </row>
    <row r="37" spans="2:12" x14ac:dyDescent="0.25">
      <c r="B37" s="11">
        <v>25</v>
      </c>
      <c r="C37" s="45" t="str">
        <f>+C32</f>
        <v>LM</v>
      </c>
      <c r="D37" s="23"/>
      <c r="E37" s="24"/>
      <c r="F37" s="28"/>
      <c r="G37" s="26">
        <v>-35751</v>
      </c>
      <c r="I37" s="233">
        <v>-39723.18</v>
      </c>
      <c r="K37" s="28"/>
      <c r="L37" s="46"/>
    </row>
    <row r="38" spans="2:12" x14ac:dyDescent="0.25">
      <c r="B38" s="11">
        <v>26</v>
      </c>
      <c r="C38" s="45"/>
      <c r="D38" s="23"/>
      <c r="E38" s="24"/>
      <c r="F38" s="28"/>
      <c r="G38" s="26"/>
      <c r="I38" s="233"/>
      <c r="K38" s="28"/>
      <c r="L38" s="46"/>
    </row>
    <row r="39" spans="2:12" x14ac:dyDescent="0.25">
      <c r="B39" s="11">
        <v>27</v>
      </c>
      <c r="C39" s="45"/>
      <c r="D39" s="23"/>
      <c r="E39" s="24"/>
      <c r="F39" s="28"/>
      <c r="G39" s="26"/>
      <c r="I39" s="233"/>
      <c r="K39" s="28"/>
      <c r="L39" s="46"/>
    </row>
    <row r="40" spans="2:12" s="35" customFormat="1" x14ac:dyDescent="0.25">
      <c r="B40" s="11">
        <v>28</v>
      </c>
      <c r="C40" s="15" t="s">
        <v>217</v>
      </c>
      <c r="D40" s="47"/>
      <c r="E40" s="38"/>
      <c r="F40" s="39">
        <f>SUM(F35:F35)</f>
        <v>6</v>
      </c>
      <c r="G40" s="40">
        <f>SUM(G35:G37)</f>
        <v>854110</v>
      </c>
      <c r="H40" s="41"/>
      <c r="I40" s="42">
        <f>+I35+I36+I37</f>
        <v>1138252.9099999999</v>
      </c>
      <c r="J40" s="41"/>
      <c r="K40" s="41"/>
      <c r="L40" s="43"/>
    </row>
    <row r="41" spans="2:12" s="35" customFormat="1" x14ac:dyDescent="0.25">
      <c r="B41" s="11">
        <v>29</v>
      </c>
      <c r="C41" s="50" t="s">
        <v>218</v>
      </c>
      <c r="E41" s="51"/>
      <c r="F41" s="41">
        <f>+F40+F33+F27+F17</f>
        <v>233932</v>
      </c>
      <c r="G41" s="40">
        <f>G17+G27+G33+G40</f>
        <v>237510698</v>
      </c>
      <c r="H41" s="41"/>
      <c r="I41" s="42">
        <f>I17+I27+I33+I40</f>
        <v>419973149.47000009</v>
      </c>
      <c r="J41" s="41"/>
      <c r="K41" s="41"/>
      <c r="L41" s="43"/>
    </row>
    <row r="42" spans="2:12" x14ac:dyDescent="0.25">
      <c r="B42" s="14"/>
      <c r="C42" s="15" t="s">
        <v>110</v>
      </c>
      <c r="D42" s="16"/>
      <c r="E42" s="14"/>
      <c r="F42" s="17"/>
      <c r="G42" s="17"/>
      <c r="H42" s="28"/>
      <c r="I42" s="52"/>
      <c r="K42" s="28"/>
      <c r="L42" s="46"/>
    </row>
    <row r="43" spans="2:12" x14ac:dyDescent="0.25">
      <c r="B43" s="9">
        <v>30</v>
      </c>
      <c r="C43" s="12"/>
      <c r="D43" s="23"/>
      <c r="E43" s="24"/>
      <c r="F43" s="28"/>
      <c r="G43" s="26"/>
      <c r="H43" s="53"/>
      <c r="I43" s="54"/>
      <c r="J43" s="12"/>
      <c r="K43" s="28"/>
      <c r="L43" s="46"/>
    </row>
    <row r="44" spans="2:12" x14ac:dyDescent="0.25">
      <c r="B44" s="11">
        <v>31</v>
      </c>
      <c r="C44" s="55" t="s">
        <v>219</v>
      </c>
      <c r="D44" s="23"/>
      <c r="E44" s="24"/>
      <c r="F44" s="28"/>
      <c r="G44" s="26"/>
      <c r="H44" s="53"/>
      <c r="I44" s="56"/>
      <c r="K44" s="28"/>
      <c r="L44" s="46"/>
    </row>
    <row r="45" spans="2:12" x14ac:dyDescent="0.25">
      <c r="B45" s="11">
        <v>32</v>
      </c>
      <c r="C45" s="45" t="s">
        <v>216</v>
      </c>
      <c r="D45" s="23"/>
      <c r="E45" s="24" t="s">
        <v>220</v>
      </c>
      <c r="F45" s="28">
        <v>202</v>
      </c>
      <c r="G45" s="26">
        <v>833178175</v>
      </c>
      <c r="H45" s="28"/>
      <c r="I45" s="233">
        <v>41044944.880000003</v>
      </c>
      <c r="J45" s="12"/>
      <c r="K45" s="28"/>
      <c r="L45" s="46"/>
    </row>
    <row r="46" spans="2:12" x14ac:dyDescent="0.25">
      <c r="B46" s="11">
        <v>33</v>
      </c>
      <c r="C46" s="45" t="s">
        <v>221</v>
      </c>
      <c r="D46" s="23"/>
      <c r="E46" s="24" t="s">
        <v>222</v>
      </c>
      <c r="F46" s="57">
        <v>6</v>
      </c>
      <c r="G46" s="34">
        <v>136742565</v>
      </c>
      <c r="I46" s="234">
        <v>3137080.63</v>
      </c>
      <c r="K46" s="28"/>
      <c r="L46" s="46"/>
    </row>
    <row r="47" spans="2:12" s="35" customFormat="1" x14ac:dyDescent="0.25">
      <c r="B47" s="11">
        <v>34</v>
      </c>
      <c r="C47" s="58" t="s">
        <v>223</v>
      </c>
      <c r="D47" s="47"/>
      <c r="E47" s="51"/>
      <c r="F47" s="59">
        <f>SUM(F43:F46)</f>
        <v>208</v>
      </c>
      <c r="G47" s="60">
        <f>SUM(G43:G46)</f>
        <v>969920740</v>
      </c>
      <c r="I47" s="242">
        <f>SUM(I43:I46)</f>
        <v>44182025.510000005</v>
      </c>
      <c r="L47" s="43"/>
    </row>
    <row r="48" spans="2:12" s="35" customFormat="1" x14ac:dyDescent="0.25">
      <c r="B48" s="13">
        <v>35</v>
      </c>
      <c r="C48" s="58" t="s">
        <v>224</v>
      </c>
      <c r="D48" s="61"/>
      <c r="E48" s="51"/>
      <c r="F48" s="59">
        <f>+F47+F41</f>
        <v>234140</v>
      </c>
      <c r="G48" s="60">
        <f>G41+G47</f>
        <v>1207431438</v>
      </c>
      <c r="H48" s="41"/>
      <c r="I48" s="42">
        <f>I41+I47</f>
        <v>464155174.98000008</v>
      </c>
      <c r="J48" s="41"/>
      <c r="K48" s="41">
        <f>I41+I45</f>
        <v>461018094.35000008</v>
      </c>
      <c r="L48" s="43"/>
    </row>
    <row r="49" spans="2:12" x14ac:dyDescent="0.25">
      <c r="B49" s="62"/>
      <c r="C49" s="6"/>
      <c r="D49" s="12"/>
      <c r="F49" s="12"/>
      <c r="G49" s="12"/>
      <c r="H49" s="12"/>
      <c r="I49" s="63"/>
    </row>
    <row r="50" spans="2:12" x14ac:dyDescent="0.25">
      <c r="B50" s="62"/>
      <c r="C50" s="6"/>
      <c r="D50" s="6"/>
      <c r="E50" s="62"/>
      <c r="F50" s="64"/>
      <c r="G50" s="64"/>
      <c r="H50" s="64"/>
      <c r="I50" s="65"/>
      <c r="J50" s="35"/>
      <c r="L50" s="435"/>
    </row>
  </sheetData>
  <mergeCells count="4">
    <mergeCell ref="C2:J2"/>
    <mergeCell ref="C3:J3"/>
    <mergeCell ref="C4:J4"/>
    <mergeCell ref="C5:J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E244-1ADF-486E-8AE4-68244A960DF9}">
  <dimension ref="A1:I19"/>
  <sheetViews>
    <sheetView view="pageBreakPreview" zoomScale="145" zoomScaleNormal="205" zoomScaleSheetLayoutView="145" workbookViewId="0">
      <selection activeCell="B7" sqref="B7"/>
    </sheetView>
  </sheetViews>
  <sheetFormatPr defaultRowHeight="15" x14ac:dyDescent="0.25"/>
  <cols>
    <col min="1" max="1" width="9.140625" style="88"/>
    <col min="2" max="5" width="15.5703125" style="88" bestFit="1" customWidth="1"/>
    <col min="6" max="6" width="15.140625" style="88" bestFit="1" customWidth="1"/>
    <col min="7" max="7" width="9.140625" style="88"/>
    <col min="8" max="9" width="15.140625" style="88" bestFit="1" customWidth="1"/>
    <col min="10" max="16384" width="9.140625" style="88"/>
  </cols>
  <sheetData>
    <row r="1" spans="1:9" x14ac:dyDescent="0.25">
      <c r="A1" s="95" t="s">
        <v>0</v>
      </c>
    </row>
    <row r="3" spans="1:9" x14ac:dyDescent="0.25">
      <c r="A3" s="91" t="s">
        <v>225</v>
      </c>
      <c r="B3" s="92" t="s">
        <v>178</v>
      </c>
      <c r="C3" s="92" t="s">
        <v>179</v>
      </c>
      <c r="D3" s="92" t="s">
        <v>180</v>
      </c>
      <c r="E3" s="92" t="s">
        <v>181</v>
      </c>
    </row>
    <row r="4" spans="1:9" x14ac:dyDescent="0.25">
      <c r="A4" s="93">
        <v>45536</v>
      </c>
      <c r="B4" s="214">
        <f>'EDP-AMP 1823.2073'!H23</f>
        <v>945725.04</v>
      </c>
      <c r="C4" s="214">
        <f>'EDP-AMP 1823.2074'!H29</f>
        <v>819173.4800000001</v>
      </c>
      <c r="D4" s="214">
        <f>'EDP-AMP 1823.2075'!H29</f>
        <v>382101.21</v>
      </c>
      <c r="E4" s="214">
        <f>'EDP-AMP 1823.2076'!H25</f>
        <v>-3416900.8999999994</v>
      </c>
    </row>
    <row r="5" spans="1:9" x14ac:dyDescent="0.25">
      <c r="A5" s="93">
        <v>45566</v>
      </c>
      <c r="B5" s="214">
        <f>'EDP-AMP 1823.2073'!H24</f>
        <v>1025726.89</v>
      </c>
      <c r="C5" s="214">
        <f>'EDP-AMP 1823.2074'!H30</f>
        <v>829908.29000000015</v>
      </c>
      <c r="D5" s="214">
        <f>'EDP-AMP 1823.2075'!H30</f>
        <v>438692.78</v>
      </c>
      <c r="E5" s="214">
        <f>'EDP-AMP 1823.2076'!H26</f>
        <v>-3618255.7299999995</v>
      </c>
    </row>
    <row r="6" spans="1:9" x14ac:dyDescent="0.25">
      <c r="A6" s="93">
        <v>45597</v>
      </c>
      <c r="B6" s="214">
        <f>'EDP-AMP 1823.2073'!H26</f>
        <v>1114572.4099999999</v>
      </c>
      <c r="C6" s="214">
        <f>'EDP-AMP 1823.2074'!H31</f>
        <v>1010420.3400000001</v>
      </c>
      <c r="D6" s="214">
        <f>'EDP-AMP 1823.2075'!H31</f>
        <v>501357.35000000003</v>
      </c>
      <c r="E6" s="214">
        <f>'EDP-AMP 1823.2076'!H27</f>
        <v>-3908494.7899999996</v>
      </c>
    </row>
    <row r="7" spans="1:9" x14ac:dyDescent="0.25">
      <c r="A7" s="93">
        <v>45627</v>
      </c>
      <c r="B7" s="214">
        <f>'EDP-AMP 1823.2073'!H27</f>
        <v>1464278.04</v>
      </c>
      <c r="C7" s="214">
        <f>'EDP-AMP 1823.2074'!H32</f>
        <v>1252585.58</v>
      </c>
      <c r="D7" s="214">
        <f>'EDP-AMP 1823.2075'!H32</f>
        <v>590863.46000000008</v>
      </c>
      <c r="E7" s="214">
        <f>'EDP-AMP 1823.2076'!H28</f>
        <v>-4424249.84</v>
      </c>
    </row>
    <row r="8" spans="1:9" x14ac:dyDescent="0.25">
      <c r="A8" s="93">
        <v>45658</v>
      </c>
      <c r="B8" s="214">
        <f>'EDP-AMP 1823.2073'!H28</f>
        <v>1987228.8800000001</v>
      </c>
      <c r="C8" s="214">
        <f>'EDP-AMP 1823.2074'!H33</f>
        <v>1263902.6500000001</v>
      </c>
      <c r="D8" s="214">
        <f>'EDP-AMP 1823.2075'!H33</f>
        <v>791732.14000000013</v>
      </c>
      <c r="E8" s="214">
        <f>'EDP-AMP 1823.2076'!H29</f>
        <v>-5045389.38</v>
      </c>
    </row>
    <row r="9" spans="1:9" x14ac:dyDescent="0.25">
      <c r="A9" s="93">
        <v>45689</v>
      </c>
      <c r="B9" s="214">
        <f>'EDP-AMP 1823.2073'!H29</f>
        <v>2617569.9500000002</v>
      </c>
      <c r="C9" s="214">
        <f>'EDP-AMP 1823.2074'!H34</f>
        <v>1371112.1300000001</v>
      </c>
      <c r="D9" s="214">
        <f>'EDP-AMP 1823.2075'!H34</f>
        <v>1069432.2000000002</v>
      </c>
      <c r="E9" s="214">
        <f>'EDP-AMP 1823.2076'!H30</f>
        <v>-5693968.3200000003</v>
      </c>
    </row>
    <row r="10" spans="1:9" x14ac:dyDescent="0.25">
      <c r="A10" s="93">
        <v>45717</v>
      </c>
      <c r="B10" s="214">
        <f>'EDP-AMP 1823.2073'!H30</f>
        <v>3249284.96</v>
      </c>
      <c r="C10" s="214">
        <f>'EDP-AMP 1823.2074'!H35</f>
        <v>1496400.9600000002</v>
      </c>
      <c r="D10" s="214">
        <f>'EDP-AMP 1823.2075'!H35</f>
        <v>1328403.5300000003</v>
      </c>
      <c r="E10" s="214">
        <f>'EDP-AMP 1823.2076'!H31</f>
        <v>-6213624.4300000006</v>
      </c>
    </row>
    <row r="11" spans="1:9" x14ac:dyDescent="0.25">
      <c r="A11" s="93">
        <v>45748</v>
      </c>
      <c r="B11" s="214">
        <f>'EDP-AMP 1823.2073'!H31</f>
        <v>3757375.46</v>
      </c>
      <c r="C11" s="214">
        <f>'EDP-AMP 1823.2074'!H36</f>
        <v>1521230.0500000003</v>
      </c>
      <c r="D11" s="214">
        <f>'EDP-AMP 1823.2075'!H36</f>
        <v>1547096.5000000002</v>
      </c>
      <c r="E11" s="214">
        <f>'EDP-AMP 1823.2076'!H32</f>
        <v>-6600221.2700000005</v>
      </c>
    </row>
    <row r="12" spans="1:9" x14ac:dyDescent="0.25">
      <c r="A12" s="93">
        <v>45778</v>
      </c>
      <c r="B12" s="214">
        <f>'EDP-AMP 1823.2073'!H32</f>
        <v>4080972.59</v>
      </c>
      <c r="C12" s="214">
        <f>'EDP-AMP 1823.2074'!H37</f>
        <v>1540146.4900000002</v>
      </c>
      <c r="D12" s="214">
        <f>'EDP-AMP 1823.2075'!H37</f>
        <v>1749333.3300000003</v>
      </c>
      <c r="E12" s="214">
        <f>'EDP-AMP 1823.2076'!H33</f>
        <v>-6859202.25</v>
      </c>
    </row>
    <row r="13" spans="1:9" x14ac:dyDescent="0.25">
      <c r="A13" s="93">
        <v>45809</v>
      </c>
      <c r="B13" s="214">
        <f>'EDP-AMP 1823.2073'!H33</f>
        <v>4305926.4799999995</v>
      </c>
      <c r="C13" s="214">
        <f>'EDP-AMP 1823.2074'!H38</f>
        <v>1645752.4700000002</v>
      </c>
      <c r="D13" s="214">
        <f>'EDP-AMP 1823.2075'!H38</f>
        <v>1919487.6600000004</v>
      </c>
      <c r="E13" s="214">
        <f>'EDP-AMP 1823.2076'!H34</f>
        <v>-7061574.9000000004</v>
      </c>
    </row>
    <row r="14" spans="1:9" x14ac:dyDescent="0.25">
      <c r="A14" s="93">
        <v>45839</v>
      </c>
      <c r="B14" s="214">
        <f>'EDP-AMP 1823.2073'!H34</f>
        <v>4481964.42</v>
      </c>
      <c r="C14" s="214">
        <f>'EDP-AMP 1823.2074'!H39</f>
        <v>1658975.1700000002</v>
      </c>
      <c r="D14" s="214">
        <f>'EDP-AMP 1823.2075'!H39</f>
        <v>2063411.2700000005</v>
      </c>
      <c r="E14" s="214">
        <f>'EDP-AMP 1823.2076'!H35</f>
        <v>-7248817.8300000001</v>
      </c>
    </row>
    <row r="16" spans="1:9" x14ac:dyDescent="0.25">
      <c r="A16" s="477">
        <v>45839</v>
      </c>
      <c r="B16" s="215">
        <f>B14</f>
        <v>4481964.42</v>
      </c>
      <c r="C16" s="215">
        <f t="shared" ref="C16:E16" si="0">C14</f>
        <v>1658975.1700000002</v>
      </c>
      <c r="D16" s="215">
        <f t="shared" si="0"/>
        <v>2063411.2700000005</v>
      </c>
      <c r="E16" s="215">
        <f t="shared" si="0"/>
        <v>-7248817.8300000001</v>
      </c>
      <c r="F16" s="216">
        <f>SUM(B16:E16)</f>
        <v>955533.03000000026</v>
      </c>
      <c r="H16" s="476"/>
      <c r="I16" s="476"/>
    </row>
    <row r="19" spans="2:5" x14ac:dyDescent="0.25">
      <c r="B19" s="94"/>
      <c r="C19" s="94"/>
      <c r="D19" s="94"/>
      <c r="E19" s="94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7E1D-D4E8-4DB5-870E-026C8B4CA02E}">
  <dimension ref="A1:N63"/>
  <sheetViews>
    <sheetView zoomScale="115" zoomScaleNormal="115" workbookViewId="0">
      <selection activeCell="L21" sqref="L21"/>
    </sheetView>
  </sheetViews>
  <sheetFormatPr defaultRowHeight="15" x14ac:dyDescent="0.25"/>
  <cols>
    <col min="1" max="1" width="17.140625" style="88" customWidth="1"/>
    <col min="2" max="4" width="9.140625" style="88"/>
    <col min="5" max="5" width="16.85546875" style="88" bestFit="1" customWidth="1"/>
    <col min="6" max="6" width="14.85546875" style="88" customWidth="1"/>
    <col min="7" max="7" width="17" style="88" customWidth="1"/>
    <col min="8" max="8" width="13.42578125" style="88" customWidth="1"/>
    <col min="9" max="11" width="9.140625" style="88"/>
    <col min="12" max="12" width="17.42578125" style="88" customWidth="1"/>
    <col min="13" max="13" width="15" style="88" customWidth="1"/>
    <col min="14" max="14" width="14.5703125" style="88" customWidth="1"/>
    <col min="15" max="16384" width="9.140625" style="88"/>
  </cols>
  <sheetData>
    <row r="1" spans="1:14" ht="18.75" x14ac:dyDescent="0.3">
      <c r="A1" s="375" t="s">
        <v>0</v>
      </c>
    </row>
    <row r="3" spans="1:14" x14ac:dyDescent="0.25">
      <c r="A3" s="88" t="s">
        <v>226</v>
      </c>
      <c r="B3" s="88" t="s">
        <v>227</v>
      </c>
      <c r="C3" s="88" t="s">
        <v>228</v>
      </c>
      <c r="D3" s="88" t="s">
        <v>229</v>
      </c>
      <c r="E3" s="88" t="s">
        <v>230</v>
      </c>
      <c r="F3" s="88" t="s">
        <v>231</v>
      </c>
      <c r="G3" s="88" t="s">
        <v>232</v>
      </c>
      <c r="H3" s="88" t="s">
        <v>233</v>
      </c>
      <c r="I3" s="88" t="s">
        <v>234</v>
      </c>
      <c r="L3" s="80"/>
      <c r="M3" s="82" t="s">
        <v>235</v>
      </c>
      <c r="N3" s="221" t="s">
        <v>236</v>
      </c>
    </row>
    <row r="4" spans="1:14" x14ac:dyDescent="0.25">
      <c r="A4" s="218">
        <v>45901</v>
      </c>
      <c r="B4" t="s">
        <v>237</v>
      </c>
      <c r="C4" t="s">
        <v>238</v>
      </c>
      <c r="D4">
        <v>2025</v>
      </c>
      <c r="E4" s="219">
        <v>-24050.75</v>
      </c>
      <c r="F4" s="219">
        <v>-22.665555555555553</v>
      </c>
      <c r="G4" s="219">
        <v>25.682222222222222</v>
      </c>
      <c r="H4" s="219">
        <v>3.0172222222222222</v>
      </c>
      <c r="I4" s="220">
        <v>1060</v>
      </c>
      <c r="J4" s="84"/>
      <c r="K4" s="84"/>
      <c r="L4" s="81" t="s">
        <v>239</v>
      </c>
      <c r="M4" s="223">
        <f>SUM(I4:I63)</f>
        <v>160726</v>
      </c>
      <c r="N4" s="222">
        <f>M4/11</f>
        <v>14611.454545454546</v>
      </c>
    </row>
    <row r="5" spans="1:14" x14ac:dyDescent="0.25">
      <c r="A5" s="218">
        <v>45901</v>
      </c>
      <c r="B5" t="s">
        <v>237</v>
      </c>
      <c r="C5" t="s">
        <v>240</v>
      </c>
      <c r="D5">
        <v>2025</v>
      </c>
      <c r="E5" s="219">
        <v>-21203.109999999997</v>
      </c>
      <c r="F5" s="219">
        <v>-19.991111111111113</v>
      </c>
      <c r="G5" s="219">
        <v>28.151111111111106</v>
      </c>
      <c r="H5" s="219">
        <v>8.1594444444444445</v>
      </c>
      <c r="I5" s="220">
        <v>1046</v>
      </c>
      <c r="L5" s="81" t="s">
        <v>241</v>
      </c>
      <c r="M5" s="78">
        <f>SUM(E4:E63)</f>
        <v>-3693721.77</v>
      </c>
      <c r="N5" s="76"/>
    </row>
    <row r="6" spans="1:14" x14ac:dyDescent="0.25">
      <c r="A6" s="218">
        <v>45901</v>
      </c>
      <c r="B6" t="s">
        <v>237</v>
      </c>
      <c r="C6" t="s">
        <v>242</v>
      </c>
      <c r="D6">
        <v>2025</v>
      </c>
      <c r="E6" s="219">
        <v>-47788.369999999995</v>
      </c>
      <c r="F6" s="219">
        <v>-12.39842105263158</v>
      </c>
      <c r="G6" s="219">
        <v>28.296315789473685</v>
      </c>
      <c r="H6" s="219">
        <v>15.899473684210525</v>
      </c>
      <c r="I6" s="220">
        <v>3844</v>
      </c>
      <c r="L6" s="81"/>
      <c r="M6" s="83"/>
    </row>
    <row r="7" spans="1:14" x14ac:dyDescent="0.25">
      <c r="A7" s="218">
        <v>45901</v>
      </c>
      <c r="B7" t="s">
        <v>237</v>
      </c>
      <c r="C7" t="s">
        <v>243</v>
      </c>
      <c r="D7">
        <v>2025</v>
      </c>
      <c r="E7" s="219">
        <v>-24635.99</v>
      </c>
      <c r="F7" s="219">
        <v>-5.9478947368421053</v>
      </c>
      <c r="G7" s="219">
        <v>30.808421052631587</v>
      </c>
      <c r="H7" s="219">
        <v>24.862105263157893</v>
      </c>
      <c r="I7" s="220">
        <v>3899</v>
      </c>
      <c r="L7" s="85" t="s">
        <v>3</v>
      </c>
      <c r="M7" s="86">
        <f>M5/M4</f>
        <v>-22.98148258526934</v>
      </c>
      <c r="N7" s="71"/>
    </row>
    <row r="8" spans="1:14" x14ac:dyDescent="0.25">
      <c r="A8" s="218">
        <v>45901</v>
      </c>
      <c r="B8" t="s">
        <v>237</v>
      </c>
      <c r="C8" t="s">
        <v>244</v>
      </c>
      <c r="D8">
        <v>2025</v>
      </c>
      <c r="E8" s="219">
        <v>-15616.360000000002</v>
      </c>
      <c r="F8" s="219">
        <v>-1.9490000000000003</v>
      </c>
      <c r="G8" s="219">
        <v>32.339999999999996</v>
      </c>
      <c r="H8" s="219">
        <v>30.390999999999998</v>
      </c>
      <c r="I8" s="220">
        <v>7236</v>
      </c>
    </row>
    <row r="9" spans="1:14" x14ac:dyDescent="0.25">
      <c r="A9" s="218">
        <v>45901</v>
      </c>
      <c r="B9" t="s">
        <v>245</v>
      </c>
      <c r="C9" t="s">
        <v>238</v>
      </c>
      <c r="D9">
        <v>2025</v>
      </c>
      <c r="E9" s="219">
        <v>-28562.329999999998</v>
      </c>
      <c r="F9" s="219">
        <v>-27.918333333333329</v>
      </c>
      <c r="G9" s="219">
        <v>33.222777777777786</v>
      </c>
      <c r="H9" s="219">
        <v>5.3027777777777789</v>
      </c>
      <c r="I9" s="220">
        <v>1083</v>
      </c>
      <c r="M9" s="76"/>
      <c r="N9" s="76"/>
    </row>
    <row r="10" spans="1:14" x14ac:dyDescent="0.25">
      <c r="A10" s="218">
        <v>45901</v>
      </c>
      <c r="B10" t="s">
        <v>245</v>
      </c>
      <c r="C10" t="s">
        <v>240</v>
      </c>
      <c r="D10">
        <v>2025</v>
      </c>
      <c r="E10" s="219">
        <v>-24633.55</v>
      </c>
      <c r="F10" s="219">
        <v>-23.392777777777773</v>
      </c>
      <c r="G10" s="219">
        <v>33.492222222222232</v>
      </c>
      <c r="H10" s="219">
        <v>10.100555555555555</v>
      </c>
      <c r="I10" s="220">
        <v>1040</v>
      </c>
    </row>
    <row r="11" spans="1:14" x14ac:dyDescent="0.25">
      <c r="A11" s="218">
        <v>45901</v>
      </c>
      <c r="B11" t="s">
        <v>245</v>
      </c>
      <c r="C11" t="s">
        <v>242</v>
      </c>
      <c r="D11">
        <v>2025</v>
      </c>
      <c r="E11" s="219">
        <v>-56064.639999999992</v>
      </c>
      <c r="F11" s="219">
        <v>-14.690526315789475</v>
      </c>
      <c r="G11" s="219">
        <v>33.888421052631585</v>
      </c>
      <c r="H11" s="219">
        <v>19.197368421052634</v>
      </c>
      <c r="I11" s="220">
        <v>3856</v>
      </c>
    </row>
    <row r="12" spans="1:14" x14ac:dyDescent="0.25">
      <c r="A12" s="218">
        <v>45901</v>
      </c>
      <c r="B12" t="s">
        <v>245</v>
      </c>
      <c r="C12" t="s">
        <v>243</v>
      </c>
      <c r="D12">
        <v>2025</v>
      </c>
      <c r="E12" s="219">
        <v>-28964.240000000002</v>
      </c>
      <c r="F12" s="219">
        <v>-7.568888888888889</v>
      </c>
      <c r="G12" s="219">
        <v>38.022222222222219</v>
      </c>
      <c r="H12" s="219">
        <v>30.453333333333333</v>
      </c>
      <c r="I12" s="220">
        <v>3873</v>
      </c>
    </row>
    <row r="13" spans="1:14" x14ac:dyDescent="0.25">
      <c r="A13" s="218">
        <v>45901</v>
      </c>
      <c r="B13" t="s">
        <v>245</v>
      </c>
      <c r="C13" t="s">
        <v>244</v>
      </c>
      <c r="D13">
        <v>2025</v>
      </c>
      <c r="E13" s="219">
        <v>-18576.900000000001</v>
      </c>
      <c r="F13" s="219">
        <v>-3.0047619047619052</v>
      </c>
      <c r="G13" s="219">
        <v>45.285714285714285</v>
      </c>
      <c r="H13" s="219">
        <v>42.280952380952378</v>
      </c>
      <c r="I13" s="220">
        <v>7258</v>
      </c>
      <c r="L13" s="76"/>
    </row>
    <row r="14" spans="1:14" x14ac:dyDescent="0.25">
      <c r="A14" s="218">
        <v>45901</v>
      </c>
      <c r="B14" t="s">
        <v>246</v>
      </c>
      <c r="C14" t="s">
        <v>238</v>
      </c>
      <c r="D14">
        <v>2025</v>
      </c>
      <c r="E14" s="219">
        <v>-37625.950000000004</v>
      </c>
      <c r="F14" s="219">
        <v>-39.078500000000005</v>
      </c>
      <c r="G14" s="219">
        <v>45.742000000000004</v>
      </c>
      <c r="H14" s="219">
        <v>6.6635000000000009</v>
      </c>
      <c r="I14" s="220">
        <v>1075</v>
      </c>
    </row>
    <row r="15" spans="1:14" x14ac:dyDescent="0.25">
      <c r="A15" s="218">
        <v>45901</v>
      </c>
      <c r="B15" t="s">
        <v>246</v>
      </c>
      <c r="C15" t="s">
        <v>240</v>
      </c>
      <c r="D15">
        <v>2025</v>
      </c>
      <c r="E15" s="219">
        <v>-32343.200000000001</v>
      </c>
      <c r="F15" s="219">
        <v>-26.921500000000002</v>
      </c>
      <c r="G15" s="219">
        <v>38.952500000000001</v>
      </c>
      <c r="H15" s="219">
        <v>12.0305</v>
      </c>
      <c r="I15" s="220">
        <v>1062</v>
      </c>
    </row>
    <row r="16" spans="1:14" x14ac:dyDescent="0.25">
      <c r="A16" s="218">
        <v>45901</v>
      </c>
      <c r="B16" t="s">
        <v>246</v>
      </c>
      <c r="C16" t="s">
        <v>242</v>
      </c>
      <c r="D16">
        <v>2025</v>
      </c>
      <c r="E16" s="219">
        <v>-73790.860000000015</v>
      </c>
      <c r="F16" s="219">
        <v>-19.156999999999996</v>
      </c>
      <c r="G16" s="219">
        <v>42.814500000000002</v>
      </c>
      <c r="H16" s="219">
        <v>23.657000000000004</v>
      </c>
      <c r="I16" s="220">
        <v>3804</v>
      </c>
    </row>
    <row r="17" spans="1:9" x14ac:dyDescent="0.25">
      <c r="A17" s="218">
        <v>45901</v>
      </c>
      <c r="B17" t="s">
        <v>246</v>
      </c>
      <c r="C17" t="s">
        <v>243</v>
      </c>
      <c r="D17">
        <v>2025</v>
      </c>
      <c r="E17" s="219">
        <v>-38602.69</v>
      </c>
      <c r="F17" s="219">
        <v>-9.371052631578948</v>
      </c>
      <c r="G17" s="219">
        <v>44.762631578947364</v>
      </c>
      <c r="H17" s="219">
        <v>35.392631578947373</v>
      </c>
      <c r="I17" s="220">
        <v>3842</v>
      </c>
    </row>
    <row r="18" spans="1:9" x14ac:dyDescent="0.25">
      <c r="A18" s="218">
        <v>45901</v>
      </c>
      <c r="B18" t="s">
        <v>246</v>
      </c>
      <c r="C18" t="s">
        <v>244</v>
      </c>
      <c r="D18">
        <v>2025</v>
      </c>
      <c r="E18" s="219">
        <v>-24880.89</v>
      </c>
      <c r="F18" s="219">
        <v>-3.3665000000000007</v>
      </c>
      <c r="G18" s="219">
        <v>49.7515</v>
      </c>
      <c r="H18" s="219">
        <v>46.385499999999993</v>
      </c>
      <c r="I18" s="220">
        <v>7295</v>
      </c>
    </row>
    <row r="19" spans="1:9" x14ac:dyDescent="0.25">
      <c r="A19" s="218">
        <v>45901</v>
      </c>
      <c r="B19" t="s">
        <v>247</v>
      </c>
      <c r="C19" t="s">
        <v>238</v>
      </c>
      <c r="D19">
        <v>2025</v>
      </c>
      <c r="E19" s="219">
        <v>-56121.94000000001</v>
      </c>
      <c r="F19" s="219">
        <v>-53.077999999999996</v>
      </c>
      <c r="G19" s="219">
        <v>61.025500000000001</v>
      </c>
      <c r="H19" s="219">
        <v>7.9475000000000007</v>
      </c>
      <c r="I19" s="220">
        <v>1057</v>
      </c>
    </row>
    <row r="20" spans="1:9" x14ac:dyDescent="0.25">
      <c r="A20" s="218">
        <v>45901</v>
      </c>
      <c r="B20" t="s">
        <v>247</v>
      </c>
      <c r="C20" t="s">
        <v>240</v>
      </c>
      <c r="D20">
        <v>2025</v>
      </c>
      <c r="E20" s="219">
        <v>-47951.299999999996</v>
      </c>
      <c r="F20" s="219">
        <v>-39.166499999999999</v>
      </c>
      <c r="G20" s="219">
        <v>55.530500000000004</v>
      </c>
      <c r="H20" s="219">
        <v>16.3645</v>
      </c>
      <c r="I20" s="220">
        <v>1068</v>
      </c>
    </row>
    <row r="21" spans="1:9" x14ac:dyDescent="0.25">
      <c r="A21" s="218">
        <v>45901</v>
      </c>
      <c r="B21" t="s">
        <v>247</v>
      </c>
      <c r="C21" t="s">
        <v>242</v>
      </c>
      <c r="D21">
        <v>2025</v>
      </c>
      <c r="E21" s="219">
        <v>-109989.3</v>
      </c>
      <c r="F21" s="219">
        <v>-26.187999999999999</v>
      </c>
      <c r="G21" s="219">
        <v>56.443499999999993</v>
      </c>
      <c r="H21" s="219">
        <v>30.254000000000001</v>
      </c>
      <c r="I21" s="220">
        <v>3783</v>
      </c>
    </row>
    <row r="22" spans="1:9" x14ac:dyDescent="0.25">
      <c r="A22" s="218">
        <v>45901</v>
      </c>
      <c r="B22" t="s">
        <v>247</v>
      </c>
      <c r="C22" t="s">
        <v>243</v>
      </c>
      <c r="D22">
        <v>2025</v>
      </c>
      <c r="E22" s="219">
        <v>-56131.83</v>
      </c>
      <c r="F22" s="219">
        <v>-19.4985</v>
      </c>
      <c r="G22" s="219">
        <v>73.597000000000008</v>
      </c>
      <c r="H22" s="219">
        <v>54.097999999999999</v>
      </c>
      <c r="I22" s="220">
        <v>3803</v>
      </c>
    </row>
    <row r="23" spans="1:9" x14ac:dyDescent="0.25">
      <c r="A23" s="218">
        <v>45901</v>
      </c>
      <c r="B23" t="s">
        <v>247</v>
      </c>
      <c r="C23" t="s">
        <v>244</v>
      </c>
      <c r="D23">
        <v>2025</v>
      </c>
      <c r="E23" s="219">
        <v>-36553.25</v>
      </c>
      <c r="F23" s="219">
        <v>-4.5655000000000001</v>
      </c>
      <c r="G23" s="219">
        <v>63.754499999999993</v>
      </c>
      <c r="H23" s="219">
        <v>59.19</v>
      </c>
      <c r="I23" s="220">
        <v>7351</v>
      </c>
    </row>
    <row r="24" spans="1:9" x14ac:dyDescent="0.25">
      <c r="A24" s="218">
        <v>45901</v>
      </c>
      <c r="B24" t="s">
        <v>248</v>
      </c>
      <c r="C24" t="s">
        <v>238</v>
      </c>
      <c r="D24">
        <v>2025</v>
      </c>
      <c r="E24" s="219">
        <v>-87829.569999999992</v>
      </c>
      <c r="F24" s="219">
        <v>-91.577894736842097</v>
      </c>
      <c r="G24" s="219">
        <v>104.17736842105262</v>
      </c>
      <c r="H24" s="219">
        <v>12.597894736842107</v>
      </c>
      <c r="I24" s="220">
        <v>1013</v>
      </c>
    </row>
    <row r="25" spans="1:9" x14ac:dyDescent="0.25">
      <c r="A25" s="218">
        <v>45901</v>
      </c>
      <c r="B25" t="s">
        <v>248</v>
      </c>
      <c r="C25" t="s">
        <v>240</v>
      </c>
      <c r="D25">
        <v>2025</v>
      </c>
      <c r="E25" s="219">
        <v>-76854.470000000016</v>
      </c>
      <c r="F25" s="219">
        <v>-73.586842105263159</v>
      </c>
      <c r="G25" s="219">
        <v>100.73526315789475</v>
      </c>
      <c r="H25" s="219">
        <v>27.148421052631576</v>
      </c>
      <c r="I25" s="220">
        <v>1052</v>
      </c>
    </row>
    <row r="26" spans="1:9" x14ac:dyDescent="0.25">
      <c r="A26" s="218">
        <v>45901</v>
      </c>
      <c r="B26" t="s">
        <v>248</v>
      </c>
      <c r="C26" t="s">
        <v>242</v>
      </c>
      <c r="D26">
        <v>2025</v>
      </c>
      <c r="E26" s="219">
        <v>-178851.99</v>
      </c>
      <c r="F26" s="219">
        <v>-49.548947368421054</v>
      </c>
      <c r="G26" s="219">
        <v>103.21421052631577</v>
      </c>
      <c r="H26" s="219">
        <v>53.665263157894721</v>
      </c>
      <c r="I26" s="220">
        <v>3719</v>
      </c>
    </row>
    <row r="27" spans="1:9" x14ac:dyDescent="0.25">
      <c r="A27" s="218">
        <v>45901</v>
      </c>
      <c r="B27" t="s">
        <v>248</v>
      </c>
      <c r="C27" t="s">
        <v>243</v>
      </c>
      <c r="D27">
        <v>2025</v>
      </c>
      <c r="E27" s="219">
        <v>-90922.020000000019</v>
      </c>
      <c r="F27" s="219">
        <v>-24.603809523809527</v>
      </c>
      <c r="G27" s="219">
        <v>103.2790476190476</v>
      </c>
      <c r="H27" s="219">
        <v>78.674761904761908</v>
      </c>
      <c r="I27" s="220">
        <v>3715</v>
      </c>
    </row>
    <row r="28" spans="1:9" x14ac:dyDescent="0.25">
      <c r="A28" s="218">
        <v>45901</v>
      </c>
      <c r="B28" t="s">
        <v>248</v>
      </c>
      <c r="C28" t="s">
        <v>244</v>
      </c>
      <c r="D28">
        <v>2025</v>
      </c>
      <c r="E28" s="219">
        <v>-59531.440000000017</v>
      </c>
      <c r="F28" s="219">
        <v>-7.7919047619047603</v>
      </c>
      <c r="G28" s="219">
        <v>101.70857142857143</v>
      </c>
      <c r="H28" s="219">
        <v>93.915714285714287</v>
      </c>
      <c r="I28" s="220">
        <v>7288</v>
      </c>
    </row>
    <row r="29" spans="1:9" x14ac:dyDescent="0.25">
      <c r="A29" s="218">
        <v>45901</v>
      </c>
      <c r="B29" t="s">
        <v>249</v>
      </c>
      <c r="C29" t="s">
        <v>238</v>
      </c>
      <c r="D29">
        <v>2025</v>
      </c>
      <c r="E29" s="219">
        <v>-114624.50000000001</v>
      </c>
      <c r="F29" s="219">
        <v>-116.12949999999998</v>
      </c>
      <c r="G29" s="219">
        <v>131.74299999999999</v>
      </c>
      <c r="H29" s="219">
        <v>15.611500000000001</v>
      </c>
      <c r="I29" s="220">
        <v>958</v>
      </c>
    </row>
    <row r="30" spans="1:9" x14ac:dyDescent="0.25">
      <c r="A30" s="218">
        <v>45901</v>
      </c>
      <c r="B30" t="s">
        <v>249</v>
      </c>
      <c r="C30" t="s">
        <v>240</v>
      </c>
      <c r="D30">
        <v>2025</v>
      </c>
      <c r="E30" s="219">
        <v>-101829.57999999999</v>
      </c>
      <c r="F30" s="219">
        <v>-97.918947368421044</v>
      </c>
      <c r="G30" s="219">
        <v>135.70000000000002</v>
      </c>
      <c r="H30" s="219">
        <v>37.780526315789473</v>
      </c>
      <c r="I30" s="220">
        <v>1017</v>
      </c>
    </row>
    <row r="31" spans="1:9" x14ac:dyDescent="0.25">
      <c r="A31" s="218">
        <v>45901</v>
      </c>
      <c r="B31" t="s">
        <v>249</v>
      </c>
      <c r="C31" t="s">
        <v>242</v>
      </c>
      <c r="D31">
        <v>2025</v>
      </c>
      <c r="E31" s="219">
        <v>-223139.40000000002</v>
      </c>
      <c r="F31" s="219">
        <v>-61.379499999999986</v>
      </c>
      <c r="G31" s="219">
        <v>134.87199999999999</v>
      </c>
      <c r="H31" s="219">
        <v>73.493500000000026</v>
      </c>
      <c r="I31" s="220">
        <v>3531</v>
      </c>
    </row>
    <row r="32" spans="1:9" x14ac:dyDescent="0.25">
      <c r="A32" s="218">
        <v>45901</v>
      </c>
      <c r="B32" t="s">
        <v>249</v>
      </c>
      <c r="C32" t="s">
        <v>243</v>
      </c>
      <c r="D32">
        <v>2025</v>
      </c>
      <c r="E32" s="219">
        <v>-101507.63</v>
      </c>
      <c r="F32" s="219">
        <v>-29.782631578947363</v>
      </c>
      <c r="G32" s="219">
        <v>138.00578947368425</v>
      </c>
      <c r="H32" s="219">
        <v>108.22473684210524</v>
      </c>
      <c r="I32" s="220">
        <v>3500</v>
      </c>
    </row>
    <row r="33" spans="1:9" x14ac:dyDescent="0.25">
      <c r="A33" s="218">
        <v>45901</v>
      </c>
      <c r="B33" t="s">
        <v>249</v>
      </c>
      <c r="C33" t="s">
        <v>244</v>
      </c>
      <c r="D33">
        <v>2025</v>
      </c>
      <c r="E33" s="219">
        <v>-78875.709999999992</v>
      </c>
      <c r="F33" s="219">
        <v>-10.339047619047617</v>
      </c>
      <c r="G33" s="219">
        <v>131.27142857142857</v>
      </c>
      <c r="H33" s="219">
        <v>120.93238095238097</v>
      </c>
      <c r="I33" s="220">
        <v>7165</v>
      </c>
    </row>
    <row r="34" spans="1:9" x14ac:dyDescent="0.25">
      <c r="A34" s="218">
        <v>45901</v>
      </c>
      <c r="B34" t="s">
        <v>250</v>
      </c>
      <c r="C34" t="s">
        <v>238</v>
      </c>
      <c r="D34">
        <v>2025</v>
      </c>
      <c r="E34" s="219">
        <v>-128107.79</v>
      </c>
      <c r="F34" s="219">
        <v>-156.60529411764702</v>
      </c>
      <c r="G34" s="219">
        <v>176.84411764705885</v>
      </c>
      <c r="H34" s="219">
        <v>20.238235294117644</v>
      </c>
      <c r="I34" s="220">
        <v>847</v>
      </c>
    </row>
    <row r="35" spans="1:9" x14ac:dyDescent="0.25">
      <c r="A35" s="218">
        <v>45901</v>
      </c>
      <c r="B35" t="s">
        <v>250</v>
      </c>
      <c r="C35" t="s">
        <v>240</v>
      </c>
      <c r="D35">
        <v>2025</v>
      </c>
      <c r="E35" s="219">
        <v>-106951.61000000002</v>
      </c>
      <c r="F35" s="219">
        <v>-120.24235294117646</v>
      </c>
      <c r="G35" s="219">
        <v>171.81647058823526</v>
      </c>
      <c r="H35" s="219">
        <v>51.573529411764703</v>
      </c>
      <c r="I35" s="220">
        <v>900</v>
      </c>
    </row>
    <row r="36" spans="1:9" x14ac:dyDescent="0.25">
      <c r="A36" s="218">
        <v>45901</v>
      </c>
      <c r="B36" t="s">
        <v>250</v>
      </c>
      <c r="C36" t="s">
        <v>242</v>
      </c>
      <c r="D36">
        <v>2025</v>
      </c>
      <c r="E36" s="219">
        <v>-211232.16999999998</v>
      </c>
      <c r="F36" s="219">
        <v>-69.552941176470583</v>
      </c>
      <c r="G36" s="219">
        <v>176.64941176470589</v>
      </c>
      <c r="H36" s="219">
        <v>107.09882352941176</v>
      </c>
      <c r="I36" s="220">
        <v>3085</v>
      </c>
    </row>
    <row r="37" spans="1:9" x14ac:dyDescent="0.25">
      <c r="A37" s="218">
        <v>45901</v>
      </c>
      <c r="B37" t="s">
        <v>250</v>
      </c>
      <c r="C37" t="s">
        <v>243</v>
      </c>
      <c r="D37">
        <v>2025</v>
      </c>
      <c r="E37" s="219">
        <v>-77760.460000000006</v>
      </c>
      <c r="F37" s="219">
        <v>-28.463157894736838</v>
      </c>
      <c r="G37" s="219">
        <v>190.73105263157896</v>
      </c>
      <c r="H37" s="219">
        <v>162.26736842105268</v>
      </c>
      <c r="I37" s="220">
        <v>3058</v>
      </c>
    </row>
    <row r="38" spans="1:9" x14ac:dyDescent="0.25">
      <c r="A38" s="218">
        <v>45901</v>
      </c>
      <c r="B38" t="s">
        <v>250</v>
      </c>
      <c r="C38" t="s">
        <v>244</v>
      </c>
      <c r="D38">
        <v>2025</v>
      </c>
      <c r="E38" s="219">
        <v>-98239.950000000012</v>
      </c>
      <c r="F38" s="219">
        <v>-13.714210526315792</v>
      </c>
      <c r="G38" s="219">
        <v>172.26473684210524</v>
      </c>
      <c r="H38" s="219">
        <v>158.55105263157893</v>
      </c>
      <c r="I38" s="220">
        <v>6966</v>
      </c>
    </row>
    <row r="39" spans="1:9" x14ac:dyDescent="0.25">
      <c r="A39" s="218">
        <v>45901</v>
      </c>
      <c r="B39" t="s">
        <v>251</v>
      </c>
      <c r="C39" t="s">
        <v>238</v>
      </c>
      <c r="D39">
        <v>2025</v>
      </c>
      <c r="E39" s="219">
        <v>-103794.28000000001</v>
      </c>
      <c r="F39" s="219">
        <v>-143.24823529411765</v>
      </c>
      <c r="G39" s="219">
        <v>161.13411764705882</v>
      </c>
      <c r="H39" s="219">
        <v>17.888235294117642</v>
      </c>
      <c r="I39" s="220">
        <v>732</v>
      </c>
    </row>
    <row r="40" spans="1:9" x14ac:dyDescent="0.25">
      <c r="A40" s="218">
        <v>45901</v>
      </c>
      <c r="B40" t="s">
        <v>251</v>
      </c>
      <c r="C40" t="s">
        <v>240</v>
      </c>
      <c r="D40">
        <v>2025</v>
      </c>
      <c r="E40" s="219">
        <v>-90621.41</v>
      </c>
      <c r="F40" s="219">
        <v>-111.59235294117649</v>
      </c>
      <c r="G40" s="219">
        <v>159.46117647058821</v>
      </c>
      <c r="H40" s="219">
        <v>47.868823529411763</v>
      </c>
      <c r="I40" s="220">
        <v>803</v>
      </c>
    </row>
    <row r="41" spans="1:9" x14ac:dyDescent="0.25">
      <c r="A41" s="218">
        <v>45901</v>
      </c>
      <c r="B41" t="s">
        <v>251</v>
      </c>
      <c r="C41" t="s">
        <v>242</v>
      </c>
      <c r="D41">
        <v>2025</v>
      </c>
      <c r="E41" s="219">
        <v>-167134.34000000003</v>
      </c>
      <c r="F41" s="219">
        <v>-67.457777777777778</v>
      </c>
      <c r="G41" s="219">
        <v>171.01444444444448</v>
      </c>
      <c r="H41" s="219">
        <v>103.55611111111111</v>
      </c>
      <c r="I41" s="220">
        <v>2575</v>
      </c>
    </row>
    <row r="42" spans="1:9" x14ac:dyDescent="0.25">
      <c r="A42" s="218">
        <v>45901</v>
      </c>
      <c r="B42" t="s">
        <v>251</v>
      </c>
      <c r="C42" t="s">
        <v>243</v>
      </c>
      <c r="D42">
        <v>2025</v>
      </c>
      <c r="E42" s="219">
        <v>-61601.35</v>
      </c>
      <c r="F42" s="219">
        <v>-27.682105263157897</v>
      </c>
      <c r="G42" s="219">
        <v>186.0742105263158</v>
      </c>
      <c r="H42" s="219">
        <v>158.39368421052632</v>
      </c>
      <c r="I42" s="220">
        <v>2544</v>
      </c>
    </row>
    <row r="43" spans="1:9" x14ac:dyDescent="0.25">
      <c r="A43" s="218">
        <v>45901</v>
      </c>
      <c r="B43" t="s">
        <v>251</v>
      </c>
      <c r="C43" t="s">
        <v>244</v>
      </c>
      <c r="D43">
        <v>2025</v>
      </c>
      <c r="E43" s="219">
        <v>-93233.080000000016</v>
      </c>
      <c r="F43" s="219">
        <v>-13.531428571428572</v>
      </c>
      <c r="G43" s="219">
        <v>173.12238095238095</v>
      </c>
      <c r="H43" s="219">
        <v>159.59</v>
      </c>
      <c r="I43" s="220">
        <v>6982</v>
      </c>
    </row>
    <row r="44" spans="1:9" x14ac:dyDescent="0.25">
      <c r="A44" s="218">
        <v>45901</v>
      </c>
      <c r="B44" t="s">
        <v>252</v>
      </c>
      <c r="C44" t="s">
        <v>238</v>
      </c>
      <c r="D44">
        <v>2024</v>
      </c>
      <c r="E44" s="219">
        <v>-74587.34</v>
      </c>
      <c r="F44" s="219">
        <v>-118.4905882352941</v>
      </c>
      <c r="G44" s="219">
        <v>133.66</v>
      </c>
      <c r="H44" s="219">
        <v>15.168235294117649</v>
      </c>
      <c r="I44" s="220">
        <v>655</v>
      </c>
    </row>
    <row r="45" spans="1:9" x14ac:dyDescent="0.25">
      <c r="A45" s="218">
        <v>45901</v>
      </c>
      <c r="B45" t="s">
        <v>252</v>
      </c>
      <c r="C45" t="s">
        <v>240</v>
      </c>
      <c r="D45">
        <v>2024</v>
      </c>
      <c r="E45" s="219">
        <v>-65209.219999999994</v>
      </c>
      <c r="F45" s="219">
        <v>-94.166470588235313</v>
      </c>
      <c r="G45" s="219">
        <v>134.76529411764707</v>
      </c>
      <c r="H45" s="219">
        <v>40.599411764705884</v>
      </c>
      <c r="I45" s="220">
        <v>706</v>
      </c>
    </row>
    <row r="46" spans="1:9" x14ac:dyDescent="0.25">
      <c r="A46" s="218">
        <v>45901</v>
      </c>
      <c r="B46" t="s">
        <v>252</v>
      </c>
      <c r="C46" t="s">
        <v>242</v>
      </c>
      <c r="D46">
        <v>2024</v>
      </c>
      <c r="E46" s="219">
        <v>-118934.22000000002</v>
      </c>
      <c r="F46" s="219">
        <v>-53.451578947368432</v>
      </c>
      <c r="G46" s="219">
        <v>136.64368421052635</v>
      </c>
      <c r="H46" s="219">
        <v>83.190526315789455</v>
      </c>
      <c r="I46" s="220">
        <v>2257</v>
      </c>
    </row>
    <row r="47" spans="1:9" x14ac:dyDescent="0.25">
      <c r="A47" s="218">
        <v>45901</v>
      </c>
      <c r="B47" t="s">
        <v>252</v>
      </c>
      <c r="C47" t="s">
        <v>243</v>
      </c>
      <c r="D47">
        <v>2024</v>
      </c>
      <c r="E47" s="219">
        <v>-44130.200000000012</v>
      </c>
      <c r="F47" s="219">
        <v>-19.367222222222221</v>
      </c>
      <c r="G47" s="219">
        <v>129.42555555555555</v>
      </c>
      <c r="H47" s="219">
        <v>110.05833333333332</v>
      </c>
      <c r="I47" s="220">
        <v>2270</v>
      </c>
    </row>
    <row r="48" spans="1:9" x14ac:dyDescent="0.25">
      <c r="A48" s="218">
        <v>45901</v>
      </c>
      <c r="B48" t="s">
        <v>252</v>
      </c>
      <c r="C48" t="s">
        <v>244</v>
      </c>
      <c r="D48">
        <v>2024</v>
      </c>
      <c r="E48" s="219">
        <v>-61989.52</v>
      </c>
      <c r="F48" s="219">
        <v>-10.530000000000001</v>
      </c>
      <c r="G48" s="219">
        <v>133.45444444444445</v>
      </c>
      <c r="H48" s="219">
        <v>122.92555555555552</v>
      </c>
      <c r="I48" s="220">
        <v>5281</v>
      </c>
    </row>
    <row r="49" spans="1:9" x14ac:dyDescent="0.25">
      <c r="A49" s="218">
        <v>45901</v>
      </c>
      <c r="B49" t="s">
        <v>253</v>
      </c>
      <c r="C49" t="s">
        <v>238</v>
      </c>
      <c r="D49">
        <v>2024</v>
      </c>
      <c r="E49" s="219">
        <v>-34168.99</v>
      </c>
      <c r="F49" s="219">
        <v>-55.967058823529406</v>
      </c>
      <c r="G49" s="219">
        <v>63.761176470588225</v>
      </c>
      <c r="H49" s="219">
        <v>7.7935294117647063</v>
      </c>
      <c r="I49" s="220">
        <v>588</v>
      </c>
    </row>
    <row r="50" spans="1:9" x14ac:dyDescent="0.25">
      <c r="A50" s="218">
        <v>45901</v>
      </c>
      <c r="B50" t="s">
        <v>253</v>
      </c>
      <c r="C50" t="s">
        <v>240</v>
      </c>
      <c r="D50">
        <v>2024</v>
      </c>
      <c r="E50" s="219">
        <v>-32032.729999999996</v>
      </c>
      <c r="F50" s="219">
        <v>-69.72</v>
      </c>
      <c r="G50" s="219">
        <v>99.945882352941169</v>
      </c>
      <c r="H50" s="219">
        <v>30.22588235294117</v>
      </c>
      <c r="I50" s="220">
        <v>641</v>
      </c>
    </row>
    <row r="51" spans="1:9" x14ac:dyDescent="0.25">
      <c r="A51" s="218">
        <v>45901</v>
      </c>
      <c r="B51" t="s">
        <v>253</v>
      </c>
      <c r="C51" t="s">
        <v>242</v>
      </c>
      <c r="D51">
        <v>2024</v>
      </c>
      <c r="E51" s="219">
        <v>-55252.469999999987</v>
      </c>
      <c r="F51" s="219">
        <v>-26.498888888888889</v>
      </c>
      <c r="G51" s="219">
        <v>69.125000000000014</v>
      </c>
      <c r="H51" s="219">
        <v>42.627222222222223</v>
      </c>
      <c r="I51" s="220">
        <v>2061</v>
      </c>
    </row>
    <row r="52" spans="1:9" x14ac:dyDescent="0.25">
      <c r="A52" s="218">
        <v>45901</v>
      </c>
      <c r="B52" t="s">
        <v>253</v>
      </c>
      <c r="C52" t="s">
        <v>243</v>
      </c>
      <c r="D52">
        <v>2024</v>
      </c>
      <c r="E52" s="219">
        <v>-20218.59</v>
      </c>
      <c r="F52" s="219">
        <v>-9.6835294117647059</v>
      </c>
      <c r="G52" s="219">
        <v>68.365882352941185</v>
      </c>
      <c r="H52" s="219">
        <v>58.68058823529411</v>
      </c>
      <c r="I52" s="220">
        <v>2088</v>
      </c>
    </row>
    <row r="53" spans="1:9" x14ac:dyDescent="0.25">
      <c r="A53" s="218">
        <v>45901</v>
      </c>
      <c r="B53" t="s">
        <v>253</v>
      </c>
      <c r="C53" t="s">
        <v>244</v>
      </c>
      <c r="D53">
        <v>2024</v>
      </c>
      <c r="E53" s="219">
        <v>-9063.41</v>
      </c>
      <c r="F53" s="219">
        <v>-5.5272222222222211</v>
      </c>
      <c r="G53" s="219">
        <v>73.232777777777798</v>
      </c>
      <c r="H53" s="219">
        <v>67.706666666666663</v>
      </c>
      <c r="I53" s="220">
        <v>1586</v>
      </c>
    </row>
    <row r="54" spans="1:9" x14ac:dyDescent="0.25">
      <c r="A54" s="218">
        <v>45901</v>
      </c>
      <c r="B54" t="s">
        <v>254</v>
      </c>
      <c r="C54" t="s">
        <v>238</v>
      </c>
      <c r="D54">
        <v>2024</v>
      </c>
      <c r="E54" s="219">
        <v>-17732.719999999998</v>
      </c>
      <c r="F54" s="219">
        <v>-32.914999999999999</v>
      </c>
      <c r="G54" s="219">
        <v>37.874499999999998</v>
      </c>
      <c r="H54" s="219">
        <v>4.96</v>
      </c>
      <c r="I54" s="220">
        <v>547</v>
      </c>
    </row>
    <row r="55" spans="1:9" x14ac:dyDescent="0.25">
      <c r="A55" s="218">
        <v>45901</v>
      </c>
      <c r="B55" t="s">
        <v>254</v>
      </c>
      <c r="C55" t="s">
        <v>240</v>
      </c>
      <c r="D55">
        <v>2024</v>
      </c>
      <c r="E55" s="219">
        <v>-15309.02</v>
      </c>
      <c r="F55" s="219">
        <v>-26.905999999999999</v>
      </c>
      <c r="G55" s="219">
        <v>39.369500000000002</v>
      </c>
      <c r="H55" s="219">
        <v>12.461500000000003</v>
      </c>
      <c r="I55" s="220">
        <v>569</v>
      </c>
    </row>
    <row r="56" spans="1:9" x14ac:dyDescent="0.25">
      <c r="A56" s="218">
        <v>45901</v>
      </c>
      <c r="B56" t="s">
        <v>254</v>
      </c>
      <c r="C56" t="s">
        <v>242</v>
      </c>
      <c r="D56">
        <v>2024</v>
      </c>
      <c r="E56" s="219">
        <v>-27765.360000000001</v>
      </c>
      <c r="F56" s="219">
        <v>-14.5185</v>
      </c>
      <c r="G56" s="219">
        <v>39.0015</v>
      </c>
      <c r="H56" s="219">
        <v>24.483499999999999</v>
      </c>
      <c r="I56" s="220">
        <v>1965</v>
      </c>
    </row>
    <row r="57" spans="1:9" x14ac:dyDescent="0.25">
      <c r="A57" s="218">
        <v>45901</v>
      </c>
      <c r="B57" t="s">
        <v>254</v>
      </c>
      <c r="C57" t="s">
        <v>243</v>
      </c>
      <c r="D57">
        <v>2024</v>
      </c>
      <c r="E57" s="219">
        <v>-10350.73</v>
      </c>
      <c r="F57" s="219">
        <v>-5.410499999999999</v>
      </c>
      <c r="G57" s="219">
        <v>40.934499999999993</v>
      </c>
      <c r="H57" s="219">
        <v>35.524000000000001</v>
      </c>
      <c r="I57" s="220">
        <v>1986</v>
      </c>
    </row>
    <row r="58" spans="1:9" x14ac:dyDescent="0.25">
      <c r="A58" s="218">
        <v>45901</v>
      </c>
      <c r="B58" t="s">
        <v>254</v>
      </c>
      <c r="C58" t="s">
        <v>244</v>
      </c>
      <c r="D58">
        <v>2024</v>
      </c>
      <c r="E58" s="219">
        <v>-4474.51</v>
      </c>
      <c r="F58" s="219">
        <v>-3.1915789473684208</v>
      </c>
      <c r="G58" s="219">
        <v>48.255263157894738</v>
      </c>
      <c r="H58" s="219">
        <v>45.064736842105262</v>
      </c>
      <c r="I58" s="220">
        <v>1453</v>
      </c>
    </row>
    <row r="59" spans="1:9" x14ac:dyDescent="0.25">
      <c r="A59" s="218">
        <v>45901</v>
      </c>
      <c r="B59" t="s">
        <v>255</v>
      </c>
      <c r="C59" t="s">
        <v>238</v>
      </c>
      <c r="D59">
        <v>2024</v>
      </c>
      <c r="E59" s="219">
        <v>-10586.530000000002</v>
      </c>
      <c r="F59" s="219">
        <v>-21.061111111111114</v>
      </c>
      <c r="G59" s="219">
        <v>24.573333333333334</v>
      </c>
      <c r="H59" s="219">
        <v>3.512777777777778</v>
      </c>
      <c r="I59" s="220">
        <v>516</v>
      </c>
    </row>
    <row r="60" spans="1:9" x14ac:dyDescent="0.25">
      <c r="A60" s="218">
        <v>45901</v>
      </c>
      <c r="B60" t="s">
        <v>255</v>
      </c>
      <c r="C60" t="s">
        <v>240</v>
      </c>
      <c r="D60">
        <v>2024</v>
      </c>
      <c r="E60" s="219">
        <v>-9691.73</v>
      </c>
      <c r="F60" s="219">
        <v>-17.790555555555557</v>
      </c>
      <c r="G60" s="219">
        <v>26.388888888888889</v>
      </c>
      <c r="H60" s="219">
        <v>8.5988888888888866</v>
      </c>
      <c r="I60" s="220">
        <v>559</v>
      </c>
    </row>
    <row r="61" spans="1:9" x14ac:dyDescent="0.25">
      <c r="A61" s="218">
        <v>45901</v>
      </c>
      <c r="B61" t="s">
        <v>255</v>
      </c>
      <c r="C61" t="s">
        <v>242</v>
      </c>
      <c r="D61">
        <v>2024</v>
      </c>
      <c r="E61" s="219">
        <v>-16632.849999999999</v>
      </c>
      <c r="F61" s="219">
        <v>-8.75</v>
      </c>
      <c r="G61" s="219">
        <v>24.227</v>
      </c>
      <c r="H61" s="219">
        <v>15.476500000000001</v>
      </c>
      <c r="I61" s="220">
        <v>1925</v>
      </c>
    </row>
    <row r="62" spans="1:9" x14ac:dyDescent="0.25">
      <c r="A62" s="218">
        <v>45901</v>
      </c>
      <c r="B62" t="s">
        <v>255</v>
      </c>
      <c r="C62" t="s">
        <v>243</v>
      </c>
      <c r="D62">
        <v>2024</v>
      </c>
      <c r="E62" s="219">
        <v>-6342.84</v>
      </c>
      <c r="F62" s="219">
        <v>-3.4961111111111105</v>
      </c>
      <c r="G62" s="219">
        <v>29.250000000000007</v>
      </c>
      <c r="H62" s="219">
        <v>25.753333333333334</v>
      </c>
      <c r="I62" s="220">
        <v>1933</v>
      </c>
    </row>
    <row r="63" spans="1:9" x14ac:dyDescent="0.25">
      <c r="A63" s="218">
        <v>45901</v>
      </c>
      <c r="B63" t="s">
        <v>255</v>
      </c>
      <c r="C63" t="s">
        <v>244</v>
      </c>
      <c r="D63">
        <v>2024</v>
      </c>
      <c r="E63" s="219">
        <v>-2518.59</v>
      </c>
      <c r="F63" s="219">
        <v>-1.8215789473684219</v>
      </c>
      <c r="G63" s="219">
        <v>32.821052631578951</v>
      </c>
      <c r="H63" s="219">
        <v>30.999473684210532</v>
      </c>
      <c r="I63" s="220">
        <v>1355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286E-266F-409C-83EE-883035D25900}">
  <dimension ref="A1:M75"/>
  <sheetViews>
    <sheetView workbookViewId="0">
      <selection activeCell="L10" sqref="L10"/>
    </sheetView>
  </sheetViews>
  <sheetFormatPr defaultRowHeight="15" x14ac:dyDescent="0.25"/>
  <cols>
    <col min="1" max="1" width="10.7109375" style="88" bestFit="1" customWidth="1"/>
    <col min="2" max="3" width="9.140625" style="88"/>
    <col min="4" max="4" width="12.5703125" style="88" customWidth="1"/>
    <col min="5" max="5" width="13.85546875" style="88" bestFit="1" customWidth="1"/>
    <col min="6" max="6" width="16.28515625" style="88" customWidth="1"/>
    <col min="7" max="9" width="9.140625" style="88"/>
    <col min="10" max="10" width="13.140625" style="88" bestFit="1" customWidth="1"/>
    <col min="11" max="11" width="14.28515625" style="88" customWidth="1"/>
    <col min="12" max="12" width="12.140625" style="88" bestFit="1" customWidth="1"/>
    <col min="13" max="13" width="21.140625" style="88" bestFit="1" customWidth="1"/>
    <col min="14" max="16384" width="9.140625" style="88"/>
  </cols>
  <sheetData>
    <row r="1" spans="1:13" ht="18.75" x14ac:dyDescent="0.3">
      <c r="A1" s="375" t="s">
        <v>0</v>
      </c>
    </row>
    <row r="3" spans="1:13" x14ac:dyDescent="0.25">
      <c r="A3" s="88" t="s">
        <v>226</v>
      </c>
      <c r="B3" s="88" t="s">
        <v>229</v>
      </c>
      <c r="C3" s="88" t="s">
        <v>227</v>
      </c>
      <c r="D3" s="88" t="s">
        <v>228</v>
      </c>
      <c r="E3" s="88" t="s">
        <v>256</v>
      </c>
      <c r="F3" s="88" t="s">
        <v>257</v>
      </c>
      <c r="G3" s="88" t="s">
        <v>234</v>
      </c>
      <c r="K3" s="88" t="s">
        <v>235</v>
      </c>
      <c r="L3" s="88" t="s">
        <v>236</v>
      </c>
    </row>
    <row r="4" spans="1:13" x14ac:dyDescent="0.25">
      <c r="A4" s="218">
        <v>45901</v>
      </c>
      <c r="B4">
        <v>2025</v>
      </c>
      <c r="C4" t="s">
        <v>237</v>
      </c>
      <c r="D4" t="s">
        <v>258</v>
      </c>
      <c r="E4" s="219">
        <v>782.82999999999993</v>
      </c>
      <c r="F4" s="219">
        <v>260.94333333333333</v>
      </c>
      <c r="G4">
        <v>3</v>
      </c>
      <c r="J4" s="88" t="s">
        <v>259</v>
      </c>
      <c r="K4" s="238">
        <f>SUM(G4:G75)</f>
        <v>8090</v>
      </c>
      <c r="L4" s="195">
        <f>K4/12</f>
        <v>674.16666666666663</v>
      </c>
      <c r="M4" s="195"/>
    </row>
    <row r="5" spans="1:13" x14ac:dyDescent="0.25">
      <c r="A5" s="218">
        <v>45901</v>
      </c>
      <c r="B5">
        <v>2025</v>
      </c>
      <c r="C5" t="s">
        <v>237</v>
      </c>
      <c r="D5" t="s">
        <v>238</v>
      </c>
      <c r="E5" s="219">
        <v>5349.8799999999992</v>
      </c>
      <c r="F5" s="219">
        <v>356.65866666666659</v>
      </c>
      <c r="G5">
        <v>31</v>
      </c>
      <c r="J5" s="88" t="s">
        <v>260</v>
      </c>
      <c r="K5" s="239">
        <f>SUM(E4:E75)</f>
        <v>1749847.0300000005</v>
      </c>
    </row>
    <row r="6" spans="1:13" x14ac:dyDescent="0.25">
      <c r="A6" s="218">
        <v>45901</v>
      </c>
      <c r="B6">
        <v>2025</v>
      </c>
      <c r="C6" t="s">
        <v>237</v>
      </c>
      <c r="D6" t="s">
        <v>240</v>
      </c>
      <c r="E6" s="219">
        <v>8133.32</v>
      </c>
      <c r="F6" s="219">
        <v>428.06947368421049</v>
      </c>
      <c r="G6">
        <v>48</v>
      </c>
    </row>
    <row r="7" spans="1:13" x14ac:dyDescent="0.25">
      <c r="A7" s="218">
        <v>45901</v>
      </c>
      <c r="B7">
        <v>2025</v>
      </c>
      <c r="C7" t="s">
        <v>237</v>
      </c>
      <c r="D7" t="s">
        <v>242</v>
      </c>
      <c r="E7" s="219">
        <v>28875.599999999999</v>
      </c>
      <c r="F7" s="219">
        <v>1375.0285714285715</v>
      </c>
      <c r="G7">
        <v>150</v>
      </c>
      <c r="J7" s="88" t="s">
        <v>261</v>
      </c>
      <c r="K7" s="240">
        <f>K5/K4</f>
        <v>216.29753152039561</v>
      </c>
      <c r="M7" s="202">
        <f>K5</f>
        <v>1749847.0300000005</v>
      </c>
    </row>
    <row r="8" spans="1:13" x14ac:dyDescent="0.25">
      <c r="A8" s="218">
        <v>45901</v>
      </c>
      <c r="B8">
        <v>2025</v>
      </c>
      <c r="C8" t="s">
        <v>237</v>
      </c>
      <c r="D8" t="s">
        <v>243</v>
      </c>
      <c r="E8" s="219">
        <v>25541.960000000006</v>
      </c>
      <c r="F8" s="219">
        <v>1216.2838095238099</v>
      </c>
      <c r="G8">
        <v>166</v>
      </c>
    </row>
    <row r="9" spans="1:13" x14ac:dyDescent="0.25">
      <c r="A9" s="218">
        <v>45901</v>
      </c>
      <c r="B9">
        <v>2025</v>
      </c>
      <c r="C9" t="s">
        <v>237</v>
      </c>
      <c r="D9" t="s">
        <v>244</v>
      </c>
      <c r="E9" s="219">
        <v>29120.779999999992</v>
      </c>
      <c r="F9" s="219">
        <v>1386.703809523809</v>
      </c>
      <c r="G9">
        <v>181</v>
      </c>
    </row>
    <row r="10" spans="1:13" x14ac:dyDescent="0.25">
      <c r="A10" s="218">
        <v>45901</v>
      </c>
      <c r="B10">
        <v>2025</v>
      </c>
      <c r="C10" t="s">
        <v>245</v>
      </c>
      <c r="D10" t="s">
        <v>258</v>
      </c>
      <c r="E10" s="219">
        <v>1501.7199999999998</v>
      </c>
      <c r="F10" s="219">
        <v>214.53142857142853</v>
      </c>
      <c r="G10">
        <v>11</v>
      </c>
      <c r="L10" s="195"/>
      <c r="M10" s="88" t="s">
        <v>262</v>
      </c>
    </row>
    <row r="11" spans="1:13" x14ac:dyDescent="0.25">
      <c r="A11" s="218">
        <v>45901</v>
      </c>
      <c r="B11">
        <v>2025</v>
      </c>
      <c r="C11" t="s">
        <v>245</v>
      </c>
      <c r="D11" t="s">
        <v>238</v>
      </c>
      <c r="E11" s="219">
        <v>8468.9000000000015</v>
      </c>
      <c r="F11" s="219">
        <v>604.92142857142869</v>
      </c>
      <c r="G11">
        <v>32</v>
      </c>
    </row>
    <row r="12" spans="1:13" x14ac:dyDescent="0.25">
      <c r="A12" s="218">
        <v>45901</v>
      </c>
      <c r="B12">
        <v>2025</v>
      </c>
      <c r="C12" t="s">
        <v>245</v>
      </c>
      <c r="D12" t="s">
        <v>240</v>
      </c>
      <c r="E12" s="219">
        <v>10289.039999999999</v>
      </c>
      <c r="F12" s="219">
        <v>541.52842105263153</v>
      </c>
      <c r="G12">
        <v>49</v>
      </c>
      <c r="J12" s="199"/>
    </row>
    <row r="13" spans="1:13" x14ac:dyDescent="0.25">
      <c r="A13" s="218">
        <v>45901</v>
      </c>
      <c r="B13">
        <v>2025</v>
      </c>
      <c r="C13" t="s">
        <v>245</v>
      </c>
      <c r="D13" t="s">
        <v>242</v>
      </c>
      <c r="E13" s="219">
        <v>37607.68</v>
      </c>
      <c r="F13" s="219">
        <v>1790.8419047619047</v>
      </c>
      <c r="G13">
        <v>159</v>
      </c>
    </row>
    <row r="14" spans="1:13" x14ac:dyDescent="0.25">
      <c r="A14" s="218">
        <v>45901</v>
      </c>
      <c r="B14">
        <v>2025</v>
      </c>
      <c r="C14" t="s">
        <v>245</v>
      </c>
      <c r="D14" t="s">
        <v>243</v>
      </c>
      <c r="E14" s="219">
        <v>37493.010000000009</v>
      </c>
      <c r="F14" s="219">
        <v>1785.3814285714291</v>
      </c>
      <c r="G14">
        <v>185</v>
      </c>
    </row>
    <row r="15" spans="1:13" x14ac:dyDescent="0.25">
      <c r="A15" s="218">
        <v>45901</v>
      </c>
      <c r="B15">
        <v>2025</v>
      </c>
      <c r="C15" t="s">
        <v>245</v>
      </c>
      <c r="D15" t="s">
        <v>244</v>
      </c>
      <c r="E15" s="219">
        <v>39988.150000000009</v>
      </c>
      <c r="F15" s="219">
        <v>1817.6431818181823</v>
      </c>
      <c r="G15">
        <v>225</v>
      </c>
    </row>
    <row r="16" spans="1:13" x14ac:dyDescent="0.25">
      <c r="A16" s="218">
        <v>45901</v>
      </c>
      <c r="B16">
        <v>2025</v>
      </c>
      <c r="C16" t="s">
        <v>246</v>
      </c>
      <c r="D16" t="s">
        <v>258</v>
      </c>
      <c r="E16" s="219">
        <v>166.27</v>
      </c>
      <c r="F16" s="219">
        <v>55.423333333333339</v>
      </c>
      <c r="G16">
        <v>3</v>
      </c>
    </row>
    <row r="17" spans="1:7" x14ac:dyDescent="0.25">
      <c r="A17" s="218">
        <v>45901</v>
      </c>
      <c r="B17">
        <v>2025</v>
      </c>
      <c r="C17" t="s">
        <v>246</v>
      </c>
      <c r="D17" t="s">
        <v>238</v>
      </c>
      <c r="E17" s="219">
        <v>10494.630000000003</v>
      </c>
      <c r="F17" s="219">
        <v>583.0350000000002</v>
      </c>
      <c r="G17">
        <v>45</v>
      </c>
    </row>
    <row r="18" spans="1:7" x14ac:dyDescent="0.25">
      <c r="A18" s="218">
        <v>45901</v>
      </c>
      <c r="B18">
        <v>2025</v>
      </c>
      <c r="C18" t="s">
        <v>246</v>
      </c>
      <c r="D18" t="s">
        <v>240</v>
      </c>
      <c r="E18" s="219">
        <v>10901.96</v>
      </c>
      <c r="F18" s="219">
        <v>573.78736842105263</v>
      </c>
      <c r="G18">
        <v>39</v>
      </c>
    </row>
    <row r="19" spans="1:7" x14ac:dyDescent="0.25">
      <c r="A19" s="218">
        <v>45901</v>
      </c>
      <c r="B19">
        <v>2025</v>
      </c>
      <c r="C19" t="s">
        <v>246</v>
      </c>
      <c r="D19" t="s">
        <v>242</v>
      </c>
      <c r="E19" s="219">
        <v>50825.549999999996</v>
      </c>
      <c r="F19" s="219">
        <v>2541.2774999999997</v>
      </c>
      <c r="G19">
        <v>190</v>
      </c>
    </row>
    <row r="20" spans="1:7" x14ac:dyDescent="0.25">
      <c r="A20" s="218">
        <v>45901</v>
      </c>
      <c r="B20">
        <v>2025</v>
      </c>
      <c r="C20" t="s">
        <v>246</v>
      </c>
      <c r="D20" t="s">
        <v>243</v>
      </c>
      <c r="E20" s="219">
        <v>47191.229999999996</v>
      </c>
      <c r="F20" s="219">
        <v>2359.5614999999998</v>
      </c>
      <c r="G20">
        <v>191</v>
      </c>
    </row>
    <row r="21" spans="1:7" x14ac:dyDescent="0.25">
      <c r="A21" s="218">
        <v>45901</v>
      </c>
      <c r="B21">
        <v>2025</v>
      </c>
      <c r="C21" t="s">
        <v>246</v>
      </c>
      <c r="D21" t="s">
        <v>244</v>
      </c>
      <c r="E21" s="219">
        <v>42983.05999999999</v>
      </c>
      <c r="F21" s="219">
        <v>2149.1529999999993</v>
      </c>
      <c r="G21">
        <v>196</v>
      </c>
    </row>
    <row r="22" spans="1:7" x14ac:dyDescent="0.25">
      <c r="A22" s="218">
        <v>45901</v>
      </c>
      <c r="B22">
        <v>2025</v>
      </c>
      <c r="C22" t="s">
        <v>247</v>
      </c>
      <c r="D22" t="s">
        <v>258</v>
      </c>
      <c r="E22" s="219">
        <v>2097.46</v>
      </c>
      <c r="F22" s="219">
        <v>299.63714285714286</v>
      </c>
      <c r="G22">
        <v>7</v>
      </c>
    </row>
    <row r="23" spans="1:7" x14ac:dyDescent="0.25">
      <c r="A23" s="218">
        <v>45901</v>
      </c>
      <c r="B23">
        <v>2025</v>
      </c>
      <c r="C23" t="s">
        <v>247</v>
      </c>
      <c r="D23" t="s">
        <v>238</v>
      </c>
      <c r="E23" s="219">
        <v>14824.730000000001</v>
      </c>
      <c r="F23" s="219">
        <v>780.24894736842111</v>
      </c>
      <c r="G23">
        <v>45</v>
      </c>
    </row>
    <row r="24" spans="1:7" x14ac:dyDescent="0.25">
      <c r="A24" s="218">
        <v>45901</v>
      </c>
      <c r="B24">
        <v>2025</v>
      </c>
      <c r="C24" t="s">
        <v>247</v>
      </c>
      <c r="D24" t="s">
        <v>240</v>
      </c>
      <c r="E24" s="219">
        <v>15045.97</v>
      </c>
      <c r="F24" s="219">
        <v>791.89315789473676</v>
      </c>
      <c r="G24">
        <v>51</v>
      </c>
    </row>
    <row r="25" spans="1:7" x14ac:dyDescent="0.25">
      <c r="A25" s="218">
        <v>45901</v>
      </c>
      <c r="B25">
        <v>2025</v>
      </c>
      <c r="C25" t="s">
        <v>247</v>
      </c>
      <c r="D25" t="s">
        <v>242</v>
      </c>
      <c r="E25" s="219">
        <v>62455.580000000016</v>
      </c>
      <c r="F25" s="219">
        <v>2974.075238095239</v>
      </c>
      <c r="G25">
        <v>209</v>
      </c>
    </row>
    <row r="26" spans="1:7" x14ac:dyDescent="0.25">
      <c r="A26" s="218">
        <v>45901</v>
      </c>
      <c r="B26">
        <v>2025</v>
      </c>
      <c r="C26" t="s">
        <v>247</v>
      </c>
      <c r="D26" t="s">
        <v>243</v>
      </c>
      <c r="E26" s="219">
        <v>52246.959999999992</v>
      </c>
      <c r="F26" s="219">
        <v>2487.9504761904759</v>
      </c>
      <c r="G26">
        <v>187</v>
      </c>
    </row>
    <row r="27" spans="1:7" x14ac:dyDescent="0.25">
      <c r="A27" s="218">
        <v>45901</v>
      </c>
      <c r="B27">
        <v>2025</v>
      </c>
      <c r="C27" t="s">
        <v>247</v>
      </c>
      <c r="D27" t="s">
        <v>244</v>
      </c>
      <c r="E27" s="219">
        <v>48628.359999999993</v>
      </c>
      <c r="F27" s="219">
        <v>2315.6361904761902</v>
      </c>
      <c r="G27">
        <v>217</v>
      </c>
    </row>
    <row r="28" spans="1:7" x14ac:dyDescent="0.25">
      <c r="A28" s="218">
        <v>45901</v>
      </c>
      <c r="B28">
        <v>2025</v>
      </c>
      <c r="C28" t="s">
        <v>248</v>
      </c>
      <c r="D28" t="s">
        <v>258</v>
      </c>
      <c r="E28" s="219">
        <v>1437.6499999999999</v>
      </c>
      <c r="F28" s="219">
        <v>479.21666666666664</v>
      </c>
      <c r="G28">
        <v>5</v>
      </c>
    </row>
    <row r="29" spans="1:7" x14ac:dyDescent="0.25">
      <c r="A29" s="218">
        <v>45901</v>
      </c>
      <c r="B29">
        <v>2025</v>
      </c>
      <c r="C29" t="s">
        <v>248</v>
      </c>
      <c r="D29" t="s">
        <v>238</v>
      </c>
      <c r="E29" s="219">
        <v>14964.259999999998</v>
      </c>
      <c r="F29" s="219">
        <v>831.34777777777765</v>
      </c>
      <c r="G29">
        <v>47</v>
      </c>
    </row>
    <row r="30" spans="1:7" x14ac:dyDescent="0.25">
      <c r="A30" s="218">
        <v>45901</v>
      </c>
      <c r="B30">
        <v>2025</v>
      </c>
      <c r="C30" t="s">
        <v>248</v>
      </c>
      <c r="D30" t="s">
        <v>240</v>
      </c>
      <c r="E30" s="219">
        <v>14316.139999999998</v>
      </c>
      <c r="F30" s="219">
        <v>894.75874999999985</v>
      </c>
      <c r="G30">
        <v>47</v>
      </c>
    </row>
    <row r="31" spans="1:7" x14ac:dyDescent="0.25">
      <c r="A31" s="218">
        <v>45901</v>
      </c>
      <c r="B31">
        <v>2025</v>
      </c>
      <c r="C31" t="s">
        <v>248</v>
      </c>
      <c r="D31" t="s">
        <v>242</v>
      </c>
      <c r="E31" s="219">
        <v>66686.880000000005</v>
      </c>
      <c r="F31" s="219">
        <v>3175.5657142857144</v>
      </c>
      <c r="G31">
        <v>213</v>
      </c>
    </row>
    <row r="32" spans="1:7" x14ac:dyDescent="0.25">
      <c r="A32" s="218">
        <v>45901</v>
      </c>
      <c r="B32">
        <v>2025</v>
      </c>
      <c r="C32" t="s">
        <v>248</v>
      </c>
      <c r="D32" t="s">
        <v>243</v>
      </c>
      <c r="E32" s="219">
        <v>59961.009999999995</v>
      </c>
      <c r="F32" s="219">
        <v>2855.2861904761903</v>
      </c>
      <c r="G32">
        <v>225</v>
      </c>
    </row>
    <row r="33" spans="1:7" x14ac:dyDescent="0.25">
      <c r="A33" s="218">
        <v>45901</v>
      </c>
      <c r="B33">
        <v>2025</v>
      </c>
      <c r="C33" t="s">
        <v>248</v>
      </c>
      <c r="D33" t="s">
        <v>244</v>
      </c>
      <c r="E33" s="219">
        <v>55562.12000000001</v>
      </c>
      <c r="F33" s="219">
        <v>2645.8152380952388</v>
      </c>
      <c r="G33">
        <v>237</v>
      </c>
    </row>
    <row r="34" spans="1:7" x14ac:dyDescent="0.25">
      <c r="A34" s="218">
        <v>45901</v>
      </c>
      <c r="B34">
        <v>2025</v>
      </c>
      <c r="C34" t="s">
        <v>249</v>
      </c>
      <c r="D34" t="s">
        <v>258</v>
      </c>
      <c r="E34" s="219">
        <v>3511.18</v>
      </c>
      <c r="F34" s="219">
        <v>351.11799999999999</v>
      </c>
      <c r="G34">
        <v>17</v>
      </c>
    </row>
    <row r="35" spans="1:7" x14ac:dyDescent="0.25">
      <c r="A35" s="218">
        <v>45901</v>
      </c>
      <c r="B35">
        <v>2025</v>
      </c>
      <c r="C35" t="s">
        <v>249</v>
      </c>
      <c r="D35" t="s">
        <v>238</v>
      </c>
      <c r="E35" s="219">
        <v>24653.78</v>
      </c>
      <c r="F35" s="219">
        <v>1297.5673684210526</v>
      </c>
      <c r="G35">
        <v>76</v>
      </c>
    </row>
    <row r="36" spans="1:7" x14ac:dyDescent="0.25">
      <c r="A36" s="218">
        <v>45901</v>
      </c>
      <c r="B36">
        <v>2025</v>
      </c>
      <c r="C36" t="s">
        <v>249</v>
      </c>
      <c r="D36" t="s">
        <v>240</v>
      </c>
      <c r="E36" s="219">
        <v>23179.51</v>
      </c>
      <c r="F36" s="219">
        <v>1219.9742105263158</v>
      </c>
      <c r="G36">
        <v>79</v>
      </c>
    </row>
    <row r="37" spans="1:7" x14ac:dyDescent="0.25">
      <c r="A37" s="218">
        <v>45901</v>
      </c>
      <c r="B37">
        <v>2025</v>
      </c>
      <c r="C37" t="s">
        <v>249</v>
      </c>
      <c r="D37" t="s">
        <v>242</v>
      </c>
      <c r="E37" s="219">
        <v>76927.73000000001</v>
      </c>
      <c r="F37" s="219">
        <v>3846.3865000000005</v>
      </c>
      <c r="G37">
        <v>273</v>
      </c>
    </row>
    <row r="38" spans="1:7" x14ac:dyDescent="0.25">
      <c r="A38" s="218">
        <v>45901</v>
      </c>
      <c r="B38">
        <v>2025</v>
      </c>
      <c r="C38" t="s">
        <v>249</v>
      </c>
      <c r="D38" t="s">
        <v>243</v>
      </c>
      <c r="E38" s="219">
        <v>71994.03</v>
      </c>
      <c r="F38" s="219">
        <v>3599.7015000000001</v>
      </c>
      <c r="G38">
        <v>293</v>
      </c>
    </row>
    <row r="39" spans="1:7" x14ac:dyDescent="0.25">
      <c r="A39" s="218">
        <v>45901</v>
      </c>
      <c r="B39">
        <v>2025</v>
      </c>
      <c r="C39" t="s">
        <v>249</v>
      </c>
      <c r="D39" t="s">
        <v>244</v>
      </c>
      <c r="E39" s="219">
        <v>53909.36</v>
      </c>
      <c r="F39" s="219">
        <v>2695.4679999999998</v>
      </c>
      <c r="G39">
        <v>270</v>
      </c>
    </row>
    <row r="40" spans="1:7" x14ac:dyDescent="0.25">
      <c r="A40" s="218">
        <v>45901</v>
      </c>
      <c r="B40">
        <v>2025</v>
      </c>
      <c r="C40" t="s">
        <v>250</v>
      </c>
      <c r="D40" t="s">
        <v>258</v>
      </c>
      <c r="E40" s="219">
        <v>1781.9</v>
      </c>
      <c r="F40" s="219">
        <v>148.49166666666667</v>
      </c>
      <c r="G40">
        <v>19</v>
      </c>
    </row>
    <row r="41" spans="1:7" x14ac:dyDescent="0.25">
      <c r="A41" s="218">
        <v>45901</v>
      </c>
      <c r="B41">
        <v>2025</v>
      </c>
      <c r="C41" t="s">
        <v>250</v>
      </c>
      <c r="D41" t="s">
        <v>238</v>
      </c>
      <c r="E41" s="219">
        <v>24185.010000000002</v>
      </c>
      <c r="F41" s="219">
        <v>1511.5631250000001</v>
      </c>
      <c r="G41">
        <v>91</v>
      </c>
    </row>
    <row r="42" spans="1:7" x14ac:dyDescent="0.25">
      <c r="A42" s="218">
        <v>45901</v>
      </c>
      <c r="B42">
        <v>2025</v>
      </c>
      <c r="C42" t="s">
        <v>250</v>
      </c>
      <c r="D42" t="s">
        <v>240</v>
      </c>
      <c r="E42" s="219">
        <v>22095.25</v>
      </c>
      <c r="F42" s="219">
        <v>1473.0166666666667</v>
      </c>
      <c r="G42">
        <v>93</v>
      </c>
    </row>
    <row r="43" spans="1:7" x14ac:dyDescent="0.25">
      <c r="A43" s="218">
        <v>45901</v>
      </c>
      <c r="B43">
        <v>2025</v>
      </c>
      <c r="C43" t="s">
        <v>250</v>
      </c>
      <c r="D43" t="s">
        <v>242</v>
      </c>
      <c r="E43" s="219">
        <v>94200.340000000011</v>
      </c>
      <c r="F43" s="219">
        <v>5887.5212500000007</v>
      </c>
      <c r="G43">
        <v>392</v>
      </c>
    </row>
    <row r="44" spans="1:7" x14ac:dyDescent="0.25">
      <c r="A44" s="218">
        <v>45901</v>
      </c>
      <c r="B44">
        <v>2025</v>
      </c>
      <c r="C44" t="s">
        <v>250</v>
      </c>
      <c r="D44" t="s">
        <v>243</v>
      </c>
      <c r="E44" s="219">
        <v>75907.910000000018</v>
      </c>
      <c r="F44" s="219">
        <v>4744.2443750000011</v>
      </c>
      <c r="G44">
        <v>380</v>
      </c>
    </row>
    <row r="45" spans="1:7" x14ac:dyDescent="0.25">
      <c r="A45" s="218">
        <v>45901</v>
      </c>
      <c r="B45">
        <v>2025</v>
      </c>
      <c r="C45" t="s">
        <v>250</v>
      </c>
      <c r="D45" t="s">
        <v>244</v>
      </c>
      <c r="E45" s="219">
        <v>56322.81</v>
      </c>
      <c r="F45" s="219">
        <v>3520.1756249999999</v>
      </c>
      <c r="G45">
        <v>376</v>
      </c>
    </row>
    <row r="46" spans="1:7" x14ac:dyDescent="0.25">
      <c r="A46" s="218">
        <v>45901</v>
      </c>
      <c r="B46">
        <v>2025</v>
      </c>
      <c r="C46" t="s">
        <v>251</v>
      </c>
      <c r="D46" t="s">
        <v>258</v>
      </c>
      <c r="E46" s="219">
        <v>1934.0500000000002</v>
      </c>
      <c r="F46" s="219">
        <v>214.89444444444447</v>
      </c>
      <c r="G46">
        <v>14</v>
      </c>
    </row>
    <row r="47" spans="1:7" x14ac:dyDescent="0.25">
      <c r="A47" s="218">
        <v>45901</v>
      </c>
      <c r="B47">
        <v>2025</v>
      </c>
      <c r="C47" t="s">
        <v>251</v>
      </c>
      <c r="D47" t="s">
        <v>238</v>
      </c>
      <c r="E47" s="219">
        <v>17443.919999999998</v>
      </c>
      <c r="F47" s="219">
        <v>969.10666666666657</v>
      </c>
      <c r="G47">
        <v>72</v>
      </c>
    </row>
    <row r="48" spans="1:7" x14ac:dyDescent="0.25">
      <c r="A48" s="218">
        <v>45901</v>
      </c>
      <c r="B48">
        <v>2025</v>
      </c>
      <c r="C48" t="s">
        <v>251</v>
      </c>
      <c r="D48" t="s">
        <v>240</v>
      </c>
      <c r="E48" s="219">
        <v>18722.37</v>
      </c>
      <c r="F48" s="219">
        <v>1040.1316666666667</v>
      </c>
      <c r="G48">
        <v>81</v>
      </c>
    </row>
    <row r="49" spans="1:7" x14ac:dyDescent="0.25">
      <c r="A49" s="218">
        <v>45901</v>
      </c>
      <c r="B49">
        <v>2025</v>
      </c>
      <c r="C49" t="s">
        <v>251</v>
      </c>
      <c r="D49" t="s">
        <v>242</v>
      </c>
      <c r="E49" s="219">
        <v>71725.599999999991</v>
      </c>
      <c r="F49" s="219">
        <v>3775.031578947368</v>
      </c>
      <c r="G49">
        <v>336</v>
      </c>
    </row>
    <row r="50" spans="1:7" x14ac:dyDescent="0.25">
      <c r="A50" s="218">
        <v>45901</v>
      </c>
      <c r="B50">
        <v>2025</v>
      </c>
      <c r="C50" t="s">
        <v>251</v>
      </c>
      <c r="D50" t="s">
        <v>243</v>
      </c>
      <c r="E50" s="219">
        <v>45013.249999999985</v>
      </c>
      <c r="F50" s="219">
        <v>2369.1184210526308</v>
      </c>
      <c r="G50">
        <v>261</v>
      </c>
    </row>
    <row r="51" spans="1:7" x14ac:dyDescent="0.25">
      <c r="A51" s="218">
        <v>45901</v>
      </c>
      <c r="B51">
        <v>2025</v>
      </c>
      <c r="C51" t="s">
        <v>251</v>
      </c>
      <c r="D51" t="s">
        <v>244</v>
      </c>
      <c r="E51" s="219">
        <v>43379.829999999994</v>
      </c>
      <c r="F51" s="219">
        <v>2283.148947368421</v>
      </c>
      <c r="G51">
        <v>323</v>
      </c>
    </row>
    <row r="52" spans="1:7" x14ac:dyDescent="0.25">
      <c r="A52" s="218">
        <v>45901</v>
      </c>
      <c r="B52">
        <v>2024</v>
      </c>
      <c r="C52" t="s">
        <v>252</v>
      </c>
      <c r="D52" t="s">
        <v>258</v>
      </c>
      <c r="E52" s="219">
        <v>1328.3</v>
      </c>
      <c r="F52" s="219">
        <v>221.38333333333333</v>
      </c>
      <c r="G52">
        <v>9</v>
      </c>
    </row>
    <row r="53" spans="1:7" x14ac:dyDescent="0.25">
      <c r="A53" s="218">
        <v>45901</v>
      </c>
      <c r="B53">
        <v>2024</v>
      </c>
      <c r="C53" t="s">
        <v>252</v>
      </c>
      <c r="D53" t="s">
        <v>238</v>
      </c>
      <c r="E53" s="219">
        <v>5154.7699999999995</v>
      </c>
      <c r="F53" s="219">
        <v>468.6154545454545</v>
      </c>
      <c r="G53">
        <v>29</v>
      </c>
    </row>
    <row r="54" spans="1:7" x14ac:dyDescent="0.25">
      <c r="A54" s="218">
        <v>45901</v>
      </c>
      <c r="B54">
        <v>2024</v>
      </c>
      <c r="C54" t="s">
        <v>252</v>
      </c>
      <c r="D54" t="s">
        <v>240</v>
      </c>
      <c r="E54" s="219">
        <v>5706.38</v>
      </c>
      <c r="F54" s="219">
        <v>438.95230769230773</v>
      </c>
      <c r="G54">
        <v>33</v>
      </c>
    </row>
    <row r="55" spans="1:7" x14ac:dyDescent="0.25">
      <c r="A55" s="218">
        <v>45901</v>
      </c>
      <c r="B55">
        <v>2024</v>
      </c>
      <c r="C55" t="s">
        <v>252</v>
      </c>
      <c r="D55" t="s">
        <v>242</v>
      </c>
      <c r="E55" s="219">
        <v>30340.659999999996</v>
      </c>
      <c r="F55" s="219">
        <v>1896.2912499999998</v>
      </c>
      <c r="G55">
        <v>152</v>
      </c>
    </row>
    <row r="56" spans="1:7" x14ac:dyDescent="0.25">
      <c r="A56" s="218">
        <v>45901</v>
      </c>
      <c r="B56">
        <v>2024</v>
      </c>
      <c r="C56" t="s">
        <v>252</v>
      </c>
      <c r="D56" t="s">
        <v>243</v>
      </c>
      <c r="E56" s="219">
        <v>21250.760000000002</v>
      </c>
      <c r="F56" s="219">
        <v>1328.1725000000001</v>
      </c>
      <c r="G56">
        <v>138</v>
      </c>
    </row>
    <row r="57" spans="1:7" x14ac:dyDescent="0.25">
      <c r="A57" s="218">
        <v>45901</v>
      </c>
      <c r="B57">
        <v>2024</v>
      </c>
      <c r="C57" t="s">
        <v>252</v>
      </c>
      <c r="D57" t="s">
        <v>244</v>
      </c>
      <c r="E57" s="219">
        <v>18694.91</v>
      </c>
      <c r="F57" s="219">
        <v>1168.431875</v>
      </c>
      <c r="G57">
        <v>142</v>
      </c>
    </row>
    <row r="58" spans="1:7" x14ac:dyDescent="0.25">
      <c r="A58" s="218">
        <v>45901</v>
      </c>
      <c r="B58">
        <v>2024</v>
      </c>
      <c r="C58" t="s">
        <v>253</v>
      </c>
      <c r="D58" t="s">
        <v>258</v>
      </c>
      <c r="E58" s="219">
        <v>824.97</v>
      </c>
      <c r="F58" s="219">
        <v>164.994</v>
      </c>
      <c r="G58">
        <v>6</v>
      </c>
    </row>
    <row r="59" spans="1:7" x14ac:dyDescent="0.25">
      <c r="A59" s="218">
        <v>45901</v>
      </c>
      <c r="B59">
        <v>2024</v>
      </c>
      <c r="C59" t="s">
        <v>253</v>
      </c>
      <c r="D59" t="s">
        <v>238</v>
      </c>
      <c r="E59" s="219">
        <v>6103.62</v>
      </c>
      <c r="F59" s="219">
        <v>406.90800000000002</v>
      </c>
      <c r="G59">
        <v>34</v>
      </c>
    </row>
    <row r="60" spans="1:7" x14ac:dyDescent="0.25">
      <c r="A60" s="218">
        <v>45901</v>
      </c>
      <c r="B60">
        <v>2024</v>
      </c>
      <c r="C60" t="s">
        <v>253</v>
      </c>
      <c r="D60" t="s">
        <v>240</v>
      </c>
      <c r="E60" s="219">
        <v>7667.7500000000009</v>
      </c>
      <c r="F60" s="219">
        <v>511.18333333333339</v>
      </c>
      <c r="G60">
        <v>31</v>
      </c>
    </row>
    <row r="61" spans="1:7" x14ac:dyDescent="0.25">
      <c r="A61" s="218">
        <v>45901</v>
      </c>
      <c r="B61">
        <v>2024</v>
      </c>
      <c r="C61" t="s">
        <v>253</v>
      </c>
      <c r="D61" t="s">
        <v>242</v>
      </c>
      <c r="E61" s="219">
        <v>22106.370000000003</v>
      </c>
      <c r="F61" s="219">
        <v>1228.1316666666669</v>
      </c>
      <c r="G61">
        <v>112</v>
      </c>
    </row>
    <row r="62" spans="1:7" x14ac:dyDescent="0.25">
      <c r="A62" s="218">
        <v>45901</v>
      </c>
      <c r="B62">
        <v>2024</v>
      </c>
      <c r="C62" t="s">
        <v>253</v>
      </c>
      <c r="D62" t="s">
        <v>243</v>
      </c>
      <c r="E62" s="219">
        <v>17578.2</v>
      </c>
      <c r="F62" s="219">
        <v>1034.0117647058823</v>
      </c>
      <c r="G62">
        <v>103</v>
      </c>
    </row>
    <row r="63" spans="1:7" x14ac:dyDescent="0.25">
      <c r="A63" s="218">
        <v>45901</v>
      </c>
      <c r="B63">
        <v>2024</v>
      </c>
      <c r="C63" t="s">
        <v>253</v>
      </c>
      <c r="D63" t="s">
        <v>244</v>
      </c>
      <c r="E63" s="219">
        <v>11136.08</v>
      </c>
      <c r="F63" s="219">
        <v>618.67111111111114</v>
      </c>
      <c r="G63">
        <v>95</v>
      </c>
    </row>
    <row r="64" spans="1:7" x14ac:dyDescent="0.25">
      <c r="A64" s="218">
        <v>45901</v>
      </c>
      <c r="B64">
        <v>2024</v>
      </c>
      <c r="C64" t="s">
        <v>254</v>
      </c>
      <c r="D64" t="s">
        <v>258</v>
      </c>
      <c r="E64" s="219">
        <v>1606.3300000000002</v>
      </c>
      <c r="F64" s="219">
        <v>267.72166666666669</v>
      </c>
      <c r="G64">
        <v>7</v>
      </c>
    </row>
    <row r="65" spans="1:7" x14ac:dyDescent="0.25">
      <c r="A65" s="218">
        <v>45901</v>
      </c>
      <c r="B65">
        <v>2024</v>
      </c>
      <c r="C65" t="s">
        <v>254</v>
      </c>
      <c r="D65" t="s">
        <v>238</v>
      </c>
      <c r="E65" s="219">
        <v>7563.71</v>
      </c>
      <c r="F65" s="219">
        <v>504.24733333333336</v>
      </c>
      <c r="G65">
        <v>26</v>
      </c>
    </row>
    <row r="66" spans="1:7" x14ac:dyDescent="0.25">
      <c r="A66" s="218">
        <v>45901</v>
      </c>
      <c r="B66">
        <v>2024</v>
      </c>
      <c r="C66" t="s">
        <v>254</v>
      </c>
      <c r="D66" t="s">
        <v>240</v>
      </c>
      <c r="E66" s="219">
        <v>8208.2999999999993</v>
      </c>
      <c r="F66" s="219">
        <v>547.21999999999991</v>
      </c>
      <c r="G66">
        <v>36</v>
      </c>
    </row>
    <row r="67" spans="1:7" x14ac:dyDescent="0.25">
      <c r="A67" s="218">
        <v>45901</v>
      </c>
      <c r="B67">
        <v>2024</v>
      </c>
      <c r="C67" t="s">
        <v>254</v>
      </c>
      <c r="D67" t="s">
        <v>242</v>
      </c>
      <c r="E67" s="219">
        <v>19332.929999999997</v>
      </c>
      <c r="F67" s="219">
        <v>966.64649999999983</v>
      </c>
      <c r="G67">
        <v>90</v>
      </c>
    </row>
    <row r="68" spans="1:7" x14ac:dyDescent="0.25">
      <c r="A68" s="218">
        <v>45901</v>
      </c>
      <c r="B68">
        <v>2024</v>
      </c>
      <c r="C68" t="s">
        <v>254</v>
      </c>
      <c r="D68" t="s">
        <v>243</v>
      </c>
      <c r="E68" s="219">
        <v>11511.710000000003</v>
      </c>
      <c r="F68" s="219">
        <v>605.87947368421067</v>
      </c>
      <c r="G68">
        <v>71</v>
      </c>
    </row>
    <row r="69" spans="1:7" x14ac:dyDescent="0.25">
      <c r="A69" s="218">
        <v>45901</v>
      </c>
      <c r="B69">
        <v>2024</v>
      </c>
      <c r="C69" t="s">
        <v>254</v>
      </c>
      <c r="D69" t="s">
        <v>244</v>
      </c>
      <c r="E69" s="219">
        <v>6603.18</v>
      </c>
      <c r="F69" s="219">
        <v>366.84333333333336</v>
      </c>
      <c r="G69">
        <v>57</v>
      </c>
    </row>
    <row r="70" spans="1:7" x14ac:dyDescent="0.25">
      <c r="A70" s="218">
        <v>45901</v>
      </c>
      <c r="B70">
        <v>2024</v>
      </c>
      <c r="C70" t="s">
        <v>255</v>
      </c>
      <c r="D70" t="s">
        <v>258</v>
      </c>
      <c r="E70" s="219">
        <v>1182.06</v>
      </c>
      <c r="F70" s="219">
        <v>168.86571428571429</v>
      </c>
      <c r="G70">
        <v>8</v>
      </c>
    </row>
    <row r="71" spans="1:7" x14ac:dyDescent="0.25">
      <c r="A71" s="218">
        <v>45901</v>
      </c>
      <c r="B71">
        <v>2024</v>
      </c>
      <c r="C71" t="s">
        <v>255</v>
      </c>
      <c r="D71" t="s">
        <v>238</v>
      </c>
      <c r="E71" s="219">
        <v>3037.8</v>
      </c>
      <c r="F71" s="219">
        <v>337.53333333333336</v>
      </c>
      <c r="G71">
        <v>14</v>
      </c>
    </row>
    <row r="72" spans="1:7" x14ac:dyDescent="0.25">
      <c r="A72" s="218">
        <v>45901</v>
      </c>
      <c r="B72">
        <v>2024</v>
      </c>
      <c r="C72" t="s">
        <v>255</v>
      </c>
      <c r="D72" t="s">
        <v>240</v>
      </c>
      <c r="E72" s="219">
        <v>769.57999999999993</v>
      </c>
      <c r="F72" s="219">
        <v>192.39499999999998</v>
      </c>
      <c r="G72">
        <v>4</v>
      </c>
    </row>
    <row r="73" spans="1:7" x14ac:dyDescent="0.25">
      <c r="A73" s="218">
        <v>45901</v>
      </c>
      <c r="B73">
        <v>2024</v>
      </c>
      <c r="C73" t="s">
        <v>255</v>
      </c>
      <c r="D73" t="s">
        <v>242</v>
      </c>
      <c r="E73" s="219">
        <v>5614.37</v>
      </c>
      <c r="F73" s="219">
        <v>401.02642857142854</v>
      </c>
      <c r="G73">
        <v>21</v>
      </c>
    </row>
    <row r="74" spans="1:7" x14ac:dyDescent="0.25">
      <c r="A74" s="218">
        <v>45901</v>
      </c>
      <c r="B74">
        <v>2024</v>
      </c>
      <c r="C74" t="s">
        <v>255</v>
      </c>
      <c r="D74" t="s">
        <v>243</v>
      </c>
      <c r="E74" s="219">
        <v>3423.0299999999997</v>
      </c>
      <c r="F74" s="219">
        <v>380.33666666666664</v>
      </c>
      <c r="G74">
        <v>18</v>
      </c>
    </row>
    <row r="75" spans="1:7" x14ac:dyDescent="0.25">
      <c r="A75" s="218">
        <v>45901</v>
      </c>
      <c r="B75">
        <v>2024</v>
      </c>
      <c r="C75" t="s">
        <v>255</v>
      </c>
      <c r="D75" t="s">
        <v>244</v>
      </c>
      <c r="E75" s="219">
        <v>2270.7399999999998</v>
      </c>
      <c r="F75" s="219">
        <v>189.22833333333332</v>
      </c>
      <c r="G75">
        <v>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67E1C-BBEE-46F7-B184-453894943F42}">
  <dimension ref="A1:J24"/>
  <sheetViews>
    <sheetView zoomScale="130" zoomScaleNormal="130" workbookViewId="0">
      <selection activeCell="I7" sqref="I7"/>
    </sheetView>
  </sheetViews>
  <sheetFormatPr defaultColWidth="7.5703125" defaultRowHeight="15" x14ac:dyDescent="0.25"/>
  <cols>
    <col min="1" max="1" width="10.7109375" style="5" bestFit="1" customWidth="1"/>
    <col min="2" max="2" width="16.28515625" style="5" customWidth="1"/>
    <col min="3" max="9" width="13.7109375" style="5" customWidth="1"/>
    <col min="10" max="10" width="15.140625" style="5" bestFit="1" customWidth="1"/>
    <col min="11" max="16384" width="7.5703125" style="5"/>
  </cols>
  <sheetData>
    <row r="1" spans="1:10" ht="18.75" x14ac:dyDescent="0.3">
      <c r="A1" s="375" t="s">
        <v>0</v>
      </c>
    </row>
    <row r="2" spans="1:10" x14ac:dyDescent="0.25">
      <c r="A2" s="74"/>
      <c r="B2" s="491" t="s">
        <v>76</v>
      </c>
      <c r="C2" s="491"/>
      <c r="D2" s="491"/>
      <c r="E2" s="491"/>
      <c r="F2" s="491"/>
      <c r="G2" s="491"/>
      <c r="H2" s="491"/>
      <c r="I2" s="491"/>
    </row>
    <row r="3" spans="1:10" x14ac:dyDescent="0.25">
      <c r="A3" s="74"/>
      <c r="B3" s="496" t="s">
        <v>263</v>
      </c>
      <c r="C3" s="496"/>
      <c r="D3" s="496"/>
      <c r="E3" s="496"/>
      <c r="F3" s="496"/>
      <c r="G3" s="496"/>
      <c r="H3" s="496"/>
      <c r="I3" s="496"/>
    </row>
    <row r="4" spans="1:10" x14ac:dyDescent="0.25">
      <c r="A4" s="74"/>
      <c r="B4" s="491" t="s">
        <v>78</v>
      </c>
      <c r="C4" s="491"/>
      <c r="D4" s="491"/>
      <c r="E4" s="491"/>
      <c r="F4" s="491"/>
      <c r="G4" s="491"/>
      <c r="H4" s="491"/>
      <c r="I4" s="491"/>
    </row>
    <row r="5" spans="1:10" x14ac:dyDescent="0.25">
      <c r="A5"/>
      <c r="B5"/>
      <c r="C5"/>
      <c r="D5"/>
      <c r="E5"/>
      <c r="F5"/>
      <c r="G5"/>
      <c r="H5"/>
      <c r="I5"/>
    </row>
    <row r="6" spans="1:10" x14ac:dyDescent="0.25">
      <c r="A6" s="74"/>
      <c r="B6" s="87" t="s">
        <v>264</v>
      </c>
      <c r="C6" s="87">
        <v>503</v>
      </c>
      <c r="D6" s="87">
        <v>504</v>
      </c>
      <c r="E6" s="75">
        <v>505</v>
      </c>
      <c r="F6" s="75">
        <v>511</v>
      </c>
      <c r="G6" s="75">
        <v>570</v>
      </c>
      <c r="H6" s="75">
        <v>663</v>
      </c>
      <c r="I6" s="75" t="s">
        <v>265</v>
      </c>
      <c r="J6" s="237" t="s">
        <v>62</v>
      </c>
    </row>
    <row r="7" spans="1:10" x14ac:dyDescent="0.25">
      <c r="A7" s="73" t="s">
        <v>82</v>
      </c>
      <c r="B7" s="69">
        <v>45962</v>
      </c>
      <c r="C7" s="68">
        <v>18117803.152146097</v>
      </c>
      <c r="D7" s="68">
        <v>12056859.390101016</v>
      </c>
      <c r="E7" s="68">
        <v>1031566.7625934134</v>
      </c>
      <c r="F7" s="68">
        <v>1922556.5250306204</v>
      </c>
      <c r="G7" s="68">
        <v>93914.170128855272</v>
      </c>
      <c r="H7" s="68">
        <v>73471824</v>
      </c>
      <c r="I7" s="67">
        <f>SUM(C7:G7)</f>
        <v>33222700.000000004</v>
      </c>
      <c r="J7" s="123">
        <f>SUM(C7:H7)</f>
        <v>106694524</v>
      </c>
    </row>
    <row r="8" spans="1:10" x14ac:dyDescent="0.25">
      <c r="A8" s="73" t="s">
        <v>82</v>
      </c>
      <c r="B8" s="69">
        <v>45992</v>
      </c>
      <c r="C8" s="68">
        <v>23825724.488396242</v>
      </c>
      <c r="D8" s="68">
        <v>16184425.691793438</v>
      </c>
      <c r="E8" s="68">
        <v>1746942.8537684863</v>
      </c>
      <c r="F8" s="68">
        <v>2294918.632217315</v>
      </c>
      <c r="G8" s="68">
        <v>117305.33382451917</v>
      </c>
      <c r="H8" s="68">
        <v>85998792</v>
      </c>
      <c r="I8" s="67">
        <f t="shared" ref="I8:I18" si="0">SUM(C8:G8)</f>
        <v>44169317.000000007</v>
      </c>
      <c r="J8" s="123">
        <f t="shared" ref="J8:J18" si="1">SUM(C8:H8)</f>
        <v>130168109</v>
      </c>
    </row>
    <row r="9" spans="1:10" x14ac:dyDescent="0.25">
      <c r="A9" s="73" t="s">
        <v>82</v>
      </c>
      <c r="B9" s="69">
        <v>46023</v>
      </c>
      <c r="C9" s="68">
        <v>23122731.006205771</v>
      </c>
      <c r="D9" s="68">
        <v>16880642.691483866</v>
      </c>
      <c r="E9" s="68">
        <v>1735340.8029907793</v>
      </c>
      <c r="F9" s="68">
        <v>2466202.5574992434</v>
      </c>
      <c r="G9" s="68">
        <v>116282.94182033929</v>
      </c>
      <c r="H9" s="68">
        <v>79699932</v>
      </c>
      <c r="I9" s="67">
        <f t="shared" si="0"/>
        <v>44321200</v>
      </c>
      <c r="J9" s="123">
        <f t="shared" si="1"/>
        <v>124021132</v>
      </c>
    </row>
    <row r="10" spans="1:10" x14ac:dyDescent="0.25">
      <c r="A10" s="73" t="s">
        <v>82</v>
      </c>
      <c r="B10" s="69">
        <v>46054</v>
      </c>
      <c r="C10" s="68">
        <v>18581735.406084646</v>
      </c>
      <c r="D10" s="68">
        <v>13127074.152839223</v>
      </c>
      <c r="E10" s="68">
        <v>1466640.4812547294</v>
      </c>
      <c r="F10" s="68">
        <v>2048253.0841382782</v>
      </c>
      <c r="G10" s="68">
        <v>91196.875683123348</v>
      </c>
      <c r="H10" s="68">
        <v>74519864</v>
      </c>
      <c r="I10" s="67">
        <f t="shared" si="0"/>
        <v>35314900</v>
      </c>
      <c r="J10" s="123">
        <f t="shared" si="1"/>
        <v>109834764</v>
      </c>
    </row>
    <row r="11" spans="1:10" x14ac:dyDescent="0.25">
      <c r="A11" s="73" t="s">
        <v>82</v>
      </c>
      <c r="B11" s="69">
        <v>46082</v>
      </c>
      <c r="C11" s="68">
        <v>15282490.608498678</v>
      </c>
      <c r="D11" s="68">
        <v>12038810.992700782</v>
      </c>
      <c r="E11" s="68">
        <v>1661829.3539652063</v>
      </c>
      <c r="F11" s="68">
        <v>2042555.131077155</v>
      </c>
      <c r="G11" s="68">
        <v>110413.91375817922</v>
      </c>
      <c r="H11" s="68">
        <v>72925555</v>
      </c>
      <c r="I11" s="67">
        <f t="shared" si="0"/>
        <v>31136100.000000004</v>
      </c>
      <c r="J11" s="123">
        <f t="shared" si="1"/>
        <v>104061655</v>
      </c>
    </row>
    <row r="12" spans="1:10" x14ac:dyDescent="0.25">
      <c r="A12" s="73" t="s">
        <v>82</v>
      </c>
      <c r="B12" s="69">
        <v>46113</v>
      </c>
      <c r="C12" s="68">
        <v>9963998.7814992648</v>
      </c>
      <c r="D12" s="68">
        <v>7058402.6639556456</v>
      </c>
      <c r="E12" s="68">
        <v>1333966.3481270303</v>
      </c>
      <c r="F12" s="68">
        <v>1441757.9970645909</v>
      </c>
      <c r="G12" s="68">
        <v>101474.20935347039</v>
      </c>
      <c r="H12" s="68">
        <v>54861023</v>
      </c>
      <c r="I12" s="67">
        <f t="shared" si="0"/>
        <v>19899600</v>
      </c>
      <c r="J12" s="123">
        <f t="shared" si="1"/>
        <v>74760623</v>
      </c>
    </row>
    <row r="13" spans="1:10" x14ac:dyDescent="0.25">
      <c r="A13" s="73" t="s">
        <v>82</v>
      </c>
      <c r="B13" s="69">
        <v>46143</v>
      </c>
      <c r="C13" s="68">
        <v>5149003.080451604</v>
      </c>
      <c r="D13" s="68">
        <v>4439008.8910850454</v>
      </c>
      <c r="E13" s="68">
        <v>789448.57662919431</v>
      </c>
      <c r="F13" s="68">
        <v>1110817.0534633992</v>
      </c>
      <c r="G13" s="68">
        <v>73422.398370757262</v>
      </c>
      <c r="H13" s="68">
        <v>48615735</v>
      </c>
      <c r="I13" s="67">
        <f t="shared" si="0"/>
        <v>11561700</v>
      </c>
      <c r="J13" s="123">
        <f t="shared" si="1"/>
        <v>60177435</v>
      </c>
    </row>
    <row r="14" spans="1:10" x14ac:dyDescent="0.25">
      <c r="A14" s="73" t="s">
        <v>82</v>
      </c>
      <c r="B14" s="69">
        <v>46174</v>
      </c>
      <c r="C14" s="68">
        <v>3153964.4044432971</v>
      </c>
      <c r="D14" s="68">
        <v>3188047.5240333923</v>
      </c>
      <c r="E14" s="68">
        <v>766635.54523863213</v>
      </c>
      <c r="F14" s="68">
        <v>1225283.4289892337</v>
      </c>
      <c r="G14" s="68">
        <v>68069.097295444415</v>
      </c>
      <c r="H14" s="68">
        <v>63958512</v>
      </c>
      <c r="I14" s="67">
        <f t="shared" si="0"/>
        <v>8401999.9999999981</v>
      </c>
      <c r="J14" s="123">
        <f t="shared" si="1"/>
        <v>72360512</v>
      </c>
    </row>
    <row r="15" spans="1:10" x14ac:dyDescent="0.25">
      <c r="A15" s="73" t="s">
        <v>82</v>
      </c>
      <c r="B15" s="69">
        <v>46204</v>
      </c>
      <c r="C15" s="68">
        <v>3257300.9701547073</v>
      </c>
      <c r="D15" s="68">
        <v>3125495.8458988597</v>
      </c>
      <c r="E15" s="68">
        <v>643969.7799392218</v>
      </c>
      <c r="F15" s="68">
        <v>980041.69946018269</v>
      </c>
      <c r="G15" s="68">
        <v>55291.704547027723</v>
      </c>
      <c r="H15" s="68">
        <v>63910544</v>
      </c>
      <c r="I15" s="67">
        <f t="shared" si="0"/>
        <v>8062100</v>
      </c>
      <c r="J15" s="123">
        <f t="shared" si="1"/>
        <v>71972644</v>
      </c>
    </row>
    <row r="16" spans="1:10" x14ac:dyDescent="0.25">
      <c r="A16" s="73" t="s">
        <v>82</v>
      </c>
      <c r="B16" s="69">
        <v>46235</v>
      </c>
      <c r="C16" s="68">
        <v>2618292.5582964146</v>
      </c>
      <c r="D16" s="68">
        <v>2730696.614388003</v>
      </c>
      <c r="E16" s="68">
        <v>583562.79750322772</v>
      </c>
      <c r="F16" s="68">
        <v>752106.72712214175</v>
      </c>
      <c r="G16" s="68">
        <v>44941.302690212993</v>
      </c>
      <c r="H16" s="68">
        <v>72896172</v>
      </c>
      <c r="I16" s="67">
        <f t="shared" si="0"/>
        <v>6729600</v>
      </c>
      <c r="J16" s="123">
        <f t="shared" si="1"/>
        <v>79625772</v>
      </c>
    </row>
    <row r="17" spans="1:10" x14ac:dyDescent="0.25">
      <c r="A17" s="73" t="s">
        <v>82</v>
      </c>
      <c r="B17" s="69">
        <v>46266</v>
      </c>
      <c r="C17" s="68">
        <v>3834168.3524885154</v>
      </c>
      <c r="D17" s="68">
        <v>3541105.8391147051</v>
      </c>
      <c r="E17" s="68">
        <v>625773.1892267681</v>
      </c>
      <c r="F17" s="68">
        <v>802657.09791016253</v>
      </c>
      <c r="G17" s="68">
        <v>48795.521259849083</v>
      </c>
      <c r="H17" s="68">
        <v>73312711</v>
      </c>
      <c r="I17" s="67">
        <f t="shared" si="0"/>
        <v>8852500.0000000019</v>
      </c>
      <c r="J17" s="123">
        <f t="shared" si="1"/>
        <v>82165211</v>
      </c>
    </row>
    <row r="18" spans="1:10" x14ac:dyDescent="0.25">
      <c r="A18" s="73" t="s">
        <v>82</v>
      </c>
      <c r="B18" s="69">
        <v>46296</v>
      </c>
      <c r="C18" s="68">
        <v>9171569.0952206813</v>
      </c>
      <c r="D18" s="68">
        <v>7163553.6180606056</v>
      </c>
      <c r="E18" s="68">
        <v>1113759.3835622189</v>
      </c>
      <c r="F18" s="68">
        <v>1462540.8255423829</v>
      </c>
      <c r="G18" s="68">
        <v>75377.077614111127</v>
      </c>
      <c r="H18" s="68">
        <v>69007511</v>
      </c>
      <c r="I18" s="67">
        <f t="shared" si="0"/>
        <v>18986800</v>
      </c>
      <c r="J18" s="123">
        <f t="shared" si="1"/>
        <v>87994311</v>
      </c>
    </row>
    <row r="19" spans="1:10" x14ac:dyDescent="0.25">
      <c r="A19"/>
      <c r="B19"/>
      <c r="C19"/>
      <c r="D19"/>
      <c r="E19"/>
      <c r="F19"/>
      <c r="G19"/>
      <c r="H19"/>
      <c r="I19"/>
    </row>
    <row r="20" spans="1:10" x14ac:dyDescent="0.25">
      <c r="A20" s="73" t="s">
        <v>266</v>
      </c>
      <c r="B20" s="69" t="s">
        <v>267</v>
      </c>
      <c r="C20" s="68">
        <f>SUM(C7:C18)</f>
        <v>136078781.9038859</v>
      </c>
      <c r="D20" s="68">
        <f t="shared" ref="D20:I20" si="2">SUM(D7:D18)</f>
        <v>101534123.9154546</v>
      </c>
      <c r="E20" s="68">
        <f t="shared" si="2"/>
        <v>13499435.874798907</v>
      </c>
      <c r="F20" s="68">
        <f t="shared" si="2"/>
        <v>18549690.759514704</v>
      </c>
      <c r="G20" s="68">
        <f t="shared" si="2"/>
        <v>996484.54634588922</v>
      </c>
      <c r="H20" s="68">
        <f t="shared" si="2"/>
        <v>833178175</v>
      </c>
      <c r="I20" s="68">
        <f>SUM(I7:I18)</f>
        <v>270658517</v>
      </c>
      <c r="J20" s="68">
        <f>SUM(J7:J18)</f>
        <v>1103836692</v>
      </c>
    </row>
    <row r="21" spans="1:10" x14ac:dyDescent="0.25">
      <c r="A21" s="74"/>
      <c r="B21" s="74"/>
      <c r="C21" s="70">
        <v>1</v>
      </c>
      <c r="D21" s="70">
        <v>2</v>
      </c>
      <c r="E21" s="70">
        <v>3</v>
      </c>
      <c r="F21" s="70">
        <v>4</v>
      </c>
      <c r="G21" s="70">
        <v>5</v>
      </c>
      <c r="H21" s="70">
        <v>6</v>
      </c>
      <c r="I21" s="77">
        <v>7</v>
      </c>
    </row>
    <row r="23" spans="1:10" x14ac:dyDescent="0.25">
      <c r="B23" s="124"/>
      <c r="G23" s="5" t="s">
        <v>268</v>
      </c>
      <c r="H23" s="236">
        <f>'Bills-Therms-Revs'!F45</f>
        <v>202</v>
      </c>
    </row>
    <row r="24" spans="1:10" x14ac:dyDescent="0.25">
      <c r="B24" s="123"/>
      <c r="G24" s="5" t="s">
        <v>269</v>
      </c>
      <c r="H24" s="123">
        <f>H20/H23/12</f>
        <v>343720.36922442244</v>
      </c>
    </row>
  </sheetData>
  <mergeCells count="3">
    <mergeCell ref="B4:I4"/>
    <mergeCell ref="B2:I2"/>
    <mergeCell ref="B3:I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99B1-6011-40D9-A03C-0BFE4579C5A8}">
  <dimension ref="A1:F30"/>
  <sheetViews>
    <sheetView workbookViewId="0">
      <selection activeCell="E37" sqref="E37"/>
    </sheetView>
  </sheetViews>
  <sheetFormatPr defaultRowHeight="15" x14ac:dyDescent="0.25"/>
  <cols>
    <col min="1" max="1" width="22.140625" customWidth="1"/>
    <col min="2" max="2" width="13.85546875" bestFit="1" customWidth="1"/>
    <col min="3" max="3" width="12.5703125" bestFit="1" customWidth="1"/>
    <col min="4" max="4" width="8.28515625" bestFit="1" customWidth="1"/>
    <col min="5" max="5" width="10.5703125" bestFit="1" customWidth="1"/>
  </cols>
  <sheetData>
    <row r="1" spans="1:6" ht="18.75" x14ac:dyDescent="0.3">
      <c r="A1" s="375" t="s">
        <v>0</v>
      </c>
    </row>
    <row r="2" spans="1:6" ht="18.75" x14ac:dyDescent="0.3">
      <c r="A2" s="375"/>
    </row>
    <row r="3" spans="1:6" x14ac:dyDescent="0.25">
      <c r="A3" s="193" t="s">
        <v>270</v>
      </c>
    </row>
    <row r="5" spans="1:6" x14ac:dyDescent="0.25">
      <c r="A5" s="193" t="s">
        <v>271</v>
      </c>
      <c r="B5" s="229" t="s">
        <v>272</v>
      </c>
      <c r="C5" s="229" t="s">
        <v>273</v>
      </c>
      <c r="D5" s="229" t="s">
        <v>274</v>
      </c>
      <c r="E5" s="229" t="s">
        <v>275</v>
      </c>
      <c r="F5" s="229" t="s">
        <v>276</v>
      </c>
    </row>
    <row r="6" spans="1:6" x14ac:dyDescent="0.25">
      <c r="A6" t="s">
        <v>277</v>
      </c>
    </row>
    <row r="7" spans="1:6" x14ac:dyDescent="0.25">
      <c r="A7" t="s">
        <v>278</v>
      </c>
      <c r="B7">
        <v>4778.16</v>
      </c>
      <c r="C7">
        <v>23</v>
      </c>
      <c r="D7">
        <v>166</v>
      </c>
      <c r="E7">
        <v>189</v>
      </c>
      <c r="F7">
        <v>207.75</v>
      </c>
    </row>
    <row r="8" spans="1:6" x14ac:dyDescent="0.25">
      <c r="A8" t="s">
        <v>279</v>
      </c>
      <c r="B8">
        <v>2674.64</v>
      </c>
      <c r="C8">
        <v>17</v>
      </c>
      <c r="D8">
        <v>100</v>
      </c>
      <c r="E8">
        <v>117</v>
      </c>
      <c r="F8">
        <v>157.33000000000001</v>
      </c>
    </row>
    <row r="9" spans="1:6" x14ac:dyDescent="0.25">
      <c r="A9" t="s">
        <v>280</v>
      </c>
      <c r="B9">
        <v>0</v>
      </c>
      <c r="C9">
        <v>0</v>
      </c>
      <c r="D9">
        <v>50</v>
      </c>
      <c r="E9">
        <v>50</v>
      </c>
      <c r="F9">
        <v>0</v>
      </c>
    </row>
    <row r="10" spans="1:6" x14ac:dyDescent="0.25">
      <c r="A10" t="s">
        <v>281</v>
      </c>
      <c r="B10">
        <v>3466.76</v>
      </c>
      <c r="C10">
        <v>17</v>
      </c>
      <c r="D10">
        <v>89</v>
      </c>
      <c r="E10">
        <v>106</v>
      </c>
      <c r="F10">
        <v>203.93</v>
      </c>
    </row>
    <row r="11" spans="1:6" x14ac:dyDescent="0.25">
      <c r="A11" t="s">
        <v>282</v>
      </c>
      <c r="B11">
        <v>0</v>
      </c>
      <c r="C11">
        <v>0</v>
      </c>
      <c r="D11">
        <v>2</v>
      </c>
      <c r="E11">
        <v>2</v>
      </c>
      <c r="F11">
        <v>0</v>
      </c>
    </row>
    <row r="12" spans="1:6" x14ac:dyDescent="0.25">
      <c r="A12" t="s">
        <v>283</v>
      </c>
      <c r="B12">
        <v>200.85</v>
      </c>
      <c r="C12">
        <v>1</v>
      </c>
      <c r="D12">
        <v>5</v>
      </c>
      <c r="E12">
        <v>6</v>
      </c>
      <c r="F12">
        <v>200.85</v>
      </c>
    </row>
    <row r="13" spans="1:6" x14ac:dyDescent="0.25">
      <c r="A13" t="s">
        <v>284</v>
      </c>
      <c r="B13">
        <v>30350.07</v>
      </c>
      <c r="C13">
        <v>158</v>
      </c>
      <c r="D13">
        <v>340</v>
      </c>
      <c r="E13">
        <v>498</v>
      </c>
      <c r="F13">
        <v>192.09</v>
      </c>
    </row>
    <row r="14" spans="1:6" x14ac:dyDescent="0.25">
      <c r="A14" t="s">
        <v>285</v>
      </c>
      <c r="B14">
        <v>4303.3900000000003</v>
      </c>
      <c r="C14">
        <v>14</v>
      </c>
      <c r="D14">
        <v>335</v>
      </c>
      <c r="E14">
        <v>349</v>
      </c>
      <c r="F14">
        <v>307.39</v>
      </c>
    </row>
    <row r="15" spans="1:6" x14ac:dyDescent="0.25">
      <c r="A15" t="s">
        <v>286</v>
      </c>
      <c r="B15">
        <v>15717.57</v>
      </c>
      <c r="C15">
        <v>67</v>
      </c>
      <c r="D15">
        <v>549</v>
      </c>
      <c r="E15">
        <v>616</v>
      </c>
      <c r="F15">
        <v>234.59</v>
      </c>
    </row>
    <row r="16" spans="1:6" x14ac:dyDescent="0.25">
      <c r="A16" t="s">
        <v>287</v>
      </c>
      <c r="B16">
        <v>49070.76</v>
      </c>
      <c r="C16">
        <v>262</v>
      </c>
      <c r="D16">
        <v>816</v>
      </c>
      <c r="E16">
        <v>1078</v>
      </c>
      <c r="F16">
        <v>187.29</v>
      </c>
    </row>
    <row r="17" spans="1:6" x14ac:dyDescent="0.25">
      <c r="A17" t="s">
        <v>288</v>
      </c>
      <c r="B17">
        <v>7209.29</v>
      </c>
      <c r="C17">
        <v>22</v>
      </c>
      <c r="D17">
        <v>577</v>
      </c>
      <c r="E17">
        <v>599</v>
      </c>
      <c r="F17">
        <v>327.7</v>
      </c>
    </row>
    <row r="18" spans="1:6" x14ac:dyDescent="0.25">
      <c r="A18" t="s">
        <v>289</v>
      </c>
      <c r="B18">
        <v>611.66999999999996</v>
      </c>
      <c r="C18">
        <v>2</v>
      </c>
      <c r="D18">
        <v>67</v>
      </c>
      <c r="E18">
        <v>69</v>
      </c>
      <c r="F18">
        <v>305.83999999999997</v>
      </c>
    </row>
    <row r="19" spans="1:6" x14ac:dyDescent="0.25">
      <c r="A19" s="228" t="s">
        <v>62</v>
      </c>
      <c r="B19" s="226"/>
      <c r="C19" s="226">
        <f>SUM(C7:C18)</f>
        <v>583</v>
      </c>
      <c r="D19" s="226">
        <f>SUM(D7:D18)</f>
        <v>3096</v>
      </c>
      <c r="E19" s="226"/>
      <c r="F19" s="224"/>
    </row>
    <row r="20" spans="1:6" x14ac:dyDescent="0.25">
      <c r="A20" t="s">
        <v>236</v>
      </c>
      <c r="C20">
        <f>C19/11</f>
        <v>53</v>
      </c>
      <c r="D20" s="225">
        <f>D19/11</f>
        <v>281.45454545454544</v>
      </c>
    </row>
    <row r="21" spans="1:6" x14ac:dyDescent="0.25">
      <c r="A21" t="s">
        <v>290</v>
      </c>
      <c r="C21">
        <f>C19+(2*C20)</f>
        <v>689</v>
      </c>
      <c r="D21" s="225">
        <f>D19+D20</f>
        <v>3377.4545454545455</v>
      </c>
    </row>
    <row r="25" spans="1:6" x14ac:dyDescent="0.25">
      <c r="A25" t="s">
        <v>291</v>
      </c>
      <c r="B25" s="350" t="s">
        <v>292</v>
      </c>
      <c r="C25" s="352">
        <v>574</v>
      </c>
    </row>
    <row r="26" spans="1:6" x14ac:dyDescent="0.25">
      <c r="B26" t="s">
        <v>293</v>
      </c>
      <c r="C26" s="205">
        <f>C21</f>
        <v>689</v>
      </c>
    </row>
    <row r="27" spans="1:6" ht="15.75" thickBot="1" x14ac:dyDescent="0.3">
      <c r="B27" t="s">
        <v>274</v>
      </c>
      <c r="C27" s="89">
        <f>D19</f>
        <v>3096</v>
      </c>
    </row>
    <row r="28" spans="1:6" ht="15.75" thickBot="1" x14ac:dyDescent="0.3">
      <c r="B28" s="193" t="s">
        <v>62</v>
      </c>
      <c r="C28" s="241">
        <f>SUM(C25:C27)</f>
        <v>4359</v>
      </c>
    </row>
    <row r="30" spans="1:6" x14ac:dyDescent="0.25">
      <c r="C30" s="227"/>
    </row>
  </sheetData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8D5A-CC58-4455-B8D8-B19E35F6F22B}">
  <dimension ref="A1:F33"/>
  <sheetViews>
    <sheetView zoomScale="130" zoomScaleNormal="130" workbookViewId="0">
      <selection activeCell="F6" sqref="F6"/>
    </sheetView>
  </sheetViews>
  <sheetFormatPr defaultColWidth="9.140625" defaultRowHeight="15.75" x14ac:dyDescent="0.25"/>
  <cols>
    <col min="1" max="1" width="34" style="376" bestFit="1" customWidth="1"/>
    <col min="2" max="2" width="9.140625" style="376"/>
    <col min="3" max="3" width="21.28515625" style="383" customWidth="1"/>
    <col min="4" max="16384" width="9.140625" style="376"/>
  </cols>
  <sheetData>
    <row r="1" spans="1:6" x14ac:dyDescent="0.25">
      <c r="A1" s="497" t="s">
        <v>294</v>
      </c>
      <c r="B1" s="497"/>
      <c r="C1" s="497"/>
    </row>
    <row r="2" spans="1:6" x14ac:dyDescent="0.25">
      <c r="A2" s="497" t="s">
        <v>295</v>
      </c>
      <c r="B2" s="497"/>
      <c r="C2" s="497"/>
    </row>
    <row r="3" spans="1:6" x14ac:dyDescent="0.25">
      <c r="A3" s="498" t="s">
        <v>296</v>
      </c>
      <c r="B3" s="498"/>
      <c r="C3" s="498"/>
    </row>
    <row r="4" spans="1:6" x14ac:dyDescent="0.25">
      <c r="A4" s="499" t="s">
        <v>297</v>
      </c>
      <c r="B4" s="500"/>
      <c r="C4" s="501"/>
    </row>
    <row r="5" spans="1:6" x14ac:dyDescent="0.25">
      <c r="A5" s="377"/>
      <c r="B5" s="378"/>
      <c r="C5" s="379"/>
    </row>
    <row r="6" spans="1:6" x14ac:dyDescent="0.25">
      <c r="A6" s="377" t="s">
        <v>298</v>
      </c>
      <c r="B6" s="378"/>
      <c r="C6" s="379">
        <v>1</v>
      </c>
    </row>
    <row r="7" spans="1:6" x14ac:dyDescent="0.25">
      <c r="A7" s="380" t="s">
        <v>299</v>
      </c>
      <c r="B7" s="378"/>
      <c r="C7" s="379"/>
    </row>
    <row r="8" spans="1:6" x14ac:dyDescent="0.25">
      <c r="A8" s="381" t="s">
        <v>300</v>
      </c>
      <c r="B8" s="378"/>
      <c r="C8" s="382">
        <v>6.7200000000000003E-3</v>
      </c>
    </row>
    <row r="9" spans="1:6" x14ac:dyDescent="0.25">
      <c r="A9" s="381" t="s">
        <v>301</v>
      </c>
      <c r="B9" s="378"/>
      <c r="C9" s="382">
        <v>3.8519999999999999E-2</v>
      </c>
    </row>
    <row r="10" spans="1:6" x14ac:dyDescent="0.25">
      <c r="A10" s="381" t="s">
        <v>302</v>
      </c>
      <c r="B10" s="378"/>
      <c r="C10" s="382">
        <v>4.0000000000000001E-3</v>
      </c>
      <c r="D10" s="383">
        <f>+C8+C9+C10</f>
        <v>4.9240000000000006E-2</v>
      </c>
      <c r="E10" s="383">
        <f>1-D10</f>
        <v>0.95076000000000005</v>
      </c>
      <c r="F10" s="383">
        <f>1/E10</f>
        <v>1.0517901468299045</v>
      </c>
    </row>
    <row r="11" spans="1:6" x14ac:dyDescent="0.25">
      <c r="A11" s="380" t="s">
        <v>303</v>
      </c>
      <c r="B11" s="378"/>
      <c r="C11" s="384"/>
    </row>
    <row r="12" spans="1:6" ht="16.5" thickBot="1" x14ac:dyDescent="0.3">
      <c r="A12" s="380" t="s">
        <v>304</v>
      </c>
      <c r="B12" s="378"/>
      <c r="C12" s="385">
        <f>+C6-SUM(C8:C11)</f>
        <v>0.95076000000000005</v>
      </c>
    </row>
    <row r="13" spans="1:6" x14ac:dyDescent="0.25">
      <c r="A13" s="386"/>
      <c r="B13" s="378"/>
      <c r="C13" s="379"/>
    </row>
    <row r="14" spans="1:6" ht="16.5" thickBot="1" x14ac:dyDescent="0.3">
      <c r="A14" s="380" t="s">
        <v>305</v>
      </c>
      <c r="B14" s="378"/>
      <c r="C14" s="387">
        <v>0</v>
      </c>
    </row>
    <row r="15" spans="1:6" x14ac:dyDescent="0.25">
      <c r="A15" s="386"/>
      <c r="B15" s="378"/>
      <c r="C15" s="379"/>
    </row>
    <row r="16" spans="1:6" ht="16.5" thickBot="1" x14ac:dyDescent="0.3">
      <c r="A16" s="386" t="s">
        <v>306</v>
      </c>
      <c r="B16" s="378"/>
      <c r="C16" s="387">
        <f>+C12-C14</f>
        <v>0.95076000000000005</v>
      </c>
    </row>
    <row r="17" spans="1:6" x14ac:dyDescent="0.25">
      <c r="A17" s="386"/>
      <c r="B17" s="378"/>
      <c r="C17" s="379"/>
    </row>
    <row r="18" spans="1:6" ht="16.5" thickBot="1" x14ac:dyDescent="0.3">
      <c r="A18" s="386" t="s">
        <v>307</v>
      </c>
      <c r="B18" s="378"/>
      <c r="C18" s="387">
        <f>+C16*0.21</f>
        <v>0.19965959999999999</v>
      </c>
    </row>
    <row r="19" spans="1:6" x14ac:dyDescent="0.25">
      <c r="A19" s="386"/>
      <c r="B19" s="378"/>
      <c r="C19" s="384"/>
    </row>
    <row r="20" spans="1:6" ht="16.5" thickBot="1" x14ac:dyDescent="0.3">
      <c r="A20" s="386" t="s">
        <v>308</v>
      </c>
      <c r="B20" s="378"/>
      <c r="C20" s="385">
        <f>+C14+C18</f>
        <v>0.19965959999999999</v>
      </c>
    </row>
    <row r="21" spans="1:6" x14ac:dyDescent="0.25">
      <c r="A21" s="386"/>
      <c r="B21" s="378"/>
      <c r="C21" s="379"/>
    </row>
    <row r="22" spans="1:6" ht="16.5" thickBot="1" x14ac:dyDescent="0.3">
      <c r="A22" s="386" t="s">
        <v>309</v>
      </c>
      <c r="B22" s="378"/>
      <c r="C22" s="387">
        <f>SUM(C8:C11)+C20</f>
        <v>0.2488996</v>
      </c>
    </row>
    <row r="23" spans="1:6" x14ac:dyDescent="0.25">
      <c r="A23" s="386"/>
      <c r="B23" s="378"/>
      <c r="C23" s="379"/>
    </row>
    <row r="24" spans="1:6" x14ac:dyDescent="0.25">
      <c r="A24" s="386" t="s">
        <v>310</v>
      </c>
      <c r="B24" s="378"/>
      <c r="C24" s="379"/>
    </row>
    <row r="25" spans="1:6" ht="16.5" thickBot="1" x14ac:dyDescent="0.3">
      <c r="A25" s="386" t="s">
        <v>311</v>
      </c>
      <c r="B25" s="378"/>
      <c r="C25" s="388">
        <f>+C6-C22</f>
        <v>0.7511004</v>
      </c>
      <c r="D25" s="383"/>
      <c r="F25" s="383"/>
    </row>
    <row r="26" spans="1:6" x14ac:dyDescent="0.25">
      <c r="A26" s="389"/>
      <c r="B26" s="390"/>
      <c r="C26" s="384"/>
    </row>
    <row r="27" spans="1:6" x14ac:dyDescent="0.25">
      <c r="A27" s="377"/>
      <c r="B27" s="378"/>
      <c r="C27" s="379"/>
    </row>
    <row r="28" spans="1:6" x14ac:dyDescent="0.25">
      <c r="A28" s="377"/>
      <c r="B28" s="378"/>
      <c r="C28" s="379"/>
    </row>
    <row r="29" spans="1:6" x14ac:dyDescent="0.25">
      <c r="A29" s="391" t="s">
        <v>312</v>
      </c>
      <c r="B29" s="392"/>
      <c r="C29" s="393"/>
    </row>
    <row r="30" spans="1:6" x14ac:dyDescent="0.25">
      <c r="A30" s="391" t="s">
        <v>313</v>
      </c>
      <c r="B30" s="392"/>
      <c r="C30" s="393">
        <v>0</v>
      </c>
    </row>
    <row r="31" spans="1:6" x14ac:dyDescent="0.25">
      <c r="A31" s="391" t="s">
        <v>314</v>
      </c>
      <c r="B31" s="392"/>
      <c r="C31" s="393">
        <v>0.21</v>
      </c>
    </row>
    <row r="32" spans="1:6" x14ac:dyDescent="0.25">
      <c r="A32" s="394"/>
      <c r="B32" s="392"/>
      <c r="C32" s="395"/>
    </row>
    <row r="33" spans="1:3" x14ac:dyDescent="0.25">
      <c r="A33" s="396" t="s">
        <v>315</v>
      </c>
      <c r="B33" s="397"/>
      <c r="C33" s="398">
        <f>ROUND(((1-C30)*C31)+C30,5)</f>
        <v>0.21</v>
      </c>
    </row>
  </sheetData>
  <mergeCells count="4">
    <mergeCell ref="A1:C1"/>
    <mergeCell ref="A2:C2"/>
    <mergeCell ref="A3:C3"/>
    <mergeCell ref="A4:C4"/>
  </mergeCells>
  <printOptions horizontalCentered="1"/>
  <pageMargins left="0.7" right="0.7" top="1.25" bottom="0.75" header="0.3" footer="0.3"/>
  <pageSetup orientation="portrait" r:id="rId1"/>
  <headerFooter scaleWithDoc="0" alignWithMargins="0">
    <oddHeader>&amp;RDocket No. UG-19___
Exhibit _____ (MCP-4)
Page 1 of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9BF5-4CFB-456E-A39B-85C758F42773}">
  <sheetPr>
    <pageSetUpPr fitToPage="1"/>
  </sheetPr>
  <dimension ref="A1:N53"/>
  <sheetViews>
    <sheetView view="pageBreakPreview" zoomScale="130" zoomScaleNormal="60" zoomScaleSheetLayoutView="130" workbookViewId="0">
      <pane ySplit="10" topLeftCell="A13" activePane="bottomLeft" state="frozen"/>
      <selection activeCell="D23" sqref="D23"/>
      <selection pane="bottomLeft" activeCell="P27" sqref="P27"/>
    </sheetView>
  </sheetViews>
  <sheetFormatPr defaultColWidth="11.42578125" defaultRowHeight="12.75" x14ac:dyDescent="0.2"/>
  <cols>
    <col min="1" max="1" width="12" style="437" customWidth="1"/>
    <col min="2" max="2" width="4.7109375" style="437" bestFit="1" customWidth="1"/>
    <col min="3" max="3" width="6.85546875" style="437" bestFit="1" customWidth="1"/>
    <col min="4" max="4" width="13.7109375" style="437" customWidth="1"/>
    <col min="5" max="5" width="13" style="437" customWidth="1"/>
    <col min="6" max="6" width="11.42578125" style="437" customWidth="1"/>
    <col min="7" max="7" width="12.42578125" style="437" bestFit="1" customWidth="1"/>
    <col min="8" max="8" width="15.140625" style="437" customWidth="1"/>
    <col min="9" max="9" width="1.5703125" style="437" customWidth="1"/>
    <col min="10" max="10" width="12.7109375" style="437" customWidth="1"/>
    <col min="11" max="11" width="12.28515625" style="437" customWidth="1"/>
    <col min="12" max="12" width="11.5703125" style="437" bestFit="1" customWidth="1"/>
    <col min="13" max="13" width="13.28515625" style="437" bestFit="1" customWidth="1"/>
    <col min="14" max="16384" width="11.42578125" style="437"/>
  </cols>
  <sheetData>
    <row r="1" spans="1:13" x14ac:dyDescent="0.2">
      <c r="A1" s="514" t="s">
        <v>319</v>
      </c>
      <c r="B1" s="515"/>
      <c r="C1" s="516" t="s">
        <v>320</v>
      </c>
      <c r="D1" s="516"/>
      <c r="E1" s="516"/>
      <c r="F1" s="516"/>
      <c r="G1" s="516"/>
      <c r="H1" s="517"/>
      <c r="I1" s="436"/>
    </row>
    <row r="2" spans="1:13" x14ac:dyDescent="0.2">
      <c r="A2" s="503" t="s">
        <v>321</v>
      </c>
      <c r="B2" s="504"/>
      <c r="C2" s="507" t="s">
        <v>51</v>
      </c>
      <c r="D2" s="507"/>
      <c r="E2" s="507"/>
      <c r="F2" s="507"/>
      <c r="G2" s="507"/>
      <c r="H2" s="508"/>
      <c r="I2" s="436"/>
    </row>
    <row r="3" spans="1:13" ht="15" x14ac:dyDescent="0.25">
      <c r="A3" s="503" t="s">
        <v>322</v>
      </c>
      <c r="B3" s="504"/>
      <c r="C3" s="518" t="s">
        <v>178</v>
      </c>
      <c r="D3" s="518"/>
      <c r="E3" s="518"/>
      <c r="F3" s="518"/>
      <c r="G3" s="518"/>
      <c r="H3" s="519"/>
      <c r="I3" s="436"/>
    </row>
    <row r="4" spans="1:13" x14ac:dyDescent="0.2">
      <c r="A4" s="503" t="s">
        <v>323</v>
      </c>
      <c r="B4" s="504"/>
      <c r="C4" s="505" t="s">
        <v>100</v>
      </c>
      <c r="D4" s="505"/>
      <c r="E4" s="505"/>
      <c r="F4" s="505"/>
      <c r="G4" s="505"/>
      <c r="H4" s="506"/>
      <c r="I4" s="436"/>
    </row>
    <row r="5" spans="1:13" x14ac:dyDescent="0.2">
      <c r="A5" s="503" t="s">
        <v>324</v>
      </c>
      <c r="B5" s="504"/>
      <c r="C5" s="507" t="s">
        <v>325</v>
      </c>
      <c r="D5" s="507"/>
      <c r="E5" s="507"/>
      <c r="F5" s="507"/>
      <c r="G5" s="507"/>
      <c r="H5" s="508"/>
      <c r="I5" s="436"/>
    </row>
    <row r="6" spans="1:13" x14ac:dyDescent="0.2">
      <c r="A6" s="503" t="s">
        <v>326</v>
      </c>
      <c r="B6" s="504"/>
      <c r="C6" s="507" t="s">
        <v>327</v>
      </c>
      <c r="D6" s="507"/>
      <c r="E6" s="507"/>
      <c r="F6" s="507"/>
      <c r="G6" s="507"/>
      <c r="H6" s="508"/>
      <c r="I6" s="436"/>
    </row>
    <row r="7" spans="1:13" ht="42.75" customHeight="1" thickBot="1" x14ac:dyDescent="0.25">
      <c r="A7" s="509" t="s">
        <v>328</v>
      </c>
      <c r="B7" s="510"/>
      <c r="C7" s="511" t="s">
        <v>329</v>
      </c>
      <c r="D7" s="511"/>
      <c r="E7" s="511"/>
      <c r="F7" s="511"/>
      <c r="G7" s="511"/>
      <c r="H7" s="512"/>
      <c r="I7" s="438"/>
    </row>
    <row r="8" spans="1:13" x14ac:dyDescent="0.2">
      <c r="A8" s="439"/>
      <c r="B8" s="439"/>
      <c r="C8" s="440"/>
      <c r="D8" s="440"/>
      <c r="E8" s="440"/>
      <c r="F8" s="440"/>
      <c r="G8" s="440"/>
      <c r="H8" s="440"/>
      <c r="K8" s="436"/>
    </row>
    <row r="9" spans="1:13" x14ac:dyDescent="0.2">
      <c r="A9" s="441"/>
      <c r="D9" s="513" t="s">
        <v>330</v>
      </c>
      <c r="E9" s="513"/>
      <c r="F9" s="513"/>
    </row>
    <row r="10" spans="1:13" s="442" customFormat="1" ht="26.25" customHeight="1" x14ac:dyDescent="0.2">
      <c r="A10" s="442" t="s">
        <v>331</v>
      </c>
      <c r="B10" s="442" t="s">
        <v>80</v>
      </c>
      <c r="C10" s="442" t="s">
        <v>332</v>
      </c>
      <c r="D10" s="442" t="s">
        <v>333</v>
      </c>
      <c r="E10" s="442" t="s">
        <v>334</v>
      </c>
      <c r="F10" s="442" t="s">
        <v>335</v>
      </c>
      <c r="G10" s="442" t="s">
        <v>336</v>
      </c>
      <c r="H10" s="442" t="s">
        <v>337</v>
      </c>
      <c r="I10" s="443"/>
      <c r="J10" s="442" t="s">
        <v>338</v>
      </c>
      <c r="K10" s="442" t="s">
        <v>339</v>
      </c>
      <c r="L10" s="444" t="s">
        <v>340</v>
      </c>
      <c r="M10" s="444" t="s">
        <v>341</v>
      </c>
    </row>
    <row r="11" spans="1:13" s="445" customFormat="1" ht="15" customHeight="1" x14ac:dyDescent="0.2">
      <c r="H11" s="437">
        <v>0</v>
      </c>
      <c r="I11" s="446"/>
      <c r="L11" s="447"/>
      <c r="M11" s="447"/>
    </row>
    <row r="12" spans="1:13" x14ac:dyDescent="0.2">
      <c r="A12" s="448">
        <v>45230</v>
      </c>
      <c r="B12" s="449"/>
      <c r="C12" s="449"/>
      <c r="D12" s="437">
        <v>5064.83</v>
      </c>
      <c r="E12" s="449"/>
      <c r="F12" s="437">
        <v>0</v>
      </c>
      <c r="H12" s="437">
        <f>+H11+SUM(D12:G12)</f>
        <v>5064.83</v>
      </c>
      <c r="I12" s="450"/>
      <c r="J12" s="437">
        <v>5064.83</v>
      </c>
      <c r="K12" s="437">
        <f>H12-J12</f>
        <v>0</v>
      </c>
      <c r="L12" s="451" t="s">
        <v>342</v>
      </c>
      <c r="M12" s="452">
        <v>45238</v>
      </c>
    </row>
    <row r="13" spans="1:13" x14ac:dyDescent="0.2">
      <c r="A13" s="448">
        <v>45260</v>
      </c>
      <c r="B13" s="449"/>
      <c r="C13" s="449"/>
      <c r="D13" s="437">
        <v>50313.599999999999</v>
      </c>
      <c r="E13" s="449"/>
      <c r="F13" s="437">
        <v>20.81</v>
      </c>
      <c r="H13" s="437">
        <f>+H12+SUM(D13:G13)</f>
        <v>55399.24</v>
      </c>
      <c r="I13" s="450"/>
      <c r="J13" s="437">
        <v>55399.24</v>
      </c>
      <c r="K13" s="437">
        <f>H13-J13</f>
        <v>0</v>
      </c>
      <c r="L13" s="451" t="s">
        <v>342</v>
      </c>
      <c r="M13" s="452">
        <v>45271</v>
      </c>
    </row>
    <row r="14" spans="1:13" x14ac:dyDescent="0.2">
      <c r="A14" s="448">
        <v>45291</v>
      </c>
      <c r="B14" s="449"/>
      <c r="C14" s="449"/>
      <c r="D14" s="437">
        <v>105765.47</v>
      </c>
      <c r="E14" s="449"/>
      <c r="F14" s="437">
        <v>235.26</v>
      </c>
      <c r="H14" s="437">
        <f>+H13+SUM(D14:G14)</f>
        <v>161399.97</v>
      </c>
      <c r="I14" s="450"/>
      <c r="J14" s="437">
        <v>161399.97</v>
      </c>
      <c r="K14" s="437">
        <f>H14-J14</f>
        <v>0</v>
      </c>
      <c r="L14" s="451" t="s">
        <v>342</v>
      </c>
      <c r="M14" s="452">
        <v>45300</v>
      </c>
    </row>
    <row r="15" spans="1:13" x14ac:dyDescent="0.2">
      <c r="A15" s="448">
        <v>45322</v>
      </c>
      <c r="B15" s="449"/>
      <c r="C15" s="449"/>
      <c r="D15" s="437">
        <v>107146.86</v>
      </c>
      <c r="E15" s="449"/>
      <c r="F15" s="437">
        <v>730.63</v>
      </c>
      <c r="H15" s="437">
        <f>+H14+SUM(D15:G15)</f>
        <v>269277.46000000002</v>
      </c>
      <c r="I15" s="450"/>
      <c r="J15" s="437">
        <v>269277.46000000002</v>
      </c>
      <c r="K15" s="437">
        <f>H15-J15</f>
        <v>0</v>
      </c>
      <c r="L15" s="451" t="s">
        <v>342</v>
      </c>
      <c r="M15" s="452">
        <v>45334</v>
      </c>
    </row>
    <row r="16" spans="1:13" x14ac:dyDescent="0.2">
      <c r="A16" s="448">
        <v>45351</v>
      </c>
      <c r="B16" s="449"/>
      <c r="C16" s="449"/>
      <c r="D16" s="437">
        <v>125349.94</v>
      </c>
      <c r="E16" s="449"/>
      <c r="F16" s="437">
        <v>1140.33</v>
      </c>
      <c r="H16" s="437">
        <f t="shared" ref="H16:H24" si="0">+H15+SUM(D16:G16)</f>
        <v>395767.73000000004</v>
      </c>
      <c r="I16" s="450"/>
      <c r="J16" s="437">
        <v>395767.73</v>
      </c>
      <c r="K16" s="437">
        <f t="shared" ref="K16:K24" si="1">H16-J16</f>
        <v>0</v>
      </c>
      <c r="L16" s="451" t="s">
        <v>342</v>
      </c>
      <c r="M16" s="452">
        <v>45359</v>
      </c>
    </row>
    <row r="17" spans="1:14" x14ac:dyDescent="0.2">
      <c r="A17" s="448">
        <v>45382</v>
      </c>
      <c r="B17" s="449"/>
      <c r="C17" s="449"/>
      <c r="D17" s="437">
        <v>130346.12</v>
      </c>
      <c r="E17" s="449"/>
      <c r="F17" s="437">
        <v>1791.58</v>
      </c>
      <c r="H17" s="437">
        <f t="shared" si="0"/>
        <v>527905.43000000005</v>
      </c>
      <c r="I17" s="450"/>
      <c r="J17" s="437">
        <v>527905.43000000005</v>
      </c>
      <c r="K17" s="437">
        <f t="shared" si="1"/>
        <v>0</v>
      </c>
      <c r="L17" s="451" t="s">
        <v>342</v>
      </c>
      <c r="M17" s="452">
        <v>45390</v>
      </c>
    </row>
    <row r="18" spans="1:14" x14ac:dyDescent="0.2">
      <c r="A18" s="448">
        <v>45412</v>
      </c>
      <c r="B18" s="449"/>
      <c r="C18" s="449"/>
      <c r="D18" s="437">
        <v>109920.68</v>
      </c>
      <c r="E18" s="449"/>
      <c r="F18" s="437">
        <v>2312.66</v>
      </c>
      <c r="H18" s="437">
        <f t="shared" si="0"/>
        <v>640138.77</v>
      </c>
      <c r="I18" s="450"/>
      <c r="J18" s="437">
        <v>640138.77</v>
      </c>
      <c r="K18" s="437">
        <f t="shared" si="1"/>
        <v>0</v>
      </c>
      <c r="L18" s="451" t="s">
        <v>342</v>
      </c>
      <c r="M18" s="452">
        <v>45420</v>
      </c>
    </row>
    <row r="19" spans="1:14" x14ac:dyDescent="0.2">
      <c r="A19" s="448">
        <v>45443</v>
      </c>
      <c r="B19" s="449"/>
      <c r="C19" s="449"/>
      <c r="D19" s="437">
        <v>87126.88</v>
      </c>
      <c r="E19" s="449"/>
      <c r="F19" s="437">
        <v>2897.81</v>
      </c>
      <c r="H19" s="437">
        <f t="shared" si="0"/>
        <v>730163.46</v>
      </c>
      <c r="I19" s="450"/>
      <c r="J19" s="437">
        <v>730163.46</v>
      </c>
      <c r="K19" s="437">
        <f t="shared" si="1"/>
        <v>0</v>
      </c>
      <c r="L19" s="451" t="s">
        <v>342</v>
      </c>
      <c r="M19" s="452">
        <v>45453</v>
      </c>
    </row>
    <row r="20" spans="1:14" x14ac:dyDescent="0.2">
      <c r="A20" s="448">
        <v>45473</v>
      </c>
      <c r="B20" s="449"/>
      <c r="C20" s="449"/>
      <c r="D20" s="437">
        <v>63576.41</v>
      </c>
      <c r="E20" s="449"/>
      <c r="F20" s="437">
        <v>3198.72</v>
      </c>
      <c r="H20" s="437">
        <f t="shared" si="0"/>
        <v>796938.59</v>
      </c>
      <c r="I20" s="450"/>
      <c r="J20" s="437">
        <v>796938.59</v>
      </c>
      <c r="K20" s="437">
        <f t="shared" si="1"/>
        <v>0</v>
      </c>
      <c r="L20" s="451" t="s">
        <v>342</v>
      </c>
      <c r="M20" s="452">
        <v>45482</v>
      </c>
    </row>
    <row r="21" spans="1:14" x14ac:dyDescent="0.2">
      <c r="A21" s="448">
        <v>45504</v>
      </c>
      <c r="B21" s="449"/>
      <c r="C21" s="449"/>
      <c r="D21" s="437">
        <v>49190.69</v>
      </c>
      <c r="E21" s="449"/>
      <c r="F21" s="437">
        <v>3682.07</v>
      </c>
      <c r="H21" s="437">
        <f t="shared" si="0"/>
        <v>849811.35</v>
      </c>
      <c r="I21" s="450"/>
      <c r="J21" s="437">
        <v>849811.35</v>
      </c>
      <c r="K21" s="437">
        <f t="shared" si="1"/>
        <v>0</v>
      </c>
      <c r="L21" s="451" t="s">
        <v>342</v>
      </c>
      <c r="M21" s="452">
        <v>45516</v>
      </c>
    </row>
    <row r="22" spans="1:14" x14ac:dyDescent="0.2">
      <c r="A22" s="448">
        <v>45535</v>
      </c>
      <c r="B22" s="449"/>
      <c r="C22" s="449"/>
      <c r="D22" s="437">
        <v>42208.800000000003</v>
      </c>
      <c r="E22" s="449"/>
      <c r="F22" s="437">
        <v>3926.36</v>
      </c>
      <c r="H22" s="437">
        <f t="shared" si="0"/>
        <v>895946.51</v>
      </c>
      <c r="I22" s="450"/>
      <c r="J22" s="437">
        <v>895946.51</v>
      </c>
      <c r="K22" s="437">
        <f t="shared" si="1"/>
        <v>0</v>
      </c>
      <c r="L22" s="451" t="s">
        <v>343</v>
      </c>
      <c r="M22" s="452">
        <v>45546</v>
      </c>
    </row>
    <row r="23" spans="1:14" x14ac:dyDescent="0.2">
      <c r="A23" s="448">
        <v>45565</v>
      </c>
      <c r="B23" s="449"/>
      <c r="C23" s="449"/>
      <c r="D23" s="437">
        <v>45772.54</v>
      </c>
      <c r="E23" s="449"/>
      <c r="F23" s="437">
        <v>4005.99</v>
      </c>
      <c r="H23" s="437">
        <f t="shared" si="0"/>
        <v>945725.04</v>
      </c>
      <c r="I23" s="450"/>
      <c r="J23" s="437">
        <v>945725.04</v>
      </c>
      <c r="K23" s="437">
        <f t="shared" si="1"/>
        <v>0</v>
      </c>
      <c r="L23" s="451" t="s">
        <v>343</v>
      </c>
      <c r="M23" s="452">
        <v>45573</v>
      </c>
    </row>
    <row r="24" spans="1:14" x14ac:dyDescent="0.2">
      <c r="A24" s="448">
        <v>45596</v>
      </c>
      <c r="B24" s="449"/>
      <c r="C24" s="449"/>
      <c r="D24" s="437">
        <v>75632.34</v>
      </c>
      <c r="E24" s="449"/>
      <c r="F24" s="437">
        <v>4369.51</v>
      </c>
      <c r="H24" s="437">
        <f t="shared" si="0"/>
        <v>1025726.89</v>
      </c>
      <c r="I24" s="450"/>
      <c r="J24" s="437">
        <v>1025726.89</v>
      </c>
      <c r="K24" s="437">
        <f t="shared" si="1"/>
        <v>0</v>
      </c>
      <c r="L24" s="451" t="s">
        <v>343</v>
      </c>
      <c r="M24" s="452">
        <v>45608</v>
      </c>
    </row>
    <row r="25" spans="1:14" x14ac:dyDescent="0.2">
      <c r="A25" s="502" t="s">
        <v>344</v>
      </c>
      <c r="B25" s="502"/>
      <c r="C25" s="502"/>
      <c r="D25" s="502"/>
      <c r="E25" s="502"/>
      <c r="F25" s="502"/>
      <c r="G25" s="437">
        <v>-64737.91</v>
      </c>
      <c r="H25" s="437">
        <f>+SUM(G25)+H24</f>
        <v>960988.98</v>
      </c>
      <c r="I25" s="454"/>
      <c r="L25" s="451"/>
      <c r="M25" s="452"/>
    </row>
    <row r="26" spans="1:14" x14ac:dyDescent="0.2">
      <c r="A26" s="455">
        <v>45626</v>
      </c>
      <c r="B26" s="449"/>
      <c r="C26" s="449"/>
      <c r="D26" s="437">
        <v>149286.62</v>
      </c>
      <c r="E26" s="449"/>
      <c r="F26" s="437">
        <v>4296.8100000000004</v>
      </c>
      <c r="H26" s="437">
        <f>+H25+SUM(D26:G26)</f>
        <v>1114572.4099999999</v>
      </c>
      <c r="I26" s="450"/>
      <c r="J26" s="437">
        <v>1114861.8600000001</v>
      </c>
      <c r="K26" s="437">
        <f t="shared" ref="K26:K35" si="2">H26-J26</f>
        <v>-289.45000000018626</v>
      </c>
      <c r="L26" s="451" t="s">
        <v>343</v>
      </c>
      <c r="M26" s="452">
        <v>45638</v>
      </c>
    </row>
    <row r="27" spans="1:14" x14ac:dyDescent="0.2">
      <c r="A27" s="455">
        <v>45657</v>
      </c>
      <c r="B27" s="449"/>
      <c r="C27" s="449"/>
      <c r="D27" s="437">
        <v>366300.07</v>
      </c>
      <c r="E27" s="449"/>
      <c r="F27" s="437">
        <v>5149.63</v>
      </c>
      <c r="G27" s="437">
        <f>-770.88-20973.19</f>
        <v>-21744.07</v>
      </c>
      <c r="H27" s="437">
        <f t="shared" ref="H27:H35" si="3">+H26+SUM(D27:G27)</f>
        <v>1464278.04</v>
      </c>
      <c r="I27" s="450"/>
      <c r="J27" s="437">
        <v>1464278.04</v>
      </c>
      <c r="K27" s="437">
        <f t="shared" si="2"/>
        <v>0</v>
      </c>
      <c r="L27" s="451" t="s">
        <v>343</v>
      </c>
      <c r="M27" s="452">
        <v>45667</v>
      </c>
      <c r="N27" s="437" t="s">
        <v>345</v>
      </c>
    </row>
    <row r="28" spans="1:14" x14ac:dyDescent="0.2">
      <c r="A28" s="455">
        <v>45688</v>
      </c>
      <c r="B28" s="449"/>
      <c r="C28" s="449"/>
      <c r="D28" s="437">
        <v>516384.46</v>
      </c>
      <c r="E28" s="449"/>
      <c r="F28" s="437">
        <v>6566.38</v>
      </c>
      <c r="H28" s="437">
        <f t="shared" si="3"/>
        <v>1987228.8800000001</v>
      </c>
      <c r="I28" s="450"/>
      <c r="J28" s="437">
        <v>1987228.88</v>
      </c>
      <c r="K28" s="437">
        <f t="shared" si="2"/>
        <v>0</v>
      </c>
      <c r="L28" s="451" t="s">
        <v>343</v>
      </c>
      <c r="M28" s="452">
        <v>45699</v>
      </c>
    </row>
    <row r="29" spans="1:14" x14ac:dyDescent="0.2">
      <c r="A29" s="455">
        <v>45716</v>
      </c>
      <c r="B29" s="449"/>
      <c r="C29" s="449"/>
      <c r="D29" s="437">
        <v>622291.98</v>
      </c>
      <c r="E29" s="449"/>
      <c r="F29" s="437">
        <v>8049.09</v>
      </c>
      <c r="H29" s="437">
        <f t="shared" si="3"/>
        <v>2617569.9500000002</v>
      </c>
      <c r="I29" s="450"/>
      <c r="J29" s="437">
        <v>2617569.9500000002</v>
      </c>
      <c r="K29" s="437">
        <f t="shared" si="2"/>
        <v>0</v>
      </c>
      <c r="L29" s="451" t="s">
        <v>343</v>
      </c>
      <c r="M29" s="452">
        <v>45726</v>
      </c>
    </row>
    <row r="30" spans="1:14" x14ac:dyDescent="0.2">
      <c r="A30" s="455">
        <v>45747</v>
      </c>
      <c r="B30" s="449"/>
      <c r="C30" s="449"/>
      <c r="D30" s="437">
        <v>619976.81999999995</v>
      </c>
      <c r="E30" s="449"/>
      <c r="F30" s="437">
        <v>11738.19</v>
      </c>
      <c r="H30" s="437">
        <f t="shared" si="3"/>
        <v>3249284.96</v>
      </c>
      <c r="I30" s="450"/>
      <c r="J30" s="437">
        <v>3249284.96</v>
      </c>
      <c r="K30" s="437">
        <f t="shared" si="2"/>
        <v>0</v>
      </c>
      <c r="L30" s="451" t="s">
        <v>343</v>
      </c>
      <c r="M30" s="452">
        <v>45757</v>
      </c>
    </row>
    <row r="31" spans="1:14" x14ac:dyDescent="0.2">
      <c r="A31" s="455">
        <v>45777</v>
      </c>
      <c r="B31" s="449"/>
      <c r="C31" s="449"/>
      <c r="D31" s="437">
        <v>493989.49</v>
      </c>
      <c r="E31" s="449"/>
      <c r="F31" s="437">
        <v>14101.01</v>
      </c>
      <c r="H31" s="437">
        <f t="shared" si="3"/>
        <v>3757375.46</v>
      </c>
      <c r="I31" s="450"/>
      <c r="J31" s="437">
        <v>3757375.46</v>
      </c>
      <c r="K31" s="437">
        <f t="shared" si="2"/>
        <v>0</v>
      </c>
      <c r="L31" s="451" t="s">
        <v>343</v>
      </c>
      <c r="M31" s="452">
        <v>45796</v>
      </c>
    </row>
    <row r="32" spans="1:14" x14ac:dyDescent="0.2">
      <c r="A32" s="455">
        <v>45808</v>
      </c>
      <c r="B32" s="449"/>
      <c r="C32" s="449"/>
      <c r="D32" s="437">
        <v>306747.62</v>
      </c>
      <c r="E32" s="449"/>
      <c r="F32" s="437">
        <v>16849.509999999998</v>
      </c>
      <c r="H32" s="437">
        <f t="shared" si="3"/>
        <v>4080972.59</v>
      </c>
      <c r="I32" s="450"/>
      <c r="J32" s="437">
        <v>4080972.59</v>
      </c>
      <c r="K32" s="437">
        <f t="shared" si="2"/>
        <v>0</v>
      </c>
      <c r="L32" s="451" t="s">
        <v>343</v>
      </c>
      <c r="M32" s="452">
        <v>45817</v>
      </c>
    </row>
    <row r="33" spans="1:13" x14ac:dyDescent="0.2">
      <c r="A33" s="455">
        <v>45838</v>
      </c>
      <c r="B33" s="449"/>
      <c r="C33" s="449"/>
      <c r="D33" s="437">
        <v>207243.59</v>
      </c>
      <c r="E33" s="449"/>
      <c r="F33" s="437">
        <v>17710.3</v>
      </c>
      <c r="H33" s="437">
        <f t="shared" si="3"/>
        <v>4305926.4799999995</v>
      </c>
      <c r="I33" s="450"/>
      <c r="J33" s="437">
        <v>4305926.4800000004</v>
      </c>
      <c r="K33" s="437">
        <f t="shared" si="2"/>
        <v>0</v>
      </c>
      <c r="L33" s="451" t="s">
        <v>343</v>
      </c>
      <c r="M33" s="452">
        <v>45849</v>
      </c>
    </row>
    <row r="34" spans="1:13" x14ac:dyDescent="0.2">
      <c r="A34" s="455">
        <v>45869</v>
      </c>
      <c r="B34" s="449"/>
      <c r="C34" s="449"/>
      <c r="D34" s="437">
        <v>156801.66</v>
      </c>
      <c r="E34" s="449"/>
      <c r="F34" s="437">
        <v>19236.28</v>
      </c>
      <c r="H34" s="437">
        <f t="shared" si="3"/>
        <v>4481964.42</v>
      </c>
      <c r="I34" s="450"/>
      <c r="J34" s="437">
        <v>4481964.42</v>
      </c>
      <c r="K34" s="437">
        <f t="shared" si="2"/>
        <v>0</v>
      </c>
      <c r="L34" s="451" t="s">
        <v>343</v>
      </c>
      <c r="M34" s="452">
        <v>45877</v>
      </c>
    </row>
    <row r="35" spans="1:13" x14ac:dyDescent="0.2">
      <c r="A35" s="455">
        <v>45900</v>
      </c>
      <c r="B35" s="449"/>
      <c r="C35" s="449"/>
      <c r="D35" s="437">
        <v>133294.57999999999</v>
      </c>
      <c r="E35" s="449"/>
      <c r="F35" s="437">
        <v>20022.72</v>
      </c>
      <c r="H35" s="437">
        <f t="shared" si="3"/>
        <v>4635281.72</v>
      </c>
      <c r="I35" s="450"/>
      <c r="J35" s="437">
        <v>4635281.72</v>
      </c>
      <c r="K35" s="437">
        <f t="shared" si="2"/>
        <v>0</v>
      </c>
      <c r="L35" s="451" t="s">
        <v>343</v>
      </c>
      <c r="M35" s="452">
        <v>45908</v>
      </c>
    </row>
    <row r="36" spans="1:13" x14ac:dyDescent="0.2">
      <c r="A36" s="455"/>
      <c r="B36" s="449"/>
      <c r="C36" s="449"/>
      <c r="E36" s="449"/>
      <c r="I36" s="450"/>
      <c r="L36" s="451"/>
      <c r="M36" s="452"/>
    </row>
    <row r="37" spans="1:13" x14ac:dyDescent="0.2">
      <c r="A37" s="455"/>
      <c r="B37" s="449"/>
      <c r="C37" s="449"/>
      <c r="E37" s="449"/>
      <c r="I37" s="450"/>
      <c r="L37" s="451"/>
      <c r="M37" s="452"/>
    </row>
    <row r="38" spans="1:13" x14ac:dyDescent="0.2">
      <c r="A38" s="502"/>
      <c r="B38" s="502"/>
      <c r="C38" s="502"/>
      <c r="D38" s="502"/>
      <c r="E38" s="502"/>
      <c r="F38" s="502"/>
      <c r="G38" s="453"/>
      <c r="I38" s="450"/>
      <c r="L38" s="451"/>
      <c r="M38" s="452"/>
    </row>
    <row r="39" spans="1:13" x14ac:dyDescent="0.2">
      <c r="A39" s="455"/>
      <c r="I39" s="450"/>
      <c r="L39" s="451"/>
      <c r="M39" s="452"/>
    </row>
    <row r="40" spans="1:13" x14ac:dyDescent="0.2">
      <c r="A40" s="455"/>
      <c r="I40" s="450"/>
      <c r="L40" s="451"/>
      <c r="M40" s="452"/>
    </row>
    <row r="41" spans="1:13" x14ac:dyDescent="0.2">
      <c r="A41" s="455"/>
      <c r="I41" s="450"/>
      <c r="L41" s="451"/>
      <c r="M41" s="452"/>
    </row>
    <row r="42" spans="1:13" x14ac:dyDescent="0.2">
      <c r="A42" s="455"/>
      <c r="I42" s="450"/>
      <c r="L42" s="451"/>
      <c r="M42" s="452"/>
    </row>
    <row r="43" spans="1:13" x14ac:dyDescent="0.2">
      <c r="A43" s="455"/>
      <c r="I43" s="450"/>
      <c r="L43" s="451"/>
      <c r="M43" s="452"/>
    </row>
    <row r="44" spans="1:13" x14ac:dyDescent="0.2">
      <c r="A44" s="455"/>
      <c r="I44" s="450"/>
      <c r="L44" s="451"/>
      <c r="M44" s="452"/>
    </row>
    <row r="45" spans="1:13" x14ac:dyDescent="0.2">
      <c r="A45" s="455"/>
      <c r="I45" s="450"/>
      <c r="L45" s="451"/>
      <c r="M45" s="452"/>
    </row>
    <row r="46" spans="1:13" x14ac:dyDescent="0.2">
      <c r="A46" s="455"/>
      <c r="I46" s="450"/>
      <c r="L46" s="451"/>
      <c r="M46" s="452"/>
    </row>
    <row r="47" spans="1:13" x14ac:dyDescent="0.2">
      <c r="A47" s="455"/>
      <c r="I47" s="450"/>
      <c r="L47" s="451"/>
      <c r="M47" s="452"/>
    </row>
    <row r="48" spans="1:13" x14ac:dyDescent="0.2">
      <c r="A48" s="455"/>
      <c r="I48" s="450"/>
      <c r="L48" s="451"/>
      <c r="M48" s="452"/>
    </row>
    <row r="49" spans="1:13" x14ac:dyDescent="0.2">
      <c r="A49" s="455"/>
      <c r="I49" s="450"/>
      <c r="L49" s="451"/>
      <c r="M49" s="452"/>
    </row>
    <row r="50" spans="1:13" x14ac:dyDescent="0.2">
      <c r="A50" s="455"/>
      <c r="I50" s="450"/>
      <c r="L50" s="451"/>
      <c r="M50" s="452"/>
    </row>
    <row r="51" spans="1:13" x14ac:dyDescent="0.2">
      <c r="A51" s="502"/>
      <c r="B51" s="502"/>
      <c r="C51" s="502"/>
      <c r="D51" s="502"/>
      <c r="E51" s="502"/>
      <c r="F51" s="502"/>
      <c r="G51" s="453"/>
      <c r="I51" s="450"/>
      <c r="L51" s="451"/>
      <c r="M51" s="452"/>
    </row>
    <row r="52" spans="1:13" x14ac:dyDescent="0.2">
      <c r="A52" s="455"/>
      <c r="I52" s="450"/>
      <c r="L52" s="451"/>
      <c r="M52" s="452"/>
    </row>
    <row r="53" spans="1:13" x14ac:dyDescent="0.2">
      <c r="A53" s="455"/>
      <c r="I53" s="450"/>
      <c r="L53" s="451"/>
      <c r="M53" s="452"/>
    </row>
  </sheetData>
  <mergeCells count="18">
    <mergeCell ref="A1:B1"/>
    <mergeCell ref="C1:H1"/>
    <mergeCell ref="A2:B2"/>
    <mergeCell ref="C2:H2"/>
    <mergeCell ref="A3:B3"/>
    <mergeCell ref="C3:H3"/>
    <mergeCell ref="A51:F51"/>
    <mergeCell ref="A4:B4"/>
    <mergeCell ref="C4:H4"/>
    <mergeCell ref="A5:B5"/>
    <mergeCell ref="C5:H5"/>
    <mergeCell ref="A6:B6"/>
    <mergeCell ref="C6:H6"/>
    <mergeCell ref="A7:B7"/>
    <mergeCell ref="C7:H7"/>
    <mergeCell ref="D9:F9"/>
    <mergeCell ref="A25:F25"/>
    <mergeCell ref="A38:F38"/>
  </mergeCells>
  <pageMargins left="0.5" right="0.25" top="0.5" bottom="0.25" header="0.5" footer="0.5"/>
  <pageSetup scale="92" orientation="landscape" r:id="rId1"/>
  <headerFooter alignWithMargins="0">
    <oddFooter>&amp;L&amp;"-,Bold"&amp;10Cascade Natural Gas Corporation&amp;C&amp;"-,Bold"&amp;10Washington Deferral Accounts&amp;R&amp;"-,Bold"&amp;10Deferred Gas Cost 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D7607-53DA-4928-97D1-4134E4DAADBD}">
  <sheetPr>
    <pageSetUpPr fitToPage="1"/>
  </sheetPr>
  <dimension ref="A1:N56"/>
  <sheetViews>
    <sheetView view="pageBreakPreview" zoomScale="145" zoomScaleNormal="60" zoomScaleSheetLayoutView="145" workbookViewId="0">
      <pane ySplit="10" topLeftCell="A22" activePane="bottomLeft" state="frozen"/>
      <selection activeCell="D23" sqref="D23"/>
      <selection pane="bottomLeft" activeCell="O47" sqref="O47"/>
    </sheetView>
  </sheetViews>
  <sheetFormatPr defaultColWidth="11.42578125" defaultRowHeight="12.75" x14ac:dyDescent="0.2"/>
  <cols>
    <col min="1" max="1" width="12" style="437" customWidth="1"/>
    <col min="2" max="2" width="5" style="437" customWidth="1"/>
    <col min="3" max="3" width="6.85546875" style="437" bestFit="1" customWidth="1"/>
    <col min="4" max="4" width="13.7109375" style="437" customWidth="1"/>
    <col min="5" max="5" width="11.140625" style="437" customWidth="1"/>
    <col min="6" max="6" width="11.42578125" style="437" customWidth="1"/>
    <col min="7" max="7" width="11" style="437" customWidth="1"/>
    <col min="8" max="8" width="15.140625" style="437" customWidth="1"/>
    <col min="9" max="9" width="1.5703125" style="437" customWidth="1"/>
    <col min="10" max="10" width="12.7109375" style="437" customWidth="1"/>
    <col min="11" max="11" width="12.28515625" style="437" customWidth="1"/>
    <col min="12" max="12" width="11.5703125" style="437" bestFit="1" customWidth="1"/>
    <col min="13" max="13" width="13.28515625" style="437" bestFit="1" customWidth="1"/>
    <col min="14" max="14" width="40.85546875" style="437" customWidth="1"/>
    <col min="15" max="16384" width="11.42578125" style="437"/>
  </cols>
  <sheetData>
    <row r="1" spans="1:14" x14ac:dyDescent="0.2">
      <c r="A1" s="514" t="s">
        <v>319</v>
      </c>
      <c r="B1" s="515"/>
      <c r="C1" s="516" t="s">
        <v>320</v>
      </c>
      <c r="D1" s="516"/>
      <c r="E1" s="516"/>
      <c r="F1" s="516"/>
      <c r="G1" s="516"/>
      <c r="H1" s="517"/>
      <c r="I1" s="436"/>
    </row>
    <row r="2" spans="1:14" x14ac:dyDescent="0.2">
      <c r="A2" s="503" t="s">
        <v>321</v>
      </c>
      <c r="B2" s="504"/>
      <c r="C2" s="507" t="s">
        <v>52</v>
      </c>
      <c r="D2" s="507"/>
      <c r="E2" s="507"/>
      <c r="F2" s="507"/>
      <c r="G2" s="507"/>
      <c r="H2" s="508"/>
      <c r="I2" s="436"/>
    </row>
    <row r="3" spans="1:14" ht="15" x14ac:dyDescent="0.25">
      <c r="A3" s="503" t="s">
        <v>322</v>
      </c>
      <c r="B3" s="504"/>
      <c r="C3" s="518" t="s">
        <v>179</v>
      </c>
      <c r="D3" s="518"/>
      <c r="E3" s="518"/>
      <c r="F3" s="518"/>
      <c r="G3" s="518"/>
      <c r="H3" s="519"/>
      <c r="I3" s="436"/>
    </row>
    <row r="4" spans="1:14" x14ac:dyDescent="0.2">
      <c r="A4" s="503" t="s">
        <v>323</v>
      </c>
      <c r="B4" s="504"/>
      <c r="C4" s="505" t="s">
        <v>346</v>
      </c>
      <c r="D4" s="505"/>
      <c r="E4" s="505"/>
      <c r="F4" s="505"/>
      <c r="G4" s="505"/>
      <c r="H4" s="506"/>
      <c r="I4" s="436"/>
    </row>
    <row r="5" spans="1:14" x14ac:dyDescent="0.2">
      <c r="A5" s="503" t="s">
        <v>324</v>
      </c>
      <c r="B5" s="504"/>
      <c r="C5" s="507" t="s">
        <v>347</v>
      </c>
      <c r="D5" s="507"/>
      <c r="E5" s="507"/>
      <c r="F5" s="507"/>
      <c r="G5" s="507"/>
      <c r="H5" s="508"/>
      <c r="I5" s="436"/>
    </row>
    <row r="6" spans="1:14" x14ac:dyDescent="0.2">
      <c r="A6" s="503" t="s">
        <v>326</v>
      </c>
      <c r="B6" s="504"/>
      <c r="C6" s="507" t="s">
        <v>327</v>
      </c>
      <c r="D6" s="507"/>
      <c r="E6" s="507"/>
      <c r="F6" s="507"/>
      <c r="G6" s="507"/>
      <c r="H6" s="508"/>
      <c r="I6" s="436"/>
    </row>
    <row r="7" spans="1:14" ht="42.75" customHeight="1" thickBot="1" x14ac:dyDescent="0.25">
      <c r="A7" s="509" t="s">
        <v>328</v>
      </c>
      <c r="B7" s="510"/>
      <c r="C7" s="511" t="s">
        <v>348</v>
      </c>
      <c r="D7" s="511"/>
      <c r="E7" s="511"/>
      <c r="F7" s="511"/>
      <c r="G7" s="511"/>
      <c r="H7" s="512"/>
      <c r="I7" s="438"/>
    </row>
    <row r="8" spans="1:14" x14ac:dyDescent="0.2">
      <c r="A8" s="439"/>
      <c r="B8" s="439"/>
      <c r="C8" s="440"/>
      <c r="D8" s="440"/>
      <c r="E8" s="440"/>
      <c r="F8" s="440"/>
      <c r="G8" s="440"/>
      <c r="H8" s="440"/>
      <c r="K8" s="436"/>
    </row>
    <row r="9" spans="1:14" x14ac:dyDescent="0.2">
      <c r="A9" s="441"/>
      <c r="D9" s="513" t="s">
        <v>330</v>
      </c>
      <c r="E9" s="513"/>
      <c r="F9" s="513"/>
    </row>
    <row r="10" spans="1:14" s="442" customFormat="1" ht="26.25" customHeight="1" x14ac:dyDescent="0.2">
      <c r="A10" s="442" t="s">
        <v>331</v>
      </c>
      <c r="B10" s="442" t="s">
        <v>80</v>
      </c>
      <c r="C10" s="442" t="s">
        <v>332</v>
      </c>
      <c r="D10" s="442" t="s">
        <v>333</v>
      </c>
      <c r="E10" s="442" t="s">
        <v>334</v>
      </c>
      <c r="F10" s="442" t="s">
        <v>335</v>
      </c>
      <c r="G10" s="442" t="s">
        <v>336</v>
      </c>
      <c r="H10" s="442" t="s">
        <v>337</v>
      </c>
      <c r="I10" s="443"/>
      <c r="J10" s="442" t="s">
        <v>338</v>
      </c>
      <c r="K10" s="442" t="s">
        <v>339</v>
      </c>
      <c r="L10" s="444" t="s">
        <v>340</v>
      </c>
      <c r="M10" s="444" t="s">
        <v>341</v>
      </c>
    </row>
    <row r="11" spans="1:14" s="445" customFormat="1" ht="15" customHeight="1" x14ac:dyDescent="0.2">
      <c r="H11" s="437">
        <v>0</v>
      </c>
      <c r="I11" s="446"/>
      <c r="L11" s="447"/>
      <c r="M11" s="447"/>
    </row>
    <row r="12" spans="1:14" x14ac:dyDescent="0.2">
      <c r="A12" s="448">
        <v>45046</v>
      </c>
      <c r="B12" s="449"/>
      <c r="C12" s="449"/>
      <c r="D12" s="437">
        <v>0</v>
      </c>
      <c r="E12" s="449"/>
      <c r="F12" s="437">
        <v>0</v>
      </c>
      <c r="H12" s="437">
        <f>+H11+SUM(D12:G12)</f>
        <v>0</v>
      </c>
      <c r="I12" s="450"/>
      <c r="J12" s="437">
        <v>0</v>
      </c>
      <c r="K12" s="456">
        <f>ROUND(H12-J12,2)</f>
        <v>0</v>
      </c>
      <c r="L12" s="451" t="s">
        <v>342</v>
      </c>
      <c r="M12" s="452">
        <v>45054</v>
      </c>
    </row>
    <row r="13" spans="1:14" x14ac:dyDescent="0.2">
      <c r="A13" s="448">
        <v>45077</v>
      </c>
      <c r="B13" s="449"/>
      <c r="C13" s="449"/>
      <c r="D13" s="437">
        <v>0</v>
      </c>
      <c r="E13" s="449"/>
      <c r="F13" s="437">
        <v>0</v>
      </c>
      <c r="H13" s="437">
        <f t="shared" ref="H13:H19" si="0">+H12+SUM(D13:G13)</f>
        <v>0</v>
      </c>
      <c r="I13" s="450"/>
      <c r="J13" s="437">
        <v>2801.41</v>
      </c>
      <c r="K13" s="437">
        <f>ROUND(H13-J13,2)</f>
        <v>-2801.41</v>
      </c>
      <c r="L13" s="451" t="s">
        <v>342</v>
      </c>
      <c r="M13" s="452">
        <v>45091</v>
      </c>
      <c r="N13" s="457" t="s">
        <v>349</v>
      </c>
    </row>
    <row r="14" spans="1:14" x14ac:dyDescent="0.2">
      <c r="A14" s="448">
        <v>45107</v>
      </c>
      <c r="B14" s="449"/>
      <c r="C14" s="449"/>
      <c r="D14" s="437">
        <v>0</v>
      </c>
      <c r="E14" s="449"/>
      <c r="F14" s="437">
        <v>0</v>
      </c>
      <c r="H14" s="437">
        <f t="shared" si="0"/>
        <v>0</v>
      </c>
      <c r="I14" s="450"/>
      <c r="J14" s="437">
        <v>274.42</v>
      </c>
      <c r="K14" s="456">
        <f t="shared" ref="K14:K40" si="1">ROUND(H14-J14,2)</f>
        <v>-274.42</v>
      </c>
      <c r="L14" s="451" t="s">
        <v>342</v>
      </c>
      <c r="M14" s="452">
        <v>45118</v>
      </c>
      <c r="N14" s="458" t="s">
        <v>350</v>
      </c>
    </row>
    <row r="15" spans="1:14" x14ac:dyDescent="0.2">
      <c r="A15" s="448">
        <v>45138</v>
      </c>
      <c r="B15" s="449"/>
      <c r="C15" s="449"/>
      <c r="D15" s="437">
        <v>0</v>
      </c>
      <c r="E15" s="449"/>
      <c r="F15" s="437">
        <v>0</v>
      </c>
      <c r="H15" s="437">
        <f t="shared" si="0"/>
        <v>0</v>
      </c>
      <c r="I15" s="450"/>
      <c r="J15" s="437">
        <v>-1244.52</v>
      </c>
      <c r="K15" s="456">
        <f t="shared" si="1"/>
        <v>1244.52</v>
      </c>
      <c r="L15" s="451" t="s">
        <v>342</v>
      </c>
      <c r="M15" s="452">
        <v>45146</v>
      </c>
      <c r="N15" s="459" t="s">
        <v>351</v>
      </c>
    </row>
    <row r="16" spans="1:14" x14ac:dyDescent="0.2">
      <c r="A16" s="448">
        <v>45169</v>
      </c>
      <c r="B16" s="449"/>
      <c r="C16" s="449"/>
      <c r="D16" s="437">
        <v>0</v>
      </c>
      <c r="E16" s="449"/>
      <c r="F16" s="437">
        <v>0</v>
      </c>
      <c r="H16" s="437">
        <f t="shared" si="0"/>
        <v>0</v>
      </c>
      <c r="I16" s="450"/>
      <c r="J16" s="437">
        <v>-1249.8</v>
      </c>
      <c r="K16" s="456">
        <f t="shared" si="1"/>
        <v>1249.8</v>
      </c>
      <c r="L16" s="451" t="s">
        <v>342</v>
      </c>
      <c r="M16" s="452">
        <v>45180</v>
      </c>
    </row>
    <row r="17" spans="1:14" x14ac:dyDescent="0.2">
      <c r="A17" s="448">
        <v>45199</v>
      </c>
      <c r="B17" s="449"/>
      <c r="C17" s="449"/>
      <c r="D17" s="437">
        <v>0</v>
      </c>
      <c r="E17" s="449"/>
      <c r="F17" s="437">
        <v>0</v>
      </c>
      <c r="H17" s="437">
        <f t="shared" si="0"/>
        <v>0</v>
      </c>
      <c r="I17" s="450"/>
      <c r="J17" s="437">
        <v>-5.14</v>
      </c>
      <c r="K17" s="456">
        <f t="shared" si="1"/>
        <v>5.14</v>
      </c>
      <c r="L17" s="451" t="s">
        <v>342</v>
      </c>
      <c r="M17" s="452">
        <v>45208</v>
      </c>
      <c r="N17" s="437" t="s">
        <v>352</v>
      </c>
    </row>
    <row r="18" spans="1:14" x14ac:dyDescent="0.2">
      <c r="A18" s="448">
        <v>45230</v>
      </c>
      <c r="B18" s="449"/>
      <c r="C18" s="449"/>
      <c r="D18" s="437">
        <v>375962.06</v>
      </c>
      <c r="E18" s="449"/>
      <c r="F18" s="437">
        <v>0</v>
      </c>
      <c r="H18" s="437">
        <f t="shared" si="0"/>
        <v>375962.06</v>
      </c>
      <c r="I18" s="450"/>
      <c r="J18" s="437">
        <v>375962.06</v>
      </c>
      <c r="K18" s="456">
        <f t="shared" si="1"/>
        <v>0</v>
      </c>
      <c r="L18" s="451" t="s">
        <v>342</v>
      </c>
      <c r="M18" s="452">
        <v>45238</v>
      </c>
      <c r="N18" s="437" t="s">
        <v>353</v>
      </c>
    </row>
    <row r="19" spans="1:14" x14ac:dyDescent="0.2">
      <c r="A19" s="448">
        <v>45260</v>
      </c>
      <c r="B19" s="449"/>
      <c r="C19" s="449"/>
      <c r="D19" s="437">
        <v>23743.1</v>
      </c>
      <c r="E19" s="449"/>
      <c r="F19" s="437">
        <v>1545.05</v>
      </c>
      <c r="H19" s="437">
        <f t="shared" si="0"/>
        <v>401250.21</v>
      </c>
      <c r="I19" s="450"/>
      <c r="J19" s="437">
        <v>401250.21</v>
      </c>
      <c r="K19" s="456">
        <f t="shared" si="1"/>
        <v>0</v>
      </c>
      <c r="L19" s="451" t="s">
        <v>342</v>
      </c>
      <c r="M19" s="452">
        <v>45271</v>
      </c>
    </row>
    <row r="20" spans="1:14" x14ac:dyDescent="0.2">
      <c r="A20" s="448">
        <v>45291</v>
      </c>
      <c r="B20" s="449"/>
      <c r="C20" s="449"/>
      <c r="D20" s="437">
        <v>6227.38</v>
      </c>
      <c r="E20" s="449"/>
      <c r="F20" s="437">
        <v>1703.94</v>
      </c>
      <c r="H20" s="437">
        <f>+H19+SUM(D20:G20)</f>
        <v>409181.53</v>
      </c>
      <c r="I20" s="450"/>
      <c r="J20" s="437">
        <v>409181.53</v>
      </c>
      <c r="K20" s="456">
        <f t="shared" si="1"/>
        <v>0</v>
      </c>
      <c r="L20" s="451" t="s">
        <v>342</v>
      </c>
      <c r="M20" s="452">
        <v>45300</v>
      </c>
    </row>
    <row r="21" spans="1:14" x14ac:dyDescent="0.2">
      <c r="A21" s="448">
        <v>45322</v>
      </c>
      <c r="B21" s="449"/>
      <c r="C21" s="449"/>
      <c r="D21" s="437">
        <v>332680.43</v>
      </c>
      <c r="E21" s="449"/>
      <c r="F21" s="437">
        <v>1852.3</v>
      </c>
      <c r="H21" s="437">
        <f>+H20+SUM(D21:G21)</f>
        <v>743714.26</v>
      </c>
      <c r="I21" s="450"/>
      <c r="J21" s="437">
        <v>743714.26</v>
      </c>
      <c r="K21" s="456">
        <f t="shared" si="1"/>
        <v>0</v>
      </c>
      <c r="L21" s="451" t="s">
        <v>342</v>
      </c>
      <c r="M21" s="452">
        <v>45334</v>
      </c>
    </row>
    <row r="22" spans="1:14" x14ac:dyDescent="0.2">
      <c r="A22" s="448">
        <v>45351</v>
      </c>
      <c r="B22" s="449"/>
      <c r="C22" s="449"/>
      <c r="D22" s="437">
        <v>5829.93</v>
      </c>
      <c r="E22" s="449"/>
      <c r="F22" s="437">
        <v>3149.48</v>
      </c>
      <c r="H22" s="437">
        <f t="shared" ref="H22:H30" si="2">+H21+SUM(D22:G22)</f>
        <v>752693.67</v>
      </c>
      <c r="I22" s="450"/>
      <c r="J22" s="437">
        <v>752693.67</v>
      </c>
      <c r="K22" s="456">
        <f t="shared" si="1"/>
        <v>0</v>
      </c>
      <c r="L22" s="451" t="s">
        <v>342</v>
      </c>
      <c r="M22" s="452">
        <v>45359</v>
      </c>
    </row>
    <row r="23" spans="1:14" x14ac:dyDescent="0.2">
      <c r="A23" s="448">
        <v>45382</v>
      </c>
      <c r="B23" s="449"/>
      <c r="C23" s="449"/>
      <c r="D23" s="437">
        <v>5851.15</v>
      </c>
      <c r="E23" s="449"/>
      <c r="F23" s="437">
        <v>3407.33</v>
      </c>
      <c r="H23" s="437">
        <f t="shared" si="2"/>
        <v>761952.15</v>
      </c>
      <c r="I23" s="450"/>
      <c r="J23" s="437">
        <v>761952.15</v>
      </c>
      <c r="K23" s="456">
        <f t="shared" si="1"/>
        <v>0</v>
      </c>
      <c r="L23" s="451" t="s">
        <v>342</v>
      </c>
      <c r="M23" s="452">
        <v>45390</v>
      </c>
    </row>
    <row r="24" spans="1:14" x14ac:dyDescent="0.2">
      <c r="A24" s="448">
        <v>45412</v>
      </c>
      <c r="B24" s="449"/>
      <c r="C24" s="449"/>
      <c r="D24" s="437">
        <v>7847.57</v>
      </c>
      <c r="E24" s="449"/>
      <c r="F24" s="437">
        <v>3337.98</v>
      </c>
      <c r="H24" s="437">
        <f t="shared" si="2"/>
        <v>773137.70000000007</v>
      </c>
      <c r="I24" s="450"/>
      <c r="J24" s="437">
        <v>773137.7</v>
      </c>
      <c r="K24" s="456">
        <f t="shared" si="1"/>
        <v>0</v>
      </c>
      <c r="L24" s="451" t="s">
        <v>342</v>
      </c>
      <c r="M24" s="452">
        <v>45420</v>
      </c>
    </row>
    <row r="25" spans="1:14" x14ac:dyDescent="0.2">
      <c r="A25" s="448">
        <v>45443</v>
      </c>
      <c r="B25" s="449"/>
      <c r="C25" s="449"/>
      <c r="D25" s="437">
        <v>0</v>
      </c>
      <c r="E25" s="449"/>
      <c r="F25" s="437">
        <v>3499.88</v>
      </c>
      <c r="H25" s="437">
        <f t="shared" si="2"/>
        <v>776637.58000000007</v>
      </c>
      <c r="I25" s="450"/>
      <c r="J25" s="437">
        <v>776637.58</v>
      </c>
      <c r="K25" s="456">
        <f t="shared" si="1"/>
        <v>0</v>
      </c>
      <c r="L25" s="451" t="s">
        <v>342</v>
      </c>
      <c r="M25" s="452">
        <v>45453</v>
      </c>
    </row>
    <row r="26" spans="1:14" x14ac:dyDescent="0.2">
      <c r="A26" s="448">
        <v>45473</v>
      </c>
      <c r="B26" s="449"/>
      <c r="C26" s="449"/>
      <c r="D26" s="437">
        <v>16269.02</v>
      </c>
      <c r="E26" s="449"/>
      <c r="F26" s="437">
        <v>3402.31</v>
      </c>
      <c r="H26" s="437">
        <f t="shared" si="2"/>
        <v>796308.91</v>
      </c>
      <c r="I26" s="450"/>
      <c r="J26" s="437">
        <v>796308.91</v>
      </c>
      <c r="K26" s="456">
        <f t="shared" si="1"/>
        <v>0</v>
      </c>
      <c r="L26" s="451" t="s">
        <v>342</v>
      </c>
      <c r="M26" s="452">
        <v>45482</v>
      </c>
    </row>
    <row r="27" spans="1:14" x14ac:dyDescent="0.2">
      <c r="A27" s="448">
        <v>45504</v>
      </c>
      <c r="B27" s="449"/>
      <c r="C27" s="449"/>
      <c r="D27" s="437">
        <v>11788.36</v>
      </c>
      <c r="E27" s="449"/>
      <c r="F27" s="437">
        <v>3679.17</v>
      </c>
      <c r="H27" s="437">
        <f t="shared" si="2"/>
        <v>811776.44000000006</v>
      </c>
      <c r="I27" s="450"/>
      <c r="J27" s="437">
        <v>811776.44</v>
      </c>
      <c r="K27" s="456">
        <f t="shared" si="1"/>
        <v>0</v>
      </c>
      <c r="L27" s="451" t="s">
        <v>342</v>
      </c>
      <c r="M27" s="452">
        <v>45516</v>
      </c>
    </row>
    <row r="28" spans="1:14" x14ac:dyDescent="0.2">
      <c r="A28" s="448">
        <v>45535</v>
      </c>
      <c r="B28" s="449"/>
      <c r="C28" s="449"/>
      <c r="D28" s="437">
        <v>0</v>
      </c>
      <c r="E28" s="449"/>
      <c r="F28" s="437">
        <v>3750.63</v>
      </c>
      <c r="H28" s="437">
        <f t="shared" si="2"/>
        <v>815527.07000000007</v>
      </c>
      <c r="I28" s="450"/>
      <c r="J28" s="437">
        <v>815527.07</v>
      </c>
      <c r="K28" s="456">
        <f t="shared" si="1"/>
        <v>0</v>
      </c>
      <c r="L28" s="451" t="s">
        <v>343</v>
      </c>
      <c r="M28" s="452">
        <v>45546</v>
      </c>
    </row>
    <row r="29" spans="1:14" x14ac:dyDescent="0.2">
      <c r="A29" s="448">
        <v>45565</v>
      </c>
      <c r="B29" s="449"/>
      <c r="C29" s="449"/>
      <c r="D29" s="437">
        <v>0</v>
      </c>
      <c r="E29" s="449"/>
      <c r="F29" s="437">
        <v>3646.41</v>
      </c>
      <c r="H29" s="437">
        <f t="shared" si="2"/>
        <v>819173.4800000001</v>
      </c>
      <c r="I29" s="450"/>
      <c r="J29" s="437">
        <v>819173.48</v>
      </c>
      <c r="K29" s="456">
        <f t="shared" si="1"/>
        <v>0</v>
      </c>
      <c r="L29" s="451" t="s">
        <v>343</v>
      </c>
      <c r="M29" s="452">
        <v>45573</v>
      </c>
    </row>
    <row r="30" spans="1:14" x14ac:dyDescent="0.2">
      <c r="A30" s="448">
        <v>45596</v>
      </c>
      <c r="B30" s="449"/>
      <c r="C30" s="449"/>
      <c r="D30" s="437">
        <v>6950</v>
      </c>
      <c r="E30" s="449"/>
      <c r="F30" s="437">
        <v>3784.81</v>
      </c>
      <c r="H30" s="437">
        <f t="shared" si="2"/>
        <v>829908.29000000015</v>
      </c>
      <c r="I30" s="450"/>
      <c r="J30" s="437">
        <v>829908.29</v>
      </c>
      <c r="K30" s="456">
        <f t="shared" si="1"/>
        <v>0</v>
      </c>
      <c r="L30" s="451" t="s">
        <v>343</v>
      </c>
      <c r="M30" s="452">
        <v>45608</v>
      </c>
    </row>
    <row r="31" spans="1:14" x14ac:dyDescent="0.2">
      <c r="A31" s="455">
        <v>45626</v>
      </c>
      <c r="B31" s="449"/>
      <c r="C31" s="449"/>
      <c r="D31" s="437">
        <v>176801.34</v>
      </c>
      <c r="E31" s="449"/>
      <c r="F31" s="437">
        <v>3710.71</v>
      </c>
      <c r="H31" s="437">
        <f t="shared" ref="H31:H40" si="3">+H30+SUM(D31:G31)</f>
        <v>1010420.3400000001</v>
      </c>
      <c r="I31" s="450"/>
      <c r="J31" s="437">
        <v>1010420.34</v>
      </c>
      <c r="K31" s="456">
        <f t="shared" si="1"/>
        <v>0</v>
      </c>
      <c r="L31" s="451" t="s">
        <v>343</v>
      </c>
      <c r="M31" s="452">
        <v>45638</v>
      </c>
    </row>
    <row r="32" spans="1:14" x14ac:dyDescent="0.2">
      <c r="A32" s="455">
        <v>45657</v>
      </c>
      <c r="B32" s="449"/>
      <c r="C32" s="449"/>
      <c r="D32" s="437">
        <f>184246.82+53250</f>
        <v>237496.82</v>
      </c>
      <c r="E32" s="449"/>
      <c r="F32" s="437">
        <v>4668.42</v>
      </c>
      <c r="H32" s="437">
        <f t="shared" si="3"/>
        <v>1252585.58</v>
      </c>
      <c r="I32" s="450"/>
      <c r="J32" s="437">
        <v>1252585.58</v>
      </c>
      <c r="K32" s="456">
        <f t="shared" si="1"/>
        <v>0</v>
      </c>
      <c r="L32" s="451" t="s">
        <v>343</v>
      </c>
      <c r="M32" s="452">
        <v>45667</v>
      </c>
    </row>
    <row r="33" spans="1:13" x14ac:dyDescent="0.2">
      <c r="A33" s="455">
        <v>45688</v>
      </c>
      <c r="B33" s="449"/>
      <c r="C33" s="449"/>
      <c r="D33" s="437">
        <v>5700</v>
      </c>
      <c r="E33" s="449"/>
      <c r="F33" s="437">
        <v>5617.07</v>
      </c>
      <c r="H33" s="437">
        <f t="shared" si="3"/>
        <v>1263902.6500000001</v>
      </c>
      <c r="I33" s="450"/>
      <c r="J33" s="437">
        <v>1263902.6499999999</v>
      </c>
      <c r="K33" s="456">
        <f t="shared" si="1"/>
        <v>0</v>
      </c>
      <c r="L33" s="451" t="s">
        <v>343</v>
      </c>
      <c r="M33" s="452">
        <v>45699</v>
      </c>
    </row>
    <row r="34" spans="1:13" x14ac:dyDescent="0.2">
      <c r="A34" s="455">
        <v>45716</v>
      </c>
      <c r="B34" s="449"/>
      <c r="C34" s="449"/>
      <c r="D34" s="437">
        <f>102946-855.85</f>
        <v>102090.15</v>
      </c>
      <c r="E34" s="449"/>
      <c r="F34" s="437">
        <v>5119.33</v>
      </c>
      <c r="H34" s="437">
        <f t="shared" si="3"/>
        <v>1371112.1300000001</v>
      </c>
      <c r="I34" s="450"/>
      <c r="J34" s="437">
        <v>1371112.13</v>
      </c>
      <c r="K34" s="456">
        <f t="shared" si="1"/>
        <v>0</v>
      </c>
      <c r="L34" s="451" t="s">
        <v>343</v>
      </c>
      <c r="M34" s="452">
        <v>45726</v>
      </c>
    </row>
    <row r="35" spans="1:13" x14ac:dyDescent="0.2">
      <c r="A35" s="455">
        <v>45747</v>
      </c>
      <c r="B35" s="449"/>
      <c r="C35" s="449"/>
      <c r="D35" s="437">
        <v>119140.24</v>
      </c>
      <c r="E35" s="449"/>
      <c r="F35" s="437">
        <v>6148.59</v>
      </c>
      <c r="H35" s="437">
        <f t="shared" si="3"/>
        <v>1496400.9600000002</v>
      </c>
      <c r="I35" s="450"/>
      <c r="J35" s="437">
        <v>1496400.96</v>
      </c>
      <c r="K35" s="456">
        <f t="shared" si="1"/>
        <v>0</v>
      </c>
      <c r="L35" s="451" t="s">
        <v>343</v>
      </c>
      <c r="M35" s="452">
        <v>45757</v>
      </c>
    </row>
    <row r="36" spans="1:13" x14ac:dyDescent="0.2">
      <c r="A36" s="455">
        <v>45777</v>
      </c>
      <c r="B36" s="449"/>
      <c r="C36" s="449"/>
      <c r="D36" s="437">
        <v>18335.12</v>
      </c>
      <c r="E36" s="449"/>
      <c r="F36" s="437">
        <v>6493.97</v>
      </c>
      <c r="H36" s="437">
        <f t="shared" si="3"/>
        <v>1521230.0500000003</v>
      </c>
      <c r="I36" s="450"/>
      <c r="J36" s="437">
        <v>1521230.05</v>
      </c>
      <c r="K36" s="456">
        <f t="shared" si="1"/>
        <v>0</v>
      </c>
      <c r="L36" s="451" t="s">
        <v>343</v>
      </c>
      <c r="M36" s="452">
        <v>45796</v>
      </c>
    </row>
    <row r="37" spans="1:13" x14ac:dyDescent="0.2">
      <c r="A37" s="455">
        <v>45808</v>
      </c>
      <c r="B37" s="449"/>
      <c r="C37" s="449"/>
      <c r="D37" s="437">
        <v>12094.66</v>
      </c>
      <c r="E37" s="449"/>
      <c r="F37" s="437">
        <v>6821.78</v>
      </c>
      <c r="H37" s="437">
        <f t="shared" si="3"/>
        <v>1540146.4900000002</v>
      </c>
      <c r="I37" s="450"/>
      <c r="J37" s="437">
        <v>1540146.49</v>
      </c>
      <c r="K37" s="456">
        <f t="shared" si="1"/>
        <v>0</v>
      </c>
      <c r="L37" s="451" t="s">
        <v>343</v>
      </c>
      <c r="M37" s="452">
        <v>45817</v>
      </c>
    </row>
    <row r="38" spans="1:13" x14ac:dyDescent="0.2">
      <c r="A38" s="455">
        <v>45838</v>
      </c>
      <c r="B38" s="449"/>
      <c r="C38" s="449"/>
      <c r="D38" s="437">
        <f>99045-122.83</f>
        <v>98922.17</v>
      </c>
      <c r="E38" s="449"/>
      <c r="F38" s="437">
        <v>6683.81</v>
      </c>
      <c r="H38" s="437">
        <f t="shared" si="3"/>
        <v>1645752.4700000002</v>
      </c>
      <c r="I38" s="450"/>
      <c r="J38" s="437">
        <v>1645752.47</v>
      </c>
      <c r="K38" s="456">
        <f t="shared" si="1"/>
        <v>0</v>
      </c>
      <c r="L38" s="451" t="s">
        <v>343</v>
      </c>
      <c r="M38" s="452">
        <v>45849</v>
      </c>
    </row>
    <row r="39" spans="1:13" x14ac:dyDescent="0.2">
      <c r="A39" s="455">
        <v>45869</v>
      </c>
      <c r="B39" s="449"/>
      <c r="C39" s="449"/>
      <c r="D39" s="437">
        <v>5870.47</v>
      </c>
      <c r="E39" s="449"/>
      <c r="F39" s="437">
        <v>7352.23</v>
      </c>
      <c r="H39" s="437">
        <f t="shared" si="3"/>
        <v>1658975.1700000002</v>
      </c>
      <c r="I39" s="450"/>
      <c r="J39" s="437">
        <v>1658975.17</v>
      </c>
      <c r="K39" s="456">
        <f t="shared" si="1"/>
        <v>0</v>
      </c>
      <c r="L39" s="451" t="s">
        <v>343</v>
      </c>
      <c r="M39" s="452">
        <v>45877</v>
      </c>
    </row>
    <row r="40" spans="1:13" x14ac:dyDescent="0.2">
      <c r="A40" s="455">
        <v>45900</v>
      </c>
      <c r="B40" s="449"/>
      <c r="C40" s="449"/>
      <c r="D40" s="437">
        <f>66624.45+140</f>
        <v>66764.45</v>
      </c>
      <c r="E40" s="449"/>
      <c r="F40" s="437">
        <v>7411.3</v>
      </c>
      <c r="H40" s="437">
        <f t="shared" si="3"/>
        <v>1733150.9200000002</v>
      </c>
      <c r="I40" s="450"/>
      <c r="J40" s="437">
        <v>1733150.92</v>
      </c>
      <c r="K40" s="456">
        <f t="shared" si="1"/>
        <v>0</v>
      </c>
      <c r="L40" s="451" t="s">
        <v>343</v>
      </c>
      <c r="M40" s="452">
        <v>45908</v>
      </c>
    </row>
    <row r="41" spans="1:13" x14ac:dyDescent="0.2">
      <c r="A41" s="455"/>
      <c r="B41" s="449"/>
      <c r="C41" s="449"/>
      <c r="E41" s="449"/>
      <c r="I41" s="450"/>
      <c r="K41" s="456"/>
      <c r="L41" s="451"/>
      <c r="M41" s="452"/>
    </row>
    <row r="42" spans="1:13" x14ac:dyDescent="0.2">
      <c r="A42" s="455"/>
      <c r="B42" s="449"/>
      <c r="C42" s="449"/>
      <c r="E42" s="449"/>
      <c r="I42" s="450"/>
      <c r="K42" s="456"/>
      <c r="L42" s="451"/>
      <c r="M42" s="452"/>
    </row>
    <row r="43" spans="1:13" x14ac:dyDescent="0.2">
      <c r="A43" s="455"/>
      <c r="I43" s="450"/>
      <c r="K43" s="456"/>
      <c r="L43" s="451"/>
      <c r="M43" s="452"/>
    </row>
    <row r="44" spans="1:13" x14ac:dyDescent="0.2">
      <c r="A44" s="455"/>
      <c r="I44" s="450"/>
      <c r="K44" s="456"/>
      <c r="L44" s="451"/>
      <c r="M44" s="452"/>
    </row>
    <row r="45" spans="1:13" x14ac:dyDescent="0.2">
      <c r="A45" s="455"/>
      <c r="I45" s="450"/>
      <c r="K45" s="456"/>
      <c r="L45" s="451"/>
      <c r="M45" s="452"/>
    </row>
    <row r="46" spans="1:13" x14ac:dyDescent="0.2">
      <c r="A46" s="455"/>
      <c r="I46" s="450"/>
      <c r="K46" s="456"/>
      <c r="L46" s="451"/>
      <c r="M46" s="452"/>
    </row>
    <row r="47" spans="1:13" x14ac:dyDescent="0.2">
      <c r="A47" s="455"/>
      <c r="I47" s="450"/>
      <c r="K47" s="456"/>
      <c r="L47" s="451"/>
      <c r="M47" s="452"/>
    </row>
    <row r="48" spans="1:13" x14ac:dyDescent="0.2">
      <c r="A48" s="455"/>
      <c r="I48" s="450"/>
      <c r="K48" s="456"/>
      <c r="L48" s="451"/>
      <c r="M48" s="452"/>
    </row>
    <row r="49" spans="1:13" x14ac:dyDescent="0.2">
      <c r="A49" s="455"/>
      <c r="I49" s="450"/>
      <c r="K49" s="456"/>
      <c r="L49" s="451"/>
      <c r="M49" s="452"/>
    </row>
    <row r="50" spans="1:13" x14ac:dyDescent="0.2">
      <c r="A50" s="455"/>
      <c r="I50" s="450"/>
      <c r="K50" s="456"/>
      <c r="L50" s="451"/>
      <c r="M50" s="452"/>
    </row>
    <row r="51" spans="1:13" x14ac:dyDescent="0.2">
      <c r="A51" s="455"/>
      <c r="I51" s="450"/>
      <c r="K51" s="456"/>
      <c r="L51" s="451"/>
      <c r="M51" s="452"/>
    </row>
    <row r="52" spans="1:13" x14ac:dyDescent="0.2">
      <c r="A52" s="455"/>
      <c r="I52" s="450"/>
      <c r="K52" s="456"/>
      <c r="L52" s="451"/>
      <c r="M52" s="452"/>
    </row>
    <row r="53" spans="1:13" x14ac:dyDescent="0.2">
      <c r="A53" s="455"/>
      <c r="I53" s="450"/>
      <c r="K53" s="456"/>
      <c r="L53" s="451"/>
      <c r="M53" s="452"/>
    </row>
    <row r="54" spans="1:13" x14ac:dyDescent="0.2">
      <c r="A54" s="455"/>
      <c r="I54" s="450"/>
      <c r="K54" s="456"/>
      <c r="L54" s="451"/>
      <c r="M54" s="452"/>
    </row>
    <row r="55" spans="1:13" x14ac:dyDescent="0.2">
      <c r="A55" s="455"/>
      <c r="I55" s="450"/>
      <c r="K55" s="456"/>
      <c r="L55" s="451"/>
      <c r="M55" s="452"/>
    </row>
    <row r="56" spans="1:13" x14ac:dyDescent="0.2">
      <c r="A56" s="455"/>
      <c r="I56" s="450"/>
      <c r="K56" s="456"/>
      <c r="L56" s="451"/>
      <c r="M56" s="452"/>
    </row>
  </sheetData>
  <mergeCells count="15">
    <mergeCell ref="A1:B1"/>
    <mergeCell ref="C1:H1"/>
    <mergeCell ref="A2:B2"/>
    <mergeCell ref="C2:H2"/>
    <mergeCell ref="A3:B3"/>
    <mergeCell ref="C3:H3"/>
    <mergeCell ref="A7:B7"/>
    <mergeCell ref="C7:H7"/>
    <mergeCell ref="D9:F9"/>
    <mergeCell ref="A4:B4"/>
    <mergeCell ref="C4:H4"/>
    <mergeCell ref="A5:B5"/>
    <mergeCell ref="C5:H5"/>
    <mergeCell ref="A6:B6"/>
    <mergeCell ref="C6:H6"/>
  </mergeCells>
  <pageMargins left="0.5" right="0.25" top="0.5" bottom="0.25" header="0.5" footer="0.5"/>
  <pageSetup scale="73" orientation="landscape" r:id="rId1"/>
  <headerFooter alignWithMargins="0">
    <oddFooter>&amp;L&amp;"-,Bold"&amp;10Cascade Natural Gas Corporation&amp;C&amp;"-,Bold"&amp;10Washington Deferral Accounts&amp;R&amp;"-,Bold"&amp;10Deferred Gas Cost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721D-EE86-4426-82B5-C4681B215C2E}">
  <sheetPr transitionEvaluation="1"/>
  <dimension ref="A1:K35"/>
  <sheetViews>
    <sheetView view="pageBreakPreview" zoomScale="130" zoomScaleNormal="100" zoomScaleSheetLayoutView="130" workbookViewId="0">
      <selection activeCell="B19" sqref="B19"/>
    </sheetView>
  </sheetViews>
  <sheetFormatPr defaultColWidth="8.42578125" defaultRowHeight="15" customHeight="1" x14ac:dyDescent="0.25"/>
  <cols>
    <col min="1" max="1" width="36.7109375" style="126" bestFit="1" customWidth="1"/>
    <col min="2" max="2" width="39.5703125" style="127" bestFit="1" customWidth="1"/>
    <col min="3" max="3" width="18.28515625" style="127" bestFit="1" customWidth="1"/>
    <col min="4" max="4" width="15.28515625" style="127" bestFit="1" customWidth="1"/>
    <col min="5" max="5" width="17.140625" style="127" bestFit="1" customWidth="1"/>
    <col min="6" max="6" width="17" style="127" customWidth="1"/>
    <col min="7" max="7" width="13.85546875" style="127" bestFit="1" customWidth="1"/>
    <col min="8" max="8" width="20.42578125" style="127" customWidth="1"/>
    <col min="9" max="9" width="9.5703125" style="127" customWidth="1"/>
    <col min="10" max="10" width="19" style="127" customWidth="1"/>
    <col min="11" max="11" width="11.140625" style="127" bestFit="1" customWidth="1"/>
    <col min="12" max="16384" width="8.42578125" style="127"/>
  </cols>
  <sheetData>
    <row r="1" spans="1:11" ht="15" customHeight="1" x14ac:dyDescent="0.3">
      <c r="A1" s="196" t="s">
        <v>0</v>
      </c>
    </row>
    <row r="2" spans="1:11" ht="15" customHeight="1" x14ac:dyDescent="0.25">
      <c r="A2" s="193" t="s">
        <v>1</v>
      </c>
      <c r="C2" s="128"/>
      <c r="D2" s="128"/>
      <c r="E2" s="128"/>
      <c r="F2" s="128"/>
      <c r="G2" s="128"/>
      <c r="H2" s="128"/>
    </row>
    <row r="3" spans="1:11" ht="15" customHeight="1" x14ac:dyDescent="0.25">
      <c r="A3" s="193"/>
      <c r="C3" s="358"/>
      <c r="D3" s="358"/>
      <c r="E3" s="358"/>
      <c r="F3" s="358"/>
      <c r="G3" s="358"/>
      <c r="H3" s="358"/>
    </row>
    <row r="4" spans="1:11" ht="15" customHeight="1" x14ac:dyDescent="0.25">
      <c r="C4" s="358"/>
      <c r="E4" s="482"/>
      <c r="F4" s="482"/>
      <c r="G4" s="482"/>
      <c r="H4" s="482"/>
      <c r="J4" s="116"/>
      <c r="K4" s="116"/>
    </row>
    <row r="5" spans="1:11" ht="15" customHeight="1" x14ac:dyDescent="0.25">
      <c r="B5" s="483" t="s">
        <v>38</v>
      </c>
      <c r="C5" s="483"/>
      <c r="D5" s="483"/>
      <c r="E5" s="483"/>
      <c r="F5" s="483"/>
      <c r="G5" s="483"/>
      <c r="H5" s="483"/>
    </row>
    <row r="6" spans="1:11" ht="15" customHeight="1" x14ac:dyDescent="0.25">
      <c r="C6" s="358"/>
      <c r="D6" s="358"/>
      <c r="E6" s="359"/>
      <c r="F6" s="359"/>
      <c r="G6" s="359"/>
      <c r="H6" s="359"/>
      <c r="J6" s="129"/>
      <c r="K6" s="129"/>
    </row>
    <row r="7" spans="1:11" ht="15" customHeight="1" x14ac:dyDescent="0.25">
      <c r="C7" s="358"/>
      <c r="D7" s="478"/>
      <c r="E7" s="361"/>
      <c r="F7" s="361"/>
      <c r="G7" s="361"/>
      <c r="H7" s="361"/>
    </row>
    <row r="8" spans="1:11" s="126" customFormat="1" ht="15" customHeight="1" x14ac:dyDescent="0.25">
      <c r="C8" s="362"/>
      <c r="D8" s="363"/>
      <c r="E8" s="362"/>
      <c r="F8" s="362"/>
      <c r="G8" s="362"/>
      <c r="H8" s="362"/>
    </row>
    <row r="9" spans="1:11" s="126" customFormat="1" ht="15.75" x14ac:dyDescent="0.25">
      <c r="C9" s="362"/>
      <c r="D9" s="362"/>
      <c r="E9" s="364"/>
      <c r="F9" s="364"/>
      <c r="G9" s="364"/>
      <c r="H9" s="365"/>
    </row>
    <row r="10" spans="1:11" s="126" customFormat="1" ht="78.75" x14ac:dyDescent="0.25">
      <c r="A10" s="130" t="s">
        <v>39</v>
      </c>
      <c r="B10" s="130" t="s">
        <v>40</v>
      </c>
      <c r="C10" s="365" t="s">
        <v>316</v>
      </c>
      <c r="D10" s="365" t="s">
        <v>317</v>
      </c>
      <c r="E10" s="366" t="s">
        <v>41</v>
      </c>
      <c r="F10" s="366" t="s">
        <v>42</v>
      </c>
      <c r="G10" s="365" t="s">
        <v>43</v>
      </c>
      <c r="H10" s="363" t="s">
        <v>44</v>
      </c>
    </row>
    <row r="11" spans="1:11" ht="15" customHeight="1" x14ac:dyDescent="0.25">
      <c r="A11" s="131"/>
      <c r="B11" s="132" t="s">
        <v>45</v>
      </c>
      <c r="C11" s="367" t="s">
        <v>46</v>
      </c>
      <c r="D11" s="367" t="s">
        <v>47</v>
      </c>
      <c r="E11" s="367" t="s">
        <v>48</v>
      </c>
      <c r="F11" s="367"/>
      <c r="G11" s="367" t="s">
        <v>49</v>
      </c>
      <c r="H11" s="367" t="s">
        <v>50</v>
      </c>
    </row>
    <row r="12" spans="1:11" ht="15" customHeight="1" x14ac:dyDescent="0.25">
      <c r="B12" s="133"/>
      <c r="C12" s="363"/>
      <c r="D12" s="479"/>
      <c r="E12" s="363"/>
      <c r="F12" s="363"/>
      <c r="G12" s="363"/>
      <c r="H12" s="360"/>
    </row>
    <row r="13" spans="1:11" ht="15" customHeight="1" x14ac:dyDescent="0.25">
      <c r="A13" s="134">
        <v>1</v>
      </c>
      <c r="B13" s="127" t="s">
        <v>51</v>
      </c>
      <c r="C13" s="368">
        <f>'CARES Deferral Balances'!B16</f>
        <v>4481964.42</v>
      </c>
      <c r="D13" s="369">
        <f>EstimatedBalances!H11</f>
        <v>62311.356543933041</v>
      </c>
      <c r="E13" s="368">
        <f>' Int during Amort'!R21</f>
        <v>121892.87756507198</v>
      </c>
      <c r="F13" s="368">
        <f>SUM(C13:E13)</f>
        <v>4666168.6541090049</v>
      </c>
      <c r="G13" s="370">
        <f>F13*('CARES Cost'!$B$35-1)</f>
        <v>241661.55972940303</v>
      </c>
      <c r="H13" s="369">
        <f>F13+G13</f>
        <v>4907830.2138384078</v>
      </c>
      <c r="J13" s="124"/>
    </row>
    <row r="14" spans="1:11" ht="15" customHeight="1" x14ac:dyDescent="0.25">
      <c r="A14" s="134">
        <v>2</v>
      </c>
      <c r="B14" s="127" t="s">
        <v>52</v>
      </c>
      <c r="C14" s="368">
        <f>'CARES Deferral Balances'!C16</f>
        <v>1658975.1700000002</v>
      </c>
      <c r="D14" s="369">
        <f>EstimatedBalances!H12</f>
        <v>23064.215515436837</v>
      </c>
      <c r="E14" s="368">
        <f>' Int during Amort'!R22</f>
        <v>45117.997005497033</v>
      </c>
      <c r="F14" s="368">
        <f t="shared" ref="F14:F16" si="0">SUM(C14:E14)</f>
        <v>1727157.3825209341</v>
      </c>
      <c r="G14" s="370">
        <f>F14*('CARES Cost'!$B$35-1)</f>
        <v>89449.734439112639</v>
      </c>
      <c r="H14" s="369">
        <f t="shared" ref="H14:H16" si="1">F14+G14</f>
        <v>1816607.1169600468</v>
      </c>
    </row>
    <row r="15" spans="1:11" ht="15" customHeight="1" x14ac:dyDescent="0.25">
      <c r="A15" s="134">
        <v>3</v>
      </c>
      <c r="B15" s="135" t="s">
        <v>53</v>
      </c>
      <c r="C15" s="368">
        <f>'CARES Deferral Balances'!D16</f>
        <v>2063411.2700000005</v>
      </c>
      <c r="D15" s="369">
        <f>EstimatedBalances!H13</f>
        <v>28686.964753222885</v>
      </c>
      <c r="E15" s="368">
        <f>' Int during Amort'!R23</f>
        <v>56117.165093537216</v>
      </c>
      <c r="F15" s="368">
        <f t="shared" si="0"/>
        <v>2148215.3998467606</v>
      </c>
      <c r="G15" s="370">
        <f>F15*('CARES Cost'!$B$35-1)</f>
        <v>111256.39098032565</v>
      </c>
      <c r="H15" s="369">
        <f t="shared" si="1"/>
        <v>2259471.7908270862</v>
      </c>
    </row>
    <row r="16" spans="1:11" ht="15" customHeight="1" x14ac:dyDescent="0.25">
      <c r="A16" s="134">
        <v>4</v>
      </c>
      <c r="B16" s="135" t="s">
        <v>54</v>
      </c>
      <c r="C16" s="368">
        <f>'CARES Deferral Balances'!E16</f>
        <v>-7248817.8300000001</v>
      </c>
      <c r="D16" s="369">
        <f>EstimatedBalances!H14</f>
        <v>-100778.05845838133</v>
      </c>
      <c r="E16" s="368">
        <f>' Int during Amort'!R24</f>
        <v>-197141.07062092671</v>
      </c>
      <c r="F16" s="368">
        <f t="shared" si="0"/>
        <v>-7546736.9590793084</v>
      </c>
      <c r="G16" s="370">
        <f>F16*('CARES Cost'!$B$35-1)</f>
        <v>-390846.61519738409</v>
      </c>
      <c r="H16" s="369">
        <f t="shared" si="1"/>
        <v>-7937583.5742766922</v>
      </c>
    </row>
    <row r="17" spans="1:8" ht="15" customHeight="1" x14ac:dyDescent="0.25">
      <c r="A17" s="134"/>
      <c r="B17" s="135"/>
      <c r="C17" s="480"/>
      <c r="D17" s="369"/>
      <c r="E17" s="369"/>
      <c r="F17" s="369"/>
      <c r="G17" s="369"/>
      <c r="H17" s="369"/>
    </row>
    <row r="18" spans="1:8" ht="15" customHeight="1" x14ac:dyDescent="0.25">
      <c r="A18" s="134"/>
      <c r="C18" s="481"/>
      <c r="D18" s="368"/>
      <c r="E18" s="371"/>
      <c r="F18" s="371"/>
      <c r="G18" s="371"/>
      <c r="H18" s="372"/>
    </row>
    <row r="19" spans="1:8" ht="22.5" customHeight="1" x14ac:dyDescent="0.25">
      <c r="A19" s="134">
        <v>5</v>
      </c>
      <c r="B19" s="136" t="s">
        <v>55</v>
      </c>
      <c r="C19" s="373">
        <f>SUM(C13:C16)</f>
        <v>955533.03000000026</v>
      </c>
      <c r="D19" s="373">
        <f>SUM(D13:D16)</f>
        <v>13284.478354211431</v>
      </c>
      <c r="E19" s="373">
        <f t="shared" ref="E19:H19" si="2">SUM(E13:E16)</f>
        <v>25986.969043179532</v>
      </c>
      <c r="F19" s="373">
        <f t="shared" si="2"/>
        <v>994804.47739739157</v>
      </c>
      <c r="G19" s="373">
        <f>SUM(G13:G16)</f>
        <v>51521.069951457204</v>
      </c>
      <c r="H19" s="373">
        <f t="shared" si="2"/>
        <v>1046325.5473488485</v>
      </c>
    </row>
    <row r="20" spans="1:8" ht="15.75" x14ac:dyDescent="0.25">
      <c r="A20" s="134"/>
      <c r="C20" s="358"/>
      <c r="D20" s="358"/>
      <c r="E20" s="358"/>
      <c r="F20" s="358"/>
      <c r="G20" s="358"/>
      <c r="H20" s="374"/>
    </row>
    <row r="21" spans="1:8" ht="15" customHeight="1" x14ac:dyDescent="0.25">
      <c r="C21" s="358"/>
      <c r="D21" s="358"/>
      <c r="E21" s="358"/>
      <c r="F21" s="358"/>
      <c r="G21" s="358"/>
      <c r="H21" s="358"/>
    </row>
    <row r="22" spans="1:8" ht="15" customHeight="1" x14ac:dyDescent="0.25">
      <c r="C22" s="128"/>
      <c r="D22" s="128"/>
      <c r="E22" s="128"/>
      <c r="F22" s="128"/>
      <c r="G22" s="128"/>
      <c r="H22" s="128"/>
    </row>
    <row r="23" spans="1:8" ht="15" customHeight="1" x14ac:dyDescent="0.25">
      <c r="A23" s="134"/>
    </row>
    <row r="26" spans="1:8" ht="15" customHeight="1" x14ac:dyDescent="0.25">
      <c r="A26" s="134"/>
    </row>
    <row r="29" spans="1:8" ht="15" customHeight="1" x14ac:dyDescent="0.25">
      <c r="A29" s="134"/>
    </row>
    <row r="31" spans="1:8" ht="15" customHeight="1" x14ac:dyDescent="0.25">
      <c r="A31" s="134"/>
    </row>
    <row r="33" spans="1:1" ht="15" customHeight="1" x14ac:dyDescent="0.25">
      <c r="A33" s="134"/>
    </row>
    <row r="34" spans="1:1" ht="15" customHeight="1" x14ac:dyDescent="0.25">
      <c r="A34" s="134"/>
    </row>
    <row r="35" spans="1:1" ht="15" customHeight="1" x14ac:dyDescent="0.25">
      <c r="A35" s="134"/>
    </row>
  </sheetData>
  <mergeCells count="2">
    <mergeCell ref="E4:H4"/>
    <mergeCell ref="B5:H5"/>
  </mergeCells>
  <printOptions horizontalCentered="1"/>
  <pageMargins left="0.5" right="0.5" top="1" bottom="1" header="0.5" footer="0.5"/>
  <pageSetup scale="6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D68D-4868-4047-9E3A-C6A51A52062D}">
  <sheetPr>
    <pageSetUpPr fitToPage="1"/>
  </sheetPr>
  <dimension ref="A1:N56"/>
  <sheetViews>
    <sheetView view="pageBreakPreview" zoomScale="130" zoomScaleNormal="60" zoomScaleSheetLayoutView="130" workbookViewId="0">
      <pane ySplit="10" topLeftCell="A24" activePane="bottomLeft" state="frozen"/>
      <selection activeCell="D23" sqref="D23"/>
      <selection pane="bottomLeft" activeCell="H40" sqref="H40"/>
    </sheetView>
  </sheetViews>
  <sheetFormatPr defaultColWidth="11.42578125" defaultRowHeight="12.75" x14ac:dyDescent="0.2"/>
  <cols>
    <col min="1" max="1" width="12" style="437" customWidth="1"/>
    <col min="2" max="2" width="4.7109375" style="437" bestFit="1" customWidth="1"/>
    <col min="3" max="3" width="6.85546875" style="437" bestFit="1" customWidth="1"/>
    <col min="4" max="4" width="13.7109375" style="437" customWidth="1"/>
    <col min="5" max="5" width="11.140625" style="437" customWidth="1"/>
    <col min="6" max="6" width="11.42578125" style="437" customWidth="1"/>
    <col min="7" max="7" width="11" style="437" customWidth="1"/>
    <col min="8" max="8" width="15.140625" style="437" customWidth="1"/>
    <col min="9" max="9" width="1.5703125" style="437" customWidth="1"/>
    <col min="10" max="10" width="12.7109375" style="437" customWidth="1"/>
    <col min="11" max="11" width="12.28515625" style="437" customWidth="1"/>
    <col min="12" max="12" width="11.5703125" style="437" bestFit="1" customWidth="1"/>
    <col min="13" max="13" width="13.28515625" style="437" bestFit="1" customWidth="1"/>
    <col min="14" max="14" width="28.42578125" style="437" customWidth="1"/>
    <col min="15" max="16384" width="11.42578125" style="437"/>
  </cols>
  <sheetData>
    <row r="1" spans="1:14" x14ac:dyDescent="0.2">
      <c r="A1" s="514" t="s">
        <v>319</v>
      </c>
      <c r="B1" s="515"/>
      <c r="C1" s="516" t="s">
        <v>320</v>
      </c>
      <c r="D1" s="516"/>
      <c r="E1" s="516"/>
      <c r="F1" s="516"/>
      <c r="G1" s="516"/>
      <c r="H1" s="517"/>
      <c r="I1" s="436"/>
    </row>
    <row r="2" spans="1:14" x14ac:dyDescent="0.2">
      <c r="A2" s="503" t="s">
        <v>321</v>
      </c>
      <c r="B2" s="504"/>
      <c r="C2" s="507" t="s">
        <v>53</v>
      </c>
      <c r="D2" s="507"/>
      <c r="E2" s="507"/>
      <c r="F2" s="507"/>
      <c r="G2" s="507"/>
      <c r="H2" s="508"/>
      <c r="I2" s="436"/>
    </row>
    <row r="3" spans="1:14" ht="15" x14ac:dyDescent="0.25">
      <c r="A3" s="503" t="s">
        <v>322</v>
      </c>
      <c r="B3" s="504"/>
      <c r="C3" s="518" t="s">
        <v>180</v>
      </c>
      <c r="D3" s="518"/>
      <c r="E3" s="518"/>
      <c r="F3" s="518"/>
      <c r="G3" s="518"/>
      <c r="H3" s="519"/>
      <c r="I3" s="436"/>
    </row>
    <row r="4" spans="1:14" x14ac:dyDescent="0.2">
      <c r="A4" s="503" t="s">
        <v>323</v>
      </c>
      <c r="B4" s="504"/>
      <c r="C4" s="505" t="s">
        <v>346</v>
      </c>
      <c r="D4" s="505"/>
      <c r="E4" s="505"/>
      <c r="F4" s="505"/>
      <c r="G4" s="505"/>
      <c r="H4" s="506"/>
      <c r="I4" s="436"/>
    </row>
    <row r="5" spans="1:14" x14ac:dyDescent="0.2">
      <c r="A5" s="503" t="s">
        <v>324</v>
      </c>
      <c r="B5" s="504"/>
      <c r="C5" s="507" t="s">
        <v>347</v>
      </c>
      <c r="D5" s="507"/>
      <c r="E5" s="507"/>
      <c r="F5" s="507"/>
      <c r="G5" s="507"/>
      <c r="H5" s="508"/>
      <c r="I5" s="436"/>
    </row>
    <row r="6" spans="1:14" x14ac:dyDescent="0.2">
      <c r="A6" s="503" t="s">
        <v>326</v>
      </c>
      <c r="B6" s="504"/>
      <c r="C6" s="507" t="s">
        <v>327</v>
      </c>
      <c r="D6" s="507"/>
      <c r="E6" s="507"/>
      <c r="F6" s="507"/>
      <c r="G6" s="507"/>
      <c r="H6" s="508"/>
      <c r="I6" s="436"/>
    </row>
    <row r="7" spans="1:14" ht="42.75" customHeight="1" thickBot="1" x14ac:dyDescent="0.25">
      <c r="A7" s="509" t="s">
        <v>328</v>
      </c>
      <c r="B7" s="510"/>
      <c r="C7" s="511" t="s">
        <v>348</v>
      </c>
      <c r="D7" s="511"/>
      <c r="E7" s="511"/>
      <c r="F7" s="511"/>
      <c r="G7" s="511"/>
      <c r="H7" s="512"/>
      <c r="I7" s="438"/>
    </row>
    <row r="8" spans="1:14" x14ac:dyDescent="0.2">
      <c r="A8" s="439"/>
      <c r="B8" s="439"/>
      <c r="C8" s="440"/>
      <c r="D8" s="440"/>
      <c r="E8" s="440"/>
      <c r="F8" s="440"/>
      <c r="G8" s="440"/>
      <c r="H8" s="440"/>
      <c r="K8" s="436"/>
    </row>
    <row r="9" spans="1:14" x14ac:dyDescent="0.2">
      <c r="A9" s="441"/>
      <c r="D9" s="513" t="s">
        <v>330</v>
      </c>
      <c r="E9" s="513"/>
      <c r="F9" s="513"/>
    </row>
    <row r="10" spans="1:14" s="442" customFormat="1" ht="26.25" customHeight="1" x14ac:dyDescent="0.2">
      <c r="A10" s="442" t="s">
        <v>331</v>
      </c>
      <c r="B10" s="442" t="s">
        <v>80</v>
      </c>
      <c r="C10" s="442" t="s">
        <v>332</v>
      </c>
      <c r="D10" s="442" t="s">
        <v>333</v>
      </c>
      <c r="E10" s="442" t="s">
        <v>334</v>
      </c>
      <c r="F10" s="442" t="s">
        <v>335</v>
      </c>
      <c r="G10" s="442" t="s">
        <v>336</v>
      </c>
      <c r="H10" s="442" t="s">
        <v>337</v>
      </c>
      <c r="I10" s="443"/>
      <c r="J10" s="442" t="s">
        <v>338</v>
      </c>
      <c r="K10" s="442" t="s">
        <v>339</v>
      </c>
      <c r="L10" s="444" t="s">
        <v>340</v>
      </c>
      <c r="M10" s="444" t="s">
        <v>341</v>
      </c>
    </row>
    <row r="11" spans="1:14" s="445" customFormat="1" ht="15" hidden="1" customHeight="1" x14ac:dyDescent="0.2">
      <c r="H11" s="437">
        <v>0</v>
      </c>
      <c r="I11" s="446"/>
      <c r="L11" s="447"/>
      <c r="M11" s="447"/>
    </row>
    <row r="12" spans="1:14" x14ac:dyDescent="0.2">
      <c r="A12" s="448">
        <v>45046</v>
      </c>
      <c r="B12" s="449"/>
      <c r="C12" s="449"/>
      <c r="D12" s="437">
        <v>0</v>
      </c>
      <c r="E12" s="449"/>
      <c r="F12" s="437">
        <v>0</v>
      </c>
      <c r="H12" s="437">
        <f>+H11+SUM(D12:G12)</f>
        <v>0</v>
      </c>
      <c r="I12" s="450"/>
      <c r="J12" s="437">
        <v>0</v>
      </c>
      <c r="K12" s="437">
        <f t="shared" ref="K12:K20" si="0">H12-J12</f>
        <v>0</v>
      </c>
      <c r="L12" s="451"/>
      <c r="M12" s="452"/>
    </row>
    <row r="13" spans="1:14" x14ac:dyDescent="0.2">
      <c r="A13" s="448">
        <v>45077</v>
      </c>
      <c r="B13" s="449"/>
      <c r="C13" s="449"/>
      <c r="D13" s="437">
        <v>0</v>
      </c>
      <c r="E13" s="449"/>
      <c r="F13" s="437">
        <v>0</v>
      </c>
      <c r="H13" s="437">
        <f t="shared" ref="H13:H19" si="1">+H12+SUM(D13:G13)</f>
        <v>0</v>
      </c>
      <c r="I13" s="450"/>
      <c r="J13" s="437">
        <v>0</v>
      </c>
      <c r="K13" s="437">
        <f t="shared" si="0"/>
        <v>0</v>
      </c>
      <c r="L13" s="451"/>
      <c r="M13" s="452"/>
      <c r="N13" s="457"/>
    </row>
    <row r="14" spans="1:14" x14ac:dyDescent="0.2">
      <c r="A14" s="448">
        <v>45107</v>
      </c>
      <c r="B14" s="449"/>
      <c r="C14" s="449"/>
      <c r="D14" s="437">
        <v>0</v>
      </c>
      <c r="E14" s="449"/>
      <c r="F14" s="437">
        <v>0</v>
      </c>
      <c r="H14" s="437">
        <f t="shared" si="1"/>
        <v>0</v>
      </c>
      <c r="I14" s="450"/>
      <c r="J14" s="437">
        <v>0</v>
      </c>
      <c r="K14" s="437">
        <f t="shared" si="0"/>
        <v>0</v>
      </c>
      <c r="L14" s="451"/>
      <c r="M14" s="452"/>
      <c r="N14" s="457"/>
    </row>
    <row r="15" spans="1:14" x14ac:dyDescent="0.2">
      <c r="A15" s="448">
        <v>45138</v>
      </c>
      <c r="B15" s="449"/>
      <c r="C15" s="449"/>
      <c r="D15" s="437">
        <v>0</v>
      </c>
      <c r="E15" s="449"/>
      <c r="F15" s="437">
        <v>0</v>
      </c>
      <c r="H15" s="437">
        <f t="shared" si="1"/>
        <v>0</v>
      </c>
      <c r="I15" s="450"/>
      <c r="J15" s="437">
        <v>0</v>
      </c>
      <c r="K15" s="437">
        <f t="shared" si="0"/>
        <v>0</v>
      </c>
      <c r="L15" s="451"/>
      <c r="M15" s="452"/>
      <c r="N15" s="459"/>
    </row>
    <row r="16" spans="1:14" x14ac:dyDescent="0.2">
      <c r="A16" s="448">
        <v>45169</v>
      </c>
      <c r="B16" s="449"/>
      <c r="C16" s="449"/>
      <c r="D16" s="437">
        <v>0</v>
      </c>
      <c r="E16" s="449"/>
      <c r="F16" s="437">
        <v>0</v>
      </c>
      <c r="H16" s="437">
        <f t="shared" si="1"/>
        <v>0</v>
      </c>
      <c r="I16" s="450"/>
      <c r="J16" s="437">
        <v>0</v>
      </c>
      <c r="K16" s="437">
        <f t="shared" si="0"/>
        <v>0</v>
      </c>
      <c r="L16" s="451"/>
      <c r="M16" s="452"/>
    </row>
    <row r="17" spans="1:14" x14ac:dyDescent="0.2">
      <c r="A17" s="448">
        <v>45199</v>
      </c>
      <c r="B17" s="449"/>
      <c r="C17" s="449"/>
      <c r="D17" s="437">
        <v>0</v>
      </c>
      <c r="E17" s="449"/>
      <c r="F17" s="437">
        <v>0</v>
      </c>
      <c r="H17" s="437">
        <f t="shared" si="1"/>
        <v>0</v>
      </c>
      <c r="I17" s="450"/>
      <c r="J17" s="437">
        <v>0</v>
      </c>
      <c r="K17" s="437">
        <f t="shared" si="0"/>
        <v>0</v>
      </c>
      <c r="L17" s="451"/>
      <c r="M17" s="452"/>
    </row>
    <row r="18" spans="1:14" x14ac:dyDescent="0.2">
      <c r="A18" s="448">
        <v>45230</v>
      </c>
      <c r="B18" s="449"/>
      <c r="C18" s="449"/>
      <c r="D18" s="437">
        <v>3420.98</v>
      </c>
      <c r="E18" s="449"/>
      <c r="F18" s="437">
        <v>0</v>
      </c>
      <c r="H18" s="437">
        <f t="shared" si="1"/>
        <v>3420.98</v>
      </c>
      <c r="I18" s="450"/>
      <c r="J18" s="437">
        <v>3420.98</v>
      </c>
      <c r="K18" s="437">
        <f t="shared" si="0"/>
        <v>0</v>
      </c>
      <c r="L18" s="451"/>
      <c r="M18" s="452"/>
    </row>
    <row r="19" spans="1:14" x14ac:dyDescent="0.2">
      <c r="A19" s="448">
        <v>45260</v>
      </c>
      <c r="B19" s="449"/>
      <c r="C19" s="449"/>
      <c r="D19" s="437">
        <v>4187.12</v>
      </c>
      <c r="E19" s="449"/>
      <c r="F19" s="437">
        <v>14.06</v>
      </c>
      <c r="H19" s="437">
        <f t="shared" si="1"/>
        <v>7622.16</v>
      </c>
      <c r="I19" s="450"/>
      <c r="J19" s="437">
        <v>7608.1</v>
      </c>
      <c r="K19" s="437">
        <f t="shared" si="0"/>
        <v>14.059999999999491</v>
      </c>
      <c r="L19" s="451"/>
      <c r="M19" s="452"/>
    </row>
    <row r="20" spans="1:14" x14ac:dyDescent="0.2">
      <c r="A20" s="448">
        <v>45291</v>
      </c>
      <c r="B20" s="449"/>
      <c r="C20" s="449"/>
      <c r="D20" s="437">
        <v>6270.77</v>
      </c>
      <c r="E20" s="449"/>
      <c r="F20" s="437">
        <v>32.369999999999997</v>
      </c>
      <c r="H20" s="437">
        <f t="shared" ref="H20:H30" si="2">+H19+SUM(D20:G20)</f>
        <v>13925.3</v>
      </c>
      <c r="I20" s="450"/>
      <c r="J20" s="437">
        <v>13878.87</v>
      </c>
      <c r="K20" s="437">
        <f t="shared" si="0"/>
        <v>46.429999999998472</v>
      </c>
      <c r="L20" s="451"/>
      <c r="M20" s="452"/>
    </row>
    <row r="21" spans="1:14" x14ac:dyDescent="0.2">
      <c r="A21" s="448">
        <v>45322</v>
      </c>
      <c r="B21" s="449"/>
      <c r="C21" s="449"/>
      <c r="D21" s="437">
        <v>20771.849999999999</v>
      </c>
      <c r="E21" s="449"/>
      <c r="F21" s="437">
        <v>63.04</v>
      </c>
      <c r="H21" s="437">
        <f t="shared" si="2"/>
        <v>34760.19</v>
      </c>
      <c r="I21" s="450"/>
      <c r="J21" s="437">
        <v>34760.19</v>
      </c>
      <c r="K21" s="456">
        <f>ROUND(H21-J21,2)</f>
        <v>0</v>
      </c>
      <c r="L21" s="451" t="s">
        <v>342</v>
      </c>
      <c r="M21" s="452">
        <v>45334</v>
      </c>
      <c r="N21" s="437" t="s">
        <v>354</v>
      </c>
    </row>
    <row r="22" spans="1:14" x14ac:dyDescent="0.2">
      <c r="A22" s="448">
        <v>45351</v>
      </c>
      <c r="B22" s="449"/>
      <c r="C22" s="449"/>
      <c r="D22" s="437">
        <v>32536.79</v>
      </c>
      <c r="E22" s="449"/>
      <c r="F22" s="437">
        <v>147.19999999999999</v>
      </c>
      <c r="H22" s="437">
        <f t="shared" si="2"/>
        <v>67444.180000000008</v>
      </c>
      <c r="I22" s="450"/>
      <c r="J22" s="437">
        <v>67444.179999999993</v>
      </c>
      <c r="K22" s="456">
        <f t="shared" ref="K22:K40" si="3">ROUND(H22-J22,2)</f>
        <v>0</v>
      </c>
      <c r="L22" s="451" t="s">
        <v>342</v>
      </c>
      <c r="M22" s="452">
        <v>45359</v>
      </c>
    </row>
    <row r="23" spans="1:14" x14ac:dyDescent="0.2">
      <c r="A23" s="448">
        <v>45382</v>
      </c>
      <c r="B23" s="449"/>
      <c r="C23" s="449"/>
      <c r="D23" s="437">
        <v>56889.63</v>
      </c>
      <c r="E23" s="449"/>
      <c r="F23" s="437">
        <v>305.31</v>
      </c>
      <c r="H23" s="437">
        <f t="shared" si="2"/>
        <v>124639.12</v>
      </c>
      <c r="I23" s="450"/>
      <c r="J23" s="437">
        <v>124639.12</v>
      </c>
      <c r="K23" s="456">
        <f t="shared" si="3"/>
        <v>0</v>
      </c>
      <c r="L23" s="451" t="s">
        <v>342</v>
      </c>
      <c r="M23" s="452">
        <v>45390</v>
      </c>
    </row>
    <row r="24" spans="1:14" x14ac:dyDescent="0.2">
      <c r="A24" s="448">
        <v>45412</v>
      </c>
      <c r="B24" s="449"/>
      <c r="C24" s="449"/>
      <c r="D24" s="437">
        <v>48761.25</v>
      </c>
      <c r="E24" s="449"/>
      <c r="F24" s="437">
        <v>546.02</v>
      </c>
      <c r="H24" s="437">
        <f t="shared" si="2"/>
        <v>173946.38999999998</v>
      </c>
      <c r="I24" s="450"/>
      <c r="J24" s="437">
        <v>173946.39</v>
      </c>
      <c r="K24" s="456">
        <f t="shared" si="3"/>
        <v>0</v>
      </c>
      <c r="L24" s="451" t="s">
        <v>342</v>
      </c>
      <c r="M24" s="452">
        <v>45420</v>
      </c>
    </row>
    <row r="25" spans="1:14" x14ac:dyDescent="0.2">
      <c r="A25" s="448">
        <v>45443</v>
      </c>
      <c r="B25" s="449"/>
      <c r="C25" s="449"/>
      <c r="D25" s="437">
        <v>57727.57</v>
      </c>
      <c r="E25" s="449"/>
      <c r="F25" s="437">
        <v>787.43</v>
      </c>
      <c r="H25" s="437">
        <f t="shared" si="2"/>
        <v>232461.38999999998</v>
      </c>
      <c r="I25" s="450"/>
      <c r="J25" s="437">
        <v>232461.39</v>
      </c>
      <c r="K25" s="456">
        <f t="shared" si="3"/>
        <v>0</v>
      </c>
      <c r="L25" s="451" t="s">
        <v>342</v>
      </c>
      <c r="M25" s="452">
        <v>45453</v>
      </c>
    </row>
    <row r="26" spans="1:14" x14ac:dyDescent="0.2">
      <c r="A26" s="448">
        <v>45473</v>
      </c>
      <c r="B26" s="449"/>
      <c r="C26" s="449"/>
      <c r="D26" s="437">
        <v>53616.38</v>
      </c>
      <c r="E26" s="449"/>
      <c r="F26" s="437">
        <v>1018.37</v>
      </c>
      <c r="H26" s="437">
        <f t="shared" si="2"/>
        <v>287096.14</v>
      </c>
      <c r="I26" s="450"/>
      <c r="J26" s="437">
        <v>287096.14</v>
      </c>
      <c r="K26" s="456">
        <f t="shared" si="3"/>
        <v>0</v>
      </c>
      <c r="L26" s="451" t="s">
        <v>342</v>
      </c>
      <c r="M26" s="452">
        <v>45482</v>
      </c>
    </row>
    <row r="27" spans="1:14" x14ac:dyDescent="0.2">
      <c r="A27" s="448">
        <v>45504</v>
      </c>
      <c r="B27" s="449"/>
      <c r="C27" s="449"/>
      <c r="D27" s="437">
        <v>40483.78</v>
      </c>
      <c r="E27" s="449"/>
      <c r="F27" s="437">
        <v>1326.46</v>
      </c>
      <c r="H27" s="437">
        <f t="shared" si="2"/>
        <v>328906.38</v>
      </c>
      <c r="I27" s="450"/>
      <c r="J27" s="437">
        <v>328906.38</v>
      </c>
      <c r="K27" s="456">
        <f t="shared" si="3"/>
        <v>0</v>
      </c>
      <c r="L27" s="451" t="s">
        <v>342</v>
      </c>
      <c r="M27" s="452">
        <v>45516</v>
      </c>
    </row>
    <row r="28" spans="1:14" x14ac:dyDescent="0.2">
      <c r="A28" s="448">
        <v>45535</v>
      </c>
      <c r="B28" s="449"/>
      <c r="C28" s="449"/>
      <c r="D28" s="437">
        <v>33749.300000000003</v>
      </c>
      <c r="E28" s="449"/>
      <c r="F28" s="437">
        <v>1519.64</v>
      </c>
      <c r="H28" s="437">
        <f t="shared" si="2"/>
        <v>364175.32</v>
      </c>
      <c r="I28" s="450"/>
      <c r="J28" s="437">
        <v>364175.32</v>
      </c>
      <c r="K28" s="456">
        <f t="shared" si="3"/>
        <v>0</v>
      </c>
      <c r="L28" s="451" t="s">
        <v>343</v>
      </c>
      <c r="M28" s="452">
        <v>45546</v>
      </c>
    </row>
    <row r="29" spans="1:14" x14ac:dyDescent="0.2">
      <c r="A29" s="448">
        <v>45565</v>
      </c>
      <c r="B29" s="449"/>
      <c r="C29" s="449"/>
      <c r="D29" s="437">
        <v>16297.58</v>
      </c>
      <c r="E29" s="449"/>
      <c r="F29" s="437">
        <v>1628.31</v>
      </c>
      <c r="H29" s="437">
        <f t="shared" si="2"/>
        <v>382101.21</v>
      </c>
      <c r="I29" s="450"/>
      <c r="J29" s="437">
        <v>382101.21</v>
      </c>
      <c r="K29" s="456">
        <f t="shared" si="3"/>
        <v>0</v>
      </c>
      <c r="L29" s="451" t="s">
        <v>343</v>
      </c>
      <c r="M29" s="452">
        <v>45573</v>
      </c>
    </row>
    <row r="30" spans="1:14" x14ac:dyDescent="0.2">
      <c r="A30" s="448">
        <v>45596</v>
      </c>
      <c r="B30" s="449"/>
      <c r="C30" s="449"/>
      <c r="D30" s="437">
        <v>54826.16</v>
      </c>
      <c r="E30" s="449"/>
      <c r="F30" s="437">
        <v>1765.41</v>
      </c>
      <c r="H30" s="437">
        <f t="shared" si="2"/>
        <v>438692.78</v>
      </c>
      <c r="I30" s="450"/>
      <c r="J30" s="437">
        <v>438692.78</v>
      </c>
      <c r="K30" s="456">
        <f t="shared" si="3"/>
        <v>0</v>
      </c>
      <c r="L30" s="451" t="s">
        <v>343</v>
      </c>
      <c r="M30" s="452">
        <v>45608</v>
      </c>
    </row>
    <row r="31" spans="1:14" x14ac:dyDescent="0.2">
      <c r="A31" s="455">
        <v>45626</v>
      </c>
      <c r="B31" s="449"/>
      <c r="C31" s="449"/>
      <c r="D31" s="437">
        <v>60703.07</v>
      </c>
      <c r="E31" s="449"/>
      <c r="F31" s="437">
        <v>1961.5</v>
      </c>
      <c r="H31" s="437">
        <f t="shared" ref="H31:H40" si="4">+H30+SUM(D31:G31)</f>
        <v>501357.35000000003</v>
      </c>
      <c r="I31" s="450"/>
      <c r="J31" s="437">
        <v>501357.35</v>
      </c>
      <c r="K31" s="456">
        <f t="shared" si="3"/>
        <v>0</v>
      </c>
      <c r="L31" s="451" t="s">
        <v>343</v>
      </c>
      <c r="M31" s="452">
        <v>45638</v>
      </c>
    </row>
    <row r="32" spans="1:14" x14ac:dyDescent="0.2">
      <c r="A32" s="455">
        <v>45657</v>
      </c>
      <c r="B32" s="449"/>
      <c r="C32" s="449"/>
      <c r="D32" s="437">
        <v>87189.7</v>
      </c>
      <c r="E32" s="449"/>
      <c r="F32" s="437">
        <v>2316.41</v>
      </c>
      <c r="H32" s="437">
        <f t="shared" si="4"/>
        <v>590863.46000000008</v>
      </c>
      <c r="I32" s="450"/>
      <c r="J32" s="437">
        <v>590863.46</v>
      </c>
      <c r="K32" s="456">
        <f t="shared" si="3"/>
        <v>0</v>
      </c>
      <c r="L32" s="451" t="s">
        <v>343</v>
      </c>
      <c r="M32" s="452">
        <v>45667</v>
      </c>
    </row>
    <row r="33" spans="1:13" x14ac:dyDescent="0.2">
      <c r="A33" s="455">
        <v>45688</v>
      </c>
      <c r="B33" s="449"/>
      <c r="C33" s="449"/>
      <c r="D33" s="437">
        <v>198219.02</v>
      </c>
      <c r="E33" s="449"/>
      <c r="F33" s="437">
        <v>2649.66</v>
      </c>
      <c r="H33" s="437">
        <f t="shared" si="4"/>
        <v>791732.14000000013</v>
      </c>
      <c r="I33" s="450"/>
      <c r="J33" s="437">
        <v>791732.14</v>
      </c>
      <c r="K33" s="456">
        <f t="shared" si="3"/>
        <v>0</v>
      </c>
      <c r="L33" s="451" t="s">
        <v>343</v>
      </c>
      <c r="M33" s="452">
        <v>45699</v>
      </c>
    </row>
    <row r="34" spans="1:13" x14ac:dyDescent="0.2">
      <c r="A34" s="455">
        <v>45716</v>
      </c>
      <c r="B34" s="449"/>
      <c r="C34" s="449"/>
      <c r="D34" s="437">
        <v>274493.21999999997</v>
      </c>
      <c r="E34" s="449"/>
      <c r="F34" s="437">
        <v>3206.84</v>
      </c>
      <c r="H34" s="437">
        <f t="shared" si="4"/>
        <v>1069432.2000000002</v>
      </c>
      <c r="I34" s="450"/>
      <c r="J34" s="437">
        <v>1069432.2</v>
      </c>
      <c r="K34" s="456">
        <f t="shared" si="3"/>
        <v>0</v>
      </c>
      <c r="L34" s="451" t="s">
        <v>343</v>
      </c>
      <c r="M34" s="452">
        <v>45726</v>
      </c>
    </row>
    <row r="35" spans="1:13" x14ac:dyDescent="0.2">
      <c r="A35" s="455">
        <v>45747</v>
      </c>
      <c r="B35" s="449"/>
      <c r="C35" s="449"/>
      <c r="D35" s="437">
        <v>254175.59</v>
      </c>
      <c r="E35" s="449"/>
      <c r="F35" s="437">
        <v>4795.74</v>
      </c>
      <c r="H35" s="437">
        <f t="shared" si="4"/>
        <v>1328403.5300000003</v>
      </c>
      <c r="I35" s="450"/>
      <c r="J35" s="437">
        <v>1328403.53</v>
      </c>
      <c r="K35" s="456">
        <f t="shared" si="3"/>
        <v>0</v>
      </c>
      <c r="L35" s="451" t="s">
        <v>343</v>
      </c>
      <c r="M35" s="452">
        <v>45757</v>
      </c>
    </row>
    <row r="36" spans="1:13" x14ac:dyDescent="0.2">
      <c r="A36" s="455">
        <v>45777</v>
      </c>
      <c r="B36" s="449"/>
      <c r="C36" s="449"/>
      <c r="D36" s="437">
        <v>212928.06</v>
      </c>
      <c r="E36" s="449"/>
      <c r="F36" s="437">
        <v>5764.91</v>
      </c>
      <c r="H36" s="437">
        <f t="shared" si="4"/>
        <v>1547096.5000000002</v>
      </c>
      <c r="I36" s="450"/>
      <c r="J36" s="437">
        <v>1547096.5</v>
      </c>
      <c r="K36" s="456">
        <f t="shared" si="3"/>
        <v>0</v>
      </c>
      <c r="L36" s="451" t="s">
        <v>343</v>
      </c>
      <c r="M36" s="452">
        <v>45796</v>
      </c>
    </row>
    <row r="37" spans="1:13" x14ac:dyDescent="0.2">
      <c r="A37" s="455">
        <v>45808</v>
      </c>
      <c r="B37" s="449"/>
      <c r="C37" s="449"/>
      <c r="D37" s="437">
        <v>195299.06</v>
      </c>
      <c r="E37" s="449"/>
      <c r="F37" s="437">
        <v>6937.77</v>
      </c>
      <c r="H37" s="437">
        <f t="shared" si="4"/>
        <v>1749333.3300000003</v>
      </c>
      <c r="I37" s="450"/>
      <c r="J37" s="437">
        <v>1749333.33</v>
      </c>
      <c r="K37" s="456">
        <f t="shared" si="3"/>
        <v>0</v>
      </c>
      <c r="L37" s="451" t="s">
        <v>343</v>
      </c>
      <c r="M37" s="452">
        <v>45817</v>
      </c>
    </row>
    <row r="38" spans="1:13" x14ac:dyDescent="0.2">
      <c r="A38" s="455">
        <v>45838</v>
      </c>
      <c r="B38" s="449"/>
      <c r="C38" s="449"/>
      <c r="D38" s="437">
        <v>162562.70000000001</v>
      </c>
      <c r="E38" s="449"/>
      <c r="F38" s="437">
        <v>7591.63</v>
      </c>
      <c r="H38" s="437">
        <f t="shared" si="4"/>
        <v>1919487.6600000004</v>
      </c>
      <c r="I38" s="450"/>
      <c r="J38" s="437">
        <v>1919487.66</v>
      </c>
      <c r="K38" s="456">
        <f t="shared" si="3"/>
        <v>0</v>
      </c>
      <c r="L38" s="451" t="s">
        <v>343</v>
      </c>
      <c r="M38" s="452">
        <v>45849</v>
      </c>
    </row>
    <row r="39" spans="1:13" x14ac:dyDescent="0.2">
      <c r="A39" s="455">
        <v>45869</v>
      </c>
      <c r="B39" s="449"/>
      <c r="C39" s="449"/>
      <c r="D39" s="437">
        <v>135348.5</v>
      </c>
      <c r="E39" s="449"/>
      <c r="F39" s="437">
        <v>8575.11</v>
      </c>
      <c r="H39" s="437">
        <f t="shared" si="4"/>
        <v>2063411.2700000005</v>
      </c>
      <c r="I39" s="450"/>
      <c r="J39" s="437">
        <v>2063411.27</v>
      </c>
      <c r="K39" s="456">
        <f t="shared" si="3"/>
        <v>0</v>
      </c>
      <c r="L39" s="451" t="s">
        <v>343</v>
      </c>
      <c r="M39" s="452">
        <v>45877</v>
      </c>
    </row>
    <row r="40" spans="1:13" x14ac:dyDescent="0.2">
      <c r="A40" s="455">
        <v>45900</v>
      </c>
      <c r="B40" s="449"/>
      <c r="C40" s="449"/>
      <c r="D40" s="437">
        <v>97804.37</v>
      </c>
      <c r="E40" s="449"/>
      <c r="F40" s="437">
        <v>9218.08</v>
      </c>
      <c r="H40" s="437">
        <f t="shared" si="4"/>
        <v>2170433.7200000007</v>
      </c>
      <c r="I40" s="450"/>
      <c r="J40" s="437">
        <v>2170433.7200000002</v>
      </c>
      <c r="K40" s="456">
        <f t="shared" si="3"/>
        <v>0</v>
      </c>
      <c r="L40" s="451" t="s">
        <v>343</v>
      </c>
      <c r="M40" s="452">
        <v>45908</v>
      </c>
    </row>
    <row r="41" spans="1:13" x14ac:dyDescent="0.2">
      <c r="A41" s="455"/>
      <c r="B41" s="449"/>
      <c r="C41" s="449"/>
      <c r="E41" s="449"/>
      <c r="I41" s="450"/>
      <c r="K41" s="456"/>
      <c r="L41" s="451"/>
      <c r="M41" s="452"/>
    </row>
    <row r="42" spans="1:13" x14ac:dyDescent="0.2">
      <c r="A42" s="455"/>
      <c r="B42" s="449"/>
      <c r="C42" s="449"/>
      <c r="E42" s="449"/>
      <c r="I42" s="450"/>
      <c r="K42" s="456"/>
      <c r="L42" s="451"/>
      <c r="M42" s="452"/>
    </row>
    <row r="43" spans="1:13" x14ac:dyDescent="0.2">
      <c r="A43" s="455"/>
      <c r="I43" s="450"/>
      <c r="K43" s="456"/>
      <c r="L43" s="451"/>
      <c r="M43" s="452"/>
    </row>
    <row r="44" spans="1:13" x14ac:dyDescent="0.2">
      <c r="A44" s="455"/>
      <c r="I44" s="450"/>
      <c r="K44" s="456"/>
      <c r="L44" s="451"/>
      <c r="M44" s="452"/>
    </row>
    <row r="45" spans="1:13" x14ac:dyDescent="0.2">
      <c r="A45" s="455"/>
      <c r="I45" s="450"/>
      <c r="K45" s="456"/>
      <c r="L45" s="451"/>
      <c r="M45" s="452"/>
    </row>
    <row r="46" spans="1:13" x14ac:dyDescent="0.2">
      <c r="A46" s="455"/>
      <c r="I46" s="450"/>
      <c r="K46" s="456"/>
      <c r="L46" s="451"/>
      <c r="M46" s="452"/>
    </row>
    <row r="47" spans="1:13" x14ac:dyDescent="0.2">
      <c r="A47" s="455"/>
      <c r="I47" s="450"/>
      <c r="K47" s="456"/>
      <c r="L47" s="451"/>
      <c r="M47" s="452"/>
    </row>
    <row r="48" spans="1:13" x14ac:dyDescent="0.2">
      <c r="A48" s="455"/>
      <c r="I48" s="450"/>
      <c r="K48" s="456"/>
      <c r="L48" s="451"/>
      <c r="M48" s="452"/>
    </row>
    <row r="49" spans="1:13" x14ac:dyDescent="0.2">
      <c r="A49" s="455"/>
      <c r="I49" s="450"/>
      <c r="K49" s="456"/>
      <c r="L49" s="451"/>
      <c r="M49" s="452"/>
    </row>
    <row r="50" spans="1:13" x14ac:dyDescent="0.2">
      <c r="A50" s="455"/>
      <c r="I50" s="450"/>
      <c r="K50" s="456"/>
      <c r="L50" s="451"/>
      <c r="M50" s="452"/>
    </row>
    <row r="51" spans="1:13" x14ac:dyDescent="0.2">
      <c r="A51" s="455"/>
      <c r="I51" s="450"/>
      <c r="K51" s="456"/>
      <c r="L51" s="451"/>
      <c r="M51" s="452"/>
    </row>
    <row r="52" spans="1:13" x14ac:dyDescent="0.2">
      <c r="A52" s="455"/>
      <c r="I52" s="450"/>
      <c r="K52" s="456"/>
      <c r="L52" s="451"/>
      <c r="M52" s="452"/>
    </row>
    <row r="53" spans="1:13" x14ac:dyDescent="0.2">
      <c r="A53" s="455"/>
      <c r="I53" s="450"/>
      <c r="K53" s="456"/>
      <c r="L53" s="451"/>
      <c r="M53" s="452"/>
    </row>
    <row r="54" spans="1:13" x14ac:dyDescent="0.2">
      <c r="A54" s="455"/>
      <c r="I54" s="450"/>
      <c r="K54" s="456"/>
      <c r="L54" s="451"/>
      <c r="M54" s="452"/>
    </row>
    <row r="55" spans="1:13" x14ac:dyDescent="0.2">
      <c r="A55" s="455"/>
      <c r="I55" s="450"/>
      <c r="K55" s="456"/>
      <c r="L55" s="451"/>
      <c r="M55" s="452"/>
    </row>
    <row r="56" spans="1:13" x14ac:dyDescent="0.2">
      <c r="A56" s="455"/>
      <c r="I56" s="450"/>
      <c r="K56" s="456"/>
      <c r="L56" s="451"/>
      <c r="M56" s="452"/>
    </row>
  </sheetData>
  <mergeCells count="15">
    <mergeCell ref="A1:B1"/>
    <mergeCell ref="C1:H1"/>
    <mergeCell ref="A2:B2"/>
    <mergeCell ref="C2:H2"/>
    <mergeCell ref="A3:B3"/>
    <mergeCell ref="C3:H3"/>
    <mergeCell ref="A7:B7"/>
    <mergeCell ref="C7:H7"/>
    <mergeCell ref="D9:F9"/>
    <mergeCell ref="A4:B4"/>
    <mergeCell ref="C4:H4"/>
    <mergeCell ref="A5:B5"/>
    <mergeCell ref="C5:H5"/>
    <mergeCell ref="A6:B6"/>
    <mergeCell ref="C6:H6"/>
  </mergeCells>
  <pageMargins left="0.5" right="0.25" top="0.5" bottom="0.25" header="0.5" footer="0.5"/>
  <pageSetup scale="78" orientation="landscape" r:id="rId1"/>
  <headerFooter alignWithMargins="0">
    <oddFooter>&amp;L&amp;"-,Bold"&amp;10Cascade Natural Gas Corporation&amp;C&amp;"-,Bold"&amp;10Washington Deferral Accounts&amp;R&amp;"-,Bold"&amp;10Deferred Gas Cost 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AFF3-A3B5-462C-8105-5AF2E0B3D7A4}">
  <sheetPr>
    <pageSetUpPr fitToPage="1"/>
  </sheetPr>
  <dimension ref="A1:M52"/>
  <sheetViews>
    <sheetView view="pageBreakPreview" zoomScale="130" zoomScaleNormal="100" zoomScaleSheetLayoutView="130" workbookViewId="0">
      <selection activeCell="I51" sqref="I51"/>
    </sheetView>
  </sheetViews>
  <sheetFormatPr defaultColWidth="11.42578125" defaultRowHeight="12.75" x14ac:dyDescent="0.2"/>
  <cols>
    <col min="1" max="1" width="11.42578125" style="437"/>
    <col min="2" max="2" width="5.140625" style="437" customWidth="1"/>
    <col min="3" max="3" width="6.85546875" style="437" bestFit="1" customWidth="1"/>
    <col min="4" max="4" width="11.7109375" style="437" customWidth="1"/>
    <col min="5" max="5" width="11.28515625" style="437" bestFit="1" customWidth="1"/>
    <col min="6" max="6" width="11.42578125" style="437"/>
    <col min="7" max="7" width="11" style="437" bestFit="1" customWidth="1"/>
    <col min="8" max="8" width="15" style="437" customWidth="1"/>
    <col min="9" max="9" width="1.5703125" style="437" customWidth="1"/>
    <col min="10" max="10" width="13.28515625" style="437" customWidth="1"/>
    <col min="11" max="11" width="12.7109375" style="437" customWidth="1"/>
    <col min="12" max="12" width="11.5703125" style="451" bestFit="1" customWidth="1"/>
    <col min="13" max="13" width="13.28515625" style="451" bestFit="1" customWidth="1"/>
    <col min="14" max="16384" width="11.42578125" style="437"/>
  </cols>
  <sheetData>
    <row r="1" spans="1:13" x14ac:dyDescent="0.2">
      <c r="A1" s="514" t="s">
        <v>319</v>
      </c>
      <c r="B1" s="515"/>
      <c r="C1" s="516" t="s">
        <v>320</v>
      </c>
      <c r="D1" s="516"/>
      <c r="E1" s="516"/>
      <c r="F1" s="516"/>
      <c r="G1" s="516"/>
      <c r="H1" s="517"/>
      <c r="I1" s="460"/>
      <c r="J1" s="461"/>
    </row>
    <row r="2" spans="1:13" x14ac:dyDescent="0.2">
      <c r="A2" s="503" t="s">
        <v>321</v>
      </c>
      <c r="B2" s="504"/>
      <c r="C2" s="507" t="s">
        <v>54</v>
      </c>
      <c r="D2" s="507"/>
      <c r="E2" s="507"/>
      <c r="F2" s="507"/>
      <c r="G2" s="507"/>
      <c r="H2" s="508"/>
      <c r="I2" s="460"/>
      <c r="J2" s="461"/>
    </row>
    <row r="3" spans="1:13" ht="15" x14ac:dyDescent="0.25">
      <c r="A3" s="503" t="s">
        <v>322</v>
      </c>
      <c r="B3" s="504"/>
      <c r="C3" s="518" t="s">
        <v>181</v>
      </c>
      <c r="D3" s="518"/>
      <c r="E3" s="518"/>
      <c r="F3" s="518"/>
      <c r="G3" s="518"/>
      <c r="H3" s="519"/>
      <c r="I3" s="460"/>
      <c r="J3" s="461"/>
    </row>
    <row r="4" spans="1:13" ht="12.95" customHeight="1" x14ac:dyDescent="0.2">
      <c r="A4" s="503" t="s">
        <v>323</v>
      </c>
      <c r="B4" s="504"/>
      <c r="C4" s="505" t="s">
        <v>355</v>
      </c>
      <c r="D4" s="505"/>
      <c r="E4" s="505"/>
      <c r="F4" s="505"/>
      <c r="G4" s="505"/>
      <c r="H4" s="506"/>
      <c r="I4" s="460"/>
      <c r="J4" s="462"/>
      <c r="K4" s="462"/>
      <c r="L4" s="462"/>
      <c r="M4" s="462"/>
    </row>
    <row r="5" spans="1:13" x14ac:dyDescent="0.2">
      <c r="A5" s="503" t="s">
        <v>324</v>
      </c>
      <c r="B5" s="504"/>
      <c r="C5" s="507"/>
      <c r="D5" s="507"/>
      <c r="E5" s="507"/>
      <c r="F5" s="507"/>
      <c r="G5" s="507"/>
      <c r="H5" s="508"/>
      <c r="I5" s="460"/>
      <c r="J5" s="462"/>
      <c r="K5" s="462"/>
      <c r="L5" s="462"/>
      <c r="M5" s="462"/>
    </row>
    <row r="6" spans="1:13" x14ac:dyDescent="0.2">
      <c r="A6" s="503" t="s">
        <v>326</v>
      </c>
      <c r="B6" s="504"/>
      <c r="C6" s="507" t="s">
        <v>356</v>
      </c>
      <c r="D6" s="507"/>
      <c r="E6" s="507"/>
      <c r="F6" s="507"/>
      <c r="G6" s="507"/>
      <c r="H6" s="508"/>
      <c r="I6" s="460"/>
      <c r="J6" s="462"/>
      <c r="K6" s="462"/>
      <c r="L6" s="462"/>
      <c r="M6" s="462"/>
    </row>
    <row r="7" spans="1:13" ht="27.2" customHeight="1" thickBot="1" x14ac:dyDescent="0.25">
      <c r="A7" s="509" t="s">
        <v>328</v>
      </c>
      <c r="B7" s="510"/>
      <c r="C7" s="511" t="s">
        <v>357</v>
      </c>
      <c r="D7" s="511"/>
      <c r="E7" s="511"/>
      <c r="F7" s="511"/>
      <c r="G7" s="511"/>
      <c r="H7" s="512"/>
      <c r="I7" s="463"/>
      <c r="J7" s="464"/>
    </row>
    <row r="8" spans="1:13" x14ac:dyDescent="0.2">
      <c r="A8" s="439"/>
      <c r="B8" s="439"/>
      <c r="C8" s="440"/>
      <c r="D8" s="440"/>
      <c r="E8" s="440"/>
      <c r="F8" s="440"/>
      <c r="G8" s="440"/>
      <c r="H8" s="440"/>
      <c r="I8" s="440"/>
      <c r="K8" s="436"/>
    </row>
    <row r="9" spans="1:13" x14ac:dyDescent="0.2">
      <c r="A9" s="441"/>
      <c r="D9" s="513" t="s">
        <v>330</v>
      </c>
      <c r="E9" s="513"/>
      <c r="F9" s="513"/>
    </row>
    <row r="10" spans="1:13" s="445" customFormat="1" ht="30.95" customHeight="1" x14ac:dyDescent="0.2">
      <c r="A10" s="442" t="s">
        <v>331</v>
      </c>
      <c r="B10" s="442" t="s">
        <v>80</v>
      </c>
      <c r="C10" s="442" t="s">
        <v>332</v>
      </c>
      <c r="D10" s="442" t="s">
        <v>333</v>
      </c>
      <c r="E10" s="442" t="s">
        <v>334</v>
      </c>
      <c r="F10" s="442" t="s">
        <v>335</v>
      </c>
      <c r="G10" s="442" t="s">
        <v>336</v>
      </c>
      <c r="H10" s="442" t="s">
        <v>337</v>
      </c>
      <c r="I10" s="443"/>
      <c r="J10" s="442" t="s">
        <v>338</v>
      </c>
      <c r="K10" s="442" t="s">
        <v>339</v>
      </c>
      <c r="L10" s="444" t="s">
        <v>340</v>
      </c>
      <c r="M10" s="444" t="s">
        <v>341</v>
      </c>
    </row>
    <row r="11" spans="1:13" hidden="1" x14ac:dyDescent="0.2">
      <c r="A11" s="465"/>
      <c r="B11" s="465"/>
      <c r="C11" s="465"/>
      <c r="D11" s="465"/>
      <c r="E11" s="465"/>
      <c r="F11" s="465"/>
      <c r="G11" s="465"/>
      <c r="H11" s="466"/>
      <c r="I11" s="467"/>
      <c r="J11" s="464"/>
    </row>
    <row r="12" spans="1:13" hidden="1" x14ac:dyDescent="0.2">
      <c r="A12" s="520"/>
      <c r="B12" s="520"/>
      <c r="C12" s="520"/>
      <c r="D12" s="520"/>
      <c r="E12" s="520"/>
      <c r="F12" s="520"/>
      <c r="G12" s="466"/>
      <c r="H12" s="466"/>
      <c r="I12" s="467"/>
      <c r="J12" s="468"/>
      <c r="K12" s="456"/>
    </row>
    <row r="13" spans="1:13" hidden="1" x14ac:dyDescent="0.2">
      <c r="A13" s="520"/>
      <c r="B13" s="520"/>
      <c r="C13" s="520"/>
      <c r="D13" s="520"/>
      <c r="E13" s="520"/>
      <c r="F13" s="520"/>
      <c r="G13" s="466"/>
      <c r="H13" s="466">
        <f>SUM(G12:G12)</f>
        <v>0</v>
      </c>
      <c r="I13" s="467"/>
      <c r="J13" s="464"/>
    </row>
    <row r="14" spans="1:13" x14ac:dyDescent="0.2">
      <c r="A14" s="469">
        <v>45230</v>
      </c>
      <c r="B14" s="454"/>
      <c r="C14" s="454"/>
      <c r="D14" s="470">
        <v>-36878.36</v>
      </c>
      <c r="E14" s="454"/>
      <c r="F14" s="471">
        <v>0</v>
      </c>
      <c r="G14" s="466"/>
      <c r="H14" s="466">
        <f>SUM(D14:G14)+H13</f>
        <v>-36878.36</v>
      </c>
      <c r="I14" s="467"/>
      <c r="J14" s="468">
        <v>-36878.36</v>
      </c>
      <c r="K14" s="437">
        <f t="shared" ref="K14:K36" si="0">J14-H14</f>
        <v>0</v>
      </c>
      <c r="L14" s="451" t="s">
        <v>342</v>
      </c>
      <c r="M14" s="472">
        <v>45238</v>
      </c>
    </row>
    <row r="15" spans="1:13" x14ac:dyDescent="0.2">
      <c r="A15" s="469">
        <v>45260</v>
      </c>
      <c r="B15" s="454"/>
      <c r="C15" s="454"/>
      <c r="D15" s="470">
        <v>-276210.12</v>
      </c>
      <c r="E15" s="454"/>
      <c r="F15" s="466">
        <v>-151.55000000000001</v>
      </c>
      <c r="G15" s="466"/>
      <c r="H15" s="466">
        <f t="shared" ref="H15:H20" si="1">SUM(D15:G15)+H14</f>
        <v>-313240.02999999997</v>
      </c>
      <c r="I15" s="467"/>
      <c r="J15" s="468">
        <v>-313240.03000000003</v>
      </c>
      <c r="K15" s="456">
        <f t="shared" si="0"/>
        <v>0</v>
      </c>
      <c r="L15" s="451" t="s">
        <v>342</v>
      </c>
      <c r="M15" s="472">
        <v>45271</v>
      </c>
    </row>
    <row r="16" spans="1:13" x14ac:dyDescent="0.2">
      <c r="A16" s="469">
        <v>45291</v>
      </c>
      <c r="B16" s="454"/>
      <c r="C16" s="454"/>
      <c r="D16" s="473">
        <v>-428931.37</v>
      </c>
      <c r="E16" s="454"/>
      <c r="F16" s="466">
        <v>-1330.2</v>
      </c>
      <c r="G16" s="464"/>
      <c r="H16" s="474">
        <f t="shared" si="1"/>
        <v>-743501.6</v>
      </c>
      <c r="I16" s="475"/>
      <c r="J16" s="468">
        <v>-743501.6</v>
      </c>
      <c r="K16" s="456">
        <f t="shared" si="0"/>
        <v>0</v>
      </c>
      <c r="L16" s="451" t="s">
        <v>342</v>
      </c>
      <c r="M16" s="472">
        <v>45300</v>
      </c>
    </row>
    <row r="17" spans="1:13" x14ac:dyDescent="0.2">
      <c r="A17" s="469">
        <v>45322</v>
      </c>
      <c r="B17" s="454"/>
      <c r="C17" s="454"/>
      <c r="D17" s="473">
        <v>-513119.98</v>
      </c>
      <c r="E17" s="454"/>
      <c r="F17" s="466">
        <v>-3365.72</v>
      </c>
      <c r="G17" s="464"/>
      <c r="H17" s="474">
        <f t="shared" si="1"/>
        <v>-1259987.2999999998</v>
      </c>
      <c r="I17" s="475"/>
      <c r="J17" s="437">
        <v>-1259987.3</v>
      </c>
      <c r="K17" s="456">
        <f t="shared" si="0"/>
        <v>0</v>
      </c>
      <c r="L17" s="451" t="s">
        <v>342</v>
      </c>
      <c r="M17" s="472">
        <v>45334</v>
      </c>
    </row>
    <row r="18" spans="1:13" x14ac:dyDescent="0.2">
      <c r="A18" s="469">
        <v>45351</v>
      </c>
      <c r="B18" s="454"/>
      <c r="C18" s="454"/>
      <c r="D18" s="473">
        <v>-487342.02</v>
      </c>
      <c r="E18" s="454"/>
      <c r="F18" s="466">
        <v>-5335.79</v>
      </c>
      <c r="G18" s="464"/>
      <c r="H18" s="474">
        <f t="shared" si="1"/>
        <v>-1752665.1099999999</v>
      </c>
      <c r="I18" s="475"/>
      <c r="J18" s="437">
        <v>-1752665.11</v>
      </c>
      <c r="K18" s="456">
        <f t="shared" si="0"/>
        <v>0</v>
      </c>
      <c r="L18" s="451" t="s">
        <v>342</v>
      </c>
      <c r="M18" s="472">
        <v>45359</v>
      </c>
    </row>
    <row r="19" spans="1:13" x14ac:dyDescent="0.2">
      <c r="A19" s="469">
        <v>45382</v>
      </c>
      <c r="B19" s="454"/>
      <c r="C19" s="454"/>
      <c r="D19" s="473">
        <v>-426737.89</v>
      </c>
      <c r="E19" s="454"/>
      <c r="F19" s="466">
        <v>-7934.05</v>
      </c>
      <c r="G19" s="464"/>
      <c r="H19" s="474">
        <f t="shared" si="1"/>
        <v>-2187337.0499999998</v>
      </c>
      <c r="I19" s="475"/>
      <c r="J19" s="437">
        <v>-2187337.0499999998</v>
      </c>
      <c r="K19" s="456">
        <f t="shared" si="0"/>
        <v>0</v>
      </c>
      <c r="L19" s="451" t="s">
        <v>342</v>
      </c>
      <c r="M19" s="472">
        <v>45390</v>
      </c>
    </row>
    <row r="20" spans="1:13" x14ac:dyDescent="0.2">
      <c r="A20" s="469">
        <v>45412</v>
      </c>
      <c r="B20" s="454"/>
      <c r="C20" s="454"/>
      <c r="D20" s="473">
        <v>-317213.96999999997</v>
      </c>
      <c r="E20" s="454"/>
      <c r="F20" s="466">
        <v>-9582.33</v>
      </c>
      <c r="G20" s="464"/>
      <c r="H20" s="474">
        <f t="shared" si="1"/>
        <v>-2514133.3499999996</v>
      </c>
      <c r="I20" s="475"/>
      <c r="J20" s="437">
        <v>-2514133.35</v>
      </c>
      <c r="K20" s="456">
        <f t="shared" si="0"/>
        <v>0</v>
      </c>
      <c r="L20" s="451" t="s">
        <v>342</v>
      </c>
      <c r="M20" s="472">
        <v>45420</v>
      </c>
    </row>
    <row r="21" spans="1:13" x14ac:dyDescent="0.2">
      <c r="A21" s="469">
        <v>45443</v>
      </c>
      <c r="B21" s="454"/>
      <c r="C21" s="454"/>
      <c r="D21" s="473">
        <v>-256328.41</v>
      </c>
      <c r="E21" s="454"/>
      <c r="F21" s="466">
        <v>-11381.1</v>
      </c>
      <c r="G21" s="464"/>
      <c r="H21" s="474">
        <f t="shared" ref="H21:H36" si="2">SUM(D21:G21)+H20</f>
        <v>-2781842.8599999994</v>
      </c>
      <c r="I21" s="475"/>
      <c r="J21" s="437">
        <v>-2781842.86</v>
      </c>
      <c r="K21" s="456">
        <f t="shared" si="0"/>
        <v>0</v>
      </c>
      <c r="L21" s="451" t="s">
        <v>342</v>
      </c>
      <c r="M21" s="472">
        <v>45453</v>
      </c>
    </row>
    <row r="22" spans="1:13" x14ac:dyDescent="0.2">
      <c r="A22" s="469">
        <v>45473</v>
      </c>
      <c r="B22" s="454"/>
      <c r="C22" s="454"/>
      <c r="D22" s="473">
        <v>-160500.89000000001</v>
      </c>
      <c r="E22" s="454"/>
      <c r="F22" s="466">
        <v>-12186.76</v>
      </c>
      <c r="G22" s="464"/>
      <c r="H22" s="474">
        <f t="shared" si="2"/>
        <v>-2954530.5099999993</v>
      </c>
      <c r="I22" s="475"/>
      <c r="J22" s="437">
        <v>-2954530.51</v>
      </c>
      <c r="K22" s="456">
        <f t="shared" si="0"/>
        <v>0</v>
      </c>
      <c r="L22" s="451" t="s">
        <v>342</v>
      </c>
      <c r="M22" s="472">
        <v>45482</v>
      </c>
    </row>
    <row r="23" spans="1:13" x14ac:dyDescent="0.2">
      <c r="A23" s="469">
        <v>45504</v>
      </c>
      <c r="B23" s="454"/>
      <c r="C23" s="454"/>
      <c r="D23" s="473">
        <v>-139864.37</v>
      </c>
      <c r="E23" s="454"/>
      <c r="F23" s="466">
        <v>-13650.74</v>
      </c>
      <c r="G23" s="464"/>
      <c r="H23" s="474">
        <f t="shared" si="2"/>
        <v>-3108045.6199999992</v>
      </c>
      <c r="I23" s="475"/>
      <c r="J23" s="437">
        <v>-3108045.62</v>
      </c>
      <c r="K23" s="456">
        <f t="shared" si="0"/>
        <v>0</v>
      </c>
      <c r="L23" s="451" t="s">
        <v>342</v>
      </c>
      <c r="M23" s="472">
        <v>45516</v>
      </c>
    </row>
    <row r="24" spans="1:13" x14ac:dyDescent="0.2">
      <c r="A24" s="469">
        <v>45535</v>
      </c>
      <c r="B24" s="454"/>
      <c r="C24" s="454"/>
      <c r="D24" s="473">
        <v>-137961.64000000001</v>
      </c>
      <c r="E24" s="454"/>
      <c r="F24" s="466">
        <v>-14360.02</v>
      </c>
      <c r="G24" s="464"/>
      <c r="H24" s="474">
        <f t="shared" si="2"/>
        <v>-3260367.2799999993</v>
      </c>
      <c r="I24" s="475"/>
      <c r="J24" s="437">
        <v>-3260367.28</v>
      </c>
      <c r="K24" s="456">
        <f t="shared" si="0"/>
        <v>0</v>
      </c>
      <c r="L24" s="451" t="s">
        <v>343</v>
      </c>
      <c r="M24" s="452">
        <v>45546</v>
      </c>
    </row>
    <row r="25" spans="1:13" x14ac:dyDescent="0.2">
      <c r="A25" s="469">
        <v>45565</v>
      </c>
      <c r="B25" s="454"/>
      <c r="C25" s="454"/>
      <c r="D25" s="473">
        <v>-141955.76</v>
      </c>
      <c r="E25" s="454"/>
      <c r="F25" s="466">
        <v>-14577.86</v>
      </c>
      <c r="G25" s="464"/>
      <c r="H25" s="474">
        <f t="shared" si="2"/>
        <v>-3416900.8999999994</v>
      </c>
      <c r="I25" s="475"/>
      <c r="J25" s="437">
        <v>-3416900.9</v>
      </c>
      <c r="K25" s="456">
        <f t="shared" si="0"/>
        <v>0</v>
      </c>
      <c r="L25" s="451" t="s">
        <v>343</v>
      </c>
      <c r="M25" s="452">
        <v>45573</v>
      </c>
    </row>
    <row r="26" spans="1:13" x14ac:dyDescent="0.2">
      <c r="A26" s="469">
        <v>45596</v>
      </c>
      <c r="B26" s="454"/>
      <c r="C26" s="454"/>
      <c r="D26" s="473">
        <v>-185567.81</v>
      </c>
      <c r="E26" s="454"/>
      <c r="F26" s="466">
        <v>-15787.02</v>
      </c>
      <c r="G26" s="464"/>
      <c r="H26" s="474">
        <f t="shared" si="2"/>
        <v>-3618255.7299999995</v>
      </c>
      <c r="I26" s="475"/>
      <c r="J26" s="437">
        <v>-3618255.73</v>
      </c>
      <c r="K26" s="456">
        <f t="shared" si="0"/>
        <v>0</v>
      </c>
      <c r="L26" s="451" t="s">
        <v>343</v>
      </c>
      <c r="M26" s="452">
        <v>45608</v>
      </c>
    </row>
    <row r="27" spans="1:13" x14ac:dyDescent="0.2">
      <c r="A27" s="455">
        <v>45626</v>
      </c>
      <c r="B27" s="454"/>
      <c r="C27" s="454"/>
      <c r="D27" s="473">
        <v>-274061</v>
      </c>
      <c r="E27" s="454"/>
      <c r="F27" s="466">
        <v>-16178.06</v>
      </c>
      <c r="G27" s="464"/>
      <c r="H27" s="474">
        <f t="shared" si="2"/>
        <v>-3908494.7899999996</v>
      </c>
      <c r="I27" s="475"/>
      <c r="J27" s="437">
        <v>-3908494.79</v>
      </c>
      <c r="K27" s="456">
        <f t="shared" si="0"/>
        <v>0</v>
      </c>
      <c r="L27" s="451" t="s">
        <v>343</v>
      </c>
      <c r="M27" s="452">
        <v>45638</v>
      </c>
    </row>
    <row r="28" spans="1:13" x14ac:dyDescent="0.2">
      <c r="A28" s="455">
        <v>45657</v>
      </c>
      <c r="B28" s="454"/>
      <c r="C28" s="454"/>
      <c r="D28" s="473">
        <v>-497696.73</v>
      </c>
      <c r="E28" s="454"/>
      <c r="F28" s="466">
        <v>-18058.32</v>
      </c>
      <c r="G28" s="464"/>
      <c r="H28" s="474">
        <f t="shared" si="2"/>
        <v>-4424249.84</v>
      </c>
      <c r="I28" s="475"/>
      <c r="J28" s="437">
        <v>-4424249.84</v>
      </c>
      <c r="K28" s="456">
        <f t="shared" si="0"/>
        <v>0</v>
      </c>
      <c r="L28" s="451" t="s">
        <v>343</v>
      </c>
      <c r="M28" s="452">
        <v>45667</v>
      </c>
    </row>
    <row r="29" spans="1:13" x14ac:dyDescent="0.2">
      <c r="A29" s="455">
        <v>45688</v>
      </c>
      <c r="B29" s="454"/>
      <c r="C29" s="454"/>
      <c r="D29" s="473">
        <v>-601299.51</v>
      </c>
      <c r="E29" s="454"/>
      <c r="F29" s="466">
        <v>-19840.03</v>
      </c>
      <c r="G29" s="464"/>
      <c r="H29" s="474">
        <f t="shared" si="2"/>
        <v>-5045389.38</v>
      </c>
      <c r="I29" s="475"/>
      <c r="J29" s="437">
        <v>-5045389.38</v>
      </c>
      <c r="K29" s="456">
        <f t="shared" si="0"/>
        <v>0</v>
      </c>
      <c r="L29" s="451" t="s">
        <v>343</v>
      </c>
      <c r="M29" s="452">
        <v>45699</v>
      </c>
    </row>
    <row r="30" spans="1:13" x14ac:dyDescent="0.2">
      <c r="A30" s="455">
        <v>45716</v>
      </c>
      <c r="B30" s="454"/>
      <c r="C30" s="454"/>
      <c r="D30" s="473">
        <v>-628143.04</v>
      </c>
      <c r="E30" s="454"/>
      <c r="F30" s="466">
        <v>-20435.900000000001</v>
      </c>
      <c r="G30" s="464"/>
      <c r="H30" s="474">
        <f t="shared" si="2"/>
        <v>-5693968.3200000003</v>
      </c>
      <c r="I30" s="475"/>
      <c r="J30" s="437">
        <v>-5693968.3200000003</v>
      </c>
      <c r="K30" s="456">
        <f t="shared" si="0"/>
        <v>0</v>
      </c>
      <c r="L30" s="451" t="s">
        <v>343</v>
      </c>
      <c r="M30" s="452">
        <v>45726</v>
      </c>
    </row>
    <row r="31" spans="1:13" x14ac:dyDescent="0.2">
      <c r="A31" s="455">
        <v>45747</v>
      </c>
      <c r="B31" s="454"/>
      <c r="C31" s="454"/>
      <c r="D31" s="473">
        <v>-494122.17</v>
      </c>
      <c r="E31" s="454"/>
      <c r="F31" s="466">
        <v>-25533.94</v>
      </c>
      <c r="G31" s="464"/>
      <c r="H31" s="474">
        <f t="shared" si="2"/>
        <v>-6213624.4300000006</v>
      </c>
      <c r="I31" s="475"/>
      <c r="J31" s="437">
        <v>-6213624.4299999997</v>
      </c>
      <c r="K31" s="456">
        <f t="shared" si="0"/>
        <v>0</v>
      </c>
      <c r="L31" s="451" t="s">
        <v>343</v>
      </c>
      <c r="M31" s="452">
        <v>45757</v>
      </c>
    </row>
    <row r="32" spans="1:13" x14ac:dyDescent="0.2">
      <c r="A32" s="455">
        <v>45777</v>
      </c>
      <c r="B32" s="454"/>
      <c r="C32" s="454"/>
      <c r="D32" s="473">
        <v>-359631.41</v>
      </c>
      <c r="E32" s="454"/>
      <c r="F32" s="466">
        <v>-26965.43</v>
      </c>
      <c r="G32" s="464"/>
      <c r="H32" s="474">
        <f t="shared" si="2"/>
        <v>-6600221.2700000005</v>
      </c>
      <c r="I32" s="475"/>
      <c r="J32" s="437">
        <v>-6600221.2699999996</v>
      </c>
      <c r="K32" s="456">
        <f t="shared" si="0"/>
        <v>0</v>
      </c>
      <c r="L32" s="451" t="s">
        <v>343</v>
      </c>
      <c r="M32" s="452">
        <v>45796</v>
      </c>
    </row>
    <row r="33" spans="1:13" x14ac:dyDescent="0.2">
      <c r="A33" s="455">
        <v>45808</v>
      </c>
      <c r="B33" s="454"/>
      <c r="C33" s="454"/>
      <c r="D33" s="473">
        <v>-229383.06</v>
      </c>
      <c r="E33" s="454"/>
      <c r="F33" s="466">
        <v>-29597.919999999998</v>
      </c>
      <c r="G33" s="464"/>
      <c r="H33" s="474">
        <f t="shared" si="2"/>
        <v>-6859202.25</v>
      </c>
      <c r="I33" s="475"/>
      <c r="J33" s="437">
        <v>-6859202.25</v>
      </c>
      <c r="K33" s="456">
        <f t="shared" si="0"/>
        <v>0</v>
      </c>
      <c r="L33" s="451" t="s">
        <v>343</v>
      </c>
      <c r="M33" s="452">
        <v>45817</v>
      </c>
    </row>
    <row r="34" spans="1:13" x14ac:dyDescent="0.2">
      <c r="A34" s="455">
        <v>45838</v>
      </c>
      <c r="B34" s="454"/>
      <c r="C34" s="454"/>
      <c r="D34" s="473">
        <v>-172605.59</v>
      </c>
      <c r="E34" s="454"/>
      <c r="F34" s="466">
        <v>-29767.06</v>
      </c>
      <c r="G34" s="464"/>
      <c r="H34" s="474">
        <f t="shared" si="2"/>
        <v>-7061574.9000000004</v>
      </c>
      <c r="I34" s="475"/>
      <c r="J34" s="437">
        <v>-7061574.9000000004</v>
      </c>
      <c r="K34" s="456">
        <f t="shared" si="0"/>
        <v>0</v>
      </c>
      <c r="L34" s="451" t="s">
        <v>343</v>
      </c>
      <c r="M34" s="452">
        <v>45849</v>
      </c>
    </row>
    <row r="35" spans="1:13" x14ac:dyDescent="0.2">
      <c r="A35" s="455">
        <v>45869</v>
      </c>
      <c r="B35" s="454"/>
      <c r="C35" s="454"/>
      <c r="D35" s="473">
        <v>-155696.07</v>
      </c>
      <c r="E35" s="454"/>
      <c r="F35" s="466">
        <v>-31546.86</v>
      </c>
      <c r="G35" s="464"/>
      <c r="H35" s="474">
        <f t="shared" si="2"/>
        <v>-7248817.8300000001</v>
      </c>
      <c r="I35" s="475"/>
      <c r="J35" s="437">
        <v>-7248817.8300000001</v>
      </c>
      <c r="K35" s="456">
        <f t="shared" si="0"/>
        <v>0</v>
      </c>
      <c r="L35" s="451" t="s">
        <v>343</v>
      </c>
      <c r="M35" s="452">
        <v>45877</v>
      </c>
    </row>
    <row r="36" spans="1:13" x14ac:dyDescent="0.2">
      <c r="A36" s="455">
        <v>45900</v>
      </c>
      <c r="B36" s="454"/>
      <c r="C36" s="454"/>
      <c r="D36" s="473">
        <v>-139096.10999999999</v>
      </c>
      <c r="E36" s="454"/>
      <c r="F36" s="466">
        <v>-32383.35</v>
      </c>
      <c r="G36" s="464"/>
      <c r="H36" s="474">
        <f t="shared" si="2"/>
        <v>-7420297.29</v>
      </c>
      <c r="I36" s="475"/>
      <c r="J36" s="437">
        <v>-7420297.29</v>
      </c>
      <c r="K36" s="456">
        <f t="shared" si="0"/>
        <v>0</v>
      </c>
      <c r="L36" s="451" t="s">
        <v>343</v>
      </c>
      <c r="M36" s="452">
        <v>45908</v>
      </c>
    </row>
    <row r="37" spans="1:13" x14ac:dyDescent="0.2">
      <c r="A37" s="455"/>
      <c r="B37" s="454"/>
      <c r="C37" s="454"/>
      <c r="D37" s="473"/>
      <c r="E37" s="454"/>
      <c r="F37" s="466"/>
      <c r="G37" s="464"/>
      <c r="H37" s="474"/>
      <c r="I37" s="475"/>
      <c r="K37" s="456"/>
      <c r="M37" s="452"/>
    </row>
    <row r="38" spans="1:13" x14ac:dyDescent="0.2">
      <c r="A38" s="455"/>
      <c r="B38" s="454"/>
      <c r="C38" s="454"/>
      <c r="D38" s="473"/>
      <c r="E38" s="454"/>
      <c r="F38" s="466"/>
      <c r="G38" s="464"/>
      <c r="H38" s="474"/>
      <c r="I38" s="475"/>
      <c r="K38" s="456"/>
      <c r="M38" s="452"/>
    </row>
    <row r="39" spans="1:13" x14ac:dyDescent="0.2">
      <c r="A39" s="455"/>
      <c r="F39" s="466"/>
      <c r="G39" s="464"/>
      <c r="H39" s="474"/>
      <c r="I39" s="475"/>
      <c r="K39" s="456"/>
      <c r="M39" s="452"/>
    </row>
    <row r="40" spans="1:13" x14ac:dyDescent="0.2">
      <c r="A40" s="455"/>
      <c r="F40" s="466"/>
      <c r="G40" s="464"/>
      <c r="H40" s="474"/>
      <c r="I40" s="475"/>
      <c r="K40" s="456"/>
      <c r="M40" s="452"/>
    </row>
    <row r="41" spans="1:13" x14ac:dyDescent="0.2">
      <c r="A41" s="455"/>
      <c r="F41" s="466"/>
      <c r="G41" s="464"/>
      <c r="H41" s="474"/>
      <c r="I41" s="475"/>
      <c r="K41" s="456"/>
      <c r="M41" s="452"/>
    </row>
    <row r="42" spans="1:13" x14ac:dyDescent="0.2">
      <c r="A42" s="455"/>
      <c r="F42" s="466"/>
      <c r="G42" s="464"/>
      <c r="H42" s="474"/>
      <c r="I42" s="475"/>
      <c r="K42" s="456"/>
      <c r="M42" s="452"/>
    </row>
    <row r="43" spans="1:13" x14ac:dyDescent="0.2">
      <c r="A43" s="455"/>
      <c r="F43" s="466"/>
      <c r="G43" s="464"/>
      <c r="H43" s="474"/>
      <c r="I43" s="475"/>
      <c r="K43" s="456"/>
      <c r="M43" s="452"/>
    </row>
    <row r="44" spans="1:13" x14ac:dyDescent="0.2">
      <c r="A44" s="455"/>
      <c r="F44" s="466"/>
      <c r="G44" s="464"/>
      <c r="H44" s="474"/>
      <c r="I44" s="475"/>
      <c r="K44" s="456"/>
      <c r="M44" s="452"/>
    </row>
    <row r="45" spans="1:13" x14ac:dyDescent="0.2">
      <c r="A45" s="455"/>
      <c r="F45" s="466"/>
      <c r="G45" s="464"/>
      <c r="H45" s="474"/>
      <c r="I45" s="475"/>
      <c r="K45" s="456"/>
      <c r="M45" s="452"/>
    </row>
    <row r="46" spans="1:13" x14ac:dyDescent="0.2">
      <c r="A46" s="455"/>
      <c r="F46" s="466"/>
      <c r="G46" s="464"/>
      <c r="H46" s="474"/>
      <c r="I46" s="475"/>
      <c r="K46" s="456"/>
      <c r="M46" s="452"/>
    </row>
    <row r="47" spans="1:13" x14ac:dyDescent="0.2">
      <c r="A47" s="455"/>
      <c r="F47" s="466"/>
      <c r="G47" s="464"/>
      <c r="H47" s="474"/>
      <c r="I47" s="475"/>
      <c r="K47" s="456"/>
      <c r="M47" s="452"/>
    </row>
    <row r="48" spans="1:13" x14ac:dyDescent="0.2">
      <c r="A48" s="455"/>
      <c r="F48" s="466"/>
      <c r="G48" s="464"/>
      <c r="H48" s="474"/>
      <c r="I48" s="475"/>
      <c r="K48" s="456"/>
      <c r="M48" s="452"/>
    </row>
    <row r="49" spans="1:13" x14ac:dyDescent="0.2">
      <c r="A49" s="455"/>
      <c r="F49" s="466"/>
      <c r="G49" s="464"/>
      <c r="H49" s="474"/>
      <c r="I49" s="475"/>
      <c r="K49" s="456"/>
      <c r="M49" s="452"/>
    </row>
    <row r="50" spans="1:13" x14ac:dyDescent="0.2">
      <c r="A50" s="455"/>
      <c r="F50" s="466"/>
      <c r="G50" s="464"/>
      <c r="H50" s="474"/>
      <c r="I50" s="475"/>
      <c r="K50" s="456"/>
      <c r="M50" s="452"/>
    </row>
    <row r="51" spans="1:13" x14ac:dyDescent="0.2">
      <c r="A51" s="455"/>
      <c r="F51" s="466"/>
      <c r="G51" s="464"/>
      <c r="H51" s="474"/>
      <c r="I51" s="475"/>
      <c r="K51" s="456"/>
      <c r="M51" s="452"/>
    </row>
    <row r="52" spans="1:13" x14ac:dyDescent="0.2">
      <c r="A52" s="455"/>
      <c r="F52" s="466"/>
      <c r="G52" s="464"/>
      <c r="H52" s="474"/>
      <c r="I52" s="475"/>
      <c r="K52" s="456"/>
      <c r="M52" s="452"/>
    </row>
  </sheetData>
  <mergeCells count="17"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H7"/>
    <mergeCell ref="D9:F9"/>
    <mergeCell ref="A12:F12"/>
    <mergeCell ref="A13:F13"/>
  </mergeCells>
  <pageMargins left="0.7" right="0.7" top="0.75" bottom="0.75" header="0.3" footer="0.3"/>
  <pageSetup scale="89" fitToHeight="0" orientation="landscape" r:id="rId1"/>
  <headerFooter>
    <oddFooter>&amp;LWA Tax Amort&amp;C&amp;A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8F49-DA6F-493F-B6DE-78F29CB35497}">
  <dimension ref="A1:H25"/>
  <sheetViews>
    <sheetView tabSelected="1" view="pageBreakPreview" zoomScale="160" zoomScaleNormal="130" zoomScaleSheetLayoutView="160" workbookViewId="0">
      <selection activeCell="B12" sqref="B12"/>
    </sheetView>
  </sheetViews>
  <sheetFormatPr defaultRowHeight="15" x14ac:dyDescent="0.25"/>
  <cols>
    <col min="1" max="1" width="30.5703125" customWidth="1"/>
    <col min="2" max="2" width="15.42578125" bestFit="1" customWidth="1"/>
    <col min="3" max="3" width="14.5703125" bestFit="1" customWidth="1"/>
    <col min="4" max="5" width="13.5703125" bestFit="1" customWidth="1"/>
    <col min="6" max="6" width="12.140625" customWidth="1"/>
    <col min="7" max="7" width="14.5703125" bestFit="1" customWidth="1"/>
    <col min="8" max="8" width="17.28515625" bestFit="1" customWidth="1"/>
  </cols>
  <sheetData>
    <row r="1" spans="1:8" ht="18.75" x14ac:dyDescent="0.3">
      <c r="A1" s="196" t="s">
        <v>0</v>
      </c>
    </row>
    <row r="2" spans="1:8" x14ac:dyDescent="0.25">
      <c r="A2" s="193" t="s">
        <v>1</v>
      </c>
    </row>
    <row r="3" spans="1:8" ht="15.75" thickBot="1" x14ac:dyDescent="0.3"/>
    <row r="4" spans="1:8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120" t="s">
        <v>62</v>
      </c>
    </row>
    <row r="5" spans="1:8" x14ac:dyDescent="0.25">
      <c r="A5" t="s">
        <v>63</v>
      </c>
      <c r="B5" s="230">
        <v>59702004.405637197</v>
      </c>
      <c r="C5" s="230">
        <v>31965705.205074698</v>
      </c>
      <c r="D5" s="230">
        <v>2739175.8851145115</v>
      </c>
      <c r="E5" s="230">
        <v>2740306.8195457892</v>
      </c>
      <c r="F5" s="230">
        <v>166822.89697999999</v>
      </c>
      <c r="G5" s="230">
        <v>26475874.907156192</v>
      </c>
      <c r="H5" s="230">
        <f>SUM(B5:G5)</f>
        <v>123789890.11950839</v>
      </c>
    </row>
    <row r="6" spans="1:8" x14ac:dyDescent="0.25">
      <c r="A6" t="s">
        <v>64</v>
      </c>
      <c r="B6" s="121">
        <f>B5/$H$5</f>
        <v>0.4822849777796886</v>
      </c>
      <c r="C6" s="121">
        <f t="shared" ref="B6:G6" si="0">C5/$H$5</f>
        <v>0.25822549138879264</v>
      </c>
      <c r="D6" s="121">
        <f t="shared" si="0"/>
        <v>2.2127621912177764E-2</v>
      </c>
      <c r="E6" s="121">
        <f t="shared" si="0"/>
        <v>2.2136757831356511E-2</v>
      </c>
      <c r="F6" s="121">
        <f t="shared" si="0"/>
        <v>1.3476294131850911E-3</v>
      </c>
      <c r="G6" s="121">
        <f>G5/$H$5</f>
        <v>0.2138775216747994</v>
      </c>
      <c r="H6" s="354">
        <f>SUM(B6:G6)</f>
        <v>1</v>
      </c>
    </row>
    <row r="8" spans="1:8" x14ac:dyDescent="0.25">
      <c r="A8" t="s">
        <v>65</v>
      </c>
      <c r="B8" s="4">
        <f>$B$21*B6</f>
        <v>4500418.9203086505</v>
      </c>
      <c r="C8" s="4">
        <f t="shared" ref="C8:G8" si="1">$B$21*C6</f>
        <v>2409618.6708991532</v>
      </c>
      <c r="D8" s="4">
        <f t="shared" si="1"/>
        <v>206482.83256396931</v>
      </c>
      <c r="E8" s="4">
        <f t="shared" si="1"/>
        <v>206568.08395146995</v>
      </c>
      <c r="F8" s="4">
        <f>$B$21*F6</f>
        <v>12575.338623615846</v>
      </c>
      <c r="G8" s="4">
        <f>$B$21*G6</f>
        <v>1995787.7386213874</v>
      </c>
      <c r="H8" s="90">
        <f>SUM(B8:G8)</f>
        <v>9331451.5849682465</v>
      </c>
    </row>
    <row r="10" spans="1:8" x14ac:dyDescent="0.25">
      <c r="A10" t="s">
        <v>66</v>
      </c>
      <c r="B10" s="89">
        <f>'Forecasted Volumes'!C20</f>
        <v>136078781.9038859</v>
      </c>
      <c r="C10" s="89">
        <f>'Forecasted Volumes'!D20</f>
        <v>101534123.9154546</v>
      </c>
      <c r="D10" s="89">
        <f>'Forecasted Volumes'!E20</f>
        <v>13499435.874798907</v>
      </c>
      <c r="E10" s="89">
        <f>'Forecasted Volumes'!F20</f>
        <v>18549690.759514704</v>
      </c>
      <c r="F10" s="89">
        <f>'Forecasted Volumes'!G20</f>
        <v>996484.54634588922</v>
      </c>
      <c r="G10" s="89">
        <f>'Forecasted Volumes'!H20</f>
        <v>833178175</v>
      </c>
    </row>
    <row r="12" spans="1:8" x14ac:dyDescent="0.25">
      <c r="A12" t="s">
        <v>67</v>
      </c>
      <c r="B12" s="125">
        <f>ROUND(B8/B10,5)</f>
        <v>3.3070000000000002E-2</v>
      </c>
      <c r="C12" s="125">
        <f t="shared" ref="C12:F12" si="2">ROUND(C8/C10,5)</f>
        <v>2.3730000000000001E-2</v>
      </c>
      <c r="D12" s="125">
        <f t="shared" si="2"/>
        <v>1.5299999999999999E-2</v>
      </c>
      <c r="E12" s="125">
        <f t="shared" si="2"/>
        <v>1.1140000000000001E-2</v>
      </c>
      <c r="F12" s="125">
        <f t="shared" si="2"/>
        <v>1.2619999999999999E-2</v>
      </c>
      <c r="G12" s="125">
        <f>ROUND(G8/G10,5)</f>
        <v>2.3999999999999998E-3</v>
      </c>
    </row>
    <row r="14" spans="1:8" x14ac:dyDescent="0.25">
      <c r="A14" t="s">
        <v>68</v>
      </c>
      <c r="B14" s="90">
        <f>$B$20*B6</f>
        <v>504627.0933534599</v>
      </c>
      <c r="C14" s="90">
        <f t="shared" ref="C14:G14" si="3">$B$20*C6</f>
        <v>270187.92861680384</v>
      </c>
      <c r="D14" s="90">
        <f t="shared" si="3"/>
        <v>23152.696108787775</v>
      </c>
      <c r="E14" s="90">
        <f t="shared" si="3"/>
        <v>23162.255254423013</v>
      </c>
      <c r="F14" s="90">
        <f t="shared" si="3"/>
        <v>1410.0590833742981</v>
      </c>
      <c r="G14" s="90">
        <f>$B$20*G6</f>
        <v>223785.5149319997</v>
      </c>
    </row>
    <row r="16" spans="1:8" x14ac:dyDescent="0.25">
      <c r="A16" t="s">
        <v>69</v>
      </c>
      <c r="B16" s="79">
        <f>ROUND(B14/B10,5)</f>
        <v>3.7100000000000002E-3</v>
      </c>
      <c r="C16" s="79">
        <f>ROUND(C14/C10,5)</f>
        <v>2.66E-3</v>
      </c>
      <c r="D16" s="79">
        <f t="shared" ref="C16:G16" si="4">ROUND(D14/D10,5)</f>
        <v>1.72E-3</v>
      </c>
      <c r="E16" s="79">
        <f t="shared" si="4"/>
        <v>1.25E-3</v>
      </c>
      <c r="F16" s="79">
        <f t="shared" si="4"/>
        <v>1.42E-3</v>
      </c>
      <c r="G16" s="79">
        <f t="shared" si="4"/>
        <v>2.7E-4</v>
      </c>
    </row>
    <row r="17" spans="1:7" ht="15.75" thickBot="1" x14ac:dyDescent="0.3"/>
    <row r="18" spans="1:7" ht="15.75" thickBot="1" x14ac:dyDescent="0.3">
      <c r="A18" s="104" t="s">
        <v>70</v>
      </c>
      <c r="B18" s="137">
        <f>B12+B16</f>
        <v>3.678E-2</v>
      </c>
      <c r="C18" s="137">
        <f>C12+C16</f>
        <v>2.639E-2</v>
      </c>
      <c r="D18" s="137">
        <f>D12+D16</f>
        <v>1.702E-2</v>
      </c>
      <c r="E18" s="137">
        <f t="shared" ref="D18:G18" si="5">E12+E16</f>
        <v>1.239E-2</v>
      </c>
      <c r="F18" s="137">
        <f>F12+F16</f>
        <v>1.4039999999999999E-2</v>
      </c>
      <c r="G18" s="138">
        <f>G12+G16</f>
        <v>2.6699999999999996E-3</v>
      </c>
    </row>
    <row r="20" spans="1:7" x14ac:dyDescent="0.25">
      <c r="A20" t="s">
        <v>71</v>
      </c>
      <c r="B20" s="90">
        <f>'CARES Summary of Def. Accts.'!H19</f>
        <v>1046325.5473488485</v>
      </c>
    </row>
    <row r="21" spans="1:7" x14ac:dyDescent="0.25">
      <c r="A21" t="s">
        <v>72</v>
      </c>
      <c r="B21" s="209">
        <f>'CARES Cost'!B37</f>
        <v>9331451.5849682465</v>
      </c>
    </row>
    <row r="22" spans="1:7" x14ac:dyDescent="0.25">
      <c r="A22" t="s">
        <v>73</v>
      </c>
      <c r="B22" s="201">
        <f>B20+B21</f>
        <v>10377777.132317096</v>
      </c>
      <c r="D22" s="121"/>
      <c r="G22" s="400"/>
    </row>
    <row r="24" spans="1:7" x14ac:dyDescent="0.25">
      <c r="A24" t="s">
        <v>74</v>
      </c>
    </row>
    <row r="25" spans="1:7" x14ac:dyDescent="0.25">
      <c r="A25" s="350" t="s">
        <v>75</v>
      </c>
    </row>
  </sheetData>
  <protectedRanges>
    <protectedRange sqref="B5:G5" name="Data"/>
  </protectedRange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71E4-9BAF-4D4D-9ED5-0A61D8AD4AF7}">
  <dimension ref="A1:O28"/>
  <sheetViews>
    <sheetView view="pageBreakPreview" zoomScale="115" zoomScaleNormal="100" zoomScaleSheetLayoutView="115" workbookViewId="0">
      <selection activeCell="E23" sqref="E23"/>
    </sheetView>
  </sheetViews>
  <sheetFormatPr defaultRowHeight="15.75" x14ac:dyDescent="0.25"/>
  <cols>
    <col min="1" max="1" width="12.7109375" style="96" customWidth="1"/>
    <col min="2" max="2" width="9.140625" style="96"/>
    <col min="3" max="3" width="18.5703125" style="96" customWidth="1"/>
    <col min="4" max="4" width="11.5703125" style="96" customWidth="1"/>
    <col min="5" max="5" width="15.42578125" style="96" bestFit="1" customWidth="1"/>
    <col min="6" max="6" width="23.28515625" style="96" bestFit="1" customWidth="1"/>
    <col min="7" max="7" width="1.5703125" style="96" customWidth="1"/>
    <col min="8" max="8" width="21.42578125" style="96" customWidth="1"/>
    <col min="9" max="9" width="1.140625" style="96" customWidth="1"/>
    <col min="10" max="10" width="13.140625" style="97" bestFit="1" customWidth="1"/>
    <col min="11" max="11" width="15.140625" style="96" bestFit="1" customWidth="1"/>
    <col min="12" max="12" width="11.5703125" style="96" bestFit="1" customWidth="1"/>
    <col min="13" max="13" width="9.140625" style="96"/>
    <col min="14" max="14" width="13.5703125" style="96" customWidth="1"/>
    <col min="15" max="15" width="10.7109375" style="96" customWidth="1"/>
    <col min="16" max="253" width="9.140625" style="96"/>
    <col min="254" max="254" width="4.28515625" style="96" customWidth="1"/>
    <col min="255" max="255" width="9.140625" style="96"/>
    <col min="256" max="256" width="18.5703125" style="96" customWidth="1"/>
    <col min="257" max="257" width="11.5703125" style="96" customWidth="1"/>
    <col min="258" max="258" width="9" style="96" customWidth="1"/>
    <col min="259" max="259" width="13" style="96" customWidth="1"/>
    <col min="260" max="260" width="3.140625" style="96" customWidth="1"/>
    <col min="261" max="261" width="11.28515625" style="96" customWidth="1"/>
    <col min="262" max="262" width="3.28515625" style="96" customWidth="1"/>
    <col min="263" max="263" width="12.85546875" style="96" customWidth="1"/>
    <col min="264" max="264" width="3.140625" style="96" customWidth="1"/>
    <col min="265" max="266" width="11.140625" style="96" customWidth="1"/>
    <col min="267" max="267" width="0" style="96" hidden="1" customWidth="1"/>
    <col min="268" max="269" width="9.140625" style="96"/>
    <col min="270" max="270" width="13.5703125" style="96" customWidth="1"/>
    <col min="271" max="509" width="9.140625" style="96"/>
    <col min="510" max="510" width="4.28515625" style="96" customWidth="1"/>
    <col min="511" max="511" width="9.140625" style="96"/>
    <col min="512" max="512" width="18.5703125" style="96" customWidth="1"/>
    <col min="513" max="513" width="11.5703125" style="96" customWidth="1"/>
    <col min="514" max="514" width="9" style="96" customWidth="1"/>
    <col min="515" max="515" width="13" style="96" customWidth="1"/>
    <col min="516" max="516" width="3.140625" style="96" customWidth="1"/>
    <col min="517" max="517" width="11.28515625" style="96" customWidth="1"/>
    <col min="518" max="518" width="3.28515625" style="96" customWidth="1"/>
    <col min="519" max="519" width="12.85546875" style="96" customWidth="1"/>
    <col min="520" max="520" width="3.140625" style="96" customWidth="1"/>
    <col min="521" max="522" width="11.140625" style="96" customWidth="1"/>
    <col min="523" max="523" width="0" style="96" hidden="1" customWidth="1"/>
    <col min="524" max="525" width="9.140625" style="96"/>
    <col min="526" max="526" width="13.5703125" style="96" customWidth="1"/>
    <col min="527" max="765" width="9.140625" style="96"/>
    <col min="766" max="766" width="4.28515625" style="96" customWidth="1"/>
    <col min="767" max="767" width="9.140625" style="96"/>
    <col min="768" max="768" width="18.5703125" style="96" customWidth="1"/>
    <col min="769" max="769" width="11.5703125" style="96" customWidth="1"/>
    <col min="770" max="770" width="9" style="96" customWidth="1"/>
    <col min="771" max="771" width="13" style="96" customWidth="1"/>
    <col min="772" max="772" width="3.140625" style="96" customWidth="1"/>
    <col min="773" max="773" width="11.28515625" style="96" customWidth="1"/>
    <col min="774" max="774" width="3.28515625" style="96" customWidth="1"/>
    <col min="775" max="775" width="12.85546875" style="96" customWidth="1"/>
    <col min="776" max="776" width="3.140625" style="96" customWidth="1"/>
    <col min="777" max="778" width="11.140625" style="96" customWidth="1"/>
    <col min="779" max="779" width="0" style="96" hidden="1" customWidth="1"/>
    <col min="780" max="781" width="9.140625" style="96"/>
    <col min="782" max="782" width="13.5703125" style="96" customWidth="1"/>
    <col min="783" max="1021" width="9.140625" style="96"/>
    <col min="1022" max="1022" width="4.28515625" style="96" customWidth="1"/>
    <col min="1023" max="1023" width="9.140625" style="96"/>
    <col min="1024" max="1024" width="18.5703125" style="96" customWidth="1"/>
    <col min="1025" max="1025" width="11.5703125" style="96" customWidth="1"/>
    <col min="1026" max="1026" width="9" style="96" customWidth="1"/>
    <col min="1027" max="1027" width="13" style="96" customWidth="1"/>
    <col min="1028" max="1028" width="3.140625" style="96" customWidth="1"/>
    <col min="1029" max="1029" width="11.28515625" style="96" customWidth="1"/>
    <col min="1030" max="1030" width="3.28515625" style="96" customWidth="1"/>
    <col min="1031" max="1031" width="12.85546875" style="96" customWidth="1"/>
    <col min="1032" max="1032" width="3.140625" style="96" customWidth="1"/>
    <col min="1033" max="1034" width="11.140625" style="96" customWidth="1"/>
    <col min="1035" max="1035" width="0" style="96" hidden="1" customWidth="1"/>
    <col min="1036" max="1037" width="9.140625" style="96"/>
    <col min="1038" max="1038" width="13.5703125" style="96" customWidth="1"/>
    <col min="1039" max="1277" width="9.140625" style="96"/>
    <col min="1278" max="1278" width="4.28515625" style="96" customWidth="1"/>
    <col min="1279" max="1279" width="9.140625" style="96"/>
    <col min="1280" max="1280" width="18.5703125" style="96" customWidth="1"/>
    <col min="1281" max="1281" width="11.5703125" style="96" customWidth="1"/>
    <col min="1282" max="1282" width="9" style="96" customWidth="1"/>
    <col min="1283" max="1283" width="13" style="96" customWidth="1"/>
    <col min="1284" max="1284" width="3.140625" style="96" customWidth="1"/>
    <col min="1285" max="1285" width="11.28515625" style="96" customWidth="1"/>
    <col min="1286" max="1286" width="3.28515625" style="96" customWidth="1"/>
    <col min="1287" max="1287" width="12.85546875" style="96" customWidth="1"/>
    <col min="1288" max="1288" width="3.140625" style="96" customWidth="1"/>
    <col min="1289" max="1290" width="11.140625" style="96" customWidth="1"/>
    <col min="1291" max="1291" width="0" style="96" hidden="1" customWidth="1"/>
    <col min="1292" max="1293" width="9.140625" style="96"/>
    <col min="1294" max="1294" width="13.5703125" style="96" customWidth="1"/>
    <col min="1295" max="1533" width="9.140625" style="96"/>
    <col min="1534" max="1534" width="4.28515625" style="96" customWidth="1"/>
    <col min="1535" max="1535" width="9.140625" style="96"/>
    <col min="1536" max="1536" width="18.5703125" style="96" customWidth="1"/>
    <col min="1537" max="1537" width="11.5703125" style="96" customWidth="1"/>
    <col min="1538" max="1538" width="9" style="96" customWidth="1"/>
    <col min="1539" max="1539" width="13" style="96" customWidth="1"/>
    <col min="1540" max="1540" width="3.140625" style="96" customWidth="1"/>
    <col min="1541" max="1541" width="11.28515625" style="96" customWidth="1"/>
    <col min="1542" max="1542" width="3.28515625" style="96" customWidth="1"/>
    <col min="1543" max="1543" width="12.85546875" style="96" customWidth="1"/>
    <col min="1544" max="1544" width="3.140625" style="96" customWidth="1"/>
    <col min="1545" max="1546" width="11.140625" style="96" customWidth="1"/>
    <col min="1547" max="1547" width="0" style="96" hidden="1" customWidth="1"/>
    <col min="1548" max="1549" width="9.140625" style="96"/>
    <col min="1550" max="1550" width="13.5703125" style="96" customWidth="1"/>
    <col min="1551" max="1789" width="9.140625" style="96"/>
    <col min="1790" max="1790" width="4.28515625" style="96" customWidth="1"/>
    <col min="1791" max="1791" width="9.140625" style="96"/>
    <col min="1792" max="1792" width="18.5703125" style="96" customWidth="1"/>
    <col min="1793" max="1793" width="11.5703125" style="96" customWidth="1"/>
    <col min="1794" max="1794" width="9" style="96" customWidth="1"/>
    <col min="1795" max="1795" width="13" style="96" customWidth="1"/>
    <col min="1796" max="1796" width="3.140625" style="96" customWidth="1"/>
    <col min="1797" max="1797" width="11.28515625" style="96" customWidth="1"/>
    <col min="1798" max="1798" width="3.28515625" style="96" customWidth="1"/>
    <col min="1799" max="1799" width="12.85546875" style="96" customWidth="1"/>
    <col min="1800" max="1800" width="3.140625" style="96" customWidth="1"/>
    <col min="1801" max="1802" width="11.140625" style="96" customWidth="1"/>
    <col min="1803" max="1803" width="0" style="96" hidden="1" customWidth="1"/>
    <col min="1804" max="1805" width="9.140625" style="96"/>
    <col min="1806" max="1806" width="13.5703125" style="96" customWidth="1"/>
    <col min="1807" max="2045" width="9.140625" style="96"/>
    <col min="2046" max="2046" width="4.28515625" style="96" customWidth="1"/>
    <col min="2047" max="2047" width="9.140625" style="96"/>
    <col min="2048" max="2048" width="18.5703125" style="96" customWidth="1"/>
    <col min="2049" max="2049" width="11.5703125" style="96" customWidth="1"/>
    <col min="2050" max="2050" width="9" style="96" customWidth="1"/>
    <col min="2051" max="2051" width="13" style="96" customWidth="1"/>
    <col min="2052" max="2052" width="3.140625" style="96" customWidth="1"/>
    <col min="2053" max="2053" width="11.28515625" style="96" customWidth="1"/>
    <col min="2054" max="2054" width="3.28515625" style="96" customWidth="1"/>
    <col min="2055" max="2055" width="12.85546875" style="96" customWidth="1"/>
    <col min="2056" max="2056" width="3.140625" style="96" customWidth="1"/>
    <col min="2057" max="2058" width="11.140625" style="96" customWidth="1"/>
    <col min="2059" max="2059" width="0" style="96" hidden="1" customWidth="1"/>
    <col min="2060" max="2061" width="9.140625" style="96"/>
    <col min="2062" max="2062" width="13.5703125" style="96" customWidth="1"/>
    <col min="2063" max="2301" width="9.140625" style="96"/>
    <col min="2302" max="2302" width="4.28515625" style="96" customWidth="1"/>
    <col min="2303" max="2303" width="9.140625" style="96"/>
    <col min="2304" max="2304" width="18.5703125" style="96" customWidth="1"/>
    <col min="2305" max="2305" width="11.5703125" style="96" customWidth="1"/>
    <col min="2306" max="2306" width="9" style="96" customWidth="1"/>
    <col min="2307" max="2307" width="13" style="96" customWidth="1"/>
    <col min="2308" max="2308" width="3.140625" style="96" customWidth="1"/>
    <col min="2309" max="2309" width="11.28515625" style="96" customWidth="1"/>
    <col min="2310" max="2310" width="3.28515625" style="96" customWidth="1"/>
    <col min="2311" max="2311" width="12.85546875" style="96" customWidth="1"/>
    <col min="2312" max="2312" width="3.140625" style="96" customWidth="1"/>
    <col min="2313" max="2314" width="11.140625" style="96" customWidth="1"/>
    <col min="2315" max="2315" width="0" style="96" hidden="1" customWidth="1"/>
    <col min="2316" max="2317" width="9.140625" style="96"/>
    <col min="2318" max="2318" width="13.5703125" style="96" customWidth="1"/>
    <col min="2319" max="2557" width="9.140625" style="96"/>
    <col min="2558" max="2558" width="4.28515625" style="96" customWidth="1"/>
    <col min="2559" max="2559" width="9.140625" style="96"/>
    <col min="2560" max="2560" width="18.5703125" style="96" customWidth="1"/>
    <col min="2561" max="2561" width="11.5703125" style="96" customWidth="1"/>
    <col min="2562" max="2562" width="9" style="96" customWidth="1"/>
    <col min="2563" max="2563" width="13" style="96" customWidth="1"/>
    <col min="2564" max="2564" width="3.140625" style="96" customWidth="1"/>
    <col min="2565" max="2565" width="11.28515625" style="96" customWidth="1"/>
    <col min="2566" max="2566" width="3.28515625" style="96" customWidth="1"/>
    <col min="2567" max="2567" width="12.85546875" style="96" customWidth="1"/>
    <col min="2568" max="2568" width="3.140625" style="96" customWidth="1"/>
    <col min="2569" max="2570" width="11.140625" style="96" customWidth="1"/>
    <col min="2571" max="2571" width="0" style="96" hidden="1" customWidth="1"/>
    <col min="2572" max="2573" width="9.140625" style="96"/>
    <col min="2574" max="2574" width="13.5703125" style="96" customWidth="1"/>
    <col min="2575" max="2813" width="9.140625" style="96"/>
    <col min="2814" max="2814" width="4.28515625" style="96" customWidth="1"/>
    <col min="2815" max="2815" width="9.140625" style="96"/>
    <col min="2816" max="2816" width="18.5703125" style="96" customWidth="1"/>
    <col min="2817" max="2817" width="11.5703125" style="96" customWidth="1"/>
    <col min="2818" max="2818" width="9" style="96" customWidth="1"/>
    <col min="2819" max="2819" width="13" style="96" customWidth="1"/>
    <col min="2820" max="2820" width="3.140625" style="96" customWidth="1"/>
    <col min="2821" max="2821" width="11.28515625" style="96" customWidth="1"/>
    <col min="2822" max="2822" width="3.28515625" style="96" customWidth="1"/>
    <col min="2823" max="2823" width="12.85546875" style="96" customWidth="1"/>
    <col min="2824" max="2824" width="3.140625" style="96" customWidth="1"/>
    <col min="2825" max="2826" width="11.140625" style="96" customWidth="1"/>
    <col min="2827" max="2827" width="0" style="96" hidden="1" customWidth="1"/>
    <col min="2828" max="2829" width="9.140625" style="96"/>
    <col min="2830" max="2830" width="13.5703125" style="96" customWidth="1"/>
    <col min="2831" max="3069" width="9.140625" style="96"/>
    <col min="3070" max="3070" width="4.28515625" style="96" customWidth="1"/>
    <col min="3071" max="3071" width="9.140625" style="96"/>
    <col min="3072" max="3072" width="18.5703125" style="96" customWidth="1"/>
    <col min="3073" max="3073" width="11.5703125" style="96" customWidth="1"/>
    <col min="3074" max="3074" width="9" style="96" customWidth="1"/>
    <col min="3075" max="3075" width="13" style="96" customWidth="1"/>
    <col min="3076" max="3076" width="3.140625" style="96" customWidth="1"/>
    <col min="3077" max="3077" width="11.28515625" style="96" customWidth="1"/>
    <col min="3078" max="3078" width="3.28515625" style="96" customWidth="1"/>
    <col min="3079" max="3079" width="12.85546875" style="96" customWidth="1"/>
    <col min="3080" max="3080" width="3.140625" style="96" customWidth="1"/>
    <col min="3081" max="3082" width="11.140625" style="96" customWidth="1"/>
    <col min="3083" max="3083" width="0" style="96" hidden="1" customWidth="1"/>
    <col min="3084" max="3085" width="9.140625" style="96"/>
    <col min="3086" max="3086" width="13.5703125" style="96" customWidth="1"/>
    <col min="3087" max="3325" width="9.140625" style="96"/>
    <col min="3326" max="3326" width="4.28515625" style="96" customWidth="1"/>
    <col min="3327" max="3327" width="9.140625" style="96"/>
    <col min="3328" max="3328" width="18.5703125" style="96" customWidth="1"/>
    <col min="3329" max="3329" width="11.5703125" style="96" customWidth="1"/>
    <col min="3330" max="3330" width="9" style="96" customWidth="1"/>
    <col min="3331" max="3331" width="13" style="96" customWidth="1"/>
    <col min="3332" max="3332" width="3.140625" style="96" customWidth="1"/>
    <col min="3333" max="3333" width="11.28515625" style="96" customWidth="1"/>
    <col min="3334" max="3334" width="3.28515625" style="96" customWidth="1"/>
    <col min="3335" max="3335" width="12.85546875" style="96" customWidth="1"/>
    <col min="3336" max="3336" width="3.140625" style="96" customWidth="1"/>
    <col min="3337" max="3338" width="11.140625" style="96" customWidth="1"/>
    <col min="3339" max="3339" width="0" style="96" hidden="1" customWidth="1"/>
    <col min="3340" max="3341" width="9.140625" style="96"/>
    <col min="3342" max="3342" width="13.5703125" style="96" customWidth="1"/>
    <col min="3343" max="3581" width="9.140625" style="96"/>
    <col min="3582" max="3582" width="4.28515625" style="96" customWidth="1"/>
    <col min="3583" max="3583" width="9.140625" style="96"/>
    <col min="3584" max="3584" width="18.5703125" style="96" customWidth="1"/>
    <col min="3585" max="3585" width="11.5703125" style="96" customWidth="1"/>
    <col min="3586" max="3586" width="9" style="96" customWidth="1"/>
    <col min="3587" max="3587" width="13" style="96" customWidth="1"/>
    <col min="3588" max="3588" width="3.140625" style="96" customWidth="1"/>
    <col min="3589" max="3589" width="11.28515625" style="96" customWidth="1"/>
    <col min="3590" max="3590" width="3.28515625" style="96" customWidth="1"/>
    <col min="3591" max="3591" width="12.85546875" style="96" customWidth="1"/>
    <col min="3592" max="3592" width="3.140625" style="96" customWidth="1"/>
    <col min="3593" max="3594" width="11.140625" style="96" customWidth="1"/>
    <col min="3595" max="3595" width="0" style="96" hidden="1" customWidth="1"/>
    <col min="3596" max="3597" width="9.140625" style="96"/>
    <col min="3598" max="3598" width="13.5703125" style="96" customWidth="1"/>
    <col min="3599" max="3837" width="9.140625" style="96"/>
    <col min="3838" max="3838" width="4.28515625" style="96" customWidth="1"/>
    <col min="3839" max="3839" width="9.140625" style="96"/>
    <col min="3840" max="3840" width="18.5703125" style="96" customWidth="1"/>
    <col min="3841" max="3841" width="11.5703125" style="96" customWidth="1"/>
    <col min="3842" max="3842" width="9" style="96" customWidth="1"/>
    <col min="3843" max="3843" width="13" style="96" customWidth="1"/>
    <col min="3844" max="3844" width="3.140625" style="96" customWidth="1"/>
    <col min="3845" max="3845" width="11.28515625" style="96" customWidth="1"/>
    <col min="3846" max="3846" width="3.28515625" style="96" customWidth="1"/>
    <col min="3847" max="3847" width="12.85546875" style="96" customWidth="1"/>
    <col min="3848" max="3848" width="3.140625" style="96" customWidth="1"/>
    <col min="3849" max="3850" width="11.140625" style="96" customWidth="1"/>
    <col min="3851" max="3851" width="0" style="96" hidden="1" customWidth="1"/>
    <col min="3852" max="3853" width="9.140625" style="96"/>
    <col min="3854" max="3854" width="13.5703125" style="96" customWidth="1"/>
    <col min="3855" max="4093" width="9.140625" style="96"/>
    <col min="4094" max="4094" width="4.28515625" style="96" customWidth="1"/>
    <col min="4095" max="4095" width="9.140625" style="96"/>
    <col min="4096" max="4096" width="18.5703125" style="96" customWidth="1"/>
    <col min="4097" max="4097" width="11.5703125" style="96" customWidth="1"/>
    <col min="4098" max="4098" width="9" style="96" customWidth="1"/>
    <col min="4099" max="4099" width="13" style="96" customWidth="1"/>
    <col min="4100" max="4100" width="3.140625" style="96" customWidth="1"/>
    <col min="4101" max="4101" width="11.28515625" style="96" customWidth="1"/>
    <col min="4102" max="4102" width="3.28515625" style="96" customWidth="1"/>
    <col min="4103" max="4103" width="12.85546875" style="96" customWidth="1"/>
    <col min="4104" max="4104" width="3.140625" style="96" customWidth="1"/>
    <col min="4105" max="4106" width="11.140625" style="96" customWidth="1"/>
    <col min="4107" max="4107" width="0" style="96" hidden="1" customWidth="1"/>
    <col min="4108" max="4109" width="9.140625" style="96"/>
    <col min="4110" max="4110" width="13.5703125" style="96" customWidth="1"/>
    <col min="4111" max="4349" width="9.140625" style="96"/>
    <col min="4350" max="4350" width="4.28515625" style="96" customWidth="1"/>
    <col min="4351" max="4351" width="9.140625" style="96"/>
    <col min="4352" max="4352" width="18.5703125" style="96" customWidth="1"/>
    <col min="4353" max="4353" width="11.5703125" style="96" customWidth="1"/>
    <col min="4354" max="4354" width="9" style="96" customWidth="1"/>
    <col min="4355" max="4355" width="13" style="96" customWidth="1"/>
    <col min="4356" max="4356" width="3.140625" style="96" customWidth="1"/>
    <col min="4357" max="4357" width="11.28515625" style="96" customWidth="1"/>
    <col min="4358" max="4358" width="3.28515625" style="96" customWidth="1"/>
    <col min="4359" max="4359" width="12.85546875" style="96" customWidth="1"/>
    <col min="4360" max="4360" width="3.140625" style="96" customWidth="1"/>
    <col min="4361" max="4362" width="11.140625" style="96" customWidth="1"/>
    <col min="4363" max="4363" width="0" style="96" hidden="1" customWidth="1"/>
    <col min="4364" max="4365" width="9.140625" style="96"/>
    <col min="4366" max="4366" width="13.5703125" style="96" customWidth="1"/>
    <col min="4367" max="4605" width="9.140625" style="96"/>
    <col min="4606" max="4606" width="4.28515625" style="96" customWidth="1"/>
    <col min="4607" max="4607" width="9.140625" style="96"/>
    <col min="4608" max="4608" width="18.5703125" style="96" customWidth="1"/>
    <col min="4609" max="4609" width="11.5703125" style="96" customWidth="1"/>
    <col min="4610" max="4610" width="9" style="96" customWidth="1"/>
    <col min="4611" max="4611" width="13" style="96" customWidth="1"/>
    <col min="4612" max="4612" width="3.140625" style="96" customWidth="1"/>
    <col min="4613" max="4613" width="11.28515625" style="96" customWidth="1"/>
    <col min="4614" max="4614" width="3.28515625" style="96" customWidth="1"/>
    <col min="4615" max="4615" width="12.85546875" style="96" customWidth="1"/>
    <col min="4616" max="4616" width="3.140625" style="96" customWidth="1"/>
    <col min="4617" max="4618" width="11.140625" style="96" customWidth="1"/>
    <col min="4619" max="4619" width="0" style="96" hidden="1" customWidth="1"/>
    <col min="4620" max="4621" width="9.140625" style="96"/>
    <col min="4622" max="4622" width="13.5703125" style="96" customWidth="1"/>
    <col min="4623" max="4861" width="9.140625" style="96"/>
    <col min="4862" max="4862" width="4.28515625" style="96" customWidth="1"/>
    <col min="4863" max="4863" width="9.140625" style="96"/>
    <col min="4864" max="4864" width="18.5703125" style="96" customWidth="1"/>
    <col min="4865" max="4865" width="11.5703125" style="96" customWidth="1"/>
    <col min="4866" max="4866" width="9" style="96" customWidth="1"/>
    <col min="4867" max="4867" width="13" style="96" customWidth="1"/>
    <col min="4868" max="4868" width="3.140625" style="96" customWidth="1"/>
    <col min="4869" max="4869" width="11.28515625" style="96" customWidth="1"/>
    <col min="4870" max="4870" width="3.28515625" style="96" customWidth="1"/>
    <col min="4871" max="4871" width="12.85546875" style="96" customWidth="1"/>
    <col min="4872" max="4872" width="3.140625" style="96" customWidth="1"/>
    <col min="4873" max="4874" width="11.140625" style="96" customWidth="1"/>
    <col min="4875" max="4875" width="0" style="96" hidden="1" customWidth="1"/>
    <col min="4876" max="4877" width="9.140625" style="96"/>
    <col min="4878" max="4878" width="13.5703125" style="96" customWidth="1"/>
    <col min="4879" max="5117" width="9.140625" style="96"/>
    <col min="5118" max="5118" width="4.28515625" style="96" customWidth="1"/>
    <col min="5119" max="5119" width="9.140625" style="96"/>
    <col min="5120" max="5120" width="18.5703125" style="96" customWidth="1"/>
    <col min="5121" max="5121" width="11.5703125" style="96" customWidth="1"/>
    <col min="5122" max="5122" width="9" style="96" customWidth="1"/>
    <col min="5123" max="5123" width="13" style="96" customWidth="1"/>
    <col min="5124" max="5124" width="3.140625" style="96" customWidth="1"/>
    <col min="5125" max="5125" width="11.28515625" style="96" customWidth="1"/>
    <col min="5126" max="5126" width="3.28515625" style="96" customWidth="1"/>
    <col min="5127" max="5127" width="12.85546875" style="96" customWidth="1"/>
    <col min="5128" max="5128" width="3.140625" style="96" customWidth="1"/>
    <col min="5129" max="5130" width="11.140625" style="96" customWidth="1"/>
    <col min="5131" max="5131" width="0" style="96" hidden="1" customWidth="1"/>
    <col min="5132" max="5133" width="9.140625" style="96"/>
    <col min="5134" max="5134" width="13.5703125" style="96" customWidth="1"/>
    <col min="5135" max="5373" width="9.140625" style="96"/>
    <col min="5374" max="5374" width="4.28515625" style="96" customWidth="1"/>
    <col min="5375" max="5375" width="9.140625" style="96"/>
    <col min="5376" max="5376" width="18.5703125" style="96" customWidth="1"/>
    <col min="5377" max="5377" width="11.5703125" style="96" customWidth="1"/>
    <col min="5378" max="5378" width="9" style="96" customWidth="1"/>
    <col min="5379" max="5379" width="13" style="96" customWidth="1"/>
    <col min="5380" max="5380" width="3.140625" style="96" customWidth="1"/>
    <col min="5381" max="5381" width="11.28515625" style="96" customWidth="1"/>
    <col min="5382" max="5382" width="3.28515625" style="96" customWidth="1"/>
    <col min="5383" max="5383" width="12.85546875" style="96" customWidth="1"/>
    <col min="5384" max="5384" width="3.140625" style="96" customWidth="1"/>
    <col min="5385" max="5386" width="11.140625" style="96" customWidth="1"/>
    <col min="5387" max="5387" width="0" style="96" hidden="1" customWidth="1"/>
    <col min="5388" max="5389" width="9.140625" style="96"/>
    <col min="5390" max="5390" width="13.5703125" style="96" customWidth="1"/>
    <col min="5391" max="5629" width="9.140625" style="96"/>
    <col min="5630" max="5630" width="4.28515625" style="96" customWidth="1"/>
    <col min="5631" max="5631" width="9.140625" style="96"/>
    <col min="5632" max="5632" width="18.5703125" style="96" customWidth="1"/>
    <col min="5633" max="5633" width="11.5703125" style="96" customWidth="1"/>
    <col min="5634" max="5634" width="9" style="96" customWidth="1"/>
    <col min="5635" max="5635" width="13" style="96" customWidth="1"/>
    <col min="5636" max="5636" width="3.140625" style="96" customWidth="1"/>
    <col min="5637" max="5637" width="11.28515625" style="96" customWidth="1"/>
    <col min="5638" max="5638" width="3.28515625" style="96" customWidth="1"/>
    <col min="5639" max="5639" width="12.85546875" style="96" customWidth="1"/>
    <col min="5640" max="5640" width="3.140625" style="96" customWidth="1"/>
    <col min="5641" max="5642" width="11.140625" style="96" customWidth="1"/>
    <col min="5643" max="5643" width="0" style="96" hidden="1" customWidth="1"/>
    <col min="5644" max="5645" width="9.140625" style="96"/>
    <col min="5646" max="5646" width="13.5703125" style="96" customWidth="1"/>
    <col min="5647" max="5885" width="9.140625" style="96"/>
    <col min="5886" max="5886" width="4.28515625" style="96" customWidth="1"/>
    <col min="5887" max="5887" width="9.140625" style="96"/>
    <col min="5888" max="5888" width="18.5703125" style="96" customWidth="1"/>
    <col min="5889" max="5889" width="11.5703125" style="96" customWidth="1"/>
    <col min="5890" max="5890" width="9" style="96" customWidth="1"/>
    <col min="5891" max="5891" width="13" style="96" customWidth="1"/>
    <col min="5892" max="5892" width="3.140625" style="96" customWidth="1"/>
    <col min="5893" max="5893" width="11.28515625" style="96" customWidth="1"/>
    <col min="5894" max="5894" width="3.28515625" style="96" customWidth="1"/>
    <col min="5895" max="5895" width="12.85546875" style="96" customWidth="1"/>
    <col min="5896" max="5896" width="3.140625" style="96" customWidth="1"/>
    <col min="5897" max="5898" width="11.140625" style="96" customWidth="1"/>
    <col min="5899" max="5899" width="0" style="96" hidden="1" customWidth="1"/>
    <col min="5900" max="5901" width="9.140625" style="96"/>
    <col min="5902" max="5902" width="13.5703125" style="96" customWidth="1"/>
    <col min="5903" max="6141" width="9.140625" style="96"/>
    <col min="6142" max="6142" width="4.28515625" style="96" customWidth="1"/>
    <col min="6143" max="6143" width="9.140625" style="96"/>
    <col min="6144" max="6144" width="18.5703125" style="96" customWidth="1"/>
    <col min="6145" max="6145" width="11.5703125" style="96" customWidth="1"/>
    <col min="6146" max="6146" width="9" style="96" customWidth="1"/>
    <col min="6147" max="6147" width="13" style="96" customWidth="1"/>
    <col min="6148" max="6148" width="3.140625" style="96" customWidth="1"/>
    <col min="6149" max="6149" width="11.28515625" style="96" customWidth="1"/>
    <col min="6150" max="6150" width="3.28515625" style="96" customWidth="1"/>
    <col min="6151" max="6151" width="12.85546875" style="96" customWidth="1"/>
    <col min="6152" max="6152" width="3.140625" style="96" customWidth="1"/>
    <col min="6153" max="6154" width="11.140625" style="96" customWidth="1"/>
    <col min="6155" max="6155" width="0" style="96" hidden="1" customWidth="1"/>
    <col min="6156" max="6157" width="9.140625" style="96"/>
    <col min="6158" max="6158" width="13.5703125" style="96" customWidth="1"/>
    <col min="6159" max="6397" width="9.140625" style="96"/>
    <col min="6398" max="6398" width="4.28515625" style="96" customWidth="1"/>
    <col min="6399" max="6399" width="9.140625" style="96"/>
    <col min="6400" max="6400" width="18.5703125" style="96" customWidth="1"/>
    <col min="6401" max="6401" width="11.5703125" style="96" customWidth="1"/>
    <col min="6402" max="6402" width="9" style="96" customWidth="1"/>
    <col min="6403" max="6403" width="13" style="96" customWidth="1"/>
    <col min="6404" max="6404" width="3.140625" style="96" customWidth="1"/>
    <col min="6405" max="6405" width="11.28515625" style="96" customWidth="1"/>
    <col min="6406" max="6406" width="3.28515625" style="96" customWidth="1"/>
    <col min="6407" max="6407" width="12.85546875" style="96" customWidth="1"/>
    <col min="6408" max="6408" width="3.140625" style="96" customWidth="1"/>
    <col min="6409" max="6410" width="11.140625" style="96" customWidth="1"/>
    <col min="6411" max="6411" width="0" style="96" hidden="1" customWidth="1"/>
    <col min="6412" max="6413" width="9.140625" style="96"/>
    <col min="6414" max="6414" width="13.5703125" style="96" customWidth="1"/>
    <col min="6415" max="6653" width="9.140625" style="96"/>
    <col min="6654" max="6654" width="4.28515625" style="96" customWidth="1"/>
    <col min="6655" max="6655" width="9.140625" style="96"/>
    <col min="6656" max="6656" width="18.5703125" style="96" customWidth="1"/>
    <col min="6657" max="6657" width="11.5703125" style="96" customWidth="1"/>
    <col min="6658" max="6658" width="9" style="96" customWidth="1"/>
    <col min="6659" max="6659" width="13" style="96" customWidth="1"/>
    <col min="6660" max="6660" width="3.140625" style="96" customWidth="1"/>
    <col min="6661" max="6661" width="11.28515625" style="96" customWidth="1"/>
    <col min="6662" max="6662" width="3.28515625" style="96" customWidth="1"/>
    <col min="6663" max="6663" width="12.85546875" style="96" customWidth="1"/>
    <col min="6664" max="6664" width="3.140625" style="96" customWidth="1"/>
    <col min="6665" max="6666" width="11.140625" style="96" customWidth="1"/>
    <col min="6667" max="6667" width="0" style="96" hidden="1" customWidth="1"/>
    <col min="6668" max="6669" width="9.140625" style="96"/>
    <col min="6670" max="6670" width="13.5703125" style="96" customWidth="1"/>
    <col min="6671" max="6909" width="9.140625" style="96"/>
    <col min="6910" max="6910" width="4.28515625" style="96" customWidth="1"/>
    <col min="6911" max="6911" width="9.140625" style="96"/>
    <col min="6912" max="6912" width="18.5703125" style="96" customWidth="1"/>
    <col min="6913" max="6913" width="11.5703125" style="96" customWidth="1"/>
    <col min="6914" max="6914" width="9" style="96" customWidth="1"/>
    <col min="6915" max="6915" width="13" style="96" customWidth="1"/>
    <col min="6916" max="6916" width="3.140625" style="96" customWidth="1"/>
    <col min="6917" max="6917" width="11.28515625" style="96" customWidth="1"/>
    <col min="6918" max="6918" width="3.28515625" style="96" customWidth="1"/>
    <col min="6919" max="6919" width="12.85546875" style="96" customWidth="1"/>
    <col min="6920" max="6920" width="3.140625" style="96" customWidth="1"/>
    <col min="6921" max="6922" width="11.140625" style="96" customWidth="1"/>
    <col min="6923" max="6923" width="0" style="96" hidden="1" customWidth="1"/>
    <col min="6924" max="6925" width="9.140625" style="96"/>
    <col min="6926" max="6926" width="13.5703125" style="96" customWidth="1"/>
    <col min="6927" max="7165" width="9.140625" style="96"/>
    <col min="7166" max="7166" width="4.28515625" style="96" customWidth="1"/>
    <col min="7167" max="7167" width="9.140625" style="96"/>
    <col min="7168" max="7168" width="18.5703125" style="96" customWidth="1"/>
    <col min="7169" max="7169" width="11.5703125" style="96" customWidth="1"/>
    <col min="7170" max="7170" width="9" style="96" customWidth="1"/>
    <col min="7171" max="7171" width="13" style="96" customWidth="1"/>
    <col min="7172" max="7172" width="3.140625" style="96" customWidth="1"/>
    <col min="7173" max="7173" width="11.28515625" style="96" customWidth="1"/>
    <col min="7174" max="7174" width="3.28515625" style="96" customWidth="1"/>
    <col min="7175" max="7175" width="12.85546875" style="96" customWidth="1"/>
    <col min="7176" max="7176" width="3.140625" style="96" customWidth="1"/>
    <col min="7177" max="7178" width="11.140625" style="96" customWidth="1"/>
    <col min="7179" max="7179" width="0" style="96" hidden="1" customWidth="1"/>
    <col min="7180" max="7181" width="9.140625" style="96"/>
    <col min="7182" max="7182" width="13.5703125" style="96" customWidth="1"/>
    <col min="7183" max="7421" width="9.140625" style="96"/>
    <col min="7422" max="7422" width="4.28515625" style="96" customWidth="1"/>
    <col min="7423" max="7423" width="9.140625" style="96"/>
    <col min="7424" max="7424" width="18.5703125" style="96" customWidth="1"/>
    <col min="7425" max="7425" width="11.5703125" style="96" customWidth="1"/>
    <col min="7426" max="7426" width="9" style="96" customWidth="1"/>
    <col min="7427" max="7427" width="13" style="96" customWidth="1"/>
    <col min="7428" max="7428" width="3.140625" style="96" customWidth="1"/>
    <col min="7429" max="7429" width="11.28515625" style="96" customWidth="1"/>
    <col min="7430" max="7430" width="3.28515625" style="96" customWidth="1"/>
    <col min="7431" max="7431" width="12.85546875" style="96" customWidth="1"/>
    <col min="7432" max="7432" width="3.140625" style="96" customWidth="1"/>
    <col min="7433" max="7434" width="11.140625" style="96" customWidth="1"/>
    <col min="7435" max="7435" width="0" style="96" hidden="1" customWidth="1"/>
    <col min="7436" max="7437" width="9.140625" style="96"/>
    <col min="7438" max="7438" width="13.5703125" style="96" customWidth="1"/>
    <col min="7439" max="7677" width="9.140625" style="96"/>
    <col min="7678" max="7678" width="4.28515625" style="96" customWidth="1"/>
    <col min="7679" max="7679" width="9.140625" style="96"/>
    <col min="7680" max="7680" width="18.5703125" style="96" customWidth="1"/>
    <col min="7681" max="7681" width="11.5703125" style="96" customWidth="1"/>
    <col min="7682" max="7682" width="9" style="96" customWidth="1"/>
    <col min="7683" max="7683" width="13" style="96" customWidth="1"/>
    <col min="7684" max="7684" width="3.140625" style="96" customWidth="1"/>
    <col min="7685" max="7685" width="11.28515625" style="96" customWidth="1"/>
    <col min="7686" max="7686" width="3.28515625" style="96" customWidth="1"/>
    <col min="7687" max="7687" width="12.85546875" style="96" customWidth="1"/>
    <col min="7688" max="7688" width="3.140625" style="96" customWidth="1"/>
    <col min="7689" max="7690" width="11.140625" style="96" customWidth="1"/>
    <col min="7691" max="7691" width="0" style="96" hidden="1" customWidth="1"/>
    <col min="7692" max="7693" width="9.140625" style="96"/>
    <col min="7694" max="7694" width="13.5703125" style="96" customWidth="1"/>
    <col min="7695" max="7933" width="9.140625" style="96"/>
    <col min="7934" max="7934" width="4.28515625" style="96" customWidth="1"/>
    <col min="7935" max="7935" width="9.140625" style="96"/>
    <col min="7936" max="7936" width="18.5703125" style="96" customWidth="1"/>
    <col min="7937" max="7937" width="11.5703125" style="96" customWidth="1"/>
    <col min="7938" max="7938" width="9" style="96" customWidth="1"/>
    <col min="7939" max="7939" width="13" style="96" customWidth="1"/>
    <col min="7940" max="7940" width="3.140625" style="96" customWidth="1"/>
    <col min="7941" max="7941" width="11.28515625" style="96" customWidth="1"/>
    <col min="7942" max="7942" width="3.28515625" style="96" customWidth="1"/>
    <col min="7943" max="7943" width="12.85546875" style="96" customWidth="1"/>
    <col min="7944" max="7944" width="3.140625" style="96" customWidth="1"/>
    <col min="7945" max="7946" width="11.140625" style="96" customWidth="1"/>
    <col min="7947" max="7947" width="0" style="96" hidden="1" customWidth="1"/>
    <col min="7948" max="7949" width="9.140625" style="96"/>
    <col min="7950" max="7950" width="13.5703125" style="96" customWidth="1"/>
    <col min="7951" max="8189" width="9.140625" style="96"/>
    <col min="8190" max="8190" width="4.28515625" style="96" customWidth="1"/>
    <col min="8191" max="8191" width="9.140625" style="96"/>
    <col min="8192" max="8192" width="18.5703125" style="96" customWidth="1"/>
    <col min="8193" max="8193" width="11.5703125" style="96" customWidth="1"/>
    <col min="8194" max="8194" width="9" style="96" customWidth="1"/>
    <col min="8195" max="8195" width="13" style="96" customWidth="1"/>
    <col min="8196" max="8196" width="3.140625" style="96" customWidth="1"/>
    <col min="8197" max="8197" width="11.28515625" style="96" customWidth="1"/>
    <col min="8198" max="8198" width="3.28515625" style="96" customWidth="1"/>
    <col min="8199" max="8199" width="12.85546875" style="96" customWidth="1"/>
    <col min="8200" max="8200" width="3.140625" style="96" customWidth="1"/>
    <col min="8201" max="8202" width="11.140625" style="96" customWidth="1"/>
    <col min="8203" max="8203" width="0" style="96" hidden="1" customWidth="1"/>
    <col min="8204" max="8205" width="9.140625" style="96"/>
    <col min="8206" max="8206" width="13.5703125" style="96" customWidth="1"/>
    <col min="8207" max="8445" width="9.140625" style="96"/>
    <col min="8446" max="8446" width="4.28515625" style="96" customWidth="1"/>
    <col min="8447" max="8447" width="9.140625" style="96"/>
    <col min="8448" max="8448" width="18.5703125" style="96" customWidth="1"/>
    <col min="8449" max="8449" width="11.5703125" style="96" customWidth="1"/>
    <col min="8450" max="8450" width="9" style="96" customWidth="1"/>
    <col min="8451" max="8451" width="13" style="96" customWidth="1"/>
    <col min="8452" max="8452" width="3.140625" style="96" customWidth="1"/>
    <col min="8453" max="8453" width="11.28515625" style="96" customWidth="1"/>
    <col min="8454" max="8454" width="3.28515625" style="96" customWidth="1"/>
    <col min="8455" max="8455" width="12.85546875" style="96" customWidth="1"/>
    <col min="8456" max="8456" width="3.140625" style="96" customWidth="1"/>
    <col min="8457" max="8458" width="11.140625" style="96" customWidth="1"/>
    <col min="8459" max="8459" width="0" style="96" hidden="1" customWidth="1"/>
    <col min="8460" max="8461" width="9.140625" style="96"/>
    <col min="8462" max="8462" width="13.5703125" style="96" customWidth="1"/>
    <col min="8463" max="8701" width="9.140625" style="96"/>
    <col min="8702" max="8702" width="4.28515625" style="96" customWidth="1"/>
    <col min="8703" max="8703" width="9.140625" style="96"/>
    <col min="8704" max="8704" width="18.5703125" style="96" customWidth="1"/>
    <col min="8705" max="8705" width="11.5703125" style="96" customWidth="1"/>
    <col min="8706" max="8706" width="9" style="96" customWidth="1"/>
    <col min="8707" max="8707" width="13" style="96" customWidth="1"/>
    <col min="8708" max="8708" width="3.140625" style="96" customWidth="1"/>
    <col min="8709" max="8709" width="11.28515625" style="96" customWidth="1"/>
    <col min="8710" max="8710" width="3.28515625" style="96" customWidth="1"/>
    <col min="8711" max="8711" width="12.85546875" style="96" customWidth="1"/>
    <col min="8712" max="8712" width="3.140625" style="96" customWidth="1"/>
    <col min="8713" max="8714" width="11.140625" style="96" customWidth="1"/>
    <col min="8715" max="8715" width="0" style="96" hidden="1" customWidth="1"/>
    <col min="8716" max="8717" width="9.140625" style="96"/>
    <col min="8718" max="8718" width="13.5703125" style="96" customWidth="1"/>
    <col min="8719" max="8957" width="9.140625" style="96"/>
    <col min="8958" max="8958" width="4.28515625" style="96" customWidth="1"/>
    <col min="8959" max="8959" width="9.140625" style="96"/>
    <col min="8960" max="8960" width="18.5703125" style="96" customWidth="1"/>
    <col min="8961" max="8961" width="11.5703125" style="96" customWidth="1"/>
    <col min="8962" max="8962" width="9" style="96" customWidth="1"/>
    <col min="8963" max="8963" width="13" style="96" customWidth="1"/>
    <col min="8964" max="8964" width="3.140625" style="96" customWidth="1"/>
    <col min="8965" max="8965" width="11.28515625" style="96" customWidth="1"/>
    <col min="8966" max="8966" width="3.28515625" style="96" customWidth="1"/>
    <col min="8967" max="8967" width="12.85546875" style="96" customWidth="1"/>
    <col min="8968" max="8968" width="3.140625" style="96" customWidth="1"/>
    <col min="8969" max="8970" width="11.140625" style="96" customWidth="1"/>
    <col min="8971" max="8971" width="0" style="96" hidden="1" customWidth="1"/>
    <col min="8972" max="8973" width="9.140625" style="96"/>
    <col min="8974" max="8974" width="13.5703125" style="96" customWidth="1"/>
    <col min="8975" max="9213" width="9.140625" style="96"/>
    <col min="9214" max="9214" width="4.28515625" style="96" customWidth="1"/>
    <col min="9215" max="9215" width="9.140625" style="96"/>
    <col min="9216" max="9216" width="18.5703125" style="96" customWidth="1"/>
    <col min="9217" max="9217" width="11.5703125" style="96" customWidth="1"/>
    <col min="9218" max="9218" width="9" style="96" customWidth="1"/>
    <col min="9219" max="9219" width="13" style="96" customWidth="1"/>
    <col min="9220" max="9220" width="3.140625" style="96" customWidth="1"/>
    <col min="9221" max="9221" width="11.28515625" style="96" customWidth="1"/>
    <col min="9222" max="9222" width="3.28515625" style="96" customWidth="1"/>
    <col min="9223" max="9223" width="12.85546875" style="96" customWidth="1"/>
    <col min="9224" max="9224" width="3.140625" style="96" customWidth="1"/>
    <col min="9225" max="9226" width="11.140625" style="96" customWidth="1"/>
    <col min="9227" max="9227" width="0" style="96" hidden="1" customWidth="1"/>
    <col min="9228" max="9229" width="9.140625" style="96"/>
    <col min="9230" max="9230" width="13.5703125" style="96" customWidth="1"/>
    <col min="9231" max="9469" width="9.140625" style="96"/>
    <col min="9470" max="9470" width="4.28515625" style="96" customWidth="1"/>
    <col min="9471" max="9471" width="9.140625" style="96"/>
    <col min="9472" max="9472" width="18.5703125" style="96" customWidth="1"/>
    <col min="9473" max="9473" width="11.5703125" style="96" customWidth="1"/>
    <col min="9474" max="9474" width="9" style="96" customWidth="1"/>
    <col min="9475" max="9475" width="13" style="96" customWidth="1"/>
    <col min="9476" max="9476" width="3.140625" style="96" customWidth="1"/>
    <col min="9477" max="9477" width="11.28515625" style="96" customWidth="1"/>
    <col min="9478" max="9478" width="3.28515625" style="96" customWidth="1"/>
    <col min="9479" max="9479" width="12.85546875" style="96" customWidth="1"/>
    <col min="9480" max="9480" width="3.140625" style="96" customWidth="1"/>
    <col min="9481" max="9482" width="11.140625" style="96" customWidth="1"/>
    <col min="9483" max="9483" width="0" style="96" hidden="1" customWidth="1"/>
    <col min="9484" max="9485" width="9.140625" style="96"/>
    <col min="9486" max="9486" width="13.5703125" style="96" customWidth="1"/>
    <col min="9487" max="9725" width="9.140625" style="96"/>
    <col min="9726" max="9726" width="4.28515625" style="96" customWidth="1"/>
    <col min="9727" max="9727" width="9.140625" style="96"/>
    <col min="9728" max="9728" width="18.5703125" style="96" customWidth="1"/>
    <col min="9729" max="9729" width="11.5703125" style="96" customWidth="1"/>
    <col min="9730" max="9730" width="9" style="96" customWidth="1"/>
    <col min="9731" max="9731" width="13" style="96" customWidth="1"/>
    <col min="9732" max="9732" width="3.140625" style="96" customWidth="1"/>
    <col min="9733" max="9733" width="11.28515625" style="96" customWidth="1"/>
    <col min="9734" max="9734" width="3.28515625" style="96" customWidth="1"/>
    <col min="9735" max="9735" width="12.85546875" style="96" customWidth="1"/>
    <col min="9736" max="9736" width="3.140625" style="96" customWidth="1"/>
    <col min="9737" max="9738" width="11.140625" style="96" customWidth="1"/>
    <col min="9739" max="9739" width="0" style="96" hidden="1" customWidth="1"/>
    <col min="9740" max="9741" width="9.140625" style="96"/>
    <col min="9742" max="9742" width="13.5703125" style="96" customWidth="1"/>
    <col min="9743" max="9981" width="9.140625" style="96"/>
    <col min="9982" max="9982" width="4.28515625" style="96" customWidth="1"/>
    <col min="9983" max="9983" width="9.140625" style="96"/>
    <col min="9984" max="9984" width="18.5703125" style="96" customWidth="1"/>
    <col min="9985" max="9985" width="11.5703125" style="96" customWidth="1"/>
    <col min="9986" max="9986" width="9" style="96" customWidth="1"/>
    <col min="9987" max="9987" width="13" style="96" customWidth="1"/>
    <col min="9988" max="9988" width="3.140625" style="96" customWidth="1"/>
    <col min="9989" max="9989" width="11.28515625" style="96" customWidth="1"/>
    <col min="9990" max="9990" width="3.28515625" style="96" customWidth="1"/>
    <col min="9991" max="9991" width="12.85546875" style="96" customWidth="1"/>
    <col min="9992" max="9992" width="3.140625" style="96" customWidth="1"/>
    <col min="9993" max="9994" width="11.140625" style="96" customWidth="1"/>
    <col min="9995" max="9995" width="0" style="96" hidden="1" customWidth="1"/>
    <col min="9996" max="9997" width="9.140625" style="96"/>
    <col min="9998" max="9998" width="13.5703125" style="96" customWidth="1"/>
    <col min="9999" max="10237" width="9.140625" style="96"/>
    <col min="10238" max="10238" width="4.28515625" style="96" customWidth="1"/>
    <col min="10239" max="10239" width="9.140625" style="96"/>
    <col min="10240" max="10240" width="18.5703125" style="96" customWidth="1"/>
    <col min="10241" max="10241" width="11.5703125" style="96" customWidth="1"/>
    <col min="10242" max="10242" width="9" style="96" customWidth="1"/>
    <col min="10243" max="10243" width="13" style="96" customWidth="1"/>
    <col min="10244" max="10244" width="3.140625" style="96" customWidth="1"/>
    <col min="10245" max="10245" width="11.28515625" style="96" customWidth="1"/>
    <col min="10246" max="10246" width="3.28515625" style="96" customWidth="1"/>
    <col min="10247" max="10247" width="12.85546875" style="96" customWidth="1"/>
    <col min="10248" max="10248" width="3.140625" style="96" customWidth="1"/>
    <col min="10249" max="10250" width="11.140625" style="96" customWidth="1"/>
    <col min="10251" max="10251" width="0" style="96" hidden="1" customWidth="1"/>
    <col min="10252" max="10253" width="9.140625" style="96"/>
    <col min="10254" max="10254" width="13.5703125" style="96" customWidth="1"/>
    <col min="10255" max="10493" width="9.140625" style="96"/>
    <col min="10494" max="10494" width="4.28515625" style="96" customWidth="1"/>
    <col min="10495" max="10495" width="9.140625" style="96"/>
    <col min="10496" max="10496" width="18.5703125" style="96" customWidth="1"/>
    <col min="10497" max="10497" width="11.5703125" style="96" customWidth="1"/>
    <col min="10498" max="10498" width="9" style="96" customWidth="1"/>
    <col min="10499" max="10499" width="13" style="96" customWidth="1"/>
    <col min="10500" max="10500" width="3.140625" style="96" customWidth="1"/>
    <col min="10501" max="10501" width="11.28515625" style="96" customWidth="1"/>
    <col min="10502" max="10502" width="3.28515625" style="96" customWidth="1"/>
    <col min="10503" max="10503" width="12.85546875" style="96" customWidth="1"/>
    <col min="10504" max="10504" width="3.140625" style="96" customWidth="1"/>
    <col min="10505" max="10506" width="11.140625" style="96" customWidth="1"/>
    <col min="10507" max="10507" width="0" style="96" hidden="1" customWidth="1"/>
    <col min="10508" max="10509" width="9.140625" style="96"/>
    <col min="10510" max="10510" width="13.5703125" style="96" customWidth="1"/>
    <col min="10511" max="10749" width="9.140625" style="96"/>
    <col min="10750" max="10750" width="4.28515625" style="96" customWidth="1"/>
    <col min="10751" max="10751" width="9.140625" style="96"/>
    <col min="10752" max="10752" width="18.5703125" style="96" customWidth="1"/>
    <col min="10753" max="10753" width="11.5703125" style="96" customWidth="1"/>
    <col min="10754" max="10754" width="9" style="96" customWidth="1"/>
    <col min="10755" max="10755" width="13" style="96" customWidth="1"/>
    <col min="10756" max="10756" width="3.140625" style="96" customWidth="1"/>
    <col min="10757" max="10757" width="11.28515625" style="96" customWidth="1"/>
    <col min="10758" max="10758" width="3.28515625" style="96" customWidth="1"/>
    <col min="10759" max="10759" width="12.85546875" style="96" customWidth="1"/>
    <col min="10760" max="10760" width="3.140625" style="96" customWidth="1"/>
    <col min="10761" max="10762" width="11.140625" style="96" customWidth="1"/>
    <col min="10763" max="10763" width="0" style="96" hidden="1" customWidth="1"/>
    <col min="10764" max="10765" width="9.140625" style="96"/>
    <col min="10766" max="10766" width="13.5703125" style="96" customWidth="1"/>
    <col min="10767" max="11005" width="9.140625" style="96"/>
    <col min="11006" max="11006" width="4.28515625" style="96" customWidth="1"/>
    <col min="11007" max="11007" width="9.140625" style="96"/>
    <col min="11008" max="11008" width="18.5703125" style="96" customWidth="1"/>
    <col min="11009" max="11009" width="11.5703125" style="96" customWidth="1"/>
    <col min="11010" max="11010" width="9" style="96" customWidth="1"/>
    <col min="11011" max="11011" width="13" style="96" customWidth="1"/>
    <col min="11012" max="11012" width="3.140625" style="96" customWidth="1"/>
    <col min="11013" max="11013" width="11.28515625" style="96" customWidth="1"/>
    <col min="11014" max="11014" width="3.28515625" style="96" customWidth="1"/>
    <col min="11015" max="11015" width="12.85546875" style="96" customWidth="1"/>
    <col min="11016" max="11016" width="3.140625" style="96" customWidth="1"/>
    <col min="11017" max="11018" width="11.140625" style="96" customWidth="1"/>
    <col min="11019" max="11019" width="0" style="96" hidden="1" customWidth="1"/>
    <col min="11020" max="11021" width="9.140625" style="96"/>
    <col min="11022" max="11022" width="13.5703125" style="96" customWidth="1"/>
    <col min="11023" max="11261" width="9.140625" style="96"/>
    <col min="11262" max="11262" width="4.28515625" style="96" customWidth="1"/>
    <col min="11263" max="11263" width="9.140625" style="96"/>
    <col min="11264" max="11264" width="18.5703125" style="96" customWidth="1"/>
    <col min="11265" max="11265" width="11.5703125" style="96" customWidth="1"/>
    <col min="11266" max="11266" width="9" style="96" customWidth="1"/>
    <col min="11267" max="11267" width="13" style="96" customWidth="1"/>
    <col min="11268" max="11268" width="3.140625" style="96" customWidth="1"/>
    <col min="11269" max="11269" width="11.28515625" style="96" customWidth="1"/>
    <col min="11270" max="11270" width="3.28515625" style="96" customWidth="1"/>
    <col min="11271" max="11271" width="12.85546875" style="96" customWidth="1"/>
    <col min="11272" max="11272" width="3.140625" style="96" customWidth="1"/>
    <col min="11273" max="11274" width="11.140625" style="96" customWidth="1"/>
    <col min="11275" max="11275" width="0" style="96" hidden="1" customWidth="1"/>
    <col min="11276" max="11277" width="9.140625" style="96"/>
    <col min="11278" max="11278" width="13.5703125" style="96" customWidth="1"/>
    <col min="11279" max="11517" width="9.140625" style="96"/>
    <col min="11518" max="11518" width="4.28515625" style="96" customWidth="1"/>
    <col min="11519" max="11519" width="9.140625" style="96"/>
    <col min="11520" max="11520" width="18.5703125" style="96" customWidth="1"/>
    <col min="11521" max="11521" width="11.5703125" style="96" customWidth="1"/>
    <col min="11522" max="11522" width="9" style="96" customWidth="1"/>
    <col min="11523" max="11523" width="13" style="96" customWidth="1"/>
    <col min="11524" max="11524" width="3.140625" style="96" customWidth="1"/>
    <col min="11525" max="11525" width="11.28515625" style="96" customWidth="1"/>
    <col min="11526" max="11526" width="3.28515625" style="96" customWidth="1"/>
    <col min="11527" max="11527" width="12.85546875" style="96" customWidth="1"/>
    <col min="11528" max="11528" width="3.140625" style="96" customWidth="1"/>
    <col min="11529" max="11530" width="11.140625" style="96" customWidth="1"/>
    <col min="11531" max="11531" width="0" style="96" hidden="1" customWidth="1"/>
    <col min="11532" max="11533" width="9.140625" style="96"/>
    <col min="11534" max="11534" width="13.5703125" style="96" customWidth="1"/>
    <col min="11535" max="11773" width="9.140625" style="96"/>
    <col min="11774" max="11774" width="4.28515625" style="96" customWidth="1"/>
    <col min="11775" max="11775" width="9.140625" style="96"/>
    <col min="11776" max="11776" width="18.5703125" style="96" customWidth="1"/>
    <col min="11777" max="11777" width="11.5703125" style="96" customWidth="1"/>
    <col min="11778" max="11778" width="9" style="96" customWidth="1"/>
    <col min="11779" max="11779" width="13" style="96" customWidth="1"/>
    <col min="11780" max="11780" width="3.140625" style="96" customWidth="1"/>
    <col min="11781" max="11781" width="11.28515625" style="96" customWidth="1"/>
    <col min="11782" max="11782" width="3.28515625" style="96" customWidth="1"/>
    <col min="11783" max="11783" width="12.85546875" style="96" customWidth="1"/>
    <col min="11784" max="11784" width="3.140625" style="96" customWidth="1"/>
    <col min="11785" max="11786" width="11.140625" style="96" customWidth="1"/>
    <col min="11787" max="11787" width="0" style="96" hidden="1" customWidth="1"/>
    <col min="11788" max="11789" width="9.140625" style="96"/>
    <col min="11790" max="11790" width="13.5703125" style="96" customWidth="1"/>
    <col min="11791" max="12029" width="9.140625" style="96"/>
    <col min="12030" max="12030" width="4.28515625" style="96" customWidth="1"/>
    <col min="12031" max="12031" width="9.140625" style="96"/>
    <col min="12032" max="12032" width="18.5703125" style="96" customWidth="1"/>
    <col min="12033" max="12033" width="11.5703125" style="96" customWidth="1"/>
    <col min="12034" max="12034" width="9" style="96" customWidth="1"/>
    <col min="12035" max="12035" width="13" style="96" customWidth="1"/>
    <col min="12036" max="12036" width="3.140625" style="96" customWidth="1"/>
    <col min="12037" max="12037" width="11.28515625" style="96" customWidth="1"/>
    <col min="12038" max="12038" width="3.28515625" style="96" customWidth="1"/>
    <col min="12039" max="12039" width="12.85546875" style="96" customWidth="1"/>
    <col min="12040" max="12040" width="3.140625" style="96" customWidth="1"/>
    <col min="12041" max="12042" width="11.140625" style="96" customWidth="1"/>
    <col min="12043" max="12043" width="0" style="96" hidden="1" customWidth="1"/>
    <col min="12044" max="12045" width="9.140625" style="96"/>
    <col min="12046" max="12046" width="13.5703125" style="96" customWidth="1"/>
    <col min="12047" max="12285" width="9.140625" style="96"/>
    <col min="12286" max="12286" width="4.28515625" style="96" customWidth="1"/>
    <col min="12287" max="12287" width="9.140625" style="96"/>
    <col min="12288" max="12288" width="18.5703125" style="96" customWidth="1"/>
    <col min="12289" max="12289" width="11.5703125" style="96" customWidth="1"/>
    <col min="12290" max="12290" width="9" style="96" customWidth="1"/>
    <col min="12291" max="12291" width="13" style="96" customWidth="1"/>
    <col min="12292" max="12292" width="3.140625" style="96" customWidth="1"/>
    <col min="12293" max="12293" width="11.28515625" style="96" customWidth="1"/>
    <col min="12294" max="12294" width="3.28515625" style="96" customWidth="1"/>
    <col min="12295" max="12295" width="12.85546875" style="96" customWidth="1"/>
    <col min="12296" max="12296" width="3.140625" style="96" customWidth="1"/>
    <col min="12297" max="12298" width="11.140625" style="96" customWidth="1"/>
    <col min="12299" max="12299" width="0" style="96" hidden="1" customWidth="1"/>
    <col min="12300" max="12301" width="9.140625" style="96"/>
    <col min="12302" max="12302" width="13.5703125" style="96" customWidth="1"/>
    <col min="12303" max="12541" width="9.140625" style="96"/>
    <col min="12542" max="12542" width="4.28515625" style="96" customWidth="1"/>
    <col min="12543" max="12543" width="9.140625" style="96"/>
    <col min="12544" max="12544" width="18.5703125" style="96" customWidth="1"/>
    <col min="12545" max="12545" width="11.5703125" style="96" customWidth="1"/>
    <col min="12546" max="12546" width="9" style="96" customWidth="1"/>
    <col min="12547" max="12547" width="13" style="96" customWidth="1"/>
    <col min="12548" max="12548" width="3.140625" style="96" customWidth="1"/>
    <col min="12549" max="12549" width="11.28515625" style="96" customWidth="1"/>
    <col min="12550" max="12550" width="3.28515625" style="96" customWidth="1"/>
    <col min="12551" max="12551" width="12.85546875" style="96" customWidth="1"/>
    <col min="12552" max="12552" width="3.140625" style="96" customWidth="1"/>
    <col min="12553" max="12554" width="11.140625" style="96" customWidth="1"/>
    <col min="12555" max="12555" width="0" style="96" hidden="1" customWidth="1"/>
    <col min="12556" max="12557" width="9.140625" style="96"/>
    <col min="12558" max="12558" width="13.5703125" style="96" customWidth="1"/>
    <col min="12559" max="12797" width="9.140625" style="96"/>
    <col min="12798" max="12798" width="4.28515625" style="96" customWidth="1"/>
    <col min="12799" max="12799" width="9.140625" style="96"/>
    <col min="12800" max="12800" width="18.5703125" style="96" customWidth="1"/>
    <col min="12801" max="12801" width="11.5703125" style="96" customWidth="1"/>
    <col min="12802" max="12802" width="9" style="96" customWidth="1"/>
    <col min="12803" max="12803" width="13" style="96" customWidth="1"/>
    <col min="12804" max="12804" width="3.140625" style="96" customWidth="1"/>
    <col min="12805" max="12805" width="11.28515625" style="96" customWidth="1"/>
    <col min="12806" max="12806" width="3.28515625" style="96" customWidth="1"/>
    <col min="12807" max="12807" width="12.85546875" style="96" customWidth="1"/>
    <col min="12808" max="12808" width="3.140625" style="96" customWidth="1"/>
    <col min="12809" max="12810" width="11.140625" style="96" customWidth="1"/>
    <col min="12811" max="12811" width="0" style="96" hidden="1" customWidth="1"/>
    <col min="12812" max="12813" width="9.140625" style="96"/>
    <col min="12814" max="12814" width="13.5703125" style="96" customWidth="1"/>
    <col min="12815" max="13053" width="9.140625" style="96"/>
    <col min="13054" max="13054" width="4.28515625" style="96" customWidth="1"/>
    <col min="13055" max="13055" width="9.140625" style="96"/>
    <col min="13056" max="13056" width="18.5703125" style="96" customWidth="1"/>
    <col min="13057" max="13057" width="11.5703125" style="96" customWidth="1"/>
    <col min="13058" max="13058" width="9" style="96" customWidth="1"/>
    <col min="13059" max="13059" width="13" style="96" customWidth="1"/>
    <col min="13060" max="13060" width="3.140625" style="96" customWidth="1"/>
    <col min="13061" max="13061" width="11.28515625" style="96" customWidth="1"/>
    <col min="13062" max="13062" width="3.28515625" style="96" customWidth="1"/>
    <col min="13063" max="13063" width="12.85546875" style="96" customWidth="1"/>
    <col min="13064" max="13064" width="3.140625" style="96" customWidth="1"/>
    <col min="13065" max="13066" width="11.140625" style="96" customWidth="1"/>
    <col min="13067" max="13067" width="0" style="96" hidden="1" customWidth="1"/>
    <col min="13068" max="13069" width="9.140625" style="96"/>
    <col min="13070" max="13070" width="13.5703125" style="96" customWidth="1"/>
    <col min="13071" max="13309" width="9.140625" style="96"/>
    <col min="13310" max="13310" width="4.28515625" style="96" customWidth="1"/>
    <col min="13311" max="13311" width="9.140625" style="96"/>
    <col min="13312" max="13312" width="18.5703125" style="96" customWidth="1"/>
    <col min="13313" max="13313" width="11.5703125" style="96" customWidth="1"/>
    <col min="13314" max="13314" width="9" style="96" customWidth="1"/>
    <col min="13315" max="13315" width="13" style="96" customWidth="1"/>
    <col min="13316" max="13316" width="3.140625" style="96" customWidth="1"/>
    <col min="13317" max="13317" width="11.28515625" style="96" customWidth="1"/>
    <col min="13318" max="13318" width="3.28515625" style="96" customWidth="1"/>
    <col min="13319" max="13319" width="12.85546875" style="96" customWidth="1"/>
    <col min="13320" max="13320" width="3.140625" style="96" customWidth="1"/>
    <col min="13321" max="13322" width="11.140625" style="96" customWidth="1"/>
    <col min="13323" max="13323" width="0" style="96" hidden="1" customWidth="1"/>
    <col min="13324" max="13325" width="9.140625" style="96"/>
    <col min="13326" max="13326" width="13.5703125" style="96" customWidth="1"/>
    <col min="13327" max="13565" width="9.140625" style="96"/>
    <col min="13566" max="13566" width="4.28515625" style="96" customWidth="1"/>
    <col min="13567" max="13567" width="9.140625" style="96"/>
    <col min="13568" max="13568" width="18.5703125" style="96" customWidth="1"/>
    <col min="13569" max="13569" width="11.5703125" style="96" customWidth="1"/>
    <col min="13570" max="13570" width="9" style="96" customWidth="1"/>
    <col min="13571" max="13571" width="13" style="96" customWidth="1"/>
    <col min="13572" max="13572" width="3.140625" style="96" customWidth="1"/>
    <col min="13573" max="13573" width="11.28515625" style="96" customWidth="1"/>
    <col min="13574" max="13574" width="3.28515625" style="96" customWidth="1"/>
    <col min="13575" max="13575" width="12.85546875" style="96" customWidth="1"/>
    <col min="13576" max="13576" width="3.140625" style="96" customWidth="1"/>
    <col min="13577" max="13578" width="11.140625" style="96" customWidth="1"/>
    <col min="13579" max="13579" width="0" style="96" hidden="1" customWidth="1"/>
    <col min="13580" max="13581" width="9.140625" style="96"/>
    <col min="13582" max="13582" width="13.5703125" style="96" customWidth="1"/>
    <col min="13583" max="13821" width="9.140625" style="96"/>
    <col min="13822" max="13822" width="4.28515625" style="96" customWidth="1"/>
    <col min="13823" max="13823" width="9.140625" style="96"/>
    <col min="13824" max="13824" width="18.5703125" style="96" customWidth="1"/>
    <col min="13825" max="13825" width="11.5703125" style="96" customWidth="1"/>
    <col min="13826" max="13826" width="9" style="96" customWidth="1"/>
    <col min="13827" max="13827" width="13" style="96" customWidth="1"/>
    <col min="13828" max="13828" width="3.140625" style="96" customWidth="1"/>
    <col min="13829" max="13829" width="11.28515625" style="96" customWidth="1"/>
    <col min="13830" max="13830" width="3.28515625" style="96" customWidth="1"/>
    <col min="13831" max="13831" width="12.85546875" style="96" customWidth="1"/>
    <col min="13832" max="13832" width="3.140625" style="96" customWidth="1"/>
    <col min="13833" max="13834" width="11.140625" style="96" customWidth="1"/>
    <col min="13835" max="13835" width="0" style="96" hidden="1" customWidth="1"/>
    <col min="13836" max="13837" width="9.140625" style="96"/>
    <col min="13838" max="13838" width="13.5703125" style="96" customWidth="1"/>
    <col min="13839" max="14077" width="9.140625" style="96"/>
    <col min="14078" max="14078" width="4.28515625" style="96" customWidth="1"/>
    <col min="14079" max="14079" width="9.140625" style="96"/>
    <col min="14080" max="14080" width="18.5703125" style="96" customWidth="1"/>
    <col min="14081" max="14081" width="11.5703125" style="96" customWidth="1"/>
    <col min="14082" max="14082" width="9" style="96" customWidth="1"/>
    <col min="14083" max="14083" width="13" style="96" customWidth="1"/>
    <col min="14084" max="14084" width="3.140625" style="96" customWidth="1"/>
    <col min="14085" max="14085" width="11.28515625" style="96" customWidth="1"/>
    <col min="14086" max="14086" width="3.28515625" style="96" customWidth="1"/>
    <col min="14087" max="14087" width="12.85546875" style="96" customWidth="1"/>
    <col min="14088" max="14088" width="3.140625" style="96" customWidth="1"/>
    <col min="14089" max="14090" width="11.140625" style="96" customWidth="1"/>
    <col min="14091" max="14091" width="0" style="96" hidden="1" customWidth="1"/>
    <col min="14092" max="14093" width="9.140625" style="96"/>
    <col min="14094" max="14094" width="13.5703125" style="96" customWidth="1"/>
    <col min="14095" max="14333" width="9.140625" style="96"/>
    <col min="14334" max="14334" width="4.28515625" style="96" customWidth="1"/>
    <col min="14335" max="14335" width="9.140625" style="96"/>
    <col min="14336" max="14336" width="18.5703125" style="96" customWidth="1"/>
    <col min="14337" max="14337" width="11.5703125" style="96" customWidth="1"/>
    <col min="14338" max="14338" width="9" style="96" customWidth="1"/>
    <col min="14339" max="14339" width="13" style="96" customWidth="1"/>
    <col min="14340" max="14340" width="3.140625" style="96" customWidth="1"/>
    <col min="14341" max="14341" width="11.28515625" style="96" customWidth="1"/>
    <col min="14342" max="14342" width="3.28515625" style="96" customWidth="1"/>
    <col min="14343" max="14343" width="12.85546875" style="96" customWidth="1"/>
    <col min="14344" max="14344" width="3.140625" style="96" customWidth="1"/>
    <col min="14345" max="14346" width="11.140625" style="96" customWidth="1"/>
    <col min="14347" max="14347" width="0" style="96" hidden="1" customWidth="1"/>
    <col min="14348" max="14349" width="9.140625" style="96"/>
    <col min="14350" max="14350" width="13.5703125" style="96" customWidth="1"/>
    <col min="14351" max="14589" width="9.140625" style="96"/>
    <col min="14590" max="14590" width="4.28515625" style="96" customWidth="1"/>
    <col min="14591" max="14591" width="9.140625" style="96"/>
    <col min="14592" max="14592" width="18.5703125" style="96" customWidth="1"/>
    <col min="14593" max="14593" width="11.5703125" style="96" customWidth="1"/>
    <col min="14594" max="14594" width="9" style="96" customWidth="1"/>
    <col min="14595" max="14595" width="13" style="96" customWidth="1"/>
    <col min="14596" max="14596" width="3.140625" style="96" customWidth="1"/>
    <col min="14597" max="14597" width="11.28515625" style="96" customWidth="1"/>
    <col min="14598" max="14598" width="3.28515625" style="96" customWidth="1"/>
    <col min="14599" max="14599" width="12.85546875" style="96" customWidth="1"/>
    <col min="14600" max="14600" width="3.140625" style="96" customWidth="1"/>
    <col min="14601" max="14602" width="11.140625" style="96" customWidth="1"/>
    <col min="14603" max="14603" width="0" style="96" hidden="1" customWidth="1"/>
    <col min="14604" max="14605" width="9.140625" style="96"/>
    <col min="14606" max="14606" width="13.5703125" style="96" customWidth="1"/>
    <col min="14607" max="14845" width="9.140625" style="96"/>
    <col min="14846" max="14846" width="4.28515625" style="96" customWidth="1"/>
    <col min="14847" max="14847" width="9.140625" style="96"/>
    <col min="14848" max="14848" width="18.5703125" style="96" customWidth="1"/>
    <col min="14849" max="14849" width="11.5703125" style="96" customWidth="1"/>
    <col min="14850" max="14850" width="9" style="96" customWidth="1"/>
    <col min="14851" max="14851" width="13" style="96" customWidth="1"/>
    <col min="14852" max="14852" width="3.140625" style="96" customWidth="1"/>
    <col min="14853" max="14853" width="11.28515625" style="96" customWidth="1"/>
    <col min="14854" max="14854" width="3.28515625" style="96" customWidth="1"/>
    <col min="14855" max="14855" width="12.85546875" style="96" customWidth="1"/>
    <col min="14856" max="14856" width="3.140625" style="96" customWidth="1"/>
    <col min="14857" max="14858" width="11.140625" style="96" customWidth="1"/>
    <col min="14859" max="14859" width="0" style="96" hidden="1" customWidth="1"/>
    <col min="14860" max="14861" width="9.140625" style="96"/>
    <col min="14862" max="14862" width="13.5703125" style="96" customWidth="1"/>
    <col min="14863" max="15101" width="9.140625" style="96"/>
    <col min="15102" max="15102" width="4.28515625" style="96" customWidth="1"/>
    <col min="15103" max="15103" width="9.140625" style="96"/>
    <col min="15104" max="15104" width="18.5703125" style="96" customWidth="1"/>
    <col min="15105" max="15105" width="11.5703125" style="96" customWidth="1"/>
    <col min="15106" max="15106" width="9" style="96" customWidth="1"/>
    <col min="15107" max="15107" width="13" style="96" customWidth="1"/>
    <col min="15108" max="15108" width="3.140625" style="96" customWidth="1"/>
    <col min="15109" max="15109" width="11.28515625" style="96" customWidth="1"/>
    <col min="15110" max="15110" width="3.28515625" style="96" customWidth="1"/>
    <col min="15111" max="15111" width="12.85546875" style="96" customWidth="1"/>
    <col min="15112" max="15112" width="3.140625" style="96" customWidth="1"/>
    <col min="15113" max="15114" width="11.140625" style="96" customWidth="1"/>
    <col min="15115" max="15115" width="0" style="96" hidden="1" customWidth="1"/>
    <col min="15116" max="15117" width="9.140625" style="96"/>
    <col min="15118" max="15118" width="13.5703125" style="96" customWidth="1"/>
    <col min="15119" max="15357" width="9.140625" style="96"/>
    <col min="15358" max="15358" width="4.28515625" style="96" customWidth="1"/>
    <col min="15359" max="15359" width="9.140625" style="96"/>
    <col min="15360" max="15360" width="18.5703125" style="96" customWidth="1"/>
    <col min="15361" max="15361" width="11.5703125" style="96" customWidth="1"/>
    <col min="15362" max="15362" width="9" style="96" customWidth="1"/>
    <col min="15363" max="15363" width="13" style="96" customWidth="1"/>
    <col min="15364" max="15364" width="3.140625" style="96" customWidth="1"/>
    <col min="15365" max="15365" width="11.28515625" style="96" customWidth="1"/>
    <col min="15366" max="15366" width="3.28515625" style="96" customWidth="1"/>
    <col min="15367" max="15367" width="12.85546875" style="96" customWidth="1"/>
    <col min="15368" max="15368" width="3.140625" style="96" customWidth="1"/>
    <col min="15369" max="15370" width="11.140625" style="96" customWidth="1"/>
    <col min="15371" max="15371" width="0" style="96" hidden="1" customWidth="1"/>
    <col min="15372" max="15373" width="9.140625" style="96"/>
    <col min="15374" max="15374" width="13.5703125" style="96" customWidth="1"/>
    <col min="15375" max="15613" width="9.140625" style="96"/>
    <col min="15614" max="15614" width="4.28515625" style="96" customWidth="1"/>
    <col min="15615" max="15615" width="9.140625" style="96"/>
    <col min="15616" max="15616" width="18.5703125" style="96" customWidth="1"/>
    <col min="15617" max="15617" width="11.5703125" style="96" customWidth="1"/>
    <col min="15618" max="15618" width="9" style="96" customWidth="1"/>
    <col min="15619" max="15619" width="13" style="96" customWidth="1"/>
    <col min="15620" max="15620" width="3.140625" style="96" customWidth="1"/>
    <col min="15621" max="15621" width="11.28515625" style="96" customWidth="1"/>
    <col min="15622" max="15622" width="3.28515625" style="96" customWidth="1"/>
    <col min="15623" max="15623" width="12.85546875" style="96" customWidth="1"/>
    <col min="15624" max="15624" width="3.140625" style="96" customWidth="1"/>
    <col min="15625" max="15626" width="11.140625" style="96" customWidth="1"/>
    <col min="15627" max="15627" width="0" style="96" hidden="1" customWidth="1"/>
    <col min="15628" max="15629" width="9.140625" style="96"/>
    <col min="15630" max="15630" width="13.5703125" style="96" customWidth="1"/>
    <col min="15631" max="15869" width="9.140625" style="96"/>
    <col min="15870" max="15870" width="4.28515625" style="96" customWidth="1"/>
    <col min="15871" max="15871" width="9.140625" style="96"/>
    <col min="15872" max="15872" width="18.5703125" style="96" customWidth="1"/>
    <col min="15873" max="15873" width="11.5703125" style="96" customWidth="1"/>
    <col min="15874" max="15874" width="9" style="96" customWidth="1"/>
    <col min="15875" max="15875" width="13" style="96" customWidth="1"/>
    <col min="15876" max="15876" width="3.140625" style="96" customWidth="1"/>
    <col min="15877" max="15877" width="11.28515625" style="96" customWidth="1"/>
    <col min="15878" max="15878" width="3.28515625" style="96" customWidth="1"/>
    <col min="15879" max="15879" width="12.85546875" style="96" customWidth="1"/>
    <col min="15880" max="15880" width="3.140625" style="96" customWidth="1"/>
    <col min="15881" max="15882" width="11.140625" style="96" customWidth="1"/>
    <col min="15883" max="15883" width="0" style="96" hidden="1" customWidth="1"/>
    <col min="15884" max="15885" width="9.140625" style="96"/>
    <col min="15886" max="15886" width="13.5703125" style="96" customWidth="1"/>
    <col min="15887" max="16125" width="9.140625" style="96"/>
    <col min="16126" max="16126" width="4.28515625" style="96" customWidth="1"/>
    <col min="16127" max="16127" width="9.140625" style="96"/>
    <col min="16128" max="16128" width="18.5703125" style="96" customWidth="1"/>
    <col min="16129" max="16129" width="11.5703125" style="96" customWidth="1"/>
    <col min="16130" max="16130" width="9" style="96" customWidth="1"/>
    <col min="16131" max="16131" width="13" style="96" customWidth="1"/>
    <col min="16132" max="16132" width="3.140625" style="96" customWidth="1"/>
    <col min="16133" max="16133" width="11.28515625" style="96" customWidth="1"/>
    <col min="16134" max="16134" width="3.28515625" style="96" customWidth="1"/>
    <col min="16135" max="16135" width="12.85546875" style="96" customWidth="1"/>
    <col min="16136" max="16136" width="3.140625" style="96" customWidth="1"/>
    <col min="16137" max="16138" width="11.140625" style="96" customWidth="1"/>
    <col min="16139" max="16139" width="0" style="96" hidden="1" customWidth="1"/>
    <col min="16140" max="16141" width="9.140625" style="96"/>
    <col min="16142" max="16142" width="13.5703125" style="96" customWidth="1"/>
    <col min="16143" max="16384" width="9.140625" style="96"/>
  </cols>
  <sheetData>
    <row r="1" spans="1:14" ht="16.5" x14ac:dyDescent="0.3">
      <c r="A1" s="486" t="s">
        <v>0</v>
      </c>
      <c r="B1" s="487"/>
      <c r="C1" s="487"/>
      <c r="D1" s="487"/>
      <c r="E1" s="487"/>
      <c r="H1" s="100"/>
      <c r="J1" s="96"/>
    </row>
    <row r="2" spans="1:14" x14ac:dyDescent="0.25">
      <c r="A2" s="193" t="s">
        <v>1</v>
      </c>
      <c r="H2" s="100"/>
      <c r="J2" s="100"/>
    </row>
    <row r="3" spans="1:14" x14ac:dyDescent="0.25">
      <c r="A3" s="101"/>
      <c r="H3" s="100"/>
      <c r="J3" s="100"/>
    </row>
    <row r="4" spans="1:14" x14ac:dyDescent="0.25">
      <c r="A4" s="243"/>
      <c r="B4" s="243"/>
      <c r="C4" s="244" t="s">
        <v>76</v>
      </c>
      <c r="D4" s="245"/>
      <c r="E4" s="245"/>
      <c r="F4" s="245"/>
      <c r="G4" s="245"/>
      <c r="H4" s="245"/>
      <c r="I4" s="245"/>
      <c r="J4" s="246"/>
      <c r="K4" s="245"/>
      <c r="L4" s="243"/>
      <c r="M4" s="243"/>
      <c r="N4" s="243"/>
    </row>
    <row r="5" spans="1:14" x14ac:dyDescent="0.25">
      <c r="A5" s="243"/>
      <c r="B5" s="243"/>
      <c r="C5" s="247" t="s">
        <v>77</v>
      </c>
      <c r="D5" s="245"/>
      <c r="E5" s="245"/>
      <c r="F5" s="245"/>
      <c r="G5" s="245"/>
      <c r="H5" s="245"/>
      <c r="I5" s="245"/>
      <c r="J5" s="246"/>
      <c r="K5" s="245"/>
      <c r="L5" s="243"/>
      <c r="M5" s="243"/>
      <c r="N5" s="243"/>
    </row>
    <row r="6" spans="1:14" x14ac:dyDescent="0.25">
      <c r="A6" s="243"/>
      <c r="B6" s="243"/>
      <c r="C6" s="484" t="s">
        <v>318</v>
      </c>
      <c r="D6" s="485"/>
      <c r="E6" s="485"/>
      <c r="F6" s="485"/>
      <c r="G6" s="485"/>
      <c r="H6" s="485"/>
      <c r="I6" s="485"/>
      <c r="J6" s="485"/>
      <c r="K6" s="485"/>
      <c r="L6" s="243"/>
      <c r="M6" s="243"/>
      <c r="N6" s="243"/>
    </row>
    <row r="7" spans="1:14" x14ac:dyDescent="0.25">
      <c r="A7" s="243"/>
      <c r="B7" s="243"/>
      <c r="C7" s="244" t="s">
        <v>78</v>
      </c>
      <c r="D7" s="245"/>
      <c r="E7" s="245"/>
      <c r="F7" s="245"/>
      <c r="G7" s="245"/>
      <c r="H7" s="245"/>
      <c r="I7" s="245"/>
      <c r="J7" s="246"/>
      <c r="K7" s="245"/>
      <c r="L7" s="243"/>
      <c r="M7" s="243"/>
      <c r="N7" s="243"/>
    </row>
    <row r="8" spans="1:14" x14ac:dyDescent="0.25">
      <c r="A8" s="243"/>
      <c r="B8" s="243"/>
      <c r="C8" s="243"/>
      <c r="D8" s="243"/>
      <c r="E8" s="243"/>
      <c r="F8" s="243"/>
      <c r="G8" s="243"/>
      <c r="H8" s="243"/>
      <c r="I8" s="243"/>
      <c r="J8" s="248"/>
      <c r="K8" s="243"/>
      <c r="L8" s="243"/>
      <c r="M8" s="243"/>
      <c r="N8" s="243"/>
    </row>
    <row r="9" spans="1:14" x14ac:dyDescent="0.25">
      <c r="A9" s="249"/>
      <c r="B9" s="250"/>
      <c r="C9" s="251"/>
      <c r="D9" s="251"/>
      <c r="E9" s="252"/>
      <c r="F9" s="252"/>
      <c r="G9" s="249"/>
      <c r="H9" s="253"/>
      <c r="I9" s="251"/>
      <c r="J9" s="254" t="s">
        <v>79</v>
      </c>
      <c r="K9" s="251"/>
      <c r="L9" s="249"/>
      <c r="M9" s="243"/>
      <c r="N9" s="243"/>
    </row>
    <row r="10" spans="1:14" x14ac:dyDescent="0.25">
      <c r="A10" s="255"/>
      <c r="B10" s="243"/>
      <c r="C10" s="256"/>
      <c r="D10" s="257" t="s">
        <v>80</v>
      </c>
      <c r="E10" s="257" t="s">
        <v>81</v>
      </c>
      <c r="F10" s="257" t="s">
        <v>82</v>
      </c>
      <c r="G10" s="258"/>
      <c r="H10" s="259" t="s">
        <v>83</v>
      </c>
      <c r="I10" s="260"/>
      <c r="J10" s="261" t="s">
        <v>84</v>
      </c>
      <c r="K10" s="262" t="s">
        <v>85</v>
      </c>
      <c r="L10" s="259" t="s">
        <v>86</v>
      </c>
      <c r="M10" s="243"/>
      <c r="N10" s="243"/>
    </row>
    <row r="11" spans="1:14" x14ac:dyDescent="0.25">
      <c r="A11" s="255" t="s">
        <v>87</v>
      </c>
      <c r="B11" s="245" t="s">
        <v>88</v>
      </c>
      <c r="C11" s="262"/>
      <c r="D11" s="257" t="s">
        <v>89</v>
      </c>
      <c r="E11" s="257" t="s">
        <v>90</v>
      </c>
      <c r="F11" s="257" t="s">
        <v>91</v>
      </c>
      <c r="G11" s="258"/>
      <c r="H11" s="259" t="s">
        <v>92</v>
      </c>
      <c r="I11" s="260"/>
      <c r="J11" s="261" t="s">
        <v>93</v>
      </c>
      <c r="K11" s="262" t="s">
        <v>93</v>
      </c>
      <c r="L11" s="259" t="s">
        <v>93</v>
      </c>
      <c r="M11" s="243"/>
      <c r="N11" s="243"/>
    </row>
    <row r="12" spans="1:14" x14ac:dyDescent="0.25">
      <c r="A12" s="258"/>
      <c r="B12" s="245" t="s">
        <v>45</v>
      </c>
      <c r="C12" s="262"/>
      <c r="D12" s="257" t="s">
        <v>46</v>
      </c>
      <c r="E12" s="257" t="s">
        <v>47</v>
      </c>
      <c r="F12" s="257" t="s">
        <v>48</v>
      </c>
      <c r="G12" s="258"/>
      <c r="H12" s="259" t="s">
        <v>94</v>
      </c>
      <c r="I12" s="260"/>
      <c r="J12" s="263" t="s">
        <v>95</v>
      </c>
      <c r="K12" s="257" t="s">
        <v>96</v>
      </c>
      <c r="L12" s="264" t="s">
        <v>97</v>
      </c>
      <c r="M12" s="243"/>
      <c r="N12" s="243"/>
    </row>
    <row r="13" spans="1:14" x14ac:dyDescent="0.25">
      <c r="A13" s="265"/>
      <c r="B13" s="266" t="s">
        <v>98</v>
      </c>
      <c r="C13" s="267"/>
      <c r="D13" s="267"/>
      <c r="E13" s="267"/>
      <c r="F13" s="268"/>
      <c r="G13" s="269"/>
      <c r="H13" s="270"/>
      <c r="I13" s="267"/>
      <c r="J13" s="271"/>
      <c r="K13" s="269"/>
      <c r="L13" s="269"/>
      <c r="M13" s="243"/>
      <c r="N13" s="243"/>
    </row>
    <row r="14" spans="1:14" x14ac:dyDescent="0.25">
      <c r="A14" s="258"/>
      <c r="B14" s="272"/>
      <c r="C14" s="260"/>
      <c r="D14" s="260"/>
      <c r="E14" s="260"/>
      <c r="F14" s="260"/>
      <c r="G14" s="258"/>
      <c r="H14" s="258"/>
      <c r="I14" s="260"/>
      <c r="J14" s="273"/>
      <c r="K14" s="260"/>
      <c r="L14" s="249"/>
      <c r="M14" s="243"/>
      <c r="N14" s="243"/>
    </row>
    <row r="15" spans="1:14" x14ac:dyDescent="0.25">
      <c r="A15" s="258"/>
      <c r="B15" s="272"/>
      <c r="C15" s="274"/>
      <c r="D15" s="257"/>
      <c r="E15" s="275"/>
      <c r="F15" s="275"/>
      <c r="G15" s="276"/>
      <c r="H15" s="277"/>
      <c r="I15" s="260"/>
      <c r="J15" s="278"/>
      <c r="K15" s="275"/>
      <c r="L15" s="258"/>
      <c r="M15" s="243"/>
      <c r="N15" s="243"/>
    </row>
    <row r="16" spans="1:14" x14ac:dyDescent="0.25">
      <c r="A16" s="259">
        <v>1</v>
      </c>
      <c r="B16" s="272" t="s">
        <v>99</v>
      </c>
      <c r="C16" s="274"/>
      <c r="D16" s="257" t="s">
        <v>100</v>
      </c>
      <c r="E16" s="275">
        <f>'Bills-Therms-Revs'!F17</f>
        <v>205693</v>
      </c>
      <c r="F16" s="275">
        <f>'Forecasted Volumes'!C20</f>
        <v>136078781.9038859</v>
      </c>
      <c r="G16" s="276"/>
      <c r="H16" s="279">
        <f>'Bills-Therms-Revs'!I17</f>
        <v>224624298.71000004</v>
      </c>
      <c r="I16" s="260"/>
      <c r="J16" s="280">
        <f>'CARES Incremental Rate'!F12</f>
        <v>2.0830000000000001E-2</v>
      </c>
      <c r="K16" s="281">
        <f>F16*J16</f>
        <v>2834521.0270579434</v>
      </c>
      <c r="L16" s="282">
        <f t="shared" ref="L16:L21" si="0">+K16/H16</f>
        <v>1.2618942132869767E-2</v>
      </c>
      <c r="M16" s="243"/>
      <c r="N16" s="243"/>
    </row>
    <row r="17" spans="1:15" x14ac:dyDescent="0.25">
      <c r="A17" s="259">
        <v>2</v>
      </c>
      <c r="B17" s="272" t="s">
        <v>101</v>
      </c>
      <c r="C17" s="260"/>
      <c r="D17" s="257" t="s">
        <v>102</v>
      </c>
      <c r="E17" s="275">
        <f>'Bills-Therms-Revs'!F19</f>
        <v>27641</v>
      </c>
      <c r="F17" s="275">
        <f>'Forecasted Volumes'!D20</f>
        <v>101534123.9154546</v>
      </c>
      <c r="G17" s="258"/>
      <c r="H17" s="279">
        <f>'Bills-Therms-Revs'!I19+'Bills-Therms-Revs'!I22+'Bills-Therms-Revs'!I23</f>
        <v>151910453.71000001</v>
      </c>
      <c r="I17" s="260"/>
      <c r="J17" s="280">
        <f>'CARES Incremental Rate'!F13</f>
        <v>1.4670000000000001E-2</v>
      </c>
      <c r="K17" s="281">
        <f>F17*J17</f>
        <v>1489505.5978397189</v>
      </c>
      <c r="L17" s="282">
        <f t="shared" si="0"/>
        <v>9.8051553495009224E-3</v>
      </c>
      <c r="M17" s="243"/>
      <c r="N17" s="243"/>
    </row>
    <row r="18" spans="1:15" x14ac:dyDescent="0.25">
      <c r="A18" s="259">
        <v>3</v>
      </c>
      <c r="B18" s="272" t="s">
        <v>103</v>
      </c>
      <c r="C18" s="274"/>
      <c r="D18" s="257" t="s">
        <v>104</v>
      </c>
      <c r="E18" s="275">
        <f>'Bills-Therms-Revs'!F29</f>
        <v>492</v>
      </c>
      <c r="F18" s="275">
        <f>'Forecasted Volumes'!E20</f>
        <v>13499435.874798907</v>
      </c>
      <c r="G18" s="258"/>
      <c r="H18" s="279">
        <f>'Bills-Therms-Revs'!I29+'Bills-Therms-Revs'!I31+'Bills-Therms-Revs'!I32</f>
        <v>18945092.050000001</v>
      </c>
      <c r="I18" s="260"/>
      <c r="J18" s="280">
        <f>'CARES Incremental Rate'!F14</f>
        <v>8.8800000000000007E-3</v>
      </c>
      <c r="K18" s="281">
        <f>F18*J18</f>
        <v>119874.9905682143</v>
      </c>
      <c r="L18" s="282">
        <f t="shared" si="0"/>
        <v>6.3274958100936907E-3</v>
      </c>
      <c r="M18" s="243"/>
      <c r="N18" s="243"/>
    </row>
    <row r="19" spans="1:15" x14ac:dyDescent="0.25">
      <c r="A19" s="259">
        <v>4</v>
      </c>
      <c r="B19" s="272" t="s">
        <v>105</v>
      </c>
      <c r="C19" s="260"/>
      <c r="D19" s="257" t="s">
        <v>106</v>
      </c>
      <c r="E19" s="275">
        <f>'Bills-Therms-Revs'!F20+'Bills-Therms-Revs'!F30</f>
        <v>100</v>
      </c>
      <c r="F19" s="275">
        <f>'Forecasted Volumes'!F20</f>
        <v>18549690.759514704</v>
      </c>
      <c r="G19" s="276"/>
      <c r="H19" s="279">
        <f>'Bills-Therms-Revs'!I20+'Bills-Therms-Revs'!I24+'Bills-Therms-Revs'!I25+'Bills-Therms-Revs'!I30</f>
        <v>23355052.09</v>
      </c>
      <c r="I19" s="275"/>
      <c r="J19" s="280">
        <f>'CARES Incremental Rate'!F15</f>
        <v>7.0000000000000001E-3</v>
      </c>
      <c r="K19" s="281">
        <f>F19*J19</f>
        <v>129847.83531660293</v>
      </c>
      <c r="L19" s="282">
        <f t="shared" si="0"/>
        <v>5.5597322076708297E-3</v>
      </c>
      <c r="M19" s="243"/>
      <c r="N19" s="243"/>
    </row>
    <row r="20" spans="1:15" x14ac:dyDescent="0.25">
      <c r="A20" s="259">
        <v>5</v>
      </c>
      <c r="B20" s="272" t="s">
        <v>107</v>
      </c>
      <c r="C20" s="260"/>
      <c r="D20" s="257" t="s">
        <v>108</v>
      </c>
      <c r="E20" s="275">
        <f>'Bills-Therms-Revs'!F35</f>
        <v>6</v>
      </c>
      <c r="F20" s="275">
        <f>'Forecasted Volumes'!G20</f>
        <v>996484.54634588922</v>
      </c>
      <c r="G20" s="276"/>
      <c r="H20" s="279">
        <f>'Bills-Therms-Revs'!I40</f>
        <v>1138252.9099999999</v>
      </c>
      <c r="I20" s="260"/>
      <c r="J20" s="280">
        <f>'CARES Incremental Rate'!F16</f>
        <v>1.1129999999999999E-2</v>
      </c>
      <c r="K20" s="281">
        <f>F20*J20</f>
        <v>11090.873000829746</v>
      </c>
      <c r="L20" s="282">
        <f t="shared" si="0"/>
        <v>9.7437686329567546E-3</v>
      </c>
      <c r="M20" s="243"/>
      <c r="N20" s="243"/>
    </row>
    <row r="21" spans="1:15" x14ac:dyDescent="0.25">
      <c r="A21" s="264">
        <v>6</v>
      </c>
      <c r="B21" s="283" t="s">
        <v>109</v>
      </c>
      <c r="C21" s="268"/>
      <c r="D21" s="268"/>
      <c r="E21" s="284">
        <f>SUM(E16:E20)</f>
        <v>233932</v>
      </c>
      <c r="F21" s="285">
        <f>SUM(F16:F20)</f>
        <v>270658517</v>
      </c>
      <c r="G21" s="270"/>
      <c r="H21" s="286">
        <f>SUM(H16:H20)</f>
        <v>419973149.47000009</v>
      </c>
      <c r="I21" s="284"/>
      <c r="J21" s="271"/>
      <c r="K21" s="287">
        <f>SUM(K16:K20)</f>
        <v>4584840.3237833092</v>
      </c>
      <c r="L21" s="288">
        <f t="shared" si="0"/>
        <v>1.0916984406191944E-2</v>
      </c>
      <c r="M21" s="243"/>
      <c r="N21" s="243"/>
    </row>
    <row r="22" spans="1:15" x14ac:dyDescent="0.25">
      <c r="A22" s="289"/>
      <c r="B22" s="290" t="s">
        <v>110</v>
      </c>
      <c r="C22" s="291"/>
      <c r="D22" s="291"/>
      <c r="E22" s="292"/>
      <c r="F22" s="292"/>
      <c r="G22" s="293"/>
      <c r="H22" s="294"/>
      <c r="I22" s="243"/>
      <c r="J22" s="295"/>
      <c r="K22" s="296"/>
      <c r="L22" s="297"/>
      <c r="M22" s="243"/>
      <c r="N22" s="243"/>
    </row>
    <row r="23" spans="1:15" x14ac:dyDescent="0.25">
      <c r="A23" s="298">
        <v>7</v>
      </c>
      <c r="B23" s="299" t="s">
        <v>111</v>
      </c>
      <c r="C23" s="250"/>
      <c r="D23" s="253" t="s">
        <v>359</v>
      </c>
      <c r="E23" s="300">
        <f>'Bills-Therms-Revs'!F45</f>
        <v>202</v>
      </c>
      <c r="F23" s="301">
        <f>'Forecasted Volumes'!H20</f>
        <v>833178175</v>
      </c>
      <c r="G23" s="249"/>
      <c r="H23" s="302">
        <f>'Bills-Therms-Revs'!I45</f>
        <v>41044944.880000003</v>
      </c>
      <c r="I23" s="243"/>
      <c r="J23" s="303">
        <f>'CARES Incremental Rate'!F17</f>
        <v>1.7199999999999997E-3</v>
      </c>
      <c r="K23" s="304">
        <f>+F23*J23</f>
        <v>1433066.4609999999</v>
      </c>
      <c r="L23" s="288">
        <f>+K23/H23</f>
        <v>3.4914566585233522E-2</v>
      </c>
      <c r="M23" s="243"/>
      <c r="N23" s="243"/>
    </row>
    <row r="24" spans="1:15" x14ac:dyDescent="0.25">
      <c r="A24" s="305">
        <v>8</v>
      </c>
      <c r="B24" s="306" t="s">
        <v>112</v>
      </c>
      <c r="C24" s="307"/>
      <c r="D24" s="308"/>
      <c r="E24" s="309">
        <f>SUM(E23:E23)</f>
        <v>202</v>
      </c>
      <c r="F24" s="310">
        <f>SUM(F23:F23)</f>
        <v>833178175</v>
      </c>
      <c r="G24" s="311"/>
      <c r="H24" s="312">
        <f>SUM(H23:H23)</f>
        <v>41044944.880000003</v>
      </c>
      <c r="I24" s="313"/>
      <c r="J24" s="314"/>
      <c r="K24" s="315">
        <f>+K23</f>
        <v>1433066.4609999999</v>
      </c>
      <c r="L24" s="288"/>
      <c r="M24" s="243"/>
      <c r="N24" s="243"/>
    </row>
    <row r="25" spans="1:15" x14ac:dyDescent="0.25">
      <c r="A25" s="298"/>
      <c r="B25" s="316"/>
      <c r="C25" s="313"/>
      <c r="D25" s="313"/>
      <c r="E25" s="317"/>
      <c r="F25" s="318"/>
      <c r="G25" s="311"/>
      <c r="H25" s="317"/>
      <c r="I25" s="313"/>
      <c r="J25" s="319"/>
      <c r="K25" s="320"/>
      <c r="L25" s="297"/>
      <c r="M25" s="243"/>
      <c r="N25" s="243"/>
    </row>
    <row r="26" spans="1:15" x14ac:dyDescent="0.25">
      <c r="A26" s="321">
        <v>9</v>
      </c>
      <c r="B26" s="306" t="s">
        <v>113</v>
      </c>
      <c r="C26" s="307"/>
      <c r="D26" s="307"/>
      <c r="E26" s="322">
        <f>+E24+E21</f>
        <v>234134</v>
      </c>
      <c r="F26" s="323">
        <f>+F24+F21</f>
        <v>1103836692</v>
      </c>
      <c r="G26" s="322"/>
      <c r="H26" s="324">
        <f>+H24+H21</f>
        <v>461018094.35000008</v>
      </c>
      <c r="I26" s="325"/>
      <c r="J26" s="314"/>
      <c r="K26" s="326">
        <f>+K24+K21</f>
        <v>6017906.7847833093</v>
      </c>
      <c r="L26" s="288">
        <f>+K26/H26</f>
        <v>1.3053515379408466E-2</v>
      </c>
      <c r="M26" s="243"/>
      <c r="N26" s="243"/>
    </row>
    <row r="28" spans="1:15" x14ac:dyDescent="0.25">
      <c r="N28" s="99"/>
      <c r="O28" s="98"/>
    </row>
  </sheetData>
  <mergeCells count="2">
    <mergeCell ref="C6:K6"/>
    <mergeCell ref="A1:E1"/>
  </mergeCells>
  <printOptions horizontalCentered="1"/>
  <pageMargins left="0.5" right="0.5" top="1" bottom="1" header="0.5" footer="0.5"/>
  <pageSetup scale="67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F153-6DAC-41D1-A94D-FF0A0730A1B3}">
  <sheetPr>
    <pageSetUpPr fitToPage="1"/>
  </sheetPr>
  <dimension ref="A1:V27"/>
  <sheetViews>
    <sheetView view="pageBreakPreview" zoomScale="115" zoomScaleNormal="100" zoomScaleSheetLayoutView="115" workbookViewId="0">
      <selection activeCell="B43" sqref="B43"/>
    </sheetView>
  </sheetViews>
  <sheetFormatPr defaultColWidth="9.140625" defaultRowHeight="15" x14ac:dyDescent="0.25"/>
  <cols>
    <col min="1" max="1" width="6.7109375" style="106" customWidth="1"/>
    <col min="2" max="2" width="22.28515625" style="106" customWidth="1"/>
    <col min="3" max="3" width="12.140625" style="106" customWidth="1"/>
    <col min="4" max="4" width="13.85546875" style="106" customWidth="1"/>
    <col min="5" max="5" width="17" style="106" customWidth="1"/>
    <col min="6" max="6" width="16.5703125" style="106" customWidth="1"/>
    <col min="7" max="7" width="16.7109375" style="106" customWidth="1"/>
    <col min="8" max="8" width="4.42578125" style="106" customWidth="1"/>
    <col min="9" max="9" width="15.42578125" style="106" customWidth="1"/>
    <col min="10" max="10" width="13.85546875" style="106" customWidth="1"/>
    <col min="11" max="12" width="11.85546875" style="106" customWidth="1"/>
    <col min="13" max="13" width="12.7109375" style="106" customWidth="1"/>
    <col min="14" max="14" width="11.42578125" style="106" customWidth="1"/>
    <col min="15" max="15" width="16.85546875" style="106" customWidth="1"/>
    <col min="16" max="17" width="11.42578125" style="106" customWidth="1"/>
    <col min="18" max="18" width="13.7109375" style="106" customWidth="1"/>
    <col min="19" max="19" width="12.140625" style="106" customWidth="1"/>
    <col min="20" max="20" width="14.5703125" style="106" customWidth="1"/>
    <col min="21" max="21" width="12.140625" style="106" customWidth="1"/>
    <col min="22" max="16384" width="9.140625" style="106"/>
  </cols>
  <sheetData>
    <row r="1" spans="1:15" ht="15.75" customHeight="1" x14ac:dyDescent="0.3">
      <c r="A1" s="196"/>
      <c r="B1" s="196" t="s">
        <v>0</v>
      </c>
      <c r="G1" s="102"/>
    </row>
    <row r="2" spans="1:15" ht="15.75" customHeight="1" x14ac:dyDescent="0.25">
      <c r="A2" s="193"/>
      <c r="B2" s="193" t="s">
        <v>1</v>
      </c>
      <c r="G2" s="103"/>
    </row>
    <row r="3" spans="1:15" ht="15.75" customHeight="1" x14ac:dyDescent="0.25">
      <c r="G3" s="103"/>
    </row>
    <row r="4" spans="1:15" ht="15.75" customHeight="1" x14ac:dyDescent="0.25">
      <c r="B4" s="327"/>
      <c r="C4" s="488" t="s">
        <v>76</v>
      </c>
      <c r="D4" s="488"/>
      <c r="E4" s="488"/>
      <c r="F4" s="488"/>
      <c r="G4" s="328"/>
      <c r="H4" s="107"/>
      <c r="I4" s="107"/>
      <c r="J4" s="107"/>
      <c r="K4" s="107"/>
      <c r="L4" s="107"/>
      <c r="M4" s="107"/>
      <c r="N4" s="107"/>
      <c r="O4" s="107"/>
    </row>
    <row r="5" spans="1:15" ht="15.75" customHeight="1" x14ac:dyDescent="0.25">
      <c r="B5" s="327"/>
      <c r="C5" s="488" t="s">
        <v>114</v>
      </c>
      <c r="D5" s="488"/>
      <c r="E5" s="488"/>
      <c r="F5" s="488"/>
      <c r="G5" s="328"/>
      <c r="H5" s="107"/>
      <c r="I5" s="107"/>
      <c r="J5" s="107"/>
      <c r="K5" s="107"/>
      <c r="L5" s="107"/>
      <c r="M5" s="107"/>
      <c r="N5" s="107"/>
      <c r="O5" s="107"/>
    </row>
    <row r="6" spans="1:15" ht="15.75" customHeight="1" x14ac:dyDescent="0.25">
      <c r="B6" s="327"/>
      <c r="C6" s="488" t="s">
        <v>115</v>
      </c>
      <c r="D6" s="488"/>
      <c r="E6" s="488"/>
      <c r="F6" s="488"/>
      <c r="G6" s="328"/>
      <c r="H6" s="107"/>
      <c r="I6" s="107"/>
      <c r="J6" s="107"/>
      <c r="K6" s="107"/>
      <c r="L6" s="107"/>
      <c r="M6" s="107"/>
      <c r="N6" s="107"/>
      <c r="O6" s="107"/>
    </row>
    <row r="7" spans="1:15" ht="15.75" customHeight="1" x14ac:dyDescent="0.25">
      <c r="B7" s="327"/>
      <c r="C7" s="488" t="s">
        <v>78</v>
      </c>
      <c r="D7" s="488"/>
      <c r="E7" s="488"/>
      <c r="F7" s="488"/>
      <c r="G7" s="328"/>
      <c r="H7" s="107"/>
      <c r="I7" s="107"/>
      <c r="J7" s="107"/>
      <c r="K7" s="107"/>
      <c r="L7" s="107"/>
      <c r="M7" s="107"/>
      <c r="N7" s="107"/>
      <c r="O7" s="107"/>
    </row>
    <row r="8" spans="1:15" ht="15.75" x14ac:dyDescent="0.25">
      <c r="B8" s="327"/>
      <c r="C8" s="327"/>
      <c r="D8" s="327"/>
      <c r="E8" s="327"/>
      <c r="F8" s="328"/>
      <c r="G8" s="327"/>
    </row>
    <row r="9" spans="1:15" s="109" customFormat="1" ht="47.25" x14ac:dyDescent="0.25">
      <c r="B9" s="329" t="s">
        <v>88</v>
      </c>
      <c r="C9" s="330" t="s">
        <v>116</v>
      </c>
      <c r="D9" s="329" t="s">
        <v>117</v>
      </c>
      <c r="E9" s="331" t="s">
        <v>118</v>
      </c>
      <c r="F9" s="329" t="s">
        <v>119</v>
      </c>
      <c r="G9" s="329" t="s">
        <v>120</v>
      </c>
      <c r="H9" s="108"/>
      <c r="I9" s="108"/>
      <c r="J9" s="108"/>
      <c r="K9" s="108"/>
    </row>
    <row r="10" spans="1:15" ht="15.75" x14ac:dyDescent="0.25">
      <c r="B10" s="332" t="s">
        <v>45</v>
      </c>
      <c r="C10" s="333" t="s">
        <v>46</v>
      </c>
      <c r="D10" s="334" t="s">
        <v>47</v>
      </c>
      <c r="E10" s="335" t="s">
        <v>48</v>
      </c>
      <c r="F10" s="334" t="s">
        <v>49</v>
      </c>
      <c r="G10" s="336" t="s">
        <v>95</v>
      </c>
      <c r="H10" s="107"/>
      <c r="I10" s="107"/>
      <c r="J10" s="107"/>
      <c r="K10" s="107"/>
    </row>
    <row r="11" spans="1:15" ht="16.5" customHeight="1" x14ac:dyDescent="0.25">
      <c r="B11" s="337" t="s">
        <v>121</v>
      </c>
      <c r="C11" s="338"/>
      <c r="D11" s="338"/>
      <c r="E11" s="338"/>
      <c r="F11" s="339"/>
      <c r="G11" s="338"/>
    </row>
    <row r="12" spans="1:15" ht="15.75" x14ac:dyDescent="0.25">
      <c r="B12" s="340" t="s">
        <v>122</v>
      </c>
      <c r="C12" s="341">
        <v>503</v>
      </c>
      <c r="D12" s="342">
        <v>-1.5949999999999999E-2</v>
      </c>
      <c r="E12" s="343">
        <f>'Cost Recovery and Rates'!B18</f>
        <v>3.678E-2</v>
      </c>
      <c r="F12" s="344">
        <f>+D12+E12</f>
        <v>2.0830000000000001E-2</v>
      </c>
      <c r="G12" s="345">
        <f>+E12</f>
        <v>3.678E-2</v>
      </c>
      <c r="H12" s="110"/>
      <c r="I12" s="111"/>
      <c r="J12" s="112"/>
      <c r="K12" s="112"/>
    </row>
    <row r="13" spans="1:15" ht="15.75" x14ac:dyDescent="0.25">
      <c r="B13" s="340" t="s">
        <v>123</v>
      </c>
      <c r="C13" s="341">
        <v>504</v>
      </c>
      <c r="D13" s="342">
        <v>-1.172E-2</v>
      </c>
      <c r="E13" s="343">
        <f>'Cost Recovery and Rates'!C18</f>
        <v>2.639E-2</v>
      </c>
      <c r="F13" s="344">
        <f>+D13+E13</f>
        <v>1.4670000000000001E-2</v>
      </c>
      <c r="G13" s="345">
        <f t="shared" ref="G12:G17" si="0">+E13</f>
        <v>2.639E-2</v>
      </c>
      <c r="H13" s="110"/>
      <c r="I13" s="111"/>
      <c r="J13" s="112"/>
      <c r="K13" s="112"/>
    </row>
    <row r="14" spans="1:15" ht="15.75" x14ac:dyDescent="0.25">
      <c r="B14" s="340" t="s">
        <v>124</v>
      </c>
      <c r="C14" s="346">
        <v>505</v>
      </c>
      <c r="D14" s="342">
        <v>-8.1399999999999997E-3</v>
      </c>
      <c r="E14" s="343">
        <f>'Cost Recovery and Rates'!D18</f>
        <v>1.702E-2</v>
      </c>
      <c r="F14" s="344">
        <f t="shared" ref="F14:F17" si="1">+D14+E14</f>
        <v>8.8800000000000007E-3</v>
      </c>
      <c r="G14" s="345">
        <f t="shared" si="0"/>
        <v>1.702E-2</v>
      </c>
      <c r="H14" s="110"/>
      <c r="I14" s="111"/>
      <c r="J14" s="112"/>
      <c r="K14" s="112"/>
    </row>
    <row r="15" spans="1:15" ht="15.75" x14ac:dyDescent="0.25">
      <c r="B15" s="340" t="s">
        <v>125</v>
      </c>
      <c r="C15" s="346">
        <v>511</v>
      </c>
      <c r="D15" s="342">
        <v>-5.3899999999999998E-3</v>
      </c>
      <c r="E15" s="343">
        <f>'Cost Recovery and Rates'!E18</f>
        <v>1.239E-2</v>
      </c>
      <c r="F15" s="344">
        <f t="shared" si="1"/>
        <v>7.0000000000000001E-3</v>
      </c>
      <c r="G15" s="345">
        <f t="shared" si="0"/>
        <v>1.239E-2</v>
      </c>
      <c r="H15" s="110"/>
      <c r="I15" s="111"/>
      <c r="J15" s="112"/>
      <c r="K15" s="112"/>
    </row>
    <row r="16" spans="1:15" ht="15.75" x14ac:dyDescent="0.25">
      <c r="B16" s="340" t="s">
        <v>126</v>
      </c>
      <c r="C16" s="346">
        <v>570</v>
      </c>
      <c r="D16" s="342">
        <v>-2.9099999999999998E-3</v>
      </c>
      <c r="E16" s="343">
        <f>'Cost Recovery and Rates'!F18</f>
        <v>1.4039999999999999E-2</v>
      </c>
      <c r="F16" s="344">
        <f t="shared" si="1"/>
        <v>1.1129999999999999E-2</v>
      </c>
      <c r="G16" s="345">
        <f t="shared" si="0"/>
        <v>1.4039999999999999E-2</v>
      </c>
      <c r="H16" s="110"/>
      <c r="I16" s="111"/>
      <c r="J16" s="112"/>
      <c r="K16" s="112"/>
    </row>
    <row r="17" spans="2:22" ht="15.75" x14ac:dyDescent="0.25">
      <c r="B17" s="347" t="s">
        <v>127</v>
      </c>
      <c r="C17" s="332" t="s">
        <v>359</v>
      </c>
      <c r="D17" s="348">
        <v>-9.5E-4</v>
      </c>
      <c r="E17" s="348">
        <f>'Cost Recovery and Rates'!G18</f>
        <v>2.6699999999999996E-3</v>
      </c>
      <c r="F17" s="349">
        <f t="shared" si="1"/>
        <v>1.7199999999999997E-3</v>
      </c>
      <c r="G17" s="349">
        <f t="shared" si="0"/>
        <v>2.6699999999999996E-3</v>
      </c>
      <c r="H17" s="111"/>
      <c r="I17" s="111"/>
      <c r="J17" s="112"/>
      <c r="K17" s="112"/>
    </row>
    <row r="18" spans="2:22" x14ac:dyDescent="0.25">
      <c r="B18" s="113"/>
      <c r="G18" s="111"/>
      <c r="H18" s="111"/>
      <c r="I18" s="111"/>
      <c r="J18" s="111"/>
      <c r="K18" s="111"/>
    </row>
    <row r="19" spans="2:22" x14ac:dyDescent="0.25">
      <c r="B19" s="114"/>
      <c r="D19" s="115"/>
      <c r="E19" s="115"/>
      <c r="F19" s="115"/>
      <c r="G19" s="116"/>
      <c r="Q19" s="112"/>
      <c r="R19" s="112"/>
      <c r="S19" s="112"/>
      <c r="T19" s="112"/>
      <c r="U19" s="112"/>
      <c r="V19" s="112"/>
    </row>
    <row r="20" spans="2:22" x14ac:dyDescent="0.25">
      <c r="B20" s="114"/>
      <c r="D20" s="115"/>
      <c r="E20" s="115"/>
      <c r="F20" s="115"/>
      <c r="G20" s="116"/>
      <c r="Q20" s="112"/>
      <c r="R20" s="112"/>
      <c r="S20" s="112"/>
      <c r="T20" s="112"/>
      <c r="U20" s="112"/>
    </row>
    <row r="21" spans="2:22" x14ac:dyDescent="0.25">
      <c r="B21" s="114"/>
      <c r="D21" s="115"/>
      <c r="E21" s="115"/>
      <c r="F21" s="115"/>
      <c r="G21" s="116"/>
      <c r="Q21" s="112"/>
      <c r="R21" s="112"/>
      <c r="S21" s="112"/>
      <c r="T21" s="112"/>
      <c r="U21" s="112"/>
    </row>
    <row r="22" spans="2:22" x14ac:dyDescent="0.25">
      <c r="B22" s="113"/>
      <c r="F22" s="107"/>
      <c r="G22" s="116"/>
    </row>
    <row r="23" spans="2:22" x14ac:dyDescent="0.25">
      <c r="B23" s="113"/>
      <c r="F23" s="107"/>
      <c r="G23" s="117"/>
      <c r="H23" s="117"/>
      <c r="I23" s="117"/>
    </row>
    <row r="24" spans="2:22" x14ac:dyDescent="0.25">
      <c r="F24" s="118"/>
      <c r="K24" s="117"/>
    </row>
    <row r="25" spans="2:22" x14ac:dyDescent="0.25">
      <c r="F25" s="119"/>
      <c r="K25" s="117"/>
    </row>
    <row r="26" spans="2:22" x14ac:dyDescent="0.25">
      <c r="K26" s="117"/>
    </row>
    <row r="27" spans="2:22" x14ac:dyDescent="0.25">
      <c r="K27" s="117"/>
    </row>
  </sheetData>
  <mergeCells count="4">
    <mergeCell ref="C4:F4"/>
    <mergeCell ref="C5:F5"/>
    <mergeCell ref="C6:F6"/>
    <mergeCell ref="C7:F7"/>
  </mergeCells>
  <printOptions horizontalCentered="1"/>
  <pageMargins left="0.2" right="0.2" top="1" bottom="0.33" header="0.18" footer="0.2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591-9E40-41E3-898D-1691D0B45067}">
  <dimension ref="A1:N44"/>
  <sheetViews>
    <sheetView view="pageBreakPreview" zoomScaleNormal="100" zoomScaleSheetLayoutView="100" workbookViewId="0">
      <selection activeCell="J51" sqref="J51"/>
    </sheetView>
  </sheetViews>
  <sheetFormatPr defaultColWidth="10.28515625" defaultRowHeight="15.75" x14ac:dyDescent="0.25"/>
  <cols>
    <col min="1" max="1" width="6" style="401" customWidth="1"/>
    <col min="2" max="2" width="2" style="401" customWidth="1"/>
    <col min="3" max="3" width="34.5703125" style="401" bestFit="1" customWidth="1"/>
    <col min="4" max="4" width="13" style="401" bestFit="1" customWidth="1"/>
    <col min="5" max="5" width="14.42578125" style="401" bestFit="1" customWidth="1"/>
    <col min="6" max="6" width="11.7109375" style="401" bestFit="1" customWidth="1"/>
    <col min="7" max="7" width="16.85546875" style="401" customWidth="1"/>
    <col min="8" max="8" width="14" style="401" bestFit="1" customWidth="1"/>
    <col min="9" max="9" width="14.7109375" style="401" customWidth="1"/>
    <col min="10" max="10" width="12.28515625" style="401" customWidth="1"/>
    <col min="11" max="11" width="14.5703125" style="401" bestFit="1" customWidth="1"/>
    <col min="12" max="12" width="14.7109375" style="401" customWidth="1"/>
    <col min="13" max="13" width="3.5703125" style="401" customWidth="1"/>
    <col min="14" max="255" width="10.28515625" style="401"/>
    <col min="256" max="256" width="6" style="401" customWidth="1"/>
    <col min="257" max="257" width="2" style="401" customWidth="1"/>
    <col min="258" max="259" width="10.28515625" style="401"/>
    <col min="260" max="260" width="5.5703125" style="401" customWidth="1"/>
    <col min="261" max="261" width="4.42578125" style="401" customWidth="1"/>
    <col min="262" max="262" width="10.28515625" style="401"/>
    <col min="263" max="263" width="4.42578125" style="401" customWidth="1"/>
    <col min="264" max="264" width="14.7109375" style="401" customWidth="1"/>
    <col min="265" max="265" width="3.85546875" style="401" customWidth="1"/>
    <col min="266" max="266" width="13.85546875" style="401" customWidth="1"/>
    <col min="267" max="267" width="4.140625" style="401" customWidth="1"/>
    <col min="268" max="268" width="14.7109375" style="401" customWidth="1"/>
    <col min="269" max="269" width="3.5703125" style="401" customWidth="1"/>
    <col min="270" max="511" width="10.28515625" style="401"/>
    <col min="512" max="512" width="6" style="401" customWidth="1"/>
    <col min="513" max="513" width="2" style="401" customWidth="1"/>
    <col min="514" max="515" width="10.28515625" style="401"/>
    <col min="516" max="516" width="5.5703125" style="401" customWidth="1"/>
    <col min="517" max="517" width="4.42578125" style="401" customWidth="1"/>
    <col min="518" max="518" width="10.28515625" style="401"/>
    <col min="519" max="519" width="4.42578125" style="401" customWidth="1"/>
    <col min="520" max="520" width="14.7109375" style="401" customWidth="1"/>
    <col min="521" max="521" width="3.85546875" style="401" customWidth="1"/>
    <col min="522" max="522" width="13.85546875" style="401" customWidth="1"/>
    <col min="523" max="523" width="4.140625" style="401" customWidth="1"/>
    <col min="524" max="524" width="14.7109375" style="401" customWidth="1"/>
    <col min="525" max="525" width="3.5703125" style="401" customWidth="1"/>
    <col min="526" max="767" width="10.28515625" style="401"/>
    <col min="768" max="768" width="6" style="401" customWidth="1"/>
    <col min="769" max="769" width="2" style="401" customWidth="1"/>
    <col min="770" max="771" width="10.28515625" style="401"/>
    <col min="772" max="772" width="5.5703125" style="401" customWidth="1"/>
    <col min="773" max="773" width="4.42578125" style="401" customWidth="1"/>
    <col min="774" max="774" width="10.28515625" style="401"/>
    <col min="775" max="775" width="4.42578125" style="401" customWidth="1"/>
    <col min="776" max="776" width="14.7109375" style="401" customWidth="1"/>
    <col min="777" max="777" width="3.85546875" style="401" customWidth="1"/>
    <col min="778" max="778" width="13.85546875" style="401" customWidth="1"/>
    <col min="779" max="779" width="4.140625" style="401" customWidth="1"/>
    <col min="780" max="780" width="14.7109375" style="401" customWidth="1"/>
    <col min="781" max="781" width="3.5703125" style="401" customWidth="1"/>
    <col min="782" max="1023" width="10.28515625" style="401"/>
    <col min="1024" max="1024" width="6" style="401" customWidth="1"/>
    <col min="1025" max="1025" width="2" style="401" customWidth="1"/>
    <col min="1026" max="1027" width="10.28515625" style="401"/>
    <col min="1028" max="1028" width="5.5703125" style="401" customWidth="1"/>
    <col min="1029" max="1029" width="4.42578125" style="401" customWidth="1"/>
    <col min="1030" max="1030" width="10.28515625" style="401"/>
    <col min="1031" max="1031" width="4.42578125" style="401" customWidth="1"/>
    <col min="1032" max="1032" width="14.7109375" style="401" customWidth="1"/>
    <col min="1033" max="1033" width="3.85546875" style="401" customWidth="1"/>
    <col min="1034" max="1034" width="13.85546875" style="401" customWidth="1"/>
    <col min="1035" max="1035" width="4.140625" style="401" customWidth="1"/>
    <col min="1036" max="1036" width="14.7109375" style="401" customWidth="1"/>
    <col min="1037" max="1037" width="3.5703125" style="401" customWidth="1"/>
    <col min="1038" max="1279" width="10.28515625" style="401"/>
    <col min="1280" max="1280" width="6" style="401" customWidth="1"/>
    <col min="1281" max="1281" width="2" style="401" customWidth="1"/>
    <col min="1282" max="1283" width="10.28515625" style="401"/>
    <col min="1284" max="1284" width="5.5703125" style="401" customWidth="1"/>
    <col min="1285" max="1285" width="4.42578125" style="401" customWidth="1"/>
    <col min="1286" max="1286" width="10.28515625" style="401"/>
    <col min="1287" max="1287" width="4.42578125" style="401" customWidth="1"/>
    <col min="1288" max="1288" width="14.7109375" style="401" customWidth="1"/>
    <col min="1289" max="1289" width="3.85546875" style="401" customWidth="1"/>
    <col min="1290" max="1290" width="13.85546875" style="401" customWidth="1"/>
    <col min="1291" max="1291" width="4.140625" style="401" customWidth="1"/>
    <col min="1292" max="1292" width="14.7109375" style="401" customWidth="1"/>
    <col min="1293" max="1293" width="3.5703125" style="401" customWidth="1"/>
    <col min="1294" max="1535" width="10.28515625" style="401"/>
    <col min="1536" max="1536" width="6" style="401" customWidth="1"/>
    <col min="1537" max="1537" width="2" style="401" customWidth="1"/>
    <col min="1538" max="1539" width="10.28515625" style="401"/>
    <col min="1540" max="1540" width="5.5703125" style="401" customWidth="1"/>
    <col min="1541" max="1541" width="4.42578125" style="401" customWidth="1"/>
    <col min="1542" max="1542" width="10.28515625" style="401"/>
    <col min="1543" max="1543" width="4.42578125" style="401" customWidth="1"/>
    <col min="1544" max="1544" width="14.7109375" style="401" customWidth="1"/>
    <col min="1545" max="1545" width="3.85546875" style="401" customWidth="1"/>
    <col min="1546" max="1546" width="13.85546875" style="401" customWidth="1"/>
    <col min="1547" max="1547" width="4.140625" style="401" customWidth="1"/>
    <col min="1548" max="1548" width="14.7109375" style="401" customWidth="1"/>
    <col min="1549" max="1549" width="3.5703125" style="401" customWidth="1"/>
    <col min="1550" max="1791" width="10.28515625" style="401"/>
    <col min="1792" max="1792" width="6" style="401" customWidth="1"/>
    <col min="1793" max="1793" width="2" style="401" customWidth="1"/>
    <col min="1794" max="1795" width="10.28515625" style="401"/>
    <col min="1796" max="1796" width="5.5703125" style="401" customWidth="1"/>
    <col min="1797" max="1797" width="4.42578125" style="401" customWidth="1"/>
    <col min="1798" max="1798" width="10.28515625" style="401"/>
    <col min="1799" max="1799" width="4.42578125" style="401" customWidth="1"/>
    <col min="1800" max="1800" width="14.7109375" style="401" customWidth="1"/>
    <col min="1801" max="1801" width="3.85546875" style="401" customWidth="1"/>
    <col min="1802" max="1802" width="13.85546875" style="401" customWidth="1"/>
    <col min="1803" max="1803" width="4.140625" style="401" customWidth="1"/>
    <col min="1804" max="1804" width="14.7109375" style="401" customWidth="1"/>
    <col min="1805" max="1805" width="3.5703125" style="401" customWidth="1"/>
    <col min="1806" max="2047" width="10.28515625" style="401"/>
    <col min="2048" max="2048" width="6" style="401" customWidth="1"/>
    <col min="2049" max="2049" width="2" style="401" customWidth="1"/>
    <col min="2050" max="2051" width="10.28515625" style="401"/>
    <col min="2052" max="2052" width="5.5703125" style="401" customWidth="1"/>
    <col min="2053" max="2053" width="4.42578125" style="401" customWidth="1"/>
    <col min="2054" max="2054" width="10.28515625" style="401"/>
    <col min="2055" max="2055" width="4.42578125" style="401" customWidth="1"/>
    <col min="2056" max="2056" width="14.7109375" style="401" customWidth="1"/>
    <col min="2057" max="2057" width="3.85546875" style="401" customWidth="1"/>
    <col min="2058" max="2058" width="13.85546875" style="401" customWidth="1"/>
    <col min="2059" max="2059" width="4.140625" style="401" customWidth="1"/>
    <col min="2060" max="2060" width="14.7109375" style="401" customWidth="1"/>
    <col min="2061" max="2061" width="3.5703125" style="401" customWidth="1"/>
    <col min="2062" max="2303" width="10.28515625" style="401"/>
    <col min="2304" max="2304" width="6" style="401" customWidth="1"/>
    <col min="2305" max="2305" width="2" style="401" customWidth="1"/>
    <col min="2306" max="2307" width="10.28515625" style="401"/>
    <col min="2308" max="2308" width="5.5703125" style="401" customWidth="1"/>
    <col min="2309" max="2309" width="4.42578125" style="401" customWidth="1"/>
    <col min="2310" max="2310" width="10.28515625" style="401"/>
    <col min="2311" max="2311" width="4.42578125" style="401" customWidth="1"/>
    <col min="2312" max="2312" width="14.7109375" style="401" customWidth="1"/>
    <col min="2313" max="2313" width="3.85546875" style="401" customWidth="1"/>
    <col min="2314" max="2314" width="13.85546875" style="401" customWidth="1"/>
    <col min="2315" max="2315" width="4.140625" style="401" customWidth="1"/>
    <col min="2316" max="2316" width="14.7109375" style="401" customWidth="1"/>
    <col min="2317" max="2317" width="3.5703125" style="401" customWidth="1"/>
    <col min="2318" max="2559" width="10.28515625" style="401"/>
    <col min="2560" max="2560" width="6" style="401" customWidth="1"/>
    <col min="2561" max="2561" width="2" style="401" customWidth="1"/>
    <col min="2562" max="2563" width="10.28515625" style="401"/>
    <col min="2564" max="2564" width="5.5703125" style="401" customWidth="1"/>
    <col min="2565" max="2565" width="4.42578125" style="401" customWidth="1"/>
    <col min="2566" max="2566" width="10.28515625" style="401"/>
    <col min="2567" max="2567" width="4.42578125" style="401" customWidth="1"/>
    <col min="2568" max="2568" width="14.7109375" style="401" customWidth="1"/>
    <col min="2569" max="2569" width="3.85546875" style="401" customWidth="1"/>
    <col min="2570" max="2570" width="13.85546875" style="401" customWidth="1"/>
    <col min="2571" max="2571" width="4.140625" style="401" customWidth="1"/>
    <col min="2572" max="2572" width="14.7109375" style="401" customWidth="1"/>
    <col min="2573" max="2573" width="3.5703125" style="401" customWidth="1"/>
    <col min="2574" max="2815" width="10.28515625" style="401"/>
    <col min="2816" max="2816" width="6" style="401" customWidth="1"/>
    <col min="2817" max="2817" width="2" style="401" customWidth="1"/>
    <col min="2818" max="2819" width="10.28515625" style="401"/>
    <col min="2820" max="2820" width="5.5703125" style="401" customWidth="1"/>
    <col min="2821" max="2821" width="4.42578125" style="401" customWidth="1"/>
    <col min="2822" max="2822" width="10.28515625" style="401"/>
    <col min="2823" max="2823" width="4.42578125" style="401" customWidth="1"/>
    <col min="2824" max="2824" width="14.7109375" style="401" customWidth="1"/>
    <col min="2825" max="2825" width="3.85546875" style="401" customWidth="1"/>
    <col min="2826" max="2826" width="13.85546875" style="401" customWidth="1"/>
    <col min="2827" max="2827" width="4.140625" style="401" customWidth="1"/>
    <col min="2828" max="2828" width="14.7109375" style="401" customWidth="1"/>
    <col min="2829" max="2829" width="3.5703125" style="401" customWidth="1"/>
    <col min="2830" max="3071" width="10.28515625" style="401"/>
    <col min="3072" max="3072" width="6" style="401" customWidth="1"/>
    <col min="3073" max="3073" width="2" style="401" customWidth="1"/>
    <col min="3074" max="3075" width="10.28515625" style="401"/>
    <col min="3076" max="3076" width="5.5703125" style="401" customWidth="1"/>
    <col min="3077" max="3077" width="4.42578125" style="401" customWidth="1"/>
    <col min="3078" max="3078" width="10.28515625" style="401"/>
    <col min="3079" max="3079" width="4.42578125" style="401" customWidth="1"/>
    <col min="3080" max="3080" width="14.7109375" style="401" customWidth="1"/>
    <col min="3081" max="3081" width="3.85546875" style="401" customWidth="1"/>
    <col min="3082" max="3082" width="13.85546875" style="401" customWidth="1"/>
    <col min="3083" max="3083" width="4.140625" style="401" customWidth="1"/>
    <col min="3084" max="3084" width="14.7109375" style="401" customWidth="1"/>
    <col min="3085" max="3085" width="3.5703125" style="401" customWidth="1"/>
    <col min="3086" max="3327" width="10.28515625" style="401"/>
    <col min="3328" max="3328" width="6" style="401" customWidth="1"/>
    <col min="3329" max="3329" width="2" style="401" customWidth="1"/>
    <col min="3330" max="3331" width="10.28515625" style="401"/>
    <col min="3332" max="3332" width="5.5703125" style="401" customWidth="1"/>
    <col min="3333" max="3333" width="4.42578125" style="401" customWidth="1"/>
    <col min="3334" max="3334" width="10.28515625" style="401"/>
    <col min="3335" max="3335" width="4.42578125" style="401" customWidth="1"/>
    <col min="3336" max="3336" width="14.7109375" style="401" customWidth="1"/>
    <col min="3337" max="3337" width="3.85546875" style="401" customWidth="1"/>
    <col min="3338" max="3338" width="13.85546875" style="401" customWidth="1"/>
    <col min="3339" max="3339" width="4.140625" style="401" customWidth="1"/>
    <col min="3340" max="3340" width="14.7109375" style="401" customWidth="1"/>
    <col min="3341" max="3341" width="3.5703125" style="401" customWidth="1"/>
    <col min="3342" max="3583" width="10.28515625" style="401"/>
    <col min="3584" max="3584" width="6" style="401" customWidth="1"/>
    <col min="3585" max="3585" width="2" style="401" customWidth="1"/>
    <col min="3586" max="3587" width="10.28515625" style="401"/>
    <col min="3588" max="3588" width="5.5703125" style="401" customWidth="1"/>
    <col min="3589" max="3589" width="4.42578125" style="401" customWidth="1"/>
    <col min="3590" max="3590" width="10.28515625" style="401"/>
    <col min="3591" max="3591" width="4.42578125" style="401" customWidth="1"/>
    <col min="3592" max="3592" width="14.7109375" style="401" customWidth="1"/>
    <col min="3593" max="3593" width="3.85546875" style="401" customWidth="1"/>
    <col min="3594" max="3594" width="13.85546875" style="401" customWidth="1"/>
    <col min="3595" max="3595" width="4.140625" style="401" customWidth="1"/>
    <col min="3596" max="3596" width="14.7109375" style="401" customWidth="1"/>
    <col min="3597" max="3597" width="3.5703125" style="401" customWidth="1"/>
    <col min="3598" max="3839" width="10.28515625" style="401"/>
    <col min="3840" max="3840" width="6" style="401" customWidth="1"/>
    <col min="3841" max="3841" width="2" style="401" customWidth="1"/>
    <col min="3842" max="3843" width="10.28515625" style="401"/>
    <col min="3844" max="3844" width="5.5703125" style="401" customWidth="1"/>
    <col min="3845" max="3845" width="4.42578125" style="401" customWidth="1"/>
    <col min="3846" max="3846" width="10.28515625" style="401"/>
    <col min="3847" max="3847" width="4.42578125" style="401" customWidth="1"/>
    <col min="3848" max="3848" width="14.7109375" style="401" customWidth="1"/>
    <col min="3849" max="3849" width="3.85546875" style="401" customWidth="1"/>
    <col min="3850" max="3850" width="13.85546875" style="401" customWidth="1"/>
    <col min="3851" max="3851" width="4.140625" style="401" customWidth="1"/>
    <col min="3852" max="3852" width="14.7109375" style="401" customWidth="1"/>
    <col min="3853" max="3853" width="3.5703125" style="401" customWidth="1"/>
    <col min="3854" max="4095" width="10.28515625" style="401"/>
    <col min="4096" max="4096" width="6" style="401" customWidth="1"/>
    <col min="4097" max="4097" width="2" style="401" customWidth="1"/>
    <col min="4098" max="4099" width="10.28515625" style="401"/>
    <col min="4100" max="4100" width="5.5703125" style="401" customWidth="1"/>
    <col min="4101" max="4101" width="4.42578125" style="401" customWidth="1"/>
    <col min="4102" max="4102" width="10.28515625" style="401"/>
    <col min="4103" max="4103" width="4.42578125" style="401" customWidth="1"/>
    <col min="4104" max="4104" width="14.7109375" style="401" customWidth="1"/>
    <col min="4105" max="4105" width="3.85546875" style="401" customWidth="1"/>
    <col min="4106" max="4106" width="13.85546875" style="401" customWidth="1"/>
    <col min="4107" max="4107" width="4.140625" style="401" customWidth="1"/>
    <col min="4108" max="4108" width="14.7109375" style="401" customWidth="1"/>
    <col min="4109" max="4109" width="3.5703125" style="401" customWidth="1"/>
    <col min="4110" max="4351" width="10.28515625" style="401"/>
    <col min="4352" max="4352" width="6" style="401" customWidth="1"/>
    <col min="4353" max="4353" width="2" style="401" customWidth="1"/>
    <col min="4354" max="4355" width="10.28515625" style="401"/>
    <col min="4356" max="4356" width="5.5703125" style="401" customWidth="1"/>
    <col min="4357" max="4357" width="4.42578125" style="401" customWidth="1"/>
    <col min="4358" max="4358" width="10.28515625" style="401"/>
    <col min="4359" max="4359" width="4.42578125" style="401" customWidth="1"/>
    <col min="4360" max="4360" width="14.7109375" style="401" customWidth="1"/>
    <col min="4361" max="4361" width="3.85546875" style="401" customWidth="1"/>
    <col min="4362" max="4362" width="13.85546875" style="401" customWidth="1"/>
    <col min="4363" max="4363" width="4.140625" style="401" customWidth="1"/>
    <col min="4364" max="4364" width="14.7109375" style="401" customWidth="1"/>
    <col min="4365" max="4365" width="3.5703125" style="401" customWidth="1"/>
    <col min="4366" max="4607" width="10.28515625" style="401"/>
    <col min="4608" max="4608" width="6" style="401" customWidth="1"/>
    <col min="4609" max="4609" width="2" style="401" customWidth="1"/>
    <col min="4610" max="4611" width="10.28515625" style="401"/>
    <col min="4612" max="4612" width="5.5703125" style="401" customWidth="1"/>
    <col min="4613" max="4613" width="4.42578125" style="401" customWidth="1"/>
    <col min="4614" max="4614" width="10.28515625" style="401"/>
    <col min="4615" max="4615" width="4.42578125" style="401" customWidth="1"/>
    <col min="4616" max="4616" width="14.7109375" style="401" customWidth="1"/>
    <col min="4617" max="4617" width="3.85546875" style="401" customWidth="1"/>
    <col min="4618" max="4618" width="13.85546875" style="401" customWidth="1"/>
    <col min="4619" max="4619" width="4.140625" style="401" customWidth="1"/>
    <col min="4620" max="4620" width="14.7109375" style="401" customWidth="1"/>
    <col min="4621" max="4621" width="3.5703125" style="401" customWidth="1"/>
    <col min="4622" max="4863" width="10.28515625" style="401"/>
    <col min="4864" max="4864" width="6" style="401" customWidth="1"/>
    <col min="4865" max="4865" width="2" style="401" customWidth="1"/>
    <col min="4866" max="4867" width="10.28515625" style="401"/>
    <col min="4868" max="4868" width="5.5703125" style="401" customWidth="1"/>
    <col min="4869" max="4869" width="4.42578125" style="401" customWidth="1"/>
    <col min="4870" max="4870" width="10.28515625" style="401"/>
    <col min="4871" max="4871" width="4.42578125" style="401" customWidth="1"/>
    <col min="4872" max="4872" width="14.7109375" style="401" customWidth="1"/>
    <col min="4873" max="4873" width="3.85546875" style="401" customWidth="1"/>
    <col min="4874" max="4874" width="13.85546875" style="401" customWidth="1"/>
    <col min="4875" max="4875" width="4.140625" style="401" customWidth="1"/>
    <col min="4876" max="4876" width="14.7109375" style="401" customWidth="1"/>
    <col min="4877" max="4877" width="3.5703125" style="401" customWidth="1"/>
    <col min="4878" max="5119" width="10.28515625" style="401"/>
    <col min="5120" max="5120" width="6" style="401" customWidth="1"/>
    <col min="5121" max="5121" width="2" style="401" customWidth="1"/>
    <col min="5122" max="5123" width="10.28515625" style="401"/>
    <col min="5124" max="5124" width="5.5703125" style="401" customWidth="1"/>
    <col min="5125" max="5125" width="4.42578125" style="401" customWidth="1"/>
    <col min="5126" max="5126" width="10.28515625" style="401"/>
    <col min="5127" max="5127" width="4.42578125" style="401" customWidth="1"/>
    <col min="5128" max="5128" width="14.7109375" style="401" customWidth="1"/>
    <col min="5129" max="5129" width="3.85546875" style="401" customWidth="1"/>
    <col min="5130" max="5130" width="13.85546875" style="401" customWidth="1"/>
    <col min="5131" max="5131" width="4.140625" style="401" customWidth="1"/>
    <col min="5132" max="5132" width="14.7109375" style="401" customWidth="1"/>
    <col min="5133" max="5133" width="3.5703125" style="401" customWidth="1"/>
    <col min="5134" max="5375" width="10.28515625" style="401"/>
    <col min="5376" max="5376" width="6" style="401" customWidth="1"/>
    <col min="5377" max="5377" width="2" style="401" customWidth="1"/>
    <col min="5378" max="5379" width="10.28515625" style="401"/>
    <col min="5380" max="5380" width="5.5703125" style="401" customWidth="1"/>
    <col min="5381" max="5381" width="4.42578125" style="401" customWidth="1"/>
    <col min="5382" max="5382" width="10.28515625" style="401"/>
    <col min="5383" max="5383" width="4.42578125" style="401" customWidth="1"/>
    <col min="5384" max="5384" width="14.7109375" style="401" customWidth="1"/>
    <col min="5385" max="5385" width="3.85546875" style="401" customWidth="1"/>
    <col min="5386" max="5386" width="13.85546875" style="401" customWidth="1"/>
    <col min="5387" max="5387" width="4.140625" style="401" customWidth="1"/>
    <col min="5388" max="5388" width="14.7109375" style="401" customWidth="1"/>
    <col min="5389" max="5389" width="3.5703125" style="401" customWidth="1"/>
    <col min="5390" max="5631" width="10.28515625" style="401"/>
    <col min="5632" max="5632" width="6" style="401" customWidth="1"/>
    <col min="5633" max="5633" width="2" style="401" customWidth="1"/>
    <col min="5634" max="5635" width="10.28515625" style="401"/>
    <col min="5636" max="5636" width="5.5703125" style="401" customWidth="1"/>
    <col min="5637" max="5637" width="4.42578125" style="401" customWidth="1"/>
    <col min="5638" max="5638" width="10.28515625" style="401"/>
    <col min="5639" max="5639" width="4.42578125" style="401" customWidth="1"/>
    <col min="5640" max="5640" width="14.7109375" style="401" customWidth="1"/>
    <col min="5641" max="5641" width="3.85546875" style="401" customWidth="1"/>
    <col min="5642" max="5642" width="13.85546875" style="401" customWidth="1"/>
    <col min="5643" max="5643" width="4.140625" style="401" customWidth="1"/>
    <col min="5644" max="5644" width="14.7109375" style="401" customWidth="1"/>
    <col min="5645" max="5645" width="3.5703125" style="401" customWidth="1"/>
    <col min="5646" max="5887" width="10.28515625" style="401"/>
    <col min="5888" max="5888" width="6" style="401" customWidth="1"/>
    <col min="5889" max="5889" width="2" style="401" customWidth="1"/>
    <col min="5890" max="5891" width="10.28515625" style="401"/>
    <col min="5892" max="5892" width="5.5703125" style="401" customWidth="1"/>
    <col min="5893" max="5893" width="4.42578125" style="401" customWidth="1"/>
    <col min="5894" max="5894" width="10.28515625" style="401"/>
    <col min="5895" max="5895" width="4.42578125" style="401" customWidth="1"/>
    <col min="5896" max="5896" width="14.7109375" style="401" customWidth="1"/>
    <col min="5897" max="5897" width="3.85546875" style="401" customWidth="1"/>
    <col min="5898" max="5898" width="13.85546875" style="401" customWidth="1"/>
    <col min="5899" max="5899" width="4.140625" style="401" customWidth="1"/>
    <col min="5900" max="5900" width="14.7109375" style="401" customWidth="1"/>
    <col min="5901" max="5901" width="3.5703125" style="401" customWidth="1"/>
    <col min="5902" max="6143" width="10.28515625" style="401"/>
    <col min="6144" max="6144" width="6" style="401" customWidth="1"/>
    <col min="6145" max="6145" width="2" style="401" customWidth="1"/>
    <col min="6146" max="6147" width="10.28515625" style="401"/>
    <col min="6148" max="6148" width="5.5703125" style="401" customWidth="1"/>
    <col min="6149" max="6149" width="4.42578125" style="401" customWidth="1"/>
    <col min="6150" max="6150" width="10.28515625" style="401"/>
    <col min="6151" max="6151" width="4.42578125" style="401" customWidth="1"/>
    <col min="6152" max="6152" width="14.7109375" style="401" customWidth="1"/>
    <col min="6153" max="6153" width="3.85546875" style="401" customWidth="1"/>
    <col min="6154" max="6154" width="13.85546875" style="401" customWidth="1"/>
    <col min="6155" max="6155" width="4.140625" style="401" customWidth="1"/>
    <col min="6156" max="6156" width="14.7109375" style="401" customWidth="1"/>
    <col min="6157" max="6157" width="3.5703125" style="401" customWidth="1"/>
    <col min="6158" max="6399" width="10.28515625" style="401"/>
    <col min="6400" max="6400" width="6" style="401" customWidth="1"/>
    <col min="6401" max="6401" width="2" style="401" customWidth="1"/>
    <col min="6402" max="6403" width="10.28515625" style="401"/>
    <col min="6404" max="6404" width="5.5703125" style="401" customWidth="1"/>
    <col min="6405" max="6405" width="4.42578125" style="401" customWidth="1"/>
    <col min="6406" max="6406" width="10.28515625" style="401"/>
    <col min="6407" max="6407" width="4.42578125" style="401" customWidth="1"/>
    <col min="6408" max="6408" width="14.7109375" style="401" customWidth="1"/>
    <col min="6409" max="6409" width="3.85546875" style="401" customWidth="1"/>
    <col min="6410" max="6410" width="13.85546875" style="401" customWidth="1"/>
    <col min="6411" max="6411" width="4.140625" style="401" customWidth="1"/>
    <col min="6412" max="6412" width="14.7109375" style="401" customWidth="1"/>
    <col min="6413" max="6413" width="3.5703125" style="401" customWidth="1"/>
    <col min="6414" max="6655" width="10.28515625" style="401"/>
    <col min="6656" max="6656" width="6" style="401" customWidth="1"/>
    <col min="6657" max="6657" width="2" style="401" customWidth="1"/>
    <col min="6658" max="6659" width="10.28515625" style="401"/>
    <col min="6660" max="6660" width="5.5703125" style="401" customWidth="1"/>
    <col min="6661" max="6661" width="4.42578125" style="401" customWidth="1"/>
    <col min="6662" max="6662" width="10.28515625" style="401"/>
    <col min="6663" max="6663" width="4.42578125" style="401" customWidth="1"/>
    <col min="6664" max="6664" width="14.7109375" style="401" customWidth="1"/>
    <col min="6665" max="6665" width="3.85546875" style="401" customWidth="1"/>
    <col min="6666" max="6666" width="13.85546875" style="401" customWidth="1"/>
    <col min="6667" max="6667" width="4.140625" style="401" customWidth="1"/>
    <col min="6668" max="6668" width="14.7109375" style="401" customWidth="1"/>
    <col min="6669" max="6669" width="3.5703125" style="401" customWidth="1"/>
    <col min="6670" max="6911" width="10.28515625" style="401"/>
    <col min="6912" max="6912" width="6" style="401" customWidth="1"/>
    <col min="6913" max="6913" width="2" style="401" customWidth="1"/>
    <col min="6914" max="6915" width="10.28515625" style="401"/>
    <col min="6916" max="6916" width="5.5703125" style="401" customWidth="1"/>
    <col min="6917" max="6917" width="4.42578125" style="401" customWidth="1"/>
    <col min="6918" max="6918" width="10.28515625" style="401"/>
    <col min="6919" max="6919" width="4.42578125" style="401" customWidth="1"/>
    <col min="6920" max="6920" width="14.7109375" style="401" customWidth="1"/>
    <col min="6921" max="6921" width="3.85546875" style="401" customWidth="1"/>
    <col min="6922" max="6922" width="13.85546875" style="401" customWidth="1"/>
    <col min="6923" max="6923" width="4.140625" style="401" customWidth="1"/>
    <col min="6924" max="6924" width="14.7109375" style="401" customWidth="1"/>
    <col min="6925" max="6925" width="3.5703125" style="401" customWidth="1"/>
    <col min="6926" max="7167" width="10.28515625" style="401"/>
    <col min="7168" max="7168" width="6" style="401" customWidth="1"/>
    <col min="7169" max="7169" width="2" style="401" customWidth="1"/>
    <col min="7170" max="7171" width="10.28515625" style="401"/>
    <col min="7172" max="7172" width="5.5703125" style="401" customWidth="1"/>
    <col min="7173" max="7173" width="4.42578125" style="401" customWidth="1"/>
    <col min="7174" max="7174" width="10.28515625" style="401"/>
    <col min="7175" max="7175" width="4.42578125" style="401" customWidth="1"/>
    <col min="7176" max="7176" width="14.7109375" style="401" customWidth="1"/>
    <col min="7177" max="7177" width="3.85546875" style="401" customWidth="1"/>
    <col min="7178" max="7178" width="13.85546875" style="401" customWidth="1"/>
    <col min="7179" max="7179" width="4.140625" style="401" customWidth="1"/>
    <col min="7180" max="7180" width="14.7109375" style="401" customWidth="1"/>
    <col min="7181" max="7181" width="3.5703125" style="401" customWidth="1"/>
    <col min="7182" max="7423" width="10.28515625" style="401"/>
    <col min="7424" max="7424" width="6" style="401" customWidth="1"/>
    <col min="7425" max="7425" width="2" style="401" customWidth="1"/>
    <col min="7426" max="7427" width="10.28515625" style="401"/>
    <col min="7428" max="7428" width="5.5703125" style="401" customWidth="1"/>
    <col min="7429" max="7429" width="4.42578125" style="401" customWidth="1"/>
    <col min="7430" max="7430" width="10.28515625" style="401"/>
    <col min="7431" max="7431" width="4.42578125" style="401" customWidth="1"/>
    <col min="7432" max="7432" width="14.7109375" style="401" customWidth="1"/>
    <col min="7433" max="7433" width="3.85546875" style="401" customWidth="1"/>
    <col min="7434" max="7434" width="13.85546875" style="401" customWidth="1"/>
    <col min="7435" max="7435" width="4.140625" style="401" customWidth="1"/>
    <col min="7436" max="7436" width="14.7109375" style="401" customWidth="1"/>
    <col min="7437" max="7437" width="3.5703125" style="401" customWidth="1"/>
    <col min="7438" max="7679" width="10.28515625" style="401"/>
    <col min="7680" max="7680" width="6" style="401" customWidth="1"/>
    <col min="7681" max="7681" width="2" style="401" customWidth="1"/>
    <col min="7682" max="7683" width="10.28515625" style="401"/>
    <col min="7684" max="7684" width="5.5703125" style="401" customWidth="1"/>
    <col min="7685" max="7685" width="4.42578125" style="401" customWidth="1"/>
    <col min="7686" max="7686" width="10.28515625" style="401"/>
    <col min="7687" max="7687" width="4.42578125" style="401" customWidth="1"/>
    <col min="7688" max="7688" width="14.7109375" style="401" customWidth="1"/>
    <col min="7689" max="7689" width="3.85546875" style="401" customWidth="1"/>
    <col min="7690" max="7690" width="13.85546875" style="401" customWidth="1"/>
    <col min="7691" max="7691" width="4.140625" style="401" customWidth="1"/>
    <col min="7692" max="7692" width="14.7109375" style="401" customWidth="1"/>
    <col min="7693" max="7693" width="3.5703125" style="401" customWidth="1"/>
    <col min="7694" max="7935" width="10.28515625" style="401"/>
    <col min="7936" max="7936" width="6" style="401" customWidth="1"/>
    <col min="7937" max="7937" width="2" style="401" customWidth="1"/>
    <col min="7938" max="7939" width="10.28515625" style="401"/>
    <col min="7940" max="7940" width="5.5703125" style="401" customWidth="1"/>
    <col min="7941" max="7941" width="4.42578125" style="401" customWidth="1"/>
    <col min="7942" max="7942" width="10.28515625" style="401"/>
    <col min="7943" max="7943" width="4.42578125" style="401" customWidth="1"/>
    <col min="7944" max="7944" width="14.7109375" style="401" customWidth="1"/>
    <col min="7945" max="7945" width="3.85546875" style="401" customWidth="1"/>
    <col min="7946" max="7946" width="13.85546875" style="401" customWidth="1"/>
    <col min="7947" max="7947" width="4.140625" style="401" customWidth="1"/>
    <col min="7948" max="7948" width="14.7109375" style="401" customWidth="1"/>
    <col min="7949" max="7949" width="3.5703125" style="401" customWidth="1"/>
    <col min="7950" max="8191" width="10.28515625" style="401"/>
    <col min="8192" max="8192" width="6" style="401" customWidth="1"/>
    <col min="8193" max="8193" width="2" style="401" customWidth="1"/>
    <col min="8194" max="8195" width="10.28515625" style="401"/>
    <col min="8196" max="8196" width="5.5703125" style="401" customWidth="1"/>
    <col min="8197" max="8197" width="4.42578125" style="401" customWidth="1"/>
    <col min="8198" max="8198" width="10.28515625" style="401"/>
    <col min="8199" max="8199" width="4.42578125" style="401" customWidth="1"/>
    <col min="8200" max="8200" width="14.7109375" style="401" customWidth="1"/>
    <col min="8201" max="8201" width="3.85546875" style="401" customWidth="1"/>
    <col min="8202" max="8202" width="13.85546875" style="401" customWidth="1"/>
    <col min="8203" max="8203" width="4.140625" style="401" customWidth="1"/>
    <col min="8204" max="8204" width="14.7109375" style="401" customWidth="1"/>
    <col min="8205" max="8205" width="3.5703125" style="401" customWidth="1"/>
    <col min="8206" max="8447" width="10.28515625" style="401"/>
    <col min="8448" max="8448" width="6" style="401" customWidth="1"/>
    <col min="8449" max="8449" width="2" style="401" customWidth="1"/>
    <col min="8450" max="8451" width="10.28515625" style="401"/>
    <col min="8452" max="8452" width="5.5703125" style="401" customWidth="1"/>
    <col min="8453" max="8453" width="4.42578125" style="401" customWidth="1"/>
    <col min="8454" max="8454" width="10.28515625" style="401"/>
    <col min="8455" max="8455" width="4.42578125" style="401" customWidth="1"/>
    <col min="8456" max="8456" width="14.7109375" style="401" customWidth="1"/>
    <col min="8457" max="8457" width="3.85546875" style="401" customWidth="1"/>
    <col min="8458" max="8458" width="13.85546875" style="401" customWidth="1"/>
    <col min="8459" max="8459" width="4.140625" style="401" customWidth="1"/>
    <col min="8460" max="8460" width="14.7109375" style="401" customWidth="1"/>
    <col min="8461" max="8461" width="3.5703125" style="401" customWidth="1"/>
    <col min="8462" max="8703" width="10.28515625" style="401"/>
    <col min="8704" max="8704" width="6" style="401" customWidth="1"/>
    <col min="8705" max="8705" width="2" style="401" customWidth="1"/>
    <col min="8706" max="8707" width="10.28515625" style="401"/>
    <col min="8708" max="8708" width="5.5703125" style="401" customWidth="1"/>
    <col min="8709" max="8709" width="4.42578125" style="401" customWidth="1"/>
    <col min="8710" max="8710" width="10.28515625" style="401"/>
    <col min="8711" max="8711" width="4.42578125" style="401" customWidth="1"/>
    <col min="8712" max="8712" width="14.7109375" style="401" customWidth="1"/>
    <col min="8713" max="8713" width="3.85546875" style="401" customWidth="1"/>
    <col min="8714" max="8714" width="13.85546875" style="401" customWidth="1"/>
    <col min="8715" max="8715" width="4.140625" style="401" customWidth="1"/>
    <col min="8716" max="8716" width="14.7109375" style="401" customWidth="1"/>
    <col min="8717" max="8717" width="3.5703125" style="401" customWidth="1"/>
    <col min="8718" max="8959" width="10.28515625" style="401"/>
    <col min="8960" max="8960" width="6" style="401" customWidth="1"/>
    <col min="8961" max="8961" width="2" style="401" customWidth="1"/>
    <col min="8962" max="8963" width="10.28515625" style="401"/>
    <col min="8964" max="8964" width="5.5703125" style="401" customWidth="1"/>
    <col min="8965" max="8965" width="4.42578125" style="401" customWidth="1"/>
    <col min="8966" max="8966" width="10.28515625" style="401"/>
    <col min="8967" max="8967" width="4.42578125" style="401" customWidth="1"/>
    <col min="8968" max="8968" width="14.7109375" style="401" customWidth="1"/>
    <col min="8969" max="8969" width="3.85546875" style="401" customWidth="1"/>
    <col min="8970" max="8970" width="13.85546875" style="401" customWidth="1"/>
    <col min="8971" max="8971" width="4.140625" style="401" customWidth="1"/>
    <col min="8972" max="8972" width="14.7109375" style="401" customWidth="1"/>
    <col min="8973" max="8973" width="3.5703125" style="401" customWidth="1"/>
    <col min="8974" max="9215" width="10.28515625" style="401"/>
    <col min="9216" max="9216" width="6" style="401" customWidth="1"/>
    <col min="9217" max="9217" width="2" style="401" customWidth="1"/>
    <col min="9218" max="9219" width="10.28515625" style="401"/>
    <col min="9220" max="9220" width="5.5703125" style="401" customWidth="1"/>
    <col min="9221" max="9221" width="4.42578125" style="401" customWidth="1"/>
    <col min="9222" max="9222" width="10.28515625" style="401"/>
    <col min="9223" max="9223" width="4.42578125" style="401" customWidth="1"/>
    <col min="9224" max="9224" width="14.7109375" style="401" customWidth="1"/>
    <col min="9225" max="9225" width="3.85546875" style="401" customWidth="1"/>
    <col min="9226" max="9226" width="13.85546875" style="401" customWidth="1"/>
    <col min="9227" max="9227" width="4.140625" style="401" customWidth="1"/>
    <col min="9228" max="9228" width="14.7109375" style="401" customWidth="1"/>
    <col min="9229" max="9229" width="3.5703125" style="401" customWidth="1"/>
    <col min="9230" max="9471" width="10.28515625" style="401"/>
    <col min="9472" max="9472" width="6" style="401" customWidth="1"/>
    <col min="9473" max="9473" width="2" style="401" customWidth="1"/>
    <col min="9474" max="9475" width="10.28515625" style="401"/>
    <col min="9476" max="9476" width="5.5703125" style="401" customWidth="1"/>
    <col min="9477" max="9477" width="4.42578125" style="401" customWidth="1"/>
    <col min="9478" max="9478" width="10.28515625" style="401"/>
    <col min="9479" max="9479" width="4.42578125" style="401" customWidth="1"/>
    <col min="9480" max="9480" width="14.7109375" style="401" customWidth="1"/>
    <col min="9481" max="9481" width="3.85546875" style="401" customWidth="1"/>
    <col min="9482" max="9482" width="13.85546875" style="401" customWidth="1"/>
    <col min="9483" max="9483" width="4.140625" style="401" customWidth="1"/>
    <col min="9484" max="9484" width="14.7109375" style="401" customWidth="1"/>
    <col min="9485" max="9485" width="3.5703125" style="401" customWidth="1"/>
    <col min="9486" max="9727" width="10.28515625" style="401"/>
    <col min="9728" max="9728" width="6" style="401" customWidth="1"/>
    <col min="9729" max="9729" width="2" style="401" customWidth="1"/>
    <col min="9730" max="9731" width="10.28515625" style="401"/>
    <col min="9732" max="9732" width="5.5703125" style="401" customWidth="1"/>
    <col min="9733" max="9733" width="4.42578125" style="401" customWidth="1"/>
    <col min="9734" max="9734" width="10.28515625" style="401"/>
    <col min="9735" max="9735" width="4.42578125" style="401" customWidth="1"/>
    <col min="9736" max="9736" width="14.7109375" style="401" customWidth="1"/>
    <col min="9737" max="9737" width="3.85546875" style="401" customWidth="1"/>
    <col min="9738" max="9738" width="13.85546875" style="401" customWidth="1"/>
    <col min="9739" max="9739" width="4.140625" style="401" customWidth="1"/>
    <col min="9740" max="9740" width="14.7109375" style="401" customWidth="1"/>
    <col min="9741" max="9741" width="3.5703125" style="401" customWidth="1"/>
    <col min="9742" max="9983" width="10.28515625" style="401"/>
    <col min="9984" max="9984" width="6" style="401" customWidth="1"/>
    <col min="9985" max="9985" width="2" style="401" customWidth="1"/>
    <col min="9986" max="9987" width="10.28515625" style="401"/>
    <col min="9988" max="9988" width="5.5703125" style="401" customWidth="1"/>
    <col min="9989" max="9989" width="4.42578125" style="401" customWidth="1"/>
    <col min="9990" max="9990" width="10.28515625" style="401"/>
    <col min="9991" max="9991" width="4.42578125" style="401" customWidth="1"/>
    <col min="9992" max="9992" width="14.7109375" style="401" customWidth="1"/>
    <col min="9993" max="9993" width="3.85546875" style="401" customWidth="1"/>
    <col min="9994" max="9994" width="13.85546875" style="401" customWidth="1"/>
    <col min="9995" max="9995" width="4.140625" style="401" customWidth="1"/>
    <col min="9996" max="9996" width="14.7109375" style="401" customWidth="1"/>
    <col min="9997" max="9997" width="3.5703125" style="401" customWidth="1"/>
    <col min="9998" max="10239" width="10.28515625" style="401"/>
    <col min="10240" max="10240" width="6" style="401" customWidth="1"/>
    <col min="10241" max="10241" width="2" style="401" customWidth="1"/>
    <col min="10242" max="10243" width="10.28515625" style="401"/>
    <col min="10244" max="10244" width="5.5703125" style="401" customWidth="1"/>
    <col min="10245" max="10245" width="4.42578125" style="401" customWidth="1"/>
    <col min="10246" max="10246" width="10.28515625" style="401"/>
    <col min="10247" max="10247" width="4.42578125" style="401" customWidth="1"/>
    <col min="10248" max="10248" width="14.7109375" style="401" customWidth="1"/>
    <col min="10249" max="10249" width="3.85546875" style="401" customWidth="1"/>
    <col min="10250" max="10250" width="13.85546875" style="401" customWidth="1"/>
    <col min="10251" max="10251" width="4.140625" style="401" customWidth="1"/>
    <col min="10252" max="10252" width="14.7109375" style="401" customWidth="1"/>
    <col min="10253" max="10253" width="3.5703125" style="401" customWidth="1"/>
    <col min="10254" max="10495" width="10.28515625" style="401"/>
    <col min="10496" max="10496" width="6" style="401" customWidth="1"/>
    <col min="10497" max="10497" width="2" style="401" customWidth="1"/>
    <col min="10498" max="10499" width="10.28515625" style="401"/>
    <col min="10500" max="10500" width="5.5703125" style="401" customWidth="1"/>
    <col min="10501" max="10501" width="4.42578125" style="401" customWidth="1"/>
    <col min="10502" max="10502" width="10.28515625" style="401"/>
    <col min="10503" max="10503" width="4.42578125" style="401" customWidth="1"/>
    <col min="10504" max="10504" width="14.7109375" style="401" customWidth="1"/>
    <col min="10505" max="10505" width="3.85546875" style="401" customWidth="1"/>
    <col min="10506" max="10506" width="13.85546875" style="401" customWidth="1"/>
    <col min="10507" max="10507" width="4.140625" style="401" customWidth="1"/>
    <col min="10508" max="10508" width="14.7109375" style="401" customWidth="1"/>
    <col min="10509" max="10509" width="3.5703125" style="401" customWidth="1"/>
    <col min="10510" max="10751" width="10.28515625" style="401"/>
    <col min="10752" max="10752" width="6" style="401" customWidth="1"/>
    <col min="10753" max="10753" width="2" style="401" customWidth="1"/>
    <col min="10754" max="10755" width="10.28515625" style="401"/>
    <col min="10756" max="10756" width="5.5703125" style="401" customWidth="1"/>
    <col min="10757" max="10757" width="4.42578125" style="401" customWidth="1"/>
    <col min="10758" max="10758" width="10.28515625" style="401"/>
    <col min="10759" max="10759" width="4.42578125" style="401" customWidth="1"/>
    <col min="10760" max="10760" width="14.7109375" style="401" customWidth="1"/>
    <col min="10761" max="10761" width="3.85546875" style="401" customWidth="1"/>
    <col min="10762" max="10762" width="13.85546875" style="401" customWidth="1"/>
    <col min="10763" max="10763" width="4.140625" style="401" customWidth="1"/>
    <col min="10764" max="10764" width="14.7109375" style="401" customWidth="1"/>
    <col min="10765" max="10765" width="3.5703125" style="401" customWidth="1"/>
    <col min="10766" max="11007" width="10.28515625" style="401"/>
    <col min="11008" max="11008" width="6" style="401" customWidth="1"/>
    <col min="11009" max="11009" width="2" style="401" customWidth="1"/>
    <col min="11010" max="11011" width="10.28515625" style="401"/>
    <col min="11012" max="11012" width="5.5703125" style="401" customWidth="1"/>
    <col min="11013" max="11013" width="4.42578125" style="401" customWidth="1"/>
    <col min="11014" max="11014" width="10.28515625" style="401"/>
    <col min="11015" max="11015" width="4.42578125" style="401" customWidth="1"/>
    <col min="11016" max="11016" width="14.7109375" style="401" customWidth="1"/>
    <col min="11017" max="11017" width="3.85546875" style="401" customWidth="1"/>
    <col min="11018" max="11018" width="13.85546875" style="401" customWidth="1"/>
    <col min="11019" max="11019" width="4.140625" style="401" customWidth="1"/>
    <col min="11020" max="11020" width="14.7109375" style="401" customWidth="1"/>
    <col min="11021" max="11021" width="3.5703125" style="401" customWidth="1"/>
    <col min="11022" max="11263" width="10.28515625" style="401"/>
    <col min="11264" max="11264" width="6" style="401" customWidth="1"/>
    <col min="11265" max="11265" width="2" style="401" customWidth="1"/>
    <col min="11266" max="11267" width="10.28515625" style="401"/>
    <col min="11268" max="11268" width="5.5703125" style="401" customWidth="1"/>
    <col min="11269" max="11269" width="4.42578125" style="401" customWidth="1"/>
    <col min="11270" max="11270" width="10.28515625" style="401"/>
    <col min="11271" max="11271" width="4.42578125" style="401" customWidth="1"/>
    <col min="11272" max="11272" width="14.7109375" style="401" customWidth="1"/>
    <col min="11273" max="11273" width="3.85546875" style="401" customWidth="1"/>
    <col min="11274" max="11274" width="13.85546875" style="401" customWidth="1"/>
    <col min="11275" max="11275" width="4.140625" style="401" customWidth="1"/>
    <col min="11276" max="11276" width="14.7109375" style="401" customWidth="1"/>
    <col min="11277" max="11277" width="3.5703125" style="401" customWidth="1"/>
    <col min="11278" max="11519" width="10.28515625" style="401"/>
    <col min="11520" max="11520" width="6" style="401" customWidth="1"/>
    <col min="11521" max="11521" width="2" style="401" customWidth="1"/>
    <col min="11522" max="11523" width="10.28515625" style="401"/>
    <col min="11524" max="11524" width="5.5703125" style="401" customWidth="1"/>
    <col min="11525" max="11525" width="4.42578125" style="401" customWidth="1"/>
    <col min="11526" max="11526" width="10.28515625" style="401"/>
    <col min="11527" max="11527" width="4.42578125" style="401" customWidth="1"/>
    <col min="11528" max="11528" width="14.7109375" style="401" customWidth="1"/>
    <col min="11529" max="11529" width="3.85546875" style="401" customWidth="1"/>
    <col min="11530" max="11530" width="13.85546875" style="401" customWidth="1"/>
    <col min="11531" max="11531" width="4.140625" style="401" customWidth="1"/>
    <col min="11532" max="11532" width="14.7109375" style="401" customWidth="1"/>
    <col min="11533" max="11533" width="3.5703125" style="401" customWidth="1"/>
    <col min="11534" max="11775" width="10.28515625" style="401"/>
    <col min="11776" max="11776" width="6" style="401" customWidth="1"/>
    <col min="11777" max="11777" width="2" style="401" customWidth="1"/>
    <col min="11778" max="11779" width="10.28515625" style="401"/>
    <col min="11780" max="11780" width="5.5703125" style="401" customWidth="1"/>
    <col min="11781" max="11781" width="4.42578125" style="401" customWidth="1"/>
    <col min="11782" max="11782" width="10.28515625" style="401"/>
    <col min="11783" max="11783" width="4.42578125" style="401" customWidth="1"/>
    <col min="11784" max="11784" width="14.7109375" style="401" customWidth="1"/>
    <col min="11785" max="11785" width="3.85546875" style="401" customWidth="1"/>
    <col min="11786" max="11786" width="13.85546875" style="401" customWidth="1"/>
    <col min="11787" max="11787" width="4.140625" style="401" customWidth="1"/>
    <col min="11788" max="11788" width="14.7109375" style="401" customWidth="1"/>
    <col min="11789" max="11789" width="3.5703125" style="401" customWidth="1"/>
    <col min="11790" max="12031" width="10.28515625" style="401"/>
    <col min="12032" max="12032" width="6" style="401" customWidth="1"/>
    <col min="12033" max="12033" width="2" style="401" customWidth="1"/>
    <col min="12034" max="12035" width="10.28515625" style="401"/>
    <col min="12036" max="12036" width="5.5703125" style="401" customWidth="1"/>
    <col min="12037" max="12037" width="4.42578125" style="401" customWidth="1"/>
    <col min="12038" max="12038" width="10.28515625" style="401"/>
    <col min="12039" max="12039" width="4.42578125" style="401" customWidth="1"/>
    <col min="12040" max="12040" width="14.7109375" style="401" customWidth="1"/>
    <col min="12041" max="12041" width="3.85546875" style="401" customWidth="1"/>
    <col min="12042" max="12042" width="13.85546875" style="401" customWidth="1"/>
    <col min="12043" max="12043" width="4.140625" style="401" customWidth="1"/>
    <col min="12044" max="12044" width="14.7109375" style="401" customWidth="1"/>
    <col min="12045" max="12045" width="3.5703125" style="401" customWidth="1"/>
    <col min="12046" max="12287" width="10.28515625" style="401"/>
    <col min="12288" max="12288" width="6" style="401" customWidth="1"/>
    <col min="12289" max="12289" width="2" style="401" customWidth="1"/>
    <col min="12290" max="12291" width="10.28515625" style="401"/>
    <col min="12292" max="12292" width="5.5703125" style="401" customWidth="1"/>
    <col min="12293" max="12293" width="4.42578125" style="401" customWidth="1"/>
    <col min="12294" max="12294" width="10.28515625" style="401"/>
    <col min="12295" max="12295" width="4.42578125" style="401" customWidth="1"/>
    <col min="12296" max="12296" width="14.7109375" style="401" customWidth="1"/>
    <col min="12297" max="12297" width="3.85546875" style="401" customWidth="1"/>
    <col min="12298" max="12298" width="13.85546875" style="401" customWidth="1"/>
    <col min="12299" max="12299" width="4.140625" style="401" customWidth="1"/>
    <col min="12300" max="12300" width="14.7109375" style="401" customWidth="1"/>
    <col min="12301" max="12301" width="3.5703125" style="401" customWidth="1"/>
    <col min="12302" max="12543" width="10.28515625" style="401"/>
    <col min="12544" max="12544" width="6" style="401" customWidth="1"/>
    <col min="12545" max="12545" width="2" style="401" customWidth="1"/>
    <col min="12546" max="12547" width="10.28515625" style="401"/>
    <col min="12548" max="12548" width="5.5703125" style="401" customWidth="1"/>
    <col min="12549" max="12549" width="4.42578125" style="401" customWidth="1"/>
    <col min="12550" max="12550" width="10.28515625" style="401"/>
    <col min="12551" max="12551" width="4.42578125" style="401" customWidth="1"/>
    <col min="12552" max="12552" width="14.7109375" style="401" customWidth="1"/>
    <col min="12553" max="12553" width="3.85546875" style="401" customWidth="1"/>
    <col min="12554" max="12554" width="13.85546875" style="401" customWidth="1"/>
    <col min="12555" max="12555" width="4.140625" style="401" customWidth="1"/>
    <col min="12556" max="12556" width="14.7109375" style="401" customWidth="1"/>
    <col min="12557" max="12557" width="3.5703125" style="401" customWidth="1"/>
    <col min="12558" max="12799" width="10.28515625" style="401"/>
    <col min="12800" max="12800" width="6" style="401" customWidth="1"/>
    <col min="12801" max="12801" width="2" style="401" customWidth="1"/>
    <col min="12802" max="12803" width="10.28515625" style="401"/>
    <col min="12804" max="12804" width="5.5703125" style="401" customWidth="1"/>
    <col min="12805" max="12805" width="4.42578125" style="401" customWidth="1"/>
    <col min="12806" max="12806" width="10.28515625" style="401"/>
    <col min="12807" max="12807" width="4.42578125" style="401" customWidth="1"/>
    <col min="12808" max="12808" width="14.7109375" style="401" customWidth="1"/>
    <col min="12809" max="12809" width="3.85546875" style="401" customWidth="1"/>
    <col min="12810" max="12810" width="13.85546875" style="401" customWidth="1"/>
    <col min="12811" max="12811" width="4.140625" style="401" customWidth="1"/>
    <col min="12812" max="12812" width="14.7109375" style="401" customWidth="1"/>
    <col min="12813" max="12813" width="3.5703125" style="401" customWidth="1"/>
    <col min="12814" max="13055" width="10.28515625" style="401"/>
    <col min="13056" max="13056" width="6" style="401" customWidth="1"/>
    <col min="13057" max="13057" width="2" style="401" customWidth="1"/>
    <col min="13058" max="13059" width="10.28515625" style="401"/>
    <col min="13060" max="13060" width="5.5703125" style="401" customWidth="1"/>
    <col min="13061" max="13061" width="4.42578125" style="401" customWidth="1"/>
    <col min="13062" max="13062" width="10.28515625" style="401"/>
    <col min="13063" max="13063" width="4.42578125" style="401" customWidth="1"/>
    <col min="13064" max="13064" width="14.7109375" style="401" customWidth="1"/>
    <col min="13065" max="13065" width="3.85546875" style="401" customWidth="1"/>
    <col min="13066" max="13066" width="13.85546875" style="401" customWidth="1"/>
    <col min="13067" max="13067" width="4.140625" style="401" customWidth="1"/>
    <col min="13068" max="13068" width="14.7109375" style="401" customWidth="1"/>
    <col min="13069" max="13069" width="3.5703125" style="401" customWidth="1"/>
    <col min="13070" max="13311" width="10.28515625" style="401"/>
    <col min="13312" max="13312" width="6" style="401" customWidth="1"/>
    <col min="13313" max="13313" width="2" style="401" customWidth="1"/>
    <col min="13314" max="13315" width="10.28515625" style="401"/>
    <col min="13316" max="13316" width="5.5703125" style="401" customWidth="1"/>
    <col min="13317" max="13317" width="4.42578125" style="401" customWidth="1"/>
    <col min="13318" max="13318" width="10.28515625" style="401"/>
    <col min="13319" max="13319" width="4.42578125" style="401" customWidth="1"/>
    <col min="13320" max="13320" width="14.7109375" style="401" customWidth="1"/>
    <col min="13321" max="13321" width="3.85546875" style="401" customWidth="1"/>
    <col min="13322" max="13322" width="13.85546875" style="401" customWidth="1"/>
    <col min="13323" max="13323" width="4.140625" style="401" customWidth="1"/>
    <col min="13324" max="13324" width="14.7109375" style="401" customWidth="1"/>
    <col min="13325" max="13325" width="3.5703125" style="401" customWidth="1"/>
    <col min="13326" max="13567" width="10.28515625" style="401"/>
    <col min="13568" max="13568" width="6" style="401" customWidth="1"/>
    <col min="13569" max="13569" width="2" style="401" customWidth="1"/>
    <col min="13570" max="13571" width="10.28515625" style="401"/>
    <col min="13572" max="13572" width="5.5703125" style="401" customWidth="1"/>
    <col min="13573" max="13573" width="4.42578125" style="401" customWidth="1"/>
    <col min="13574" max="13574" width="10.28515625" style="401"/>
    <col min="13575" max="13575" width="4.42578125" style="401" customWidth="1"/>
    <col min="13576" max="13576" width="14.7109375" style="401" customWidth="1"/>
    <col min="13577" max="13577" width="3.85546875" style="401" customWidth="1"/>
    <col min="13578" max="13578" width="13.85546875" style="401" customWidth="1"/>
    <col min="13579" max="13579" width="4.140625" style="401" customWidth="1"/>
    <col min="13580" max="13580" width="14.7109375" style="401" customWidth="1"/>
    <col min="13581" max="13581" width="3.5703125" style="401" customWidth="1"/>
    <col min="13582" max="13823" width="10.28515625" style="401"/>
    <col min="13824" max="13824" width="6" style="401" customWidth="1"/>
    <col min="13825" max="13825" width="2" style="401" customWidth="1"/>
    <col min="13826" max="13827" width="10.28515625" style="401"/>
    <col min="13828" max="13828" width="5.5703125" style="401" customWidth="1"/>
    <col min="13829" max="13829" width="4.42578125" style="401" customWidth="1"/>
    <col min="13830" max="13830" width="10.28515625" style="401"/>
    <col min="13831" max="13831" width="4.42578125" style="401" customWidth="1"/>
    <col min="13832" max="13832" width="14.7109375" style="401" customWidth="1"/>
    <col min="13833" max="13833" width="3.85546875" style="401" customWidth="1"/>
    <col min="13834" max="13834" width="13.85546875" style="401" customWidth="1"/>
    <col min="13835" max="13835" width="4.140625" style="401" customWidth="1"/>
    <col min="13836" max="13836" width="14.7109375" style="401" customWidth="1"/>
    <col min="13837" max="13837" width="3.5703125" style="401" customWidth="1"/>
    <col min="13838" max="14079" width="10.28515625" style="401"/>
    <col min="14080" max="14080" width="6" style="401" customWidth="1"/>
    <col min="14081" max="14081" width="2" style="401" customWidth="1"/>
    <col min="14082" max="14083" width="10.28515625" style="401"/>
    <col min="14084" max="14084" width="5.5703125" style="401" customWidth="1"/>
    <col min="14085" max="14085" width="4.42578125" style="401" customWidth="1"/>
    <col min="14086" max="14086" width="10.28515625" style="401"/>
    <col min="14087" max="14087" width="4.42578125" style="401" customWidth="1"/>
    <col min="14088" max="14088" width="14.7109375" style="401" customWidth="1"/>
    <col min="14089" max="14089" width="3.85546875" style="401" customWidth="1"/>
    <col min="14090" max="14090" width="13.85546875" style="401" customWidth="1"/>
    <col min="14091" max="14091" width="4.140625" style="401" customWidth="1"/>
    <col min="14092" max="14092" width="14.7109375" style="401" customWidth="1"/>
    <col min="14093" max="14093" width="3.5703125" style="401" customWidth="1"/>
    <col min="14094" max="14335" width="10.28515625" style="401"/>
    <col min="14336" max="14336" width="6" style="401" customWidth="1"/>
    <col min="14337" max="14337" width="2" style="401" customWidth="1"/>
    <col min="14338" max="14339" width="10.28515625" style="401"/>
    <col min="14340" max="14340" width="5.5703125" style="401" customWidth="1"/>
    <col min="14341" max="14341" width="4.42578125" style="401" customWidth="1"/>
    <col min="14342" max="14342" width="10.28515625" style="401"/>
    <col min="14343" max="14343" width="4.42578125" style="401" customWidth="1"/>
    <col min="14344" max="14344" width="14.7109375" style="401" customWidth="1"/>
    <col min="14345" max="14345" width="3.85546875" style="401" customWidth="1"/>
    <col min="14346" max="14346" width="13.85546875" style="401" customWidth="1"/>
    <col min="14347" max="14347" width="4.140625" style="401" customWidth="1"/>
    <col min="14348" max="14348" width="14.7109375" style="401" customWidth="1"/>
    <col min="14349" max="14349" width="3.5703125" style="401" customWidth="1"/>
    <col min="14350" max="14591" width="10.28515625" style="401"/>
    <col min="14592" max="14592" width="6" style="401" customWidth="1"/>
    <col min="14593" max="14593" width="2" style="401" customWidth="1"/>
    <col min="14594" max="14595" width="10.28515625" style="401"/>
    <col min="14596" max="14596" width="5.5703125" style="401" customWidth="1"/>
    <col min="14597" max="14597" width="4.42578125" style="401" customWidth="1"/>
    <col min="14598" max="14598" width="10.28515625" style="401"/>
    <col min="14599" max="14599" width="4.42578125" style="401" customWidth="1"/>
    <col min="14600" max="14600" width="14.7109375" style="401" customWidth="1"/>
    <col min="14601" max="14601" width="3.85546875" style="401" customWidth="1"/>
    <col min="14602" max="14602" width="13.85546875" style="401" customWidth="1"/>
    <col min="14603" max="14603" width="4.140625" style="401" customWidth="1"/>
    <col min="14604" max="14604" width="14.7109375" style="401" customWidth="1"/>
    <col min="14605" max="14605" width="3.5703125" style="401" customWidth="1"/>
    <col min="14606" max="14847" width="10.28515625" style="401"/>
    <col min="14848" max="14848" width="6" style="401" customWidth="1"/>
    <col min="14849" max="14849" width="2" style="401" customWidth="1"/>
    <col min="14850" max="14851" width="10.28515625" style="401"/>
    <col min="14852" max="14852" width="5.5703125" style="401" customWidth="1"/>
    <col min="14853" max="14853" width="4.42578125" style="401" customWidth="1"/>
    <col min="14854" max="14854" width="10.28515625" style="401"/>
    <col min="14855" max="14855" width="4.42578125" style="401" customWidth="1"/>
    <col min="14856" max="14856" width="14.7109375" style="401" customWidth="1"/>
    <col min="14857" max="14857" width="3.85546875" style="401" customWidth="1"/>
    <col min="14858" max="14858" width="13.85546875" style="401" customWidth="1"/>
    <col min="14859" max="14859" width="4.140625" style="401" customWidth="1"/>
    <col min="14860" max="14860" width="14.7109375" style="401" customWidth="1"/>
    <col min="14861" max="14861" width="3.5703125" style="401" customWidth="1"/>
    <col min="14862" max="15103" width="10.28515625" style="401"/>
    <col min="15104" max="15104" width="6" style="401" customWidth="1"/>
    <col min="15105" max="15105" width="2" style="401" customWidth="1"/>
    <col min="15106" max="15107" width="10.28515625" style="401"/>
    <col min="15108" max="15108" width="5.5703125" style="401" customWidth="1"/>
    <col min="15109" max="15109" width="4.42578125" style="401" customWidth="1"/>
    <col min="15110" max="15110" width="10.28515625" style="401"/>
    <col min="15111" max="15111" width="4.42578125" style="401" customWidth="1"/>
    <col min="15112" max="15112" width="14.7109375" style="401" customWidth="1"/>
    <col min="15113" max="15113" width="3.85546875" style="401" customWidth="1"/>
    <col min="15114" max="15114" width="13.85546875" style="401" customWidth="1"/>
    <col min="15115" max="15115" width="4.140625" style="401" customWidth="1"/>
    <col min="15116" max="15116" width="14.7109375" style="401" customWidth="1"/>
    <col min="15117" max="15117" width="3.5703125" style="401" customWidth="1"/>
    <col min="15118" max="15359" width="10.28515625" style="401"/>
    <col min="15360" max="15360" width="6" style="401" customWidth="1"/>
    <col min="15361" max="15361" width="2" style="401" customWidth="1"/>
    <col min="15362" max="15363" width="10.28515625" style="401"/>
    <col min="15364" max="15364" width="5.5703125" style="401" customWidth="1"/>
    <col min="15365" max="15365" width="4.42578125" style="401" customWidth="1"/>
    <col min="15366" max="15366" width="10.28515625" style="401"/>
    <col min="15367" max="15367" width="4.42578125" style="401" customWidth="1"/>
    <col min="15368" max="15368" width="14.7109375" style="401" customWidth="1"/>
    <col min="15369" max="15369" width="3.85546875" style="401" customWidth="1"/>
    <col min="15370" max="15370" width="13.85546875" style="401" customWidth="1"/>
    <col min="15371" max="15371" width="4.140625" style="401" customWidth="1"/>
    <col min="15372" max="15372" width="14.7109375" style="401" customWidth="1"/>
    <col min="15373" max="15373" width="3.5703125" style="401" customWidth="1"/>
    <col min="15374" max="15615" width="10.28515625" style="401"/>
    <col min="15616" max="15616" width="6" style="401" customWidth="1"/>
    <col min="15617" max="15617" width="2" style="401" customWidth="1"/>
    <col min="15618" max="15619" width="10.28515625" style="401"/>
    <col min="15620" max="15620" width="5.5703125" style="401" customWidth="1"/>
    <col min="15621" max="15621" width="4.42578125" style="401" customWidth="1"/>
    <col min="15622" max="15622" width="10.28515625" style="401"/>
    <col min="15623" max="15623" width="4.42578125" style="401" customWidth="1"/>
    <col min="15624" max="15624" width="14.7109375" style="401" customWidth="1"/>
    <col min="15625" max="15625" width="3.85546875" style="401" customWidth="1"/>
    <col min="15626" max="15626" width="13.85546875" style="401" customWidth="1"/>
    <col min="15627" max="15627" width="4.140625" style="401" customWidth="1"/>
    <col min="15628" max="15628" width="14.7109375" style="401" customWidth="1"/>
    <col min="15629" max="15629" width="3.5703125" style="401" customWidth="1"/>
    <col min="15630" max="15871" width="10.28515625" style="401"/>
    <col min="15872" max="15872" width="6" style="401" customWidth="1"/>
    <col min="15873" max="15873" width="2" style="401" customWidth="1"/>
    <col min="15874" max="15875" width="10.28515625" style="401"/>
    <col min="15876" max="15876" width="5.5703125" style="401" customWidth="1"/>
    <col min="15877" max="15877" width="4.42578125" style="401" customWidth="1"/>
    <col min="15878" max="15878" width="10.28515625" style="401"/>
    <col min="15879" max="15879" width="4.42578125" style="401" customWidth="1"/>
    <col min="15880" max="15880" width="14.7109375" style="401" customWidth="1"/>
    <col min="15881" max="15881" width="3.85546875" style="401" customWidth="1"/>
    <col min="15882" max="15882" width="13.85546875" style="401" customWidth="1"/>
    <col min="15883" max="15883" width="4.140625" style="401" customWidth="1"/>
    <col min="15884" max="15884" width="14.7109375" style="401" customWidth="1"/>
    <col min="15885" max="15885" width="3.5703125" style="401" customWidth="1"/>
    <col min="15886" max="16127" width="10.28515625" style="401"/>
    <col min="16128" max="16128" width="6" style="401" customWidth="1"/>
    <col min="16129" max="16129" width="2" style="401" customWidth="1"/>
    <col min="16130" max="16131" width="10.28515625" style="401"/>
    <col min="16132" max="16132" width="5.5703125" style="401" customWidth="1"/>
    <col min="16133" max="16133" width="4.42578125" style="401" customWidth="1"/>
    <col min="16134" max="16134" width="10.28515625" style="401"/>
    <col min="16135" max="16135" width="4.42578125" style="401" customWidth="1"/>
    <col min="16136" max="16136" width="14.7109375" style="401" customWidth="1"/>
    <col min="16137" max="16137" width="3.85546875" style="401" customWidth="1"/>
    <col min="16138" max="16138" width="13.85546875" style="401" customWidth="1"/>
    <col min="16139" max="16139" width="4.140625" style="401" customWidth="1"/>
    <col min="16140" max="16140" width="14.7109375" style="401" customWidth="1"/>
    <col min="16141" max="16141" width="3.5703125" style="401" customWidth="1"/>
    <col min="16142" max="16384" width="10.28515625" style="401"/>
  </cols>
  <sheetData>
    <row r="1" spans="1:14" ht="16.5" customHeight="1" x14ac:dyDescent="0.3">
      <c r="A1" s="490" t="s">
        <v>128</v>
      </c>
      <c r="B1" s="490"/>
      <c r="C1" s="490"/>
      <c r="D1" s="490"/>
      <c r="E1" s="490"/>
      <c r="J1" s="102"/>
    </row>
    <row r="2" spans="1:14" x14ac:dyDescent="0.25">
      <c r="A2" s="193" t="s">
        <v>1</v>
      </c>
      <c r="J2" s="103"/>
    </row>
    <row r="3" spans="1:14" x14ac:dyDescent="0.25">
      <c r="M3" s="402"/>
    </row>
    <row r="4" spans="1:14" x14ac:dyDescent="0.25">
      <c r="C4" s="489" t="s">
        <v>76</v>
      </c>
      <c r="D4" s="489"/>
      <c r="E4" s="489"/>
      <c r="F4" s="489"/>
      <c r="G4" s="489"/>
      <c r="H4" s="489"/>
      <c r="I4" s="489"/>
      <c r="J4" s="489"/>
      <c r="K4" s="489"/>
      <c r="L4" s="403"/>
      <c r="M4" s="402"/>
    </row>
    <row r="5" spans="1:14" x14ac:dyDescent="0.25">
      <c r="C5" s="488" t="s">
        <v>129</v>
      </c>
      <c r="D5" s="488"/>
      <c r="E5" s="488"/>
      <c r="F5" s="488"/>
      <c r="G5" s="488"/>
      <c r="H5" s="488"/>
      <c r="I5" s="488"/>
      <c r="J5" s="488"/>
      <c r="K5" s="488"/>
      <c r="L5" s="404"/>
      <c r="M5" s="404"/>
    </row>
    <row r="6" spans="1:14" hidden="1" x14ac:dyDescent="0.25">
      <c r="C6" s="405" t="s">
        <v>130</v>
      </c>
      <c r="D6" s="405"/>
      <c r="E6" s="406"/>
      <c r="F6" s="406"/>
      <c r="G6" s="406"/>
      <c r="H6" s="406"/>
      <c r="I6" s="406"/>
      <c r="J6" s="406"/>
      <c r="K6" s="406"/>
      <c r="L6" s="403"/>
      <c r="M6" s="402"/>
    </row>
    <row r="7" spans="1:14" x14ac:dyDescent="0.25">
      <c r="C7" s="407"/>
      <c r="D7" s="405"/>
      <c r="E7" s="406"/>
      <c r="F7" s="406"/>
      <c r="G7" s="406"/>
      <c r="H7" s="406"/>
      <c r="I7" s="406"/>
      <c r="J7" s="406"/>
      <c r="K7" s="406"/>
      <c r="L7" s="403"/>
      <c r="M7" s="402"/>
    </row>
    <row r="8" spans="1:14" x14ac:dyDescent="0.25">
      <c r="C8" s="407"/>
      <c r="D8" s="405"/>
      <c r="E8" s="406"/>
      <c r="F8" s="406"/>
      <c r="G8" s="406"/>
      <c r="H8" s="406"/>
      <c r="I8" s="406"/>
      <c r="J8" s="406"/>
      <c r="K8" s="406"/>
      <c r="L8" s="403"/>
      <c r="M8" s="402"/>
    </row>
    <row r="9" spans="1:14" x14ac:dyDescent="0.25">
      <c r="C9" s="489" t="s">
        <v>78</v>
      </c>
      <c r="D9" s="489"/>
      <c r="E9" s="489"/>
      <c r="F9" s="489"/>
      <c r="G9" s="489"/>
      <c r="H9" s="489"/>
      <c r="I9" s="489"/>
      <c r="J9" s="489"/>
      <c r="K9" s="489"/>
      <c r="L9" s="403"/>
    </row>
    <row r="10" spans="1:14" x14ac:dyDescent="0.25">
      <c r="C10" s="407"/>
      <c r="D10" s="407" t="s">
        <v>131</v>
      </c>
      <c r="E10" s="407"/>
      <c r="F10" s="407"/>
      <c r="G10" s="407"/>
      <c r="H10" s="408"/>
      <c r="I10" s="408"/>
      <c r="J10" s="407"/>
      <c r="K10" s="408"/>
      <c r="L10" s="407"/>
    </row>
    <row r="11" spans="1:14" x14ac:dyDescent="0.25">
      <c r="C11" s="407"/>
      <c r="D11" s="408" t="s">
        <v>132</v>
      </c>
      <c r="E11" s="407"/>
      <c r="F11" s="408" t="s">
        <v>133</v>
      </c>
      <c r="G11" s="408" t="s">
        <v>133</v>
      </c>
      <c r="H11" s="407"/>
      <c r="I11" s="409"/>
      <c r="J11" s="407"/>
      <c r="K11" s="409" t="s">
        <v>134</v>
      </c>
    </row>
    <row r="12" spans="1:14" x14ac:dyDescent="0.25">
      <c r="A12" s="410" t="s">
        <v>135</v>
      </c>
      <c r="C12" s="407"/>
      <c r="D12" s="408" t="s">
        <v>136</v>
      </c>
      <c r="E12" s="408" t="s">
        <v>137</v>
      </c>
      <c r="F12" s="409">
        <v>45809</v>
      </c>
      <c r="G12" s="409">
        <f>+F12</f>
        <v>45809</v>
      </c>
      <c r="H12" s="408" t="s">
        <v>134</v>
      </c>
      <c r="I12" s="408" t="s">
        <v>134</v>
      </c>
      <c r="J12" s="408" t="s">
        <v>138</v>
      </c>
      <c r="K12" s="406" t="s">
        <v>84</v>
      </c>
      <c r="L12" s="411"/>
      <c r="N12" s="403"/>
    </row>
    <row r="13" spans="1:14" x14ac:dyDescent="0.25">
      <c r="A13" s="410" t="s">
        <v>139</v>
      </c>
      <c r="C13" s="412" t="s">
        <v>140</v>
      </c>
      <c r="D13" s="412" t="s">
        <v>141</v>
      </c>
      <c r="E13" s="412" t="s">
        <v>142</v>
      </c>
      <c r="F13" s="412" t="s">
        <v>143</v>
      </c>
      <c r="G13" s="412" t="s">
        <v>144</v>
      </c>
      <c r="H13" s="413" t="s">
        <v>143</v>
      </c>
      <c r="I13" s="412" t="s">
        <v>144</v>
      </c>
      <c r="J13" s="412" t="s">
        <v>145</v>
      </c>
      <c r="K13" s="414" t="s">
        <v>146</v>
      </c>
      <c r="L13" s="411"/>
      <c r="N13" s="403"/>
    </row>
    <row r="14" spans="1:14" x14ac:dyDescent="0.25">
      <c r="A14" s="410"/>
      <c r="C14" s="408"/>
      <c r="D14" s="408"/>
      <c r="E14" s="408"/>
      <c r="F14" s="408"/>
      <c r="G14" s="408" t="s">
        <v>147</v>
      </c>
      <c r="H14" s="408"/>
      <c r="I14" s="408" t="s">
        <v>148</v>
      </c>
      <c r="J14" s="407"/>
      <c r="K14" s="406"/>
      <c r="L14" s="411"/>
      <c r="N14" s="403"/>
    </row>
    <row r="15" spans="1:14" x14ac:dyDescent="0.25">
      <c r="C15" s="408" t="s">
        <v>45</v>
      </c>
      <c r="D15" s="408" t="s">
        <v>46</v>
      </c>
      <c r="E15" s="408" t="s">
        <v>47</v>
      </c>
      <c r="F15" s="408" t="s">
        <v>48</v>
      </c>
      <c r="G15" s="408" t="s">
        <v>49</v>
      </c>
      <c r="H15" s="408" t="s">
        <v>95</v>
      </c>
      <c r="I15" s="408" t="s">
        <v>96</v>
      </c>
      <c r="J15" s="408" t="s">
        <v>97</v>
      </c>
      <c r="K15" s="408" t="s">
        <v>149</v>
      </c>
    </row>
    <row r="16" spans="1:14" x14ac:dyDescent="0.25">
      <c r="C16" s="407"/>
      <c r="D16" s="407"/>
      <c r="E16" s="407"/>
      <c r="F16" s="407"/>
      <c r="G16" s="407"/>
      <c r="H16" s="407"/>
      <c r="I16" s="407"/>
      <c r="J16" s="407"/>
      <c r="K16" s="407"/>
    </row>
    <row r="17" spans="1:14" x14ac:dyDescent="0.25">
      <c r="A17" s="401">
        <v>1</v>
      </c>
      <c r="C17" s="407" t="s">
        <v>150</v>
      </c>
      <c r="D17" s="415">
        <v>53</v>
      </c>
      <c r="E17" s="416">
        <v>5.5</v>
      </c>
      <c r="F17" s="417">
        <v>1.85869</v>
      </c>
      <c r="G17" s="418">
        <f>+E17+(D17*F17)</f>
        <v>104.01057</v>
      </c>
      <c r="H17" s="417">
        <f>F17+'CARES Incremental Rate'!F12</f>
        <v>1.8795199999999999</v>
      </c>
      <c r="I17" s="416">
        <f>E17+(D17*H17)</f>
        <v>105.11456</v>
      </c>
      <c r="J17" s="416">
        <f>+I17-G17</f>
        <v>1.103989999999996</v>
      </c>
      <c r="K17" s="355">
        <f>+J17/G17</f>
        <v>1.0614209690418926E-2</v>
      </c>
      <c r="L17" s="419"/>
      <c r="N17" s="420"/>
    </row>
    <row r="18" spans="1:14" x14ac:dyDescent="0.25">
      <c r="C18" s="407"/>
      <c r="D18" s="415"/>
      <c r="E18" s="421"/>
      <c r="F18" s="422"/>
      <c r="G18" s="423"/>
      <c r="H18" s="422"/>
      <c r="I18" s="424"/>
      <c r="J18" s="425"/>
      <c r="K18" s="355"/>
    </row>
    <row r="19" spans="1:14" x14ac:dyDescent="0.25">
      <c r="A19" s="401">
        <v>2</v>
      </c>
      <c r="C19" s="407" t="s">
        <v>151</v>
      </c>
      <c r="D19" s="415">
        <v>277</v>
      </c>
      <c r="E19" s="416">
        <v>20</v>
      </c>
      <c r="F19" s="417">
        <v>1.72176</v>
      </c>
      <c r="G19" s="418">
        <f>+E19+(D19*F19)</f>
        <v>496.92752000000002</v>
      </c>
      <c r="H19" s="417">
        <f>F19+'CARES Incremental Rate'!F13</f>
        <v>1.7364299999999999</v>
      </c>
      <c r="I19" s="416">
        <f>E19+(D19*H19)</f>
        <v>500.99110999999999</v>
      </c>
      <c r="J19" s="416">
        <f>+I19-G19</f>
        <v>4.0635899999999765</v>
      </c>
      <c r="K19" s="355">
        <f>+J19/G19</f>
        <v>8.1774299801306571E-3</v>
      </c>
      <c r="L19" s="419"/>
      <c r="N19" s="420"/>
    </row>
    <row r="20" spans="1:14" x14ac:dyDescent="0.25">
      <c r="C20" s="407"/>
      <c r="D20" s="415"/>
      <c r="E20" s="421"/>
      <c r="F20" s="422"/>
      <c r="G20" s="423"/>
      <c r="H20" s="422"/>
      <c r="I20" s="407"/>
      <c r="J20" s="425"/>
      <c r="K20" s="355"/>
    </row>
    <row r="21" spans="1:14" x14ac:dyDescent="0.25">
      <c r="A21" s="401">
        <v>3</v>
      </c>
      <c r="C21" s="407" t="s">
        <v>152</v>
      </c>
      <c r="D21" s="415"/>
      <c r="E21" s="426">
        <v>100</v>
      </c>
      <c r="F21" s="422"/>
      <c r="G21" s="423"/>
      <c r="H21" s="422"/>
      <c r="I21" s="407"/>
      <c r="J21" s="425"/>
      <c r="K21" s="355"/>
      <c r="L21" s="427"/>
      <c r="N21" s="420"/>
    </row>
    <row r="22" spans="1:14" x14ac:dyDescent="0.25">
      <c r="A22" s="401">
        <v>4</v>
      </c>
      <c r="C22" s="407" t="s">
        <v>153</v>
      </c>
      <c r="D22" s="415"/>
      <c r="E22" s="421"/>
      <c r="F22" s="417">
        <v>1.6294</v>
      </c>
      <c r="G22" s="418">
        <f>+E21+(500*F22)</f>
        <v>914.69999999999993</v>
      </c>
      <c r="H22" s="417">
        <f>F22+'CARES Incremental Rate'!$F$14</f>
        <v>1.63828</v>
      </c>
      <c r="I22" s="418">
        <f>+E21+(500*H22)</f>
        <v>919.14</v>
      </c>
      <c r="J22" s="425"/>
      <c r="K22" s="355"/>
      <c r="L22" s="427"/>
      <c r="N22" s="420"/>
    </row>
    <row r="23" spans="1:14" x14ac:dyDescent="0.25">
      <c r="A23" s="401">
        <v>5</v>
      </c>
      <c r="C23" s="407" t="s">
        <v>154</v>
      </c>
      <c r="D23" s="415"/>
      <c r="E23" s="421"/>
      <c r="F23" s="417">
        <v>1.58453</v>
      </c>
      <c r="G23" s="418">
        <f>+(D25-500)*F23</f>
        <v>2456.0214999999998</v>
      </c>
      <c r="H23" s="417">
        <f>F23+'CARES Incremental Rate'!$F$14</f>
        <v>1.59341</v>
      </c>
      <c r="I23" s="418">
        <f>+(D25-500)*H23</f>
        <v>2469.7855</v>
      </c>
      <c r="J23" s="425"/>
      <c r="K23" s="355"/>
      <c r="L23" s="427"/>
      <c r="N23" s="420"/>
    </row>
    <row r="24" spans="1:14" x14ac:dyDescent="0.25">
      <c r="A24" s="401">
        <v>6</v>
      </c>
      <c r="C24" s="407" t="s">
        <v>155</v>
      </c>
      <c r="D24" s="415"/>
      <c r="E24" s="421"/>
      <c r="F24" s="417">
        <v>1.57775</v>
      </c>
      <c r="G24" s="423"/>
      <c r="H24" s="417">
        <f>F24+'CARES Incremental Rate'!$F$14</f>
        <v>1.58663</v>
      </c>
      <c r="I24" s="407"/>
      <c r="J24" s="425"/>
      <c r="K24" s="355"/>
      <c r="L24" s="427"/>
    </row>
    <row r="25" spans="1:14" x14ac:dyDescent="0.25">
      <c r="A25" s="401">
        <v>7</v>
      </c>
      <c r="C25" s="428" t="s">
        <v>156</v>
      </c>
      <c r="D25" s="429">
        <v>2050</v>
      </c>
      <c r="E25" s="421"/>
      <c r="F25" s="422"/>
      <c r="G25" s="418">
        <f>+SUM((G22:G24))</f>
        <v>3370.7214999999997</v>
      </c>
      <c r="H25" s="423"/>
      <c r="I25" s="418">
        <f>+SUM(I22:I24)</f>
        <v>3388.9254999999998</v>
      </c>
      <c r="J25" s="416">
        <f>+I25-G25</f>
        <v>18.204000000000178</v>
      </c>
      <c r="K25" s="355">
        <f>+J25/G25</f>
        <v>5.4006241690392337E-3</v>
      </c>
      <c r="L25" s="427"/>
      <c r="N25" s="420"/>
    </row>
    <row r="26" spans="1:14" x14ac:dyDescent="0.25">
      <c r="C26" s="430"/>
      <c r="D26" s="415"/>
      <c r="E26" s="421"/>
      <c r="F26" s="422"/>
      <c r="G26" s="423"/>
      <c r="H26" s="422"/>
      <c r="I26" s="407"/>
      <c r="J26" s="425"/>
      <c r="K26" s="355"/>
      <c r="L26" s="427"/>
      <c r="N26" s="420"/>
    </row>
    <row r="27" spans="1:14" x14ac:dyDescent="0.25">
      <c r="A27" s="401">
        <v>8</v>
      </c>
      <c r="C27" s="407" t="s">
        <v>157</v>
      </c>
      <c r="D27" s="415"/>
      <c r="E27" s="426">
        <v>250</v>
      </c>
      <c r="F27" s="422"/>
      <c r="G27" s="423"/>
      <c r="H27" s="422"/>
      <c r="I27" s="407"/>
      <c r="J27" s="425"/>
      <c r="K27" s="355"/>
      <c r="L27" s="427"/>
      <c r="N27" s="420"/>
    </row>
    <row r="28" spans="1:14" x14ac:dyDescent="0.25">
      <c r="A28" s="401">
        <v>9</v>
      </c>
      <c r="C28" s="407" t="s">
        <v>158</v>
      </c>
      <c r="D28" s="415"/>
      <c r="E28" s="421"/>
      <c r="F28" s="417">
        <v>1.6146</v>
      </c>
      <c r="G28" s="418">
        <f>+E27+(+F28*D31)</f>
        <v>22931.900799999999</v>
      </c>
      <c r="H28" s="417">
        <f>F28++'CARES Incremental Rate'!$F$15</f>
        <v>1.6215999999999999</v>
      </c>
      <c r="I28" s="418">
        <f>+E27+(+H28*D31)</f>
        <v>23030.236799999999</v>
      </c>
      <c r="J28" s="425"/>
      <c r="K28" s="355"/>
    </row>
    <row r="29" spans="1:14" x14ac:dyDescent="0.25">
      <c r="A29" s="401">
        <v>11</v>
      </c>
      <c r="B29" s="402"/>
      <c r="C29" s="407" t="s">
        <v>159</v>
      </c>
      <c r="D29" s="415"/>
      <c r="E29" s="421"/>
      <c r="F29" s="417">
        <v>1.56945</v>
      </c>
      <c r="G29" s="423"/>
      <c r="H29" s="417">
        <f>F29+'CARES Incremental Rate'!$F$15</f>
        <v>1.5764499999999999</v>
      </c>
      <c r="I29" s="423"/>
      <c r="J29" s="425"/>
      <c r="K29" s="355"/>
    </row>
    <row r="30" spans="1:14" x14ac:dyDescent="0.25">
      <c r="A30" s="401">
        <v>12</v>
      </c>
      <c r="B30" s="402"/>
      <c r="C30" s="407" t="s">
        <v>160</v>
      </c>
      <c r="D30" s="415"/>
      <c r="E30" s="421"/>
      <c r="F30" s="417">
        <v>1.4577899999999999</v>
      </c>
      <c r="G30" s="423"/>
      <c r="H30" s="417">
        <f>F30+'CARES Incremental Rate'!$F$15</f>
        <v>1.4647899999999998</v>
      </c>
      <c r="I30" s="423"/>
      <c r="J30" s="425"/>
      <c r="K30" s="355"/>
    </row>
    <row r="31" spans="1:14" x14ac:dyDescent="0.25">
      <c r="A31" s="401">
        <v>13</v>
      </c>
      <c r="B31" s="402"/>
      <c r="C31" s="428" t="s">
        <v>161</v>
      </c>
      <c r="D31" s="429">
        <v>14048</v>
      </c>
      <c r="E31" s="421"/>
      <c r="F31" s="422"/>
      <c r="G31" s="418">
        <f>+SUM(G28:G30)</f>
        <v>22931.900799999999</v>
      </c>
      <c r="H31" s="423"/>
      <c r="I31" s="418">
        <f>+SUM(I28:I30)</f>
        <v>23030.236799999999</v>
      </c>
      <c r="J31" s="416">
        <f>+I31-G31</f>
        <v>98.335999999999331</v>
      </c>
      <c r="K31" s="355">
        <f>+J31/G31</f>
        <v>4.2881748380840428E-3</v>
      </c>
    </row>
    <row r="32" spans="1:14" x14ac:dyDescent="0.25">
      <c r="C32" s="407"/>
      <c r="D32" s="429"/>
      <c r="E32" s="421"/>
      <c r="F32" s="422"/>
      <c r="G32" s="423"/>
      <c r="H32" s="422"/>
      <c r="I32" s="407"/>
      <c r="J32" s="425"/>
      <c r="K32" s="355"/>
    </row>
    <row r="33" spans="1:14" x14ac:dyDescent="0.25">
      <c r="A33" s="401">
        <v>14</v>
      </c>
      <c r="C33" s="407" t="s">
        <v>162</v>
      </c>
      <c r="D33" s="429"/>
      <c r="E33" s="426">
        <v>300</v>
      </c>
      <c r="F33" s="422"/>
      <c r="G33" s="423"/>
      <c r="H33" s="422"/>
      <c r="I33" s="407"/>
      <c r="J33" s="425"/>
      <c r="K33" s="355"/>
    </row>
    <row r="34" spans="1:14" x14ac:dyDescent="0.25">
      <c r="A34" s="401">
        <v>15</v>
      </c>
      <c r="C34" s="407" t="s">
        <v>163</v>
      </c>
      <c r="D34" s="429"/>
      <c r="E34" s="407"/>
      <c r="F34" s="417">
        <v>1.4733000000000001</v>
      </c>
      <c r="G34" s="418">
        <f>+E33+(D36*F34)</f>
        <v>37089.774300000005</v>
      </c>
      <c r="H34" s="417">
        <f>F34+'CARES Incremental Rate'!$F$16</f>
        <v>1.4844300000000001</v>
      </c>
      <c r="I34" s="418">
        <f>+E33+(D36*H34)</f>
        <v>37367.701530000006</v>
      </c>
      <c r="J34" s="425"/>
      <c r="K34" s="355"/>
    </row>
    <row r="35" spans="1:14" x14ac:dyDescent="0.25">
      <c r="A35" s="401">
        <v>16</v>
      </c>
      <c r="C35" s="407" t="s">
        <v>164</v>
      </c>
      <c r="D35" s="429"/>
      <c r="E35" s="407"/>
      <c r="F35" s="417">
        <v>1.3978299999999999</v>
      </c>
      <c r="G35" s="423"/>
      <c r="H35" s="417">
        <f>F35+'CARES Incremental Rate'!$F$16</f>
        <v>1.40896</v>
      </c>
      <c r="I35" s="407"/>
      <c r="J35" s="425"/>
      <c r="K35" s="355"/>
    </row>
    <row r="36" spans="1:14" x14ac:dyDescent="0.25">
      <c r="A36" s="401">
        <v>17</v>
      </c>
      <c r="C36" s="428" t="s">
        <v>165</v>
      </c>
      <c r="D36" s="429">
        <v>24971</v>
      </c>
      <c r="E36" s="407"/>
      <c r="F36" s="422"/>
      <c r="G36" s="418">
        <f>+G34+G35</f>
        <v>37089.774300000005</v>
      </c>
      <c r="H36" s="423"/>
      <c r="I36" s="418">
        <f>+I34+I35</f>
        <v>37367.701530000006</v>
      </c>
      <c r="J36" s="416">
        <f>+I36-G36</f>
        <v>277.92723000000115</v>
      </c>
      <c r="K36" s="355">
        <f>+J36/G36</f>
        <v>7.4933653613524715E-3</v>
      </c>
    </row>
    <row r="37" spans="1:14" x14ac:dyDescent="0.25">
      <c r="C37" s="407"/>
      <c r="D37" s="407"/>
      <c r="E37" s="407"/>
      <c r="F37" s="422"/>
      <c r="G37" s="407"/>
      <c r="H37" s="407"/>
      <c r="I37" s="407"/>
      <c r="J37" s="407"/>
      <c r="K37" s="407"/>
    </row>
    <row r="38" spans="1:14" x14ac:dyDescent="0.25">
      <c r="A38" s="401">
        <v>18</v>
      </c>
      <c r="C38" s="407" t="s">
        <v>358</v>
      </c>
      <c r="D38" s="407"/>
      <c r="E38" s="426">
        <v>1000</v>
      </c>
      <c r="F38" s="422"/>
      <c r="G38" s="407"/>
      <c r="H38" s="407"/>
      <c r="I38" s="407"/>
      <c r="J38" s="407"/>
      <c r="K38" s="407"/>
      <c r="N38" s="420"/>
    </row>
    <row r="39" spans="1:14" x14ac:dyDescent="0.25">
      <c r="C39" s="407" t="s">
        <v>166</v>
      </c>
      <c r="D39" s="407"/>
      <c r="E39" s="431">
        <v>1.1000000000000001E-3</v>
      </c>
      <c r="F39" s="422"/>
      <c r="G39" s="407">
        <f>E39*D44</f>
        <v>406.06060000000002</v>
      </c>
      <c r="H39" s="407"/>
      <c r="I39" s="407"/>
      <c r="J39" s="407"/>
      <c r="K39" s="407"/>
      <c r="N39" s="420"/>
    </row>
    <row r="40" spans="1:14" x14ac:dyDescent="0.25">
      <c r="A40" s="401">
        <v>19</v>
      </c>
      <c r="C40" s="407" t="s">
        <v>167</v>
      </c>
      <c r="D40" s="407"/>
      <c r="E40" s="407"/>
      <c r="F40" s="432">
        <v>0.28566000000000003</v>
      </c>
      <c r="G40" s="418">
        <f>E38+(F40*100000)</f>
        <v>29566.000000000004</v>
      </c>
      <c r="H40" s="417">
        <f>F40+'CARES Incremental Rate'!$F$17</f>
        <v>0.28738000000000002</v>
      </c>
      <c r="I40" s="418">
        <f>E38+(H40*100000)</f>
        <v>29738.000000000004</v>
      </c>
      <c r="J40" s="407"/>
      <c r="K40" s="407"/>
    </row>
    <row r="41" spans="1:14" x14ac:dyDescent="0.25">
      <c r="A41" s="401">
        <v>20</v>
      </c>
      <c r="C41" s="407" t="s">
        <v>168</v>
      </c>
      <c r="D41" s="407"/>
      <c r="E41" s="407"/>
      <c r="F41" s="432">
        <v>0.25700000000000001</v>
      </c>
      <c r="G41" s="419">
        <f>+F41*200000</f>
        <v>51400</v>
      </c>
      <c r="H41" s="417">
        <f>F41+'CARES Incremental Rate'!$F$17</f>
        <v>0.25872000000000001</v>
      </c>
      <c r="I41" s="418">
        <f>(D44-100000)*H41</f>
        <v>69633.453120000006</v>
      </c>
      <c r="J41" s="407"/>
      <c r="K41" s="407"/>
    </row>
    <row r="42" spans="1:14" x14ac:dyDescent="0.25">
      <c r="A42" s="401">
        <v>21</v>
      </c>
      <c r="C42" s="407" t="s">
        <v>168</v>
      </c>
      <c r="D42" s="407"/>
      <c r="E42" s="407"/>
      <c r="F42" s="432">
        <v>0.25053999999999998</v>
      </c>
      <c r="G42" s="433">
        <f>+(+D44-(300000))*F42</f>
        <v>17323.83884</v>
      </c>
      <c r="H42" s="417">
        <f>F42+'CARES Incremental Rate'!$F$17</f>
        <v>0.25225999999999998</v>
      </c>
      <c r="I42" s="433">
        <f>+(+D44-(300000))*H42</f>
        <v>17442.769959999998</v>
      </c>
      <c r="J42" s="407"/>
      <c r="K42" s="407"/>
    </row>
    <row r="43" spans="1:14" x14ac:dyDescent="0.25">
      <c r="A43" s="401">
        <v>22</v>
      </c>
      <c r="C43" s="407" t="s">
        <v>169</v>
      </c>
      <c r="D43" s="407"/>
      <c r="E43" s="407"/>
      <c r="F43" s="432">
        <v>0.24528</v>
      </c>
      <c r="G43" s="407"/>
      <c r="H43" s="407"/>
      <c r="I43" s="407"/>
      <c r="J43" s="407"/>
      <c r="K43" s="407"/>
    </row>
    <row r="44" spans="1:14" x14ac:dyDescent="0.25">
      <c r="A44" s="401">
        <v>23</v>
      </c>
      <c r="C44" s="428" t="s">
        <v>170</v>
      </c>
      <c r="D44" s="434">
        <v>369146</v>
      </c>
      <c r="E44" s="407"/>
      <c r="F44" s="407"/>
      <c r="G44" s="418">
        <f>SUM(G39:G42)</f>
        <v>98695.899439999994</v>
      </c>
      <c r="H44" s="407"/>
      <c r="I44" s="418">
        <f>I40+I41</f>
        <v>99371.453120000006</v>
      </c>
      <c r="J44" s="416">
        <f>+I44-G44</f>
        <v>675.55368000001181</v>
      </c>
      <c r="K44" s="355">
        <f>+J44/G44</f>
        <v>6.8447998734810648E-3</v>
      </c>
    </row>
  </sheetData>
  <mergeCells count="4">
    <mergeCell ref="C4:K4"/>
    <mergeCell ref="C5:K5"/>
    <mergeCell ref="C9:K9"/>
    <mergeCell ref="A1:E1"/>
  </mergeCells>
  <pageMargins left="0.7" right="0.7" top="0.75" bottom="0.75" header="0.3" footer="0.3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1A0BE-9A76-4869-8410-70C4FA039C8A}">
  <dimension ref="A1"/>
  <sheetViews>
    <sheetView workbookViewId="0">
      <selection activeCell="K30" sqref="K30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0CD0-402B-4493-A09B-EA13BDE2265E}">
  <sheetPr>
    <pageSetUpPr fitToPage="1"/>
  </sheetPr>
  <dimension ref="A1:H18"/>
  <sheetViews>
    <sheetView view="pageBreakPreview" zoomScale="130" zoomScaleNormal="145" zoomScaleSheetLayoutView="130" workbookViewId="0">
      <selection activeCell="D11" sqref="D11"/>
    </sheetView>
  </sheetViews>
  <sheetFormatPr defaultColWidth="8" defaultRowHeight="15" x14ac:dyDescent="0.25"/>
  <cols>
    <col min="1" max="1" width="20" style="127" customWidth="1"/>
    <col min="2" max="2" width="56.7109375" style="127" bestFit="1" customWidth="1"/>
    <col min="3" max="3" width="17.7109375" style="127" bestFit="1" customWidth="1"/>
    <col min="4" max="4" width="17.7109375" style="127" customWidth="1"/>
    <col min="5" max="6" width="17.7109375" style="127" bestFit="1" customWidth="1"/>
    <col min="7" max="7" width="2.28515625" style="127" customWidth="1"/>
    <col min="8" max="8" width="16" style="127" customWidth="1"/>
    <col min="9" max="16384" width="8" style="127"/>
  </cols>
  <sheetData>
    <row r="1" spans="1:8" ht="18.75" x14ac:dyDescent="0.3">
      <c r="A1" s="196" t="s">
        <v>0</v>
      </c>
    </row>
    <row r="2" spans="1:8" x14ac:dyDescent="0.25">
      <c r="B2" s="491" t="s">
        <v>76</v>
      </c>
      <c r="C2" s="491"/>
      <c r="D2" s="491"/>
      <c r="E2" s="491"/>
      <c r="F2" s="491"/>
    </row>
    <row r="3" spans="1:8" x14ac:dyDescent="0.25">
      <c r="B3" s="492" t="s">
        <v>171</v>
      </c>
      <c r="C3" s="492"/>
      <c r="D3" s="492"/>
      <c r="E3" s="492"/>
      <c r="F3" s="492"/>
    </row>
    <row r="4" spans="1:8" x14ac:dyDescent="0.25">
      <c r="B4" s="491" t="s">
        <v>78</v>
      </c>
      <c r="C4" s="491"/>
      <c r="D4" s="491"/>
      <c r="E4" s="491"/>
      <c r="F4" s="491"/>
    </row>
    <row r="6" spans="1:8" x14ac:dyDescent="0.25">
      <c r="C6" s="139">
        <v>45869</v>
      </c>
      <c r="D6" s="139">
        <v>45900</v>
      </c>
      <c r="E6" s="139">
        <v>45930</v>
      </c>
      <c r="F6" s="139">
        <v>45961</v>
      </c>
      <c r="G6" s="140"/>
      <c r="H6" s="141" t="s">
        <v>172</v>
      </c>
    </row>
    <row r="7" spans="1:8" x14ac:dyDescent="0.25">
      <c r="C7" s="66" t="s">
        <v>173</v>
      </c>
      <c r="D7" s="66" t="s">
        <v>173</v>
      </c>
      <c r="E7" s="66" t="s">
        <v>173</v>
      </c>
      <c r="F7" s="66" t="s">
        <v>173</v>
      </c>
      <c r="G7" s="66"/>
      <c r="H7" s="66" t="s">
        <v>174</v>
      </c>
    </row>
    <row r="8" spans="1:8" x14ac:dyDescent="0.25">
      <c r="A8" s="142" t="s">
        <v>175</v>
      </c>
      <c r="B8" s="143"/>
      <c r="C8" s="66" t="s">
        <v>176</v>
      </c>
      <c r="D8" s="66" t="s">
        <v>176</v>
      </c>
      <c r="E8" s="66" t="s">
        <v>176</v>
      </c>
      <c r="F8" s="66" t="s">
        <v>176</v>
      </c>
      <c r="G8" s="66"/>
      <c r="H8" s="139">
        <v>45961</v>
      </c>
    </row>
    <row r="9" spans="1:8" x14ac:dyDescent="0.25">
      <c r="A9" s="144" t="s">
        <v>177</v>
      </c>
      <c r="C9" s="144" t="s">
        <v>177</v>
      </c>
      <c r="D9" s="144"/>
      <c r="E9" s="144" t="s">
        <v>177</v>
      </c>
      <c r="F9" s="144" t="s">
        <v>177</v>
      </c>
      <c r="G9" s="144"/>
      <c r="H9" s="144"/>
    </row>
    <row r="10" spans="1:8" x14ac:dyDescent="0.25">
      <c r="A10" s="135"/>
      <c r="C10" s="145"/>
      <c r="D10" s="145"/>
      <c r="E10" s="146"/>
      <c r="F10" s="146"/>
      <c r="G10" s="147"/>
      <c r="H10" s="146"/>
    </row>
    <row r="11" spans="1:8" x14ac:dyDescent="0.25">
      <c r="A11" s="135" t="s">
        <v>178</v>
      </c>
      <c r="B11" s="135" t="s">
        <v>51</v>
      </c>
      <c r="C11" s="148">
        <f>'CARES Deferral Balances'!B16</f>
        <v>4481964.42</v>
      </c>
      <c r="D11" s="148">
        <f>C11+'Int calc thru 10-31-2025'!D11</f>
        <v>4502671.0956204003</v>
      </c>
      <c r="E11" s="148">
        <f>+D11++'Int calc thru 10-31-2025'!D11</f>
        <v>4523377.7712408006</v>
      </c>
      <c r="F11" s="148">
        <f>+E11+'Int calc thru 10-31-2025'!F11</f>
        <v>4544275.776543933</v>
      </c>
      <c r="G11" s="149"/>
      <c r="H11" s="148">
        <f>+F11-C11</f>
        <v>62311.356543933041</v>
      </c>
    </row>
    <row r="12" spans="1:8" x14ac:dyDescent="0.25">
      <c r="A12" s="135" t="s">
        <v>179</v>
      </c>
      <c r="B12" s="135" t="s">
        <v>52</v>
      </c>
      <c r="C12" s="148">
        <f>'CARES Deferral Balances'!C16</f>
        <v>1658975.1700000002</v>
      </c>
      <c r="D12" s="148">
        <f>C12+'Int calc thru 10-31-2025'!D12</f>
        <v>1666639.6352854001</v>
      </c>
      <c r="E12" s="148">
        <f>+D12++'Int calc thru 10-31-2025'!D12</f>
        <v>1674304.1005708</v>
      </c>
      <c r="F12" s="148">
        <f>+E12+'Int calc thru 10-31-2025'!F12</f>
        <v>1682039.385515437</v>
      </c>
      <c r="G12" s="149"/>
      <c r="H12" s="148">
        <f t="shared" ref="H12:H14" si="0">+F12-C12</f>
        <v>23064.215515436837</v>
      </c>
    </row>
    <row r="13" spans="1:8" x14ac:dyDescent="0.25">
      <c r="A13" s="135" t="s">
        <v>180</v>
      </c>
      <c r="B13" s="135" t="s">
        <v>53</v>
      </c>
      <c r="C13" s="148">
        <f>'CARES Deferral Balances'!D16</f>
        <v>2063411.2700000005</v>
      </c>
      <c r="D13" s="148">
        <f>C13+'Int calc thru 10-31-2025'!D13</f>
        <v>2072944.2300674005</v>
      </c>
      <c r="E13" s="148">
        <f>+D13++'Int calc thru 10-31-2025'!D13</f>
        <v>2082477.1901348005</v>
      </c>
      <c r="F13" s="148">
        <f>+E13+'Int calc thru 10-31-2025'!F13</f>
        <v>2092098.2347532234</v>
      </c>
      <c r="G13" s="150"/>
      <c r="H13" s="148">
        <f t="shared" si="0"/>
        <v>28686.964753222885</v>
      </c>
    </row>
    <row r="14" spans="1:8" x14ac:dyDescent="0.25">
      <c r="A14" s="135" t="s">
        <v>181</v>
      </c>
      <c r="B14" s="135" t="s">
        <v>54</v>
      </c>
      <c r="C14" s="148">
        <f>'CARES Deferral Balances'!E16</f>
        <v>-7248817.8300000001</v>
      </c>
      <c r="D14" s="148">
        <f>C14+'Int calc thru 10-31-2025'!D14</f>
        <v>-7282307.3683746001</v>
      </c>
      <c r="E14" s="148">
        <f>+D14++'Int calc thru 10-31-2025'!D14</f>
        <v>-7315796.9067492001</v>
      </c>
      <c r="F14" s="148">
        <f>+E14+'Int calc thru 10-31-2025'!F14</f>
        <v>-7349595.8884583814</v>
      </c>
      <c r="G14" s="150"/>
      <c r="H14" s="148">
        <f t="shared" si="0"/>
        <v>-100778.05845838133</v>
      </c>
    </row>
    <row r="15" spans="1:8" s="152" customFormat="1" ht="15.75" thickBot="1" x14ac:dyDescent="0.3">
      <c r="A15" s="66" t="s">
        <v>182</v>
      </c>
      <c r="B15" s="142"/>
      <c r="C15" s="151">
        <f>SUM(C11:C14)</f>
        <v>955533.03000000026</v>
      </c>
      <c r="D15" s="151">
        <f>SUM(D11:D14)</f>
        <v>959947.59259860031</v>
      </c>
      <c r="E15" s="151">
        <f t="shared" ref="E15:H15" si="1">SUM(E11:E14)</f>
        <v>964362.1551972013</v>
      </c>
      <c r="F15" s="151">
        <f t="shared" si="1"/>
        <v>968817.50835421216</v>
      </c>
      <c r="G15" s="151"/>
      <c r="H15" s="151">
        <f t="shared" si="1"/>
        <v>13284.478354211431</v>
      </c>
    </row>
    <row r="16" spans="1:8" ht="15.75" thickTop="1" x14ac:dyDescent="0.25">
      <c r="A16" s="134"/>
      <c r="B16" s="135"/>
      <c r="C16" s="153"/>
      <c r="D16" s="153"/>
      <c r="E16" s="146"/>
      <c r="F16" s="146"/>
      <c r="G16" s="146"/>
      <c r="H16" s="146"/>
    </row>
    <row r="18" spans="3:8" x14ac:dyDescent="0.25">
      <c r="C18" s="154"/>
      <c r="D18" s="154"/>
      <c r="E18" s="154"/>
      <c r="F18" s="154"/>
      <c r="G18" s="154"/>
      <c r="H18" s="155"/>
    </row>
  </sheetData>
  <mergeCells count="3">
    <mergeCell ref="B2:F2"/>
    <mergeCell ref="B3:F3"/>
    <mergeCell ref="B4:F4"/>
  </mergeCells>
  <printOptions horizontalCentered="1"/>
  <pageMargins left="0.25" right="0.25" top="1" bottom="1" header="0.5" footer="0.5"/>
  <pageSetup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F0D4-A24F-43A2-88B4-80879F7072E7}">
  <dimension ref="A1:AE28"/>
  <sheetViews>
    <sheetView view="pageBreakPreview" zoomScale="115" zoomScaleNormal="130" zoomScaleSheetLayoutView="115" workbookViewId="0">
      <selection activeCell="D11" sqref="D11"/>
    </sheetView>
  </sheetViews>
  <sheetFormatPr defaultColWidth="8" defaultRowHeight="15" x14ac:dyDescent="0.25"/>
  <cols>
    <col min="1" max="1" width="20.42578125" style="127" customWidth="1"/>
    <col min="2" max="2" width="64.140625" style="127" bestFit="1" customWidth="1"/>
    <col min="3" max="3" width="8" style="127" bestFit="1" customWidth="1"/>
    <col min="4" max="4" width="13.85546875" style="127" bestFit="1" customWidth="1"/>
    <col min="5" max="5" width="18.140625" style="127" customWidth="1"/>
    <col min="6" max="6" width="18.85546875" style="127" customWidth="1"/>
    <col min="7" max="7" width="20.5703125" style="127" bestFit="1" customWidth="1"/>
    <col min="8" max="8" width="15.140625" style="127" bestFit="1" customWidth="1"/>
    <col min="9" max="11" width="13.7109375" style="127" bestFit="1" customWidth="1"/>
    <col min="12" max="17" width="13.42578125" style="127" bestFit="1" customWidth="1"/>
    <col min="18" max="18" width="15.140625" style="127" bestFit="1" customWidth="1"/>
    <col min="19" max="19" width="14.28515625" style="127" bestFit="1" customWidth="1"/>
    <col min="20" max="21" width="13.42578125" style="127" bestFit="1" customWidth="1"/>
    <col min="22" max="29" width="12.42578125" style="127" bestFit="1" customWidth="1"/>
    <col min="30" max="30" width="13.140625" style="127" bestFit="1" customWidth="1"/>
    <col min="31" max="31" width="12.42578125" style="127" bestFit="1" customWidth="1"/>
    <col min="32" max="16384" width="8" style="127"/>
  </cols>
  <sheetData>
    <row r="1" spans="1:31" ht="18.75" x14ac:dyDescent="0.3">
      <c r="A1" s="196" t="s">
        <v>0</v>
      </c>
      <c r="F1" s="491" t="s">
        <v>76</v>
      </c>
      <c r="G1" s="491"/>
      <c r="H1" s="491"/>
      <c r="I1" s="491"/>
      <c r="J1" s="491"/>
    </row>
    <row r="2" spans="1:31" x14ac:dyDescent="0.25">
      <c r="F2" s="156" t="s">
        <v>183</v>
      </c>
      <c r="G2" s="156"/>
      <c r="H2" s="156"/>
      <c r="I2" s="156"/>
      <c r="J2" s="156"/>
      <c r="K2" s="156"/>
    </row>
    <row r="3" spans="1:31" x14ac:dyDescent="0.25">
      <c r="F3" s="491" t="s">
        <v>78</v>
      </c>
      <c r="G3" s="491"/>
      <c r="H3" s="491"/>
      <c r="I3" s="491"/>
      <c r="J3" s="491"/>
    </row>
    <row r="5" spans="1:31" x14ac:dyDescent="0.25">
      <c r="B5" s="152"/>
    </row>
    <row r="6" spans="1:31" x14ac:dyDescent="0.25">
      <c r="B6" s="152" t="s">
        <v>184</v>
      </c>
      <c r="F6" s="493" t="s">
        <v>185</v>
      </c>
      <c r="G6" s="493"/>
      <c r="H6" s="493"/>
    </row>
    <row r="7" spans="1:31" s="126" customFormat="1" ht="45" x14ac:dyDescent="0.25">
      <c r="B7" s="143" t="s">
        <v>84</v>
      </c>
      <c r="C7" s="131" t="s">
        <v>186</v>
      </c>
      <c r="D7" s="157" t="s">
        <v>187</v>
      </c>
      <c r="E7" s="158" t="s">
        <v>188</v>
      </c>
      <c r="F7" s="159">
        <v>45962</v>
      </c>
      <c r="G7" s="159">
        <v>45992</v>
      </c>
      <c r="H7" s="159">
        <v>46023</v>
      </c>
      <c r="I7" s="159">
        <v>46054</v>
      </c>
      <c r="J7" s="159">
        <v>46082</v>
      </c>
      <c r="K7" s="159">
        <v>46113</v>
      </c>
      <c r="L7" s="159">
        <v>46143</v>
      </c>
      <c r="M7" s="159">
        <v>46174</v>
      </c>
      <c r="N7" s="159">
        <v>46204</v>
      </c>
      <c r="O7" s="159">
        <v>46235</v>
      </c>
      <c r="P7" s="159">
        <v>46266</v>
      </c>
      <c r="Q7" s="159">
        <v>46296</v>
      </c>
      <c r="R7" s="158" t="s">
        <v>189</v>
      </c>
      <c r="S7" s="160" t="s">
        <v>190</v>
      </c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8"/>
      <c r="AE7" s="160"/>
    </row>
    <row r="8" spans="1:31" x14ac:dyDescent="0.25">
      <c r="A8" s="135" t="s">
        <v>178</v>
      </c>
      <c r="B8" s="135" t="s">
        <v>51</v>
      </c>
      <c r="C8" s="135" t="s">
        <v>191</v>
      </c>
      <c r="D8" s="112">
        <v>-4.1168007998631864E-3</v>
      </c>
      <c r="E8" s="149">
        <f>EstimatedBalances!F11</f>
        <v>4544275.776543933</v>
      </c>
      <c r="F8" s="149">
        <f>+$D8*'Forecasted Volumes'!$J$7</f>
        <v>-439240.10174422193</v>
      </c>
      <c r="G8" s="149">
        <f>+D8*'Forecasted Volumes'!$J$8</f>
        <v>-535876.17524787842</v>
      </c>
      <c r="H8" s="149">
        <f>+D8*'Forecasted Volumes'!$J$9</f>
        <v>-510570.2954175378</v>
      </c>
      <c r="I8" s="149">
        <f>+D8*'Forecasted Volumes'!$J$10</f>
        <v>-452167.84428798431</v>
      </c>
      <c r="J8" s="149">
        <f>+D8*'Forecasted Volumes'!$J$11</f>
        <v>-428401.10453908693</v>
      </c>
      <c r="K8" s="149">
        <f>+D8*'Forecasted Volumes'!$J$12</f>
        <v>-307774.59256467014</v>
      </c>
      <c r="L8" s="149">
        <f>+D8*'Forecasted Volumes'!$J$13</f>
        <v>-247738.51254171491</v>
      </c>
      <c r="M8" s="149">
        <f>+D8*'Forecasted Volumes'!$J$14</f>
        <v>-297893.81368010968</v>
      </c>
      <c r="N8" s="149">
        <f>+D8*'Forecasted Volumes'!$J$15</f>
        <v>-296297.03838746838</v>
      </c>
      <c r="O8" s="149">
        <f>+D8*'Forecasted Volumes'!$J$16</f>
        <v>-327803.44185932371</v>
      </c>
      <c r="P8" s="149">
        <f>+D8*'Forecasted Volumes'!$J$17</f>
        <v>-338257.80636572751</v>
      </c>
      <c r="Q8" s="149">
        <f>+D8*'Forecasted Volumes'!$J$18</f>
        <v>-362255.04990821</v>
      </c>
      <c r="R8" s="149">
        <f>+SUM(F8:Q8)</f>
        <v>-4544275.7765439339</v>
      </c>
      <c r="S8" s="149">
        <f>+R8+E8</f>
        <v>0</v>
      </c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61"/>
      <c r="AE8" s="161"/>
    </row>
    <row r="9" spans="1:31" x14ac:dyDescent="0.25">
      <c r="A9" s="135" t="s">
        <v>179</v>
      </c>
      <c r="B9" s="135" t="s">
        <v>52</v>
      </c>
      <c r="C9" s="135" t="s">
        <v>191</v>
      </c>
      <c r="D9" s="112">
        <v>-1.5238118081288047E-3</v>
      </c>
      <c r="E9" s="149">
        <f>EstimatedBalances!F12</f>
        <v>1682039.385515437</v>
      </c>
      <c r="F9" s="149">
        <f>+$D9*'Forecasted Volumes'!$J$7</f>
        <v>-162582.37553388215</v>
      </c>
      <c r="G9" s="149">
        <f>+D9*'Forecasted Volumes'!$J$8</f>
        <v>-198351.70153599733</v>
      </c>
      <c r="H9" s="149">
        <f>+D9*'Forecasted Volumes'!$J$9</f>
        <v>-188984.86539910117</v>
      </c>
      <c r="I9" s="149">
        <f>+D9*'Forecasted Volumes'!$J$10</f>
        <v>-167367.51032624053</v>
      </c>
      <c r="J9" s="149">
        <f>+D9*'Forecasted Volumes'!$J$11</f>
        <v>-158570.37866242588</v>
      </c>
      <c r="K9" s="149">
        <f>+D9*'Forecasted Volumes'!$J$12</f>
        <v>-113921.1201104659</v>
      </c>
      <c r="L9" s="149">
        <f>+D9*'Forecasted Volumes'!$J$13</f>
        <v>-91699.086035903616</v>
      </c>
      <c r="M9" s="149">
        <f>+D9*'Forecasted Volumes'!$J$14</f>
        <v>-110263.80262784607</v>
      </c>
      <c r="N9" s="149">
        <f>+D9*'Forecasted Volumes'!$J$15</f>
        <v>-109672.76478945077</v>
      </c>
      <c r="O9" s="149">
        <f>+D9*'Forecasted Volumes'!$J$16</f>
        <v>-121334.69160497194</v>
      </c>
      <c r="P9" s="149">
        <f>+D9*'Forecasted Volumes'!$J$17</f>
        <v>-125204.31873919476</v>
      </c>
      <c r="Q9" s="149">
        <f>+D9*'Forecasted Volumes'!$J$18</f>
        <v>-134086.77014995838</v>
      </c>
      <c r="R9" s="149">
        <f>+SUM(F9:Q9)</f>
        <v>-1682039.3855154384</v>
      </c>
      <c r="S9" s="149">
        <f>+R9+E9</f>
        <v>0</v>
      </c>
    </row>
    <row r="10" spans="1:31" x14ac:dyDescent="0.25">
      <c r="A10" s="135" t="s">
        <v>180</v>
      </c>
      <c r="B10" s="135" t="s">
        <v>53</v>
      </c>
      <c r="C10" s="135" t="s">
        <v>191</v>
      </c>
      <c r="D10" s="112">
        <v>-1.8952968767169988E-3</v>
      </c>
      <c r="E10" s="149">
        <f>EstimatedBalances!F13</f>
        <v>2092098.2347532234</v>
      </c>
      <c r="F10" s="149">
        <f>+$D10*'Forecasted Volumes'!$J$7</f>
        <v>-202217.79810000685</v>
      </c>
      <c r="G10" s="149">
        <f>+D10*'Forecasted Volumes'!$J$8</f>
        <v>-246707.21043585785</v>
      </c>
      <c r="H10" s="149">
        <f>+D10*'Forecasted Volumes'!$J$9</f>
        <v>-235056.86412650664</v>
      </c>
      <c r="I10" s="149">
        <f>+D10*'Forecasted Volumes'!$J$10</f>
        <v>-208169.48516414865</v>
      </c>
      <c r="J10" s="149">
        <f>+D10*'Forecasted Volumes'!$J$11</f>
        <v>-197227.72970750186</v>
      </c>
      <c r="K10" s="149">
        <f>+D10*'Forecasted Volumes'!$J$12</f>
        <v>-141693.57527331702</v>
      </c>
      <c r="L10" s="149">
        <f>+D10*'Forecasted Volumes'!$J$13</f>
        <v>-114054.1046043402</v>
      </c>
      <c r="M10" s="149">
        <f>+D10*'Forecasted Volumes'!$J$14</f>
        <v>-137144.65239124291</v>
      </c>
      <c r="N10" s="149">
        <f>+D10*'Forecasted Volumes'!$J$15</f>
        <v>-136409.52738226444</v>
      </c>
      <c r="O10" s="149">
        <f>+D10*'Forecasted Volumes'!$J$16</f>
        <v>-150914.47697777985</v>
      </c>
      <c r="P10" s="149">
        <f>+D10*'Forecasted Volumes'!$J$17</f>
        <v>-155727.46778309319</v>
      </c>
      <c r="Q10" s="149">
        <f>+D10*'Forecasted Volumes'!$J$18</f>
        <v>-166775.34280716424</v>
      </c>
      <c r="R10" s="149">
        <f>+SUM(F10:Q10)</f>
        <v>-2092098.2347532234</v>
      </c>
      <c r="S10" s="149">
        <f>+R10+E10</f>
        <v>0</v>
      </c>
    </row>
    <row r="11" spans="1:31" x14ac:dyDescent="0.25">
      <c r="A11" s="135" t="s">
        <v>181</v>
      </c>
      <c r="B11" s="135" t="s">
        <v>54</v>
      </c>
      <c r="C11" s="135" t="s">
        <v>191</v>
      </c>
      <c r="D11" s="112">
        <v>6.6582275636642655E-3</v>
      </c>
      <c r="E11" s="149">
        <f>EstimatedBalances!F14</f>
        <v>-7349595.8884583814</v>
      </c>
      <c r="F11" s="149">
        <f>+$D11*'Forecasted Volumes'!$J$7</f>
        <v>710396.42058883852</v>
      </c>
      <c r="G11" s="149">
        <f>+D11*'Forecasted Volumes'!$J$8</f>
        <v>866688.8912538545</v>
      </c>
      <c r="H11" s="149">
        <f>+D11*'Forecasted Volumes'!$J$9</f>
        <v>825760.9195592443</v>
      </c>
      <c r="I11" s="149">
        <f>+D11*'Forecasted Volumes'!$J$10</f>
        <v>731304.85311335954</v>
      </c>
      <c r="J11" s="149">
        <f>+D11*'Forecasted Volumes'!$J$11</f>
        <v>692866.1796415213</v>
      </c>
      <c r="K11" s="149">
        <f>+D11*'Forecasted Volumes'!$J$12</f>
        <v>497773.24073531263</v>
      </c>
      <c r="L11" s="149">
        <f>+D11*'Forecasted Volumes'!$J$13</f>
        <v>400675.05642761471</v>
      </c>
      <c r="M11" s="149">
        <f>+D11*'Forecasted Volumes'!$J$14</f>
        <v>481792.75551925885</v>
      </c>
      <c r="N11" s="149">
        <f>+D11*'Forecasted Volumes'!$J$15</f>
        <v>479210.24211059551</v>
      </c>
      <c r="O11" s="149">
        <f>+D11*'Forecasted Volumes'!$J$16</f>
        <v>530166.50990844634</v>
      </c>
      <c r="P11" s="149">
        <f>+D11*'Forecasted Volumes'!$J$17</f>
        <v>547074.67265449034</v>
      </c>
      <c r="Q11" s="149">
        <f>+D11*'Forecasted Volumes'!$J$18</f>
        <v>585886.14694584568</v>
      </c>
      <c r="R11" s="149">
        <f>+SUM(F11:Q11)</f>
        <v>7349595.8884583814</v>
      </c>
      <c r="S11" s="149">
        <f>+R11+E11</f>
        <v>0</v>
      </c>
    </row>
    <row r="14" spans="1:31" x14ac:dyDescent="0.25">
      <c r="A14" s="135"/>
      <c r="B14" s="135"/>
      <c r="C14" s="135"/>
      <c r="D14" s="112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</row>
    <row r="15" spans="1:31" x14ac:dyDescent="0.25">
      <c r="A15" s="135"/>
      <c r="B15" s="135"/>
      <c r="C15" s="135"/>
      <c r="D15" s="112"/>
      <c r="E15" s="149"/>
      <c r="F15" s="149">
        <f>+SUM(F8:F11)+E16</f>
        <v>875173.65356493974</v>
      </c>
      <c r="G15" s="149">
        <f t="shared" ref="G15:Q15" si="0">+SUM(G8:G11)+F15</f>
        <v>760927.45759906061</v>
      </c>
      <c r="H15" s="149">
        <f t="shared" si="0"/>
        <v>652076.35221515934</v>
      </c>
      <c r="I15" s="149">
        <f t="shared" si="0"/>
        <v>555676.36555014539</v>
      </c>
      <c r="J15" s="149">
        <f t="shared" si="0"/>
        <v>464343.33228265203</v>
      </c>
      <c r="K15" s="149">
        <f t="shared" si="0"/>
        <v>398727.28506951156</v>
      </c>
      <c r="L15" s="149">
        <f t="shared" si="0"/>
        <v>345910.63831516751</v>
      </c>
      <c r="M15" s="149">
        <f t="shared" si="0"/>
        <v>282401.12513522763</v>
      </c>
      <c r="N15" s="149">
        <f t="shared" si="0"/>
        <v>219232.03668663953</v>
      </c>
      <c r="O15" s="149">
        <f t="shared" si="0"/>
        <v>149345.93615301035</v>
      </c>
      <c r="P15" s="149">
        <f t="shared" si="0"/>
        <v>77231.015919485246</v>
      </c>
      <c r="Q15" s="149">
        <f t="shared" si="0"/>
        <v>-1.6298145055770874E-9</v>
      </c>
      <c r="R15" s="149">
        <f>SUM(R8:R11)</f>
        <v>-968817.50835421402</v>
      </c>
      <c r="S15" s="117"/>
    </row>
    <row r="16" spans="1:31" s="152" customFormat="1" x14ac:dyDescent="0.25">
      <c r="A16" s="191" t="s">
        <v>192</v>
      </c>
      <c r="B16" s="192" t="s">
        <v>193</v>
      </c>
      <c r="D16" s="162">
        <f>+SUM(D8:D11)</f>
        <v>-8.7768192104472481E-4</v>
      </c>
      <c r="E16" s="163">
        <f>+SUM(E8:E11)</f>
        <v>968817.50835421216</v>
      </c>
      <c r="F16" s="163">
        <f>+SUM(F8:F11)</f>
        <v>-93643.854789272416</v>
      </c>
      <c r="G16" s="163">
        <f t="shared" ref="G16:Q16" si="1">+SUM(G8:G11)</f>
        <v>-114246.19596587913</v>
      </c>
      <c r="H16" s="163">
        <f t="shared" si="1"/>
        <v>-108851.10538390127</v>
      </c>
      <c r="I16" s="163">
        <f t="shared" si="1"/>
        <v>-96399.986665013945</v>
      </c>
      <c r="J16" s="163">
        <f t="shared" si="1"/>
        <v>-91333.03326749336</v>
      </c>
      <c r="K16" s="163">
        <f t="shared" si="1"/>
        <v>-65616.047213140468</v>
      </c>
      <c r="L16" s="163">
        <f t="shared" si="1"/>
        <v>-52816.646754344052</v>
      </c>
      <c r="M16" s="163">
        <f t="shared" si="1"/>
        <v>-63509.513179939881</v>
      </c>
      <c r="N16" s="163">
        <f t="shared" si="1"/>
        <v>-63169.088448588096</v>
      </c>
      <c r="O16" s="163">
        <f t="shared" si="1"/>
        <v>-69886.100533629186</v>
      </c>
      <c r="P16" s="163">
        <f t="shared" si="1"/>
        <v>-72114.920233525103</v>
      </c>
      <c r="Q16" s="163">
        <f t="shared" si="1"/>
        <v>-77231.015919486876</v>
      </c>
      <c r="R16" s="164">
        <f>SUM(F16:Q16)</f>
        <v>-968817.50835421379</v>
      </c>
      <c r="S16" s="163">
        <f>+SUM(S9:S10)</f>
        <v>0</v>
      </c>
    </row>
    <row r="17" spans="1:30" s="152" customFormat="1" x14ac:dyDescent="0.25">
      <c r="D17" s="162"/>
      <c r="E17" s="163"/>
      <c r="F17" s="163"/>
      <c r="G17" s="165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6"/>
      <c r="S17" s="163"/>
    </row>
    <row r="18" spans="1:30" x14ac:dyDescent="0.25">
      <c r="E18" s="116"/>
      <c r="F18" s="116"/>
      <c r="G18" s="167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30" x14ac:dyDescent="0.25">
      <c r="B19" s="152" t="s">
        <v>194</v>
      </c>
      <c r="E19" s="116"/>
      <c r="F19" s="116"/>
      <c r="G19" s="167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30" s="152" customFormat="1" x14ac:dyDescent="0.25">
      <c r="B20" s="168" t="s">
        <v>195</v>
      </c>
      <c r="C20" s="169">
        <f>'Int calc thru 10-31-2025'!F8</f>
        <v>5.4399999999999997E-2</v>
      </c>
      <c r="D20" s="170"/>
      <c r="E20" s="170"/>
      <c r="F20" s="170">
        <f t="shared" ref="F20:Q20" si="2">$C20*DAY(DATE(YEAR(F7),MONTH(F7)+1,DAY(1))-1)/365</f>
        <v>4.4712328767123281E-3</v>
      </c>
      <c r="G20" s="171">
        <f t="shared" si="2"/>
        <v>4.6202739726027391E-3</v>
      </c>
      <c r="H20" s="170">
        <f t="shared" si="2"/>
        <v>4.6202739726027391E-3</v>
      </c>
      <c r="I20" s="170">
        <f t="shared" si="2"/>
        <v>4.1731506849315069E-3</v>
      </c>
      <c r="J20" s="170">
        <f t="shared" si="2"/>
        <v>4.6202739726027391E-3</v>
      </c>
      <c r="K20" s="170">
        <f t="shared" si="2"/>
        <v>4.4712328767123281E-3</v>
      </c>
      <c r="L20" s="170">
        <f t="shared" si="2"/>
        <v>4.6202739726027391E-3</v>
      </c>
      <c r="M20" s="170">
        <f t="shared" si="2"/>
        <v>4.4712328767123281E-3</v>
      </c>
      <c r="N20" s="170">
        <f t="shared" si="2"/>
        <v>4.6202739726027391E-3</v>
      </c>
      <c r="O20" s="170">
        <f t="shared" si="2"/>
        <v>4.6202739726027391E-3</v>
      </c>
      <c r="P20" s="170">
        <f t="shared" si="2"/>
        <v>4.4712328767123281E-3</v>
      </c>
      <c r="Q20" s="170">
        <f t="shared" si="2"/>
        <v>4.6202739726027391E-3</v>
      </c>
      <c r="R20" s="172" t="s">
        <v>196</v>
      </c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2"/>
    </row>
    <row r="21" spans="1:30" x14ac:dyDescent="0.25">
      <c r="A21" s="127" t="str">
        <f t="shared" ref="A21:C24" si="3">+A8</f>
        <v>47WA.1823.2073</v>
      </c>
      <c r="B21" s="127" t="str">
        <f t="shared" si="3"/>
        <v>WA Cares EDP-AMP Bill Discounts (Current)</v>
      </c>
      <c r="C21" s="135" t="str">
        <f t="shared" si="3"/>
        <v>ALL</v>
      </c>
      <c r="E21" s="116"/>
      <c r="F21" s="149">
        <f>+F$20*E8</f>
        <v>20318.51525293068</v>
      </c>
      <c r="G21" s="173">
        <f>+G$20*(F8+E8)</f>
        <v>18966.389484882828</v>
      </c>
      <c r="H21" s="173">
        <f>+H$20*(G8+F8+E8)</f>
        <v>16490.494739847149</v>
      </c>
      <c r="I21" s="173">
        <f>+I$20*(H8+G8+F8+E8)</f>
        <v>12763.953632157145</v>
      </c>
      <c r="J21" s="173">
        <f>+J$20*(I8+H8+G8+F8+E8)</f>
        <v>12042.380770533748</v>
      </c>
      <c r="K21" s="173">
        <f>+K$20*(J8+I8+H8+G8+F8+E8)</f>
        <v>9738.4357716750364</v>
      </c>
      <c r="L21" s="173">
        <f>+L$20*(K8+J8+I8+H8+E8+F8+G8)</f>
        <v>8641.0473579425798</v>
      </c>
      <c r="M21" s="173">
        <f>+M$20*(L8+K8+J8+I8+H8+G8+F8+E8)</f>
        <v>7254.6073126788169</v>
      </c>
      <c r="N21" s="173">
        <f>+N$20*(M8+L8+K8+J8+I8+H8+G8+F8+E8)</f>
        <v>6120.0765224891984</v>
      </c>
      <c r="O21" s="173">
        <f>+O$20*(N8+M8+L8+K8+J8+I8+H8+G8+F8+E8)</f>
        <v>4751.103027868302</v>
      </c>
      <c r="P21" s="173">
        <f>+P$20*(O8+N8+M8+L8+K8+J8+I8+H8+G8+F8+E8)</f>
        <v>3132.1561135316852</v>
      </c>
      <c r="Q21" s="173">
        <f>+Q$20*(P8+O8+N8+M8+L8+K8+J8+I8+H8+G8+F8+E8)</f>
        <v>1673.717578534807</v>
      </c>
      <c r="R21" s="149">
        <f>+SUM(F21:Q21)</f>
        <v>121892.87756507198</v>
      </c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61"/>
    </row>
    <row r="22" spans="1:30" x14ac:dyDescent="0.25">
      <c r="A22" s="127" t="str">
        <f t="shared" si="3"/>
        <v>47WA.1823.2074</v>
      </c>
      <c r="B22" s="127" t="str">
        <f t="shared" si="3"/>
        <v>WA Cares EDP-AMP Admin Costs (Current)</v>
      </c>
      <c r="C22" s="135" t="str">
        <f t="shared" si="3"/>
        <v>ALL</v>
      </c>
      <c r="E22" s="116"/>
      <c r="F22" s="149">
        <f>+F$20*E9</f>
        <v>7520.7898004416238</v>
      </c>
      <c r="G22" s="173">
        <f>+G$20*(F9+E9)</f>
        <v>7020.3076757065583</v>
      </c>
      <c r="H22" s="173">
        <f>+H$20*(G9+F9+E9)</f>
        <v>6103.8684716783227</v>
      </c>
      <c r="I22" s="173">
        <f>+I$20*(H9+G9+F9+E9)</f>
        <v>4724.5092023242796</v>
      </c>
      <c r="J22" s="173">
        <f>+J$20*(I9+H9+G9+F9+E9)</f>
        <v>4457.4228650393743</v>
      </c>
      <c r="K22" s="173">
        <f>+K$20*(J9+I9+H9+G9+F9+E9)</f>
        <v>3604.6299403351036</v>
      </c>
      <c r="L22" s="173">
        <f>+L$20*(K9+J9+I9+H9+E9+F9+G9)</f>
        <v>3198.4374855034716</v>
      </c>
      <c r="M22" s="173">
        <f>+M$20*(L9+K9+J9+I9+H9+G9+F9+E9)</f>
        <v>2685.2541144970905</v>
      </c>
      <c r="N22" s="173">
        <f>+N$20*(M9+L9+K9+J9+I9+H9+G9+F9+E9)</f>
        <v>2265.3136075786842</v>
      </c>
      <c r="O22" s="173">
        <f>+O$20*(N9+M9+L9+K9+J9+I9+H9+G9+F9+E9)</f>
        <v>1758.595386918603</v>
      </c>
      <c r="P22" s="173">
        <f>+P$20*(O9+N9+M9+L9+K9+J9+I9+H9+G9+F9+E9)</f>
        <v>1159.3508412797141</v>
      </c>
      <c r="Q22" s="173">
        <f>+Q$20*(P9+O9+N9+M9+L9+K9+J9+I9+H9+G9+F9+E9)</f>
        <v>619.51761419421189</v>
      </c>
      <c r="R22" s="149">
        <f>+SUM(F22:Q22)</f>
        <v>45117.997005497033</v>
      </c>
      <c r="S22" s="116"/>
    </row>
    <row r="23" spans="1:30" x14ac:dyDescent="0.25">
      <c r="A23" s="127" t="str">
        <f t="shared" si="3"/>
        <v>47WA.1823.2075</v>
      </c>
      <c r="B23" s="127" t="str">
        <f t="shared" si="3"/>
        <v>WA Cares EDP-AMP Arrears Forgiveness (Current)</v>
      </c>
      <c r="C23" s="135" t="str">
        <f t="shared" si="3"/>
        <v>ALL</v>
      </c>
      <c r="E23" s="116"/>
      <c r="F23" s="149">
        <f>+F$20*E10</f>
        <v>9354.2584085404378</v>
      </c>
      <c r="G23" s="173">
        <f>+G$20*(F10+E10)</f>
        <v>8731.7653927999563</v>
      </c>
      <c r="H23" s="173">
        <f>+H$20*(G10+F10+E10)</f>
        <v>7591.9104895697346</v>
      </c>
      <c r="I23" s="173">
        <f>+I$20*(H10+G10+F10+E10)</f>
        <v>5876.2817609227013</v>
      </c>
      <c r="J23" s="173">
        <f>+J$20*(I10+H10+G10+F10+E10)</f>
        <v>5544.0833239703898</v>
      </c>
      <c r="K23" s="173">
        <f>+K$20*(J10+I10+H10+G10+F10+E10)</f>
        <v>4483.3908171554431</v>
      </c>
      <c r="L23" s="173">
        <f>+L$20*(K10+J10+I10+H10+E10+F10+G10)</f>
        <v>3978.1740398069578</v>
      </c>
      <c r="M23" s="173">
        <f>+M$20*(L10+K10+J10+I10+H10+G10+F10+E10)</f>
        <v>3339.8833827435633</v>
      </c>
      <c r="N23" s="173">
        <f>+N$20*(M10+L10+K10+J10+I10+H10+G10+F10+E10)</f>
        <v>2817.5669609101051</v>
      </c>
      <c r="O23" s="173">
        <f>+O$20*(N10+M10+L10+K10+J10+I10+H10+G10+F10+E10)</f>
        <v>2187.3175719307883</v>
      </c>
      <c r="P23" s="173">
        <f>+P$20*(O10+N10+M10+L10+K10+J10+I10+H10+G10+F10+E10)</f>
        <v>1441.9851695432867</v>
      </c>
      <c r="Q23" s="173">
        <f>+Q$20*(P10+O10+N10+M10+L10+K10+J10+I10+H10+G10+F10+E10)</f>
        <v>770.54777564383903</v>
      </c>
      <c r="R23" s="149">
        <f>+SUM(F23:Q23)</f>
        <v>56117.165093537216</v>
      </c>
      <c r="S23" s="116"/>
    </row>
    <row r="24" spans="1:30" x14ac:dyDescent="0.25">
      <c r="A24" s="127" t="str">
        <f t="shared" si="3"/>
        <v>47WA.1823.2076</v>
      </c>
      <c r="B24" s="127" t="str">
        <f t="shared" si="3"/>
        <v>WA Cares (EDP-AMP) Recovery</v>
      </c>
      <c r="C24" s="135" t="str">
        <f t="shared" si="3"/>
        <v>ALL</v>
      </c>
      <c r="F24" s="149">
        <f>+F$20*E11</f>
        <v>-32861.754767024868</v>
      </c>
      <c r="G24" s="173">
        <f>+G$20*(F11+E11)</f>
        <v>-30674.920500315602</v>
      </c>
      <c r="H24" s="173">
        <f>+H$20*(G11+F11+E11)</f>
        <v>-26670.580373711495</v>
      </c>
      <c r="I24" s="173">
        <f>+I$20*(H11+G11+F11+E11)</f>
        <v>-20643.531719529798</v>
      </c>
      <c r="J24" s="173">
        <f>+J$20*(I11+H11+G11+F11+E11)</f>
        <v>-19476.50991060169</v>
      </c>
      <c r="K24" s="173">
        <f>+K$20*(J11+I11+H11+G11+F11+E11)</f>
        <v>-15750.269355781233</v>
      </c>
      <c r="L24" s="173">
        <f>+L$20*(K11+J11+I11+H11+E11+F11+G11)</f>
        <v>-13975.429585879794</v>
      </c>
      <c r="M24" s="173">
        <f>+M$20*(L11+K11+J11+I11+H11+G11+F11+E11)</f>
        <v>-11733.097791480148</v>
      </c>
      <c r="N24" s="173">
        <f>+N$20*(M11+L11+K11+J11+I11+H11+G11+F11+E11)</f>
        <v>-9898.1865226819664</v>
      </c>
      <c r="O24" s="173">
        <f>+O$20*(N11+M11+L11+K11+J11+I11+H11+G11+F11+E11)</f>
        <v>-7684.103913653722</v>
      </c>
      <c r="P24" s="173">
        <f>+P$20*(O11+N11+M11+L11+K11+J11+I11+H11+G11+F11+E11)</f>
        <v>-5065.7316646239642</v>
      </c>
      <c r="Q24" s="173">
        <f>+Q$20*(P11+O11+N11+M11+L11+K11+J11+I11+H11+G11+F11+E11)</f>
        <v>-2706.9545156423928</v>
      </c>
      <c r="R24" s="149">
        <f>+SUM(F24:Q24)</f>
        <v>-197141.07062092671</v>
      </c>
    </row>
    <row r="25" spans="1:30" x14ac:dyDescent="0.25">
      <c r="C25" s="135"/>
      <c r="E25" s="116"/>
      <c r="F25" s="117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17"/>
      <c r="S25" s="116"/>
    </row>
    <row r="26" spans="1:30" s="152" customFormat="1" x14ac:dyDescent="0.25">
      <c r="A26" s="5" t="str">
        <f>+A16</f>
        <v>All Class</v>
      </c>
      <c r="B26" s="127" t="str">
        <f>+B16</f>
        <v>Total CARES</v>
      </c>
      <c r="E26" s="175"/>
      <c r="F26" s="165">
        <f>+SUM(F21:F24)</f>
        <v>4331.8086948878699</v>
      </c>
      <c r="G26" s="165">
        <f>+SUM(G21:G24)</f>
        <v>4043.5420530737392</v>
      </c>
      <c r="H26" s="165">
        <f t="shared" ref="H26:R26" si="4">+SUM(H21:H24)</f>
        <v>3515.693327383713</v>
      </c>
      <c r="I26" s="165">
        <f t="shared" si="4"/>
        <v>2721.2128758743311</v>
      </c>
      <c r="J26" s="165">
        <f t="shared" si="4"/>
        <v>2567.3770489418239</v>
      </c>
      <c r="K26" s="165">
        <f t="shared" si="4"/>
        <v>2076.1871733843491</v>
      </c>
      <c r="L26" s="165">
        <f t="shared" si="4"/>
        <v>1842.2292973732146</v>
      </c>
      <c r="M26" s="165">
        <f t="shared" si="4"/>
        <v>1546.647018439322</v>
      </c>
      <c r="N26" s="165">
        <f t="shared" si="4"/>
        <v>1304.7705682960204</v>
      </c>
      <c r="O26" s="165">
        <f t="shared" si="4"/>
        <v>1012.9120730639715</v>
      </c>
      <c r="P26" s="165">
        <f t="shared" si="4"/>
        <v>667.76045973072087</v>
      </c>
      <c r="Q26" s="165">
        <f t="shared" si="4"/>
        <v>356.82845273046496</v>
      </c>
      <c r="R26" s="165">
        <f t="shared" si="4"/>
        <v>25986.969043179532</v>
      </c>
      <c r="S26" s="176"/>
    </row>
    <row r="27" spans="1:30" x14ac:dyDescent="0.25">
      <c r="E27" s="11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8"/>
    </row>
    <row r="28" spans="1:30" ht="15.75" thickBot="1" x14ac:dyDescent="0.3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</row>
  </sheetData>
  <mergeCells count="3">
    <mergeCell ref="F1:J1"/>
    <mergeCell ref="F3:J3"/>
    <mergeCell ref="F6:H6"/>
  </mergeCells>
  <printOptions horizontalCentered="1"/>
  <pageMargins left="0.25" right="0.25" top="1" bottom="1" header="0.5" footer="0.5"/>
  <pageSetup scale="39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2025-09-05T07:00:00+00:00</OpenedDate>
    <SignificantOrder xmlns="dc463f71-b30c-4ab2-9473-d307f9d35888">false</SignificantOrder>
    <Date1 xmlns="dc463f71-b30c-4ab2-9473-d307f9d35888">2025-10-08T07:00:00+00:00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250719</DocketNumber>
    <DelegatedOrder xmlns="dc463f71-b30c-4ab2-9473-d307f9d35888">false</Delegated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EBB9E9EB4326E4A87C1ABFD08D94E79" ma:contentTypeVersion="19" ma:contentTypeDescription="" ma:contentTypeScope="" ma:versionID="3f71f15d56d1aca5f145ae62b4ae2ac5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2CED3786-7E9A-4BD9-B189-D1082EB1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39EE22-F984-4B0A-9C28-7AD77F6B88C6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6a7949fb-eacc-49ff-8531-d4b1ca318f69"/>
    <ds:schemaRef ds:uri="9f5829b0-3c83-407a-9888-15708671f8c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7940F7-574F-434E-BFF9-C64AE3F13CC2}"/>
</file>

<file path=customXml/itemProps4.xml><?xml version="1.0" encoding="utf-8"?>
<ds:datastoreItem xmlns:ds="http://schemas.openxmlformats.org/officeDocument/2006/customXml" ds:itemID="{FB95378D-A82A-414B-BD56-AE5C131689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CARES Cost</vt:lpstr>
      <vt:lpstr>CARES Summary of Def. Accts.</vt:lpstr>
      <vt:lpstr>Cost Recovery and Rates</vt:lpstr>
      <vt:lpstr>CARES Amount Change</vt:lpstr>
      <vt:lpstr>CARES Incremental Rate</vt:lpstr>
      <vt:lpstr>Rate Impact</vt:lpstr>
      <vt:lpstr>Workpapers ==&gt;</vt:lpstr>
      <vt:lpstr>EstimatedBalances</vt:lpstr>
      <vt:lpstr> Int during Amort</vt:lpstr>
      <vt:lpstr>Int calc thru 10-31-2025</vt:lpstr>
      <vt:lpstr>Bills-Therms-Revs</vt:lpstr>
      <vt:lpstr>CARES Deferral Balances</vt:lpstr>
      <vt:lpstr>CARES Discount</vt:lpstr>
      <vt:lpstr>CARES Grants</vt:lpstr>
      <vt:lpstr>Forecasted Volumes</vt:lpstr>
      <vt:lpstr>Touchpoints</vt:lpstr>
      <vt:lpstr> Conversion Factor</vt:lpstr>
      <vt:lpstr>EDP-AMP 1823.2073</vt:lpstr>
      <vt:lpstr>EDP-AMP 1823.2074</vt:lpstr>
      <vt:lpstr>EDP-AMP 1823.2075</vt:lpstr>
      <vt:lpstr>EDP-AMP 1823.2076</vt:lpstr>
      <vt:lpstr>' Int during Amort'!Print_Area</vt:lpstr>
      <vt:lpstr>'Bills-Therms-Revs'!Print_Area</vt:lpstr>
      <vt:lpstr>'CARES Amount Change'!Print_Area</vt:lpstr>
      <vt:lpstr>'CARES Cost'!Print_Area</vt:lpstr>
      <vt:lpstr>'CARES Incremental Rate'!Print_Area</vt:lpstr>
      <vt:lpstr>'CARES Summary of Def. Accts.'!Print_Area</vt:lpstr>
      <vt:lpstr>'Cost Recovery and Rates'!Print_Area</vt:lpstr>
      <vt:lpstr>'EDP-AMP 1823.2073'!Print_Area</vt:lpstr>
      <vt:lpstr>'EDP-AMP 1823.2074'!Print_Area</vt:lpstr>
      <vt:lpstr>'EDP-AMP 1823.2075'!Print_Area</vt:lpstr>
      <vt:lpstr>'EDP-AMP 1823.2076'!Print_Area</vt:lpstr>
      <vt:lpstr>'Rate Impact'!Print_Area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Gross, Jennifer</dc:creator>
  <cp:keywords/>
  <dc:description/>
  <cp:lastModifiedBy>Harris, Zachary</cp:lastModifiedBy>
  <cp:revision/>
  <cp:lastPrinted>2025-10-07T18:18:02Z</cp:lastPrinted>
  <dcterms:created xsi:type="dcterms:W3CDTF">2024-08-12T23:16:27Z</dcterms:created>
  <dcterms:modified xsi:type="dcterms:W3CDTF">2025-10-08T18:18:07Z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2024-08-12T23:53:34Z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120c2694-1081-4e06-81c9-f3748a3d6c00</vt:lpwstr>
  </property>
  <property fmtid="{D5CDD505-2E9C-101B-9397-08002B2CF9AE}" pid="8" name="MSIP_Label_1da8032d-c4fe-48b8-9054-92634c9ea061_ContentBits">
    <vt:lpwstr>0</vt:lpwstr>
  </property>
  <property fmtid="{D5CDD505-2E9C-101B-9397-08002B2CF9AE}" pid="9" name="ContentTypeId">
    <vt:lpwstr>0x0101006E56B4D1795A2E4DB2F0B01679ED314A007EBB9E9EB4326E4A87C1ABFD08D94E79</vt:lpwstr>
  </property>
  <property fmtid="{D5CDD505-2E9C-101B-9397-08002B2CF9AE}" pid="10" name="MediaServiceImageTags">
    <vt:lpwstr/>
  </property>
  <property fmtid="{D5CDD505-2E9C-101B-9397-08002B2CF9AE}" pid="11" name="_docset_NoMedatataSyncRequired">
    <vt:lpwstr>False</vt:lpwstr>
  </property>
</Properties>
</file>