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3801"/>
  <workbookPr/>
  <mc:AlternateContent xmlns:mc="http://schemas.openxmlformats.org/markup-compatibility/2006">
    <mc:Choice Requires="x15">
      <x15ac:absPath xmlns:x15ac="http://schemas.microsoft.com/office/spreadsheetml/2010/11/ac" url="J:\Regulatory Filings\2022 Regulatory Filings\I-937 Filings\2022 EEI Annual EIA Report\Annual Emissions Calculations\"/>
    </mc:Choice>
  </mc:AlternateContent>
  <xr:revisionPtr revIDLastSave="0" documentId="13_ncr:1_{97220BF8-46F1-48FA-8FBA-97795FACBAE8}" xr6:coauthVersionLast="46" xr6:coauthVersionMax="46" xr10:uidLastSave="{00000000-0000-0000-0000-000000000000}"/>
  <bookViews>
    <workbookView xWindow="-120" yWindow="-120" windowWidth="28380" windowHeight="15270" xr2:uid="{00000000-000D-0000-FFFF-FFFF00000000}"/>
  </bookViews>
  <sheets>
    <sheet name="Summary" sheetId="1" r:id="rId1"/>
    <sheet name="Known Resources" sheetId="4" r:id="rId2"/>
    <sheet name="Unknown Resources" sheetId="8" r:id="rId3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C41" i="4" l="1"/>
  <c r="C19" i="4"/>
  <c r="C5" i="4"/>
  <c r="C6" i="4"/>
  <c r="C7" i="4"/>
  <c r="C8" i="4"/>
  <c r="C9" i="4"/>
  <c r="C4" i="4"/>
  <c r="D19" i="4"/>
  <c r="D9" i="4"/>
  <c r="D8" i="4"/>
  <c r="D7" i="4"/>
  <c r="D6" i="4"/>
  <c r="D5" i="4"/>
  <c r="D4" i="4"/>
  <c r="U9" i="4"/>
  <c r="U8" i="4"/>
  <c r="T8" i="4"/>
  <c r="T7" i="4"/>
  <c r="U7" i="4"/>
  <c r="U6" i="4"/>
  <c r="U5" i="4"/>
  <c r="U4" i="4"/>
  <c r="T5" i="4"/>
  <c r="T6" i="4"/>
  <c r="T9" i="4"/>
  <c r="T4" i="4"/>
  <c r="G23" i="1" l="1"/>
  <c r="G29" i="1"/>
  <c r="G30" i="1"/>
  <c r="G28" i="1"/>
  <c r="F6" i="8" l="1"/>
  <c r="G6" i="8" s="1"/>
  <c r="F7" i="8"/>
  <c r="G7" i="8" s="1"/>
  <c r="F8" i="8"/>
  <c r="G8" i="8" s="1"/>
  <c r="F9" i="8"/>
  <c r="F10" i="8"/>
  <c r="F11" i="8"/>
  <c r="F12" i="8"/>
  <c r="F13" i="8"/>
  <c r="F14" i="8"/>
  <c r="F15" i="8"/>
  <c r="F16" i="8"/>
  <c r="G16" i="8" s="1"/>
  <c r="F17" i="8"/>
  <c r="F18" i="8"/>
  <c r="F19" i="8"/>
  <c r="F20" i="8"/>
  <c r="F21" i="8"/>
  <c r="F22" i="8"/>
  <c r="F23" i="8"/>
  <c r="F24" i="8"/>
  <c r="G24" i="8" s="1"/>
  <c r="F25" i="8"/>
  <c r="G25" i="8" s="1"/>
  <c r="F26" i="8"/>
  <c r="F27" i="8"/>
  <c r="G27" i="8" s="1"/>
  <c r="F28" i="8"/>
  <c r="G28" i="8" s="1"/>
  <c r="F29" i="8"/>
  <c r="G29" i="8" s="1"/>
  <c r="F30" i="8"/>
  <c r="G30" i="8" s="1"/>
  <c r="F31" i="8"/>
  <c r="F32" i="8"/>
  <c r="F33" i="8"/>
  <c r="F34" i="8"/>
  <c r="G34" i="8" s="1"/>
  <c r="F35" i="8"/>
  <c r="F36" i="8"/>
  <c r="F37" i="8"/>
  <c r="F38" i="8"/>
  <c r="F39" i="8"/>
  <c r="F40" i="8"/>
  <c r="F41" i="8"/>
  <c r="G41" i="8" s="1"/>
  <c r="F42" i="8"/>
  <c r="G42" i="8" s="1"/>
  <c r="F43" i="8"/>
  <c r="F44" i="8"/>
  <c r="G44" i="8" s="1"/>
  <c r="F45" i="8"/>
  <c r="F46" i="8"/>
  <c r="G46" i="8" s="1"/>
  <c r="F47" i="8"/>
  <c r="G47" i="8" s="1"/>
  <c r="F48" i="8"/>
  <c r="G48" i="8" s="1"/>
  <c r="F49" i="8"/>
  <c r="F50" i="8"/>
  <c r="F51" i="8"/>
  <c r="G51" i="8" s="1"/>
  <c r="F52" i="8"/>
  <c r="F53" i="8"/>
  <c r="G53" i="8" s="1"/>
  <c r="F54" i="8"/>
  <c r="G54" i="8" s="1"/>
  <c r="F55" i="8"/>
  <c r="G55" i="8" s="1"/>
  <c r="F56" i="8"/>
  <c r="F57" i="8"/>
  <c r="F58" i="8"/>
  <c r="F59" i="8"/>
  <c r="F60" i="8"/>
  <c r="F61" i="8"/>
  <c r="G61" i="8" s="1"/>
  <c r="F5" i="8"/>
  <c r="F63" i="8" l="1"/>
  <c r="D20" i="1" s="1"/>
  <c r="B19" i="4"/>
  <c r="B18" i="4"/>
  <c r="B17" i="4"/>
  <c r="B16" i="4"/>
  <c r="B15" i="4"/>
  <c r="B14" i="4"/>
  <c r="B13" i="4"/>
  <c r="B12" i="4"/>
  <c r="B11" i="4"/>
  <c r="B10" i="4"/>
  <c r="B9" i="4"/>
  <c r="B8" i="4"/>
  <c r="B5" i="4" l="1"/>
  <c r="B4" i="4"/>
  <c r="B7" i="4" l="1"/>
  <c r="B6" i="4"/>
  <c r="D28" i="4" l="1"/>
  <c r="D29" i="4"/>
  <c r="D25" i="4"/>
  <c r="D26" i="4"/>
  <c r="C13" i="4" l="1"/>
  <c r="C14" i="4"/>
  <c r="C15" i="4"/>
  <c r="C16" i="4"/>
  <c r="C17" i="4"/>
  <c r="C18" i="4"/>
  <c r="D10" i="4"/>
  <c r="B1" i="4" l="1"/>
  <c r="C2" i="4"/>
  <c r="B3" i="4"/>
  <c r="D21" i="1"/>
  <c r="G11" i="1"/>
  <c r="G10" i="1"/>
  <c r="D13" i="1"/>
  <c r="D5" i="1" s="1"/>
  <c r="E10" i="1" l="1"/>
  <c r="E12" i="1"/>
  <c r="E11" i="1"/>
  <c r="B41" i="4"/>
  <c r="D18" i="1" s="1"/>
  <c r="D40" i="4"/>
  <c r="D39" i="4"/>
  <c r="D38" i="4"/>
  <c r="D37" i="4"/>
  <c r="D36" i="4"/>
  <c r="D35" i="4"/>
  <c r="D34" i="4"/>
  <c r="D33" i="4"/>
  <c r="D32" i="4"/>
  <c r="D31" i="4"/>
  <c r="D30" i="4"/>
  <c r="D27" i="4"/>
  <c r="D24" i="4"/>
  <c r="D23" i="4"/>
  <c r="D22" i="4"/>
  <c r="D21" i="4"/>
  <c r="D20" i="4"/>
  <c r="D18" i="4"/>
  <c r="D17" i="4"/>
  <c r="D16" i="4"/>
  <c r="D15" i="4"/>
  <c r="D14" i="4"/>
  <c r="D13" i="4"/>
  <c r="D12" i="4"/>
  <c r="D11" i="4"/>
  <c r="D41" i="4" l="1"/>
  <c r="E18" i="1"/>
  <c r="E20" i="1"/>
  <c r="F3" i="8" l="1"/>
  <c r="F18" i="1"/>
  <c r="G5" i="8" l="1"/>
  <c r="G26" i="8"/>
  <c r="G10" i="8"/>
  <c r="G37" i="8"/>
  <c r="G13" i="8"/>
  <c r="G52" i="8"/>
  <c r="G20" i="8"/>
  <c r="G43" i="8"/>
  <c r="G23" i="8"/>
  <c r="G18" i="8"/>
  <c r="G21" i="8"/>
  <c r="G31" i="8"/>
  <c r="G58" i="8"/>
  <c r="G22" i="8"/>
  <c r="G57" i="8"/>
  <c r="G33" i="8"/>
  <c r="G9" i="8"/>
  <c r="G40" i="8"/>
  <c r="G12" i="8"/>
  <c r="G39" i="8"/>
  <c r="G19" i="8"/>
  <c r="G50" i="8"/>
  <c r="G49" i="8"/>
  <c r="G60" i="8"/>
  <c r="G36" i="8"/>
  <c r="G35" i="8"/>
  <c r="G15" i="8"/>
  <c r="G38" i="8"/>
  <c r="G14" i="8"/>
  <c r="G45" i="8"/>
  <c r="G17" i="8"/>
  <c r="G56" i="8"/>
  <c r="G32" i="8"/>
  <c r="G59" i="8"/>
  <c r="G11" i="8"/>
  <c r="G63" i="8" l="1"/>
  <c r="F20" i="1" s="1"/>
  <c r="F21" i="1" s="1"/>
  <c r="G21" i="1" s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Lyons, John</author>
    <author>kbb8737</author>
    <author>jyl3501</author>
    <author>kkb4463</author>
  </authors>
  <commentList>
    <comment ref="U4" authorId="0" shapeId="0" xr:uid="{0D1E4B99-31B5-43C0-983B-A3ABD7B31936}">
      <text>
        <r>
          <rPr>
            <b/>
            <sz val="9"/>
            <color indexed="81"/>
            <rFont val="Tahoma"/>
            <charset val="1"/>
          </rPr>
          <t>Lyons, John:</t>
        </r>
        <r>
          <rPr>
            <sz val="9"/>
            <color indexed="81"/>
            <rFont val="Tahoma"/>
            <charset val="1"/>
          </rPr>
          <t xml:space="preserve">
Added adjustment for CH4 and N2O for both units of Rathdrum to Rathdrum Unit 1</t>
        </r>
      </text>
    </comment>
    <comment ref="T7" authorId="0" shapeId="0" xr:uid="{A1D5F66D-22A0-4063-9172-729D66EF1D5D}">
      <text>
        <r>
          <rPr>
            <b/>
            <sz val="9"/>
            <color indexed="81"/>
            <rFont val="Tahoma"/>
            <charset val="1"/>
          </rPr>
          <t>Lyons, John:</t>
        </r>
        <r>
          <rPr>
            <sz val="9"/>
            <color indexed="81"/>
            <rFont val="Tahoma"/>
            <charset val="1"/>
          </rPr>
          <t xml:space="preserve">
Adjusted CO2 emissions for Colstrip for Avista’s 15% ownership</t>
        </r>
      </text>
    </comment>
    <comment ref="U7" authorId="0" shapeId="0" xr:uid="{3024E7C8-9C56-4087-9B8D-733AD5389FB9}">
      <text>
        <r>
          <rPr>
            <b/>
            <sz val="9"/>
            <color indexed="81"/>
            <rFont val="Tahoma"/>
            <charset val="1"/>
          </rPr>
          <t>Lyons, John:</t>
        </r>
        <r>
          <rPr>
            <sz val="9"/>
            <color indexed="81"/>
            <rFont val="Tahoma"/>
            <charset val="1"/>
          </rPr>
          <t xml:space="preserve">
Added adjustment for CH4 and N2O for both units of Colstrip to Unit 3</t>
        </r>
      </text>
    </comment>
    <comment ref="I8" authorId="1" shapeId="0" xr:uid="{00000000-0006-0000-0100-000001000000}">
      <text>
        <r>
          <rPr>
            <b/>
            <sz val="8"/>
            <color indexed="81"/>
            <rFont val="Tahoma"/>
            <family val="2"/>
          </rPr>
          <t>kbb8737:</t>
        </r>
        <r>
          <rPr>
            <sz val="8"/>
            <color indexed="81"/>
            <rFont val="Tahoma"/>
            <family val="2"/>
          </rPr>
          <t xml:space="preserve">
Gas and wood power output aggregated</t>
        </r>
      </text>
    </comment>
    <comment ref="T8" authorId="0" shapeId="0" xr:uid="{474F90DA-4714-4B77-B848-42958D787D0C}">
      <text>
        <r>
          <rPr>
            <b/>
            <sz val="9"/>
            <color indexed="81"/>
            <rFont val="Tahoma"/>
            <charset val="1"/>
          </rPr>
          <t>Lyons, John:</t>
        </r>
        <r>
          <rPr>
            <sz val="9"/>
            <color indexed="81"/>
            <rFont val="Tahoma"/>
            <charset val="1"/>
          </rPr>
          <t xml:space="preserve">
Adjusted CO2 emissions for Colstrip for Avista’s 15% ownership</t>
        </r>
      </text>
    </comment>
    <comment ref="A20" authorId="2" shapeId="0" xr:uid="{00000000-0006-0000-0100-000002000000}">
      <text>
        <r>
          <rPr>
            <b/>
            <sz val="9"/>
            <color indexed="81"/>
            <rFont val="Tahoma"/>
            <family val="2"/>
          </rPr>
          <t>jyl3501:</t>
        </r>
        <r>
          <rPr>
            <sz val="9"/>
            <color indexed="81"/>
            <rFont val="Tahoma"/>
            <family val="2"/>
          </rPr>
          <t xml:space="preserve">
BPA chnaged to an unknown resource per UTC request.</t>
        </r>
      </text>
    </comment>
    <comment ref="I21" authorId="3" shapeId="0" xr:uid="{00000000-0006-0000-0100-000003000000}">
      <text>
        <r>
          <rPr>
            <sz val="8"/>
            <color indexed="81"/>
            <rFont val="Tahoma"/>
            <family val="2"/>
          </rPr>
          <t xml:space="preserve">Avista Corp. FERC Financial Report, Form No. 1
</t>
        </r>
      </text>
    </comment>
    <comment ref="K21" authorId="3" shapeId="0" xr:uid="{00000000-0006-0000-0100-000004000000}">
      <text>
        <r>
          <rPr>
            <b/>
            <sz val="8"/>
            <color indexed="81"/>
            <rFont val="Tahoma"/>
            <family val="2"/>
          </rPr>
          <t>Avista Corp. 2011 FERC Financial Report, Form No. 1; NG HHV from GHG MRR Subpart NN (40 CFR 98.400), Table NN-1.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P21" authorId="3" shapeId="0" xr:uid="{00000000-0006-0000-0100-000005000000}">
      <text>
        <r>
          <rPr>
            <b/>
            <sz val="8"/>
            <color indexed="81"/>
            <rFont val="Tahoma"/>
            <family val="2"/>
          </rPr>
          <t xml:space="preserve">all values from USEPA 40 CFR 98 Table C-1                                                                                                                                                         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R21" authorId="3" shapeId="0" xr:uid="{00000000-0006-0000-0100-000006000000}">
      <text>
        <r>
          <rPr>
            <b/>
            <sz val="8"/>
            <color indexed="81"/>
            <rFont val="Tahoma"/>
            <family val="2"/>
          </rPr>
          <t>all values from WRI/WBCSD GHG Protocol "Calculation Tool for Direct Emissions from Stationary Combustion",   Sec. 2.2.3 , Table 4.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F31" authorId="1" shapeId="0" xr:uid="{00000000-0006-0000-0100-000007000000}">
      <text>
        <r>
          <rPr>
            <b/>
            <sz val="8"/>
            <color indexed="81"/>
            <rFont val="Tahoma"/>
            <family val="2"/>
          </rPr>
          <t>kbb8737: includes boiler NG use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C41" authorId="2" shapeId="0" xr:uid="{00000000-0006-0000-0100-000008000000}">
      <text>
        <r>
          <rPr>
            <b/>
            <sz val="9"/>
            <color indexed="81"/>
            <rFont val="Tahoma"/>
            <family val="2"/>
          </rPr>
          <t>John Lyons:</t>
        </r>
        <r>
          <rPr>
            <sz val="9"/>
            <color indexed="81"/>
            <rFont val="Tahoma"/>
            <family val="2"/>
          </rPr>
          <t xml:space="preserve">
Avista's fleet-wide emissions factor.</t>
        </r>
      </text>
    </comment>
  </commentList>
</comments>
</file>

<file path=xl/sharedStrings.xml><?xml version="1.0" encoding="utf-8"?>
<sst xmlns="http://schemas.openxmlformats.org/spreadsheetml/2006/main" count="505" uniqueCount="264">
  <si>
    <t>Resource</t>
  </si>
  <si>
    <r>
      <t>Short Tons CO</t>
    </r>
    <r>
      <rPr>
        <vertAlign val="subscript"/>
        <sz val="11"/>
        <color theme="1"/>
        <rFont val="Calibri"/>
        <family val="2"/>
        <scheme val="minor"/>
      </rPr>
      <t>2</t>
    </r>
  </si>
  <si>
    <r>
      <t>Tons CO</t>
    </r>
    <r>
      <rPr>
        <b/>
        <vertAlign val="subscript"/>
        <sz val="11"/>
        <color theme="1"/>
        <rFont val="Calibri"/>
        <family val="2"/>
        <scheme val="minor"/>
      </rPr>
      <t>2</t>
    </r>
  </si>
  <si>
    <t>Known Resources Serving WA Customers</t>
  </si>
  <si>
    <t>Summary Energy and Emissions Intensity Report</t>
  </si>
  <si>
    <t>Residential Customers</t>
  </si>
  <si>
    <t>Total Load Served</t>
  </si>
  <si>
    <t>MWh at Meter</t>
  </si>
  <si>
    <t>Utility :</t>
  </si>
  <si>
    <t>Reporting for year :</t>
  </si>
  <si>
    <t xml:space="preserve">Commercial Customers </t>
  </si>
  <si>
    <t xml:space="preserve">Industrial Customers </t>
  </si>
  <si>
    <t>Busbar MWh</t>
  </si>
  <si>
    <t>Customer</t>
  </si>
  <si>
    <t>Population Served :</t>
  </si>
  <si>
    <t>See UTC Docket UE-131723, General Order R-581, Page 7, Paragraph 19.</t>
  </si>
  <si>
    <t>Avista</t>
  </si>
  <si>
    <t>Pacific Power</t>
  </si>
  <si>
    <t>Puget Sound Energy</t>
  </si>
  <si>
    <t>1990</t>
  </si>
  <si>
    <t>MWh Proportion</t>
  </si>
  <si>
    <t>Percent of</t>
  </si>
  <si>
    <t>Total Load</t>
  </si>
  <si>
    <t>WA MWh</t>
  </si>
  <si>
    <t>Count</t>
  </si>
  <si>
    <t>Energy Intensity Metrics</t>
  </si>
  <si>
    <t>Emissions Intensity Metrics</t>
  </si>
  <si>
    <r>
      <t>% of 1990 CO</t>
    </r>
    <r>
      <rPr>
        <b/>
        <vertAlign val="subscript"/>
        <sz val="11"/>
        <color theme="1"/>
        <rFont val="Calibri"/>
        <family val="2"/>
        <scheme val="minor"/>
      </rPr>
      <t>2</t>
    </r>
  </si>
  <si>
    <t>MWh per Capita</t>
  </si>
  <si>
    <t>MWh per</t>
  </si>
  <si>
    <t>Colstrip 3 &amp; 4</t>
  </si>
  <si>
    <t>Rathdrum CT</t>
  </si>
  <si>
    <t>Northeast CT</t>
  </si>
  <si>
    <t>Boulder Park</t>
  </si>
  <si>
    <t>Coyote Springs II</t>
  </si>
  <si>
    <t>Kettle Falls CT</t>
  </si>
  <si>
    <t>Monroe Street</t>
  </si>
  <si>
    <t>Post Falls</t>
  </si>
  <si>
    <t>Nine Mile</t>
  </si>
  <si>
    <t>Little Falls</t>
  </si>
  <si>
    <t>Long Lake</t>
  </si>
  <si>
    <t>Upper Falls</t>
  </si>
  <si>
    <t>Cabinet Gorge</t>
  </si>
  <si>
    <t>Noxon Rapids</t>
  </si>
  <si>
    <t>Black Hills Power Inc.</t>
  </si>
  <si>
    <t>BP Energy Co.</t>
  </si>
  <si>
    <t>Citigroup Energy Inc.</t>
  </si>
  <si>
    <t>Clark County PUD No. 1</t>
  </si>
  <si>
    <t>Clatskanie Peoples Util Dist</t>
  </si>
  <si>
    <t>EDF Trading Ltd.</t>
  </si>
  <si>
    <t>Engy Authrty</t>
  </si>
  <si>
    <t>Exelon Generation Company</t>
  </si>
  <si>
    <t>Grant County Public Utility</t>
  </si>
  <si>
    <t>Idaho Cnty L&amp;P Coop Assn Inc</t>
  </si>
  <si>
    <t>Idaho Power Co.</t>
  </si>
  <si>
    <t>Kootenai Electric Cooperative</t>
  </si>
  <si>
    <t>Macquarie Energy LLC</t>
  </si>
  <si>
    <t>Morgan Stanley Capital Group</t>
  </si>
  <si>
    <t>NextEra Energy Power Marketing</t>
  </si>
  <si>
    <t>PacifiCorp</t>
  </si>
  <si>
    <t>Powerex Corp.</t>
  </si>
  <si>
    <t>PUD No 1 of Douglas County</t>
  </si>
  <si>
    <t>PUD No 1 of Okanogan County</t>
  </si>
  <si>
    <t>PUD No 1 of Pend Oreille Cnty</t>
  </si>
  <si>
    <t>PUD No 1 of Snohomish County</t>
  </si>
  <si>
    <t>Rainbow Energy Marketing Corp</t>
  </si>
  <si>
    <t>Lancaster</t>
  </si>
  <si>
    <t>Seattle City Light</t>
  </si>
  <si>
    <t>Shell Energy North America US</t>
  </si>
  <si>
    <t>SMUD</t>
  </si>
  <si>
    <t>Sovereign Power</t>
  </si>
  <si>
    <t>Tacoma Public Utilities</t>
  </si>
  <si>
    <t>Talen Energy Marketing</t>
  </si>
  <si>
    <t>Colstrip 3 &amp; 4-Thermal</t>
  </si>
  <si>
    <t>Coal</t>
  </si>
  <si>
    <t>Rathdrum-Thermal</t>
  </si>
  <si>
    <t>Natural gas</t>
  </si>
  <si>
    <t>Northeast-Thermal</t>
  </si>
  <si>
    <t>Boulder Park-Thermal</t>
  </si>
  <si>
    <t>Coyote Springs II-Thermal</t>
  </si>
  <si>
    <t>Kettle Falls CT-Thermal</t>
  </si>
  <si>
    <t>Kettle Falls Boiler-Thermal</t>
  </si>
  <si>
    <t>Wood</t>
  </si>
  <si>
    <t>Monroe Street-Hydro</t>
  </si>
  <si>
    <t>Water</t>
  </si>
  <si>
    <t>Post Falls-Hydro</t>
  </si>
  <si>
    <t>Nine Mile-Hydro</t>
  </si>
  <si>
    <t>Little Falls-Hydro*</t>
  </si>
  <si>
    <t>Long Lake-Hydro</t>
  </si>
  <si>
    <t>Upper Falls-Hydro</t>
  </si>
  <si>
    <t>Cabinet Gorge-Hydro</t>
  </si>
  <si>
    <t>Noxon Rapids-Hydro</t>
  </si>
  <si>
    <t xml:space="preserve">Kettle Falls   </t>
  </si>
  <si>
    <t>A</t>
  </si>
  <si>
    <t>B</t>
  </si>
  <si>
    <t xml:space="preserve">C </t>
  </si>
  <si>
    <t>D</t>
  </si>
  <si>
    <t>E</t>
  </si>
  <si>
    <t>F</t>
  </si>
  <si>
    <t>G</t>
  </si>
  <si>
    <t>H</t>
  </si>
  <si>
    <t>I</t>
  </si>
  <si>
    <t>J</t>
  </si>
  <si>
    <t>K</t>
  </si>
  <si>
    <t>L</t>
  </si>
  <si>
    <t>M</t>
  </si>
  <si>
    <t>Quantity of fuel combusted</t>
  </si>
  <si>
    <t>Units for 
A</t>
  </si>
  <si>
    <t>Heat / Calorific Value of fuel</t>
  </si>
  <si>
    <t>Units for 
C</t>
  </si>
  <si>
    <t>Basis of Heating Values</t>
  </si>
  <si>
    <t>Energy content of fuel combusted</t>
  </si>
  <si>
    <t>Units for 
F</t>
  </si>
  <si>
    <t>Carbon content factor</t>
  </si>
  <si>
    <t>Units for 
H</t>
  </si>
  <si>
    <t>Oxidation factor</t>
  </si>
  <si>
    <t>Unit conversion factor to kg</t>
  </si>
  <si>
    <t>(GCV or NCV)</t>
  </si>
  <si>
    <t>F = A * C</t>
  </si>
  <si>
    <t>L = F * H * J * K * 44/12</t>
  </si>
  <si>
    <t>M = L / 1000</t>
  </si>
  <si>
    <t>Example:  Source 1</t>
  </si>
  <si>
    <t>kg</t>
  </si>
  <si>
    <t>GJ/kg</t>
  </si>
  <si>
    <t>GCV</t>
  </si>
  <si>
    <t>GJ</t>
  </si>
  <si>
    <t>kg C/GJ</t>
  </si>
  <si>
    <t>Combustion Unit / Facility Name</t>
  </si>
  <si>
    <t>Fuel type</t>
  </si>
  <si>
    <t>Equity/Control</t>
  </si>
  <si>
    <t>tons</t>
  </si>
  <si>
    <t>MMbtu/ton</t>
  </si>
  <si>
    <t>MMbtu</t>
  </si>
  <si>
    <t>kg CO2/MMBtu</t>
  </si>
  <si>
    <t>Oil</t>
  </si>
  <si>
    <t>Bbl</t>
  </si>
  <si>
    <t>MMbtu/Bbl</t>
  </si>
  <si>
    <t>Rathdrum</t>
  </si>
  <si>
    <t>MMscf</t>
  </si>
  <si>
    <t>btu/scf</t>
  </si>
  <si>
    <t>Northeast</t>
  </si>
  <si>
    <t>Lancaster (Opererational Control)</t>
  </si>
  <si>
    <t>Bonneville Power Administration</t>
  </si>
  <si>
    <t>Palouse Wind Holdings (Wind PPA)</t>
  </si>
  <si>
    <t>State</t>
  </si>
  <si>
    <t xml:space="preserve"> Facility Name</t>
  </si>
  <si>
    <t xml:space="preserve"> Facility ID (ORISPL)</t>
  </si>
  <si>
    <t xml:space="preserve"> Unit ID</t>
  </si>
  <si>
    <t xml:space="preserve"> Associated Stacks</t>
  </si>
  <si>
    <t xml:space="preserve"> Year</t>
  </si>
  <si>
    <t xml:space="preserve"> Program(s)</t>
  </si>
  <si>
    <t xml:space="preserve"> CO2 (short tons)</t>
  </si>
  <si>
    <t xml:space="preserve"> Heat Input (MMBtu)</t>
  </si>
  <si>
    <t>ID</t>
  </si>
  <si>
    <t>Rathdrum Combustion Turbine Project</t>
  </si>
  <si>
    <t>ARP</t>
  </si>
  <si>
    <t>Rathdrum Power, LLC</t>
  </si>
  <si>
    <t>CTGEN1</t>
  </si>
  <si>
    <t>MT</t>
  </si>
  <si>
    <t>Colstrip</t>
  </si>
  <si>
    <t>OR</t>
  </si>
  <si>
    <t>Coyote Springs</t>
  </si>
  <si>
    <t>CTG2</t>
  </si>
  <si>
    <t>Counter-Party</t>
  </si>
  <si>
    <t>Energy
Purchased
(MWh)</t>
  </si>
  <si>
    <t>Energy
Sold
(MWh)</t>
  </si>
  <si>
    <t>Avangrid Renewables, LLC</t>
  </si>
  <si>
    <t>Bonneville Power Admin</t>
  </si>
  <si>
    <t>Brookfield Energy Marketing, LP</t>
  </si>
  <si>
    <t>CAISO</t>
  </si>
  <si>
    <t>Brookfield Energy Marketing</t>
  </si>
  <si>
    <t>Cargill Inc.</t>
  </si>
  <si>
    <t>Chelan County PUD No. 1</t>
  </si>
  <si>
    <t>EDF Trading North America LLC</t>
  </si>
  <si>
    <t>Energy Keepers, Inc.</t>
  </si>
  <si>
    <t>Eugene City of</t>
  </si>
  <si>
    <t>Gridforce Energy Management, LLC</t>
  </si>
  <si>
    <t>Inland Power &amp; Light Co.</t>
  </si>
  <si>
    <t>NaturEner Power Watch, LLC</t>
  </si>
  <si>
    <t>NorthWestern Corp.</t>
  </si>
  <si>
    <t>Portland General Electric Co.</t>
  </si>
  <si>
    <t>Public Service Co. of CO</t>
  </si>
  <si>
    <t>Puget Sound Energy Inc.</t>
  </si>
  <si>
    <t>Redding City of</t>
  </si>
  <si>
    <t>Sierra Pacific Power Co.</t>
  </si>
  <si>
    <t>Talen Energy Marketing, LLC</t>
  </si>
  <si>
    <t>TransAlta Energy Marketing (US</t>
  </si>
  <si>
    <t>Turlock Irrigation District</t>
  </si>
  <si>
    <t>Vitol Inc</t>
  </si>
  <si>
    <t xml:space="preserve"> Gross Load (MW-h)</t>
  </si>
  <si>
    <t>Stimson Lumber Co. (PURPA Biomass)</t>
  </si>
  <si>
    <t>Ford Electronics (PURPA Hydro)</t>
  </si>
  <si>
    <t xml:space="preserve">Unknown Resources for Washington Customers </t>
  </si>
  <si>
    <t>Avista =</t>
  </si>
  <si>
    <t>Net Purchase</t>
  </si>
  <si>
    <t>Calpine Energy Services, L.P.</t>
  </si>
  <si>
    <t>ConocoPhillips Co.</t>
  </si>
  <si>
    <t>NaturEner Power Watch</t>
  </si>
  <si>
    <t>Rainbow Energy Marketing Co.</t>
  </si>
  <si>
    <t>Western Area Power Admin</t>
  </si>
  <si>
    <t>CO2 emissions in kg</t>
  </si>
  <si>
    <t xml:space="preserve">CO2 emissions in metric tons </t>
  </si>
  <si>
    <t xml:space="preserve">Kettle Falls Boiler </t>
  </si>
  <si>
    <t xml:space="preserve"> </t>
  </si>
  <si>
    <t>British Columbia Hydro and Power Author</t>
  </si>
  <si>
    <t>Direct Energy Business Mkt</t>
  </si>
  <si>
    <t>Pacific Northwest Gen Coop</t>
  </si>
  <si>
    <t>Talen Energy Montana, LLC</t>
  </si>
  <si>
    <t>Tenaska Power Services Co.</t>
  </si>
  <si>
    <t>Vitol, Inc.</t>
  </si>
  <si>
    <t xml:space="preserve">2017 Data </t>
  </si>
  <si>
    <t>Kettle Falls CT (Natural Gas)</t>
  </si>
  <si>
    <t>Chelan County PUD No. 1 (Hydro - 5% share of Rocky Reach and Rock Island Dams)</t>
  </si>
  <si>
    <t>Grant County Public Utility (3.7% share of Priest Rapids and Wanapum Dams)</t>
  </si>
  <si>
    <t>Hydro Technology Systems (PURPA Hydro)</t>
  </si>
  <si>
    <t>Jim White (PURPA Hydro)</t>
  </si>
  <si>
    <t>Phillips Ranch (PURPA Hydro)</t>
  </si>
  <si>
    <t>Sheep Creek Hydro (PURPA Hydro)</t>
  </si>
  <si>
    <t>Spokane City of (Upriver Hydro Project)</t>
  </si>
  <si>
    <t>Spokane City of (Sewer Plant Digester)</t>
  </si>
  <si>
    <t>Spokane City of (Waste to Energy Plant)</t>
  </si>
  <si>
    <t>PUD of Douglas County (3.3% share of Wells Dam)</t>
  </si>
  <si>
    <t>PUD No 1 of Pend Oreille Cnty (Box Canyon and Boundary Dams)</t>
  </si>
  <si>
    <t>PUD No 1 of Pend Oreille Cnty (Box Canyon and Boundary Dam)</t>
  </si>
  <si>
    <t>Community Solar (Boulder Park Solar)</t>
  </si>
  <si>
    <t>Deep Creek Energy, LLC (PURPA Hydro)</t>
  </si>
  <si>
    <t>Department of Ecology Unknown Resource Default Rate =</t>
  </si>
  <si>
    <r>
      <t>metric tons CO</t>
    </r>
    <r>
      <rPr>
        <vertAlign val="subscript"/>
        <sz val="11"/>
        <color theme="1"/>
        <rFont val="Calibri"/>
        <family val="2"/>
        <scheme val="minor"/>
      </rPr>
      <t>2</t>
    </r>
    <r>
      <rPr>
        <sz val="11"/>
        <color theme="1"/>
        <rFont val="Calibri"/>
        <family val="2"/>
        <scheme val="minor"/>
      </rPr>
      <t xml:space="preserve"> per MWh</t>
    </r>
  </si>
  <si>
    <t>Metric Tons CO2 from Purchases</t>
  </si>
  <si>
    <t>Calculation Based Methodology</t>
  </si>
  <si>
    <t>Step 1</t>
  </si>
  <si>
    <t>Step 2</t>
  </si>
  <si>
    <t>Step 3</t>
  </si>
  <si>
    <t>Step 4</t>
  </si>
  <si>
    <t>Step 5</t>
  </si>
  <si>
    <t>Step 6</t>
  </si>
  <si>
    <t>Year:</t>
  </si>
  <si>
    <t>N</t>
  </si>
  <si>
    <t>CH4 Emission factor</t>
  </si>
  <si>
    <t>N2O Emission factor</t>
  </si>
  <si>
    <t>Units for 
J</t>
  </si>
  <si>
    <t>CH4 emissions in kg</t>
  </si>
  <si>
    <t xml:space="preserve">N2O emissions in kg </t>
  </si>
  <si>
    <t>Total MT, CO2e</t>
  </si>
  <si>
    <t>M = F * H * L</t>
  </si>
  <si>
    <t>N = F * J * L</t>
  </si>
  <si>
    <t>Description, equity/control, and Step 1 &amp; 2 cells are taken from CO2 worksheet.</t>
  </si>
  <si>
    <t>kg CH4/GJ</t>
  </si>
  <si>
    <t>kg N2O/GJ</t>
  </si>
  <si>
    <t>Record</t>
  </si>
  <si>
    <t>kg/Mmbtu</t>
  </si>
  <si>
    <t>Mmbtu/bbl</t>
  </si>
  <si>
    <t>Metric Tons CO2e</t>
  </si>
  <si>
    <r>
      <t>Metric Tons CO</t>
    </r>
    <r>
      <rPr>
        <vertAlign val="subscript"/>
        <sz val="11"/>
        <color theme="1"/>
        <rFont val="Calibri"/>
        <family val="2"/>
        <scheme val="minor"/>
      </rPr>
      <t>2</t>
    </r>
  </si>
  <si>
    <t xml:space="preserve">Metric </t>
  </si>
  <si>
    <r>
      <t>Multiplied Busbar MWh and Metric Tons CO</t>
    </r>
    <r>
      <rPr>
        <vertAlign val="subscript"/>
        <sz val="11"/>
        <color theme="1"/>
        <rFont val="Calibri"/>
        <family val="2"/>
        <scheme val="minor"/>
      </rPr>
      <t>2</t>
    </r>
    <r>
      <rPr>
        <sz val="11"/>
        <color theme="1"/>
        <rFont val="Calibri"/>
        <family val="2"/>
        <scheme val="minor"/>
      </rPr>
      <t xml:space="preserve"> by 65% to adjust from system to Washington only</t>
    </r>
  </si>
  <si>
    <t>Metric</t>
  </si>
  <si>
    <t>Unknown Resources Serving WA - EIA</t>
  </si>
  <si>
    <t>Known Resources Serving WA - EPA</t>
  </si>
  <si>
    <t>Known Resources Serving WA - EIA</t>
  </si>
  <si>
    <t>Metric Tons CO2</t>
  </si>
  <si>
    <r>
      <t>Tons CO</t>
    </r>
    <r>
      <rPr>
        <b/>
        <vertAlign val="subscript"/>
        <sz val="11"/>
        <color theme="1"/>
        <rFont val="Calibri"/>
        <family val="2"/>
        <scheme val="minor"/>
      </rPr>
      <t>2</t>
    </r>
    <r>
      <rPr>
        <b/>
        <sz val="11"/>
        <color theme="1"/>
        <rFont val="Calibri"/>
        <family val="2"/>
        <scheme val="minor"/>
      </rPr>
      <t>e</t>
    </r>
  </si>
  <si>
    <r>
      <t>lbs CO</t>
    </r>
    <r>
      <rPr>
        <b/>
        <vertAlign val="subscript"/>
        <sz val="11"/>
        <color theme="1"/>
        <rFont val="Calibri"/>
        <family val="2"/>
        <scheme val="minor"/>
      </rPr>
      <t>2e</t>
    </r>
    <r>
      <rPr>
        <b/>
        <sz val="11"/>
        <color theme="1"/>
        <rFont val="Calibri"/>
        <family val="2"/>
        <scheme val="minor"/>
      </rPr>
      <t>/MWh</t>
    </r>
  </si>
  <si>
    <r>
      <t>1990 Metric Tons CO</t>
    </r>
    <r>
      <rPr>
        <vertAlign val="subscript"/>
        <sz val="11"/>
        <color theme="1"/>
        <rFont val="Calibri"/>
        <family val="2"/>
        <scheme val="minor"/>
      </rPr>
      <t>2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</si>
</sst>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4">
    <numFmt numFmtId="43" formatCode="_(* #,##0.00_);_(* \(#,##0.00\);_(* &quot;-&quot;??_);_(@_)"/>
    <numFmt numFmtId="164" formatCode="_(* #,##0.0_);_(* \(#,##0.0\);_(* &quot;-&quot;??_);_(@_)"/>
    <numFmt numFmtId="165" formatCode="_(* #,##0_);_(* \(#,##0\);_(* &quot;-&quot;??_);_(@_)"/>
    <numFmt numFmtId="166" formatCode="0.0%"/>
    <numFmt numFmtId="167" formatCode="#####0;\(#####0\)"/>
    <numFmt numFmtId="168" formatCode="###,##0;\(###,##0\)"/>
    <numFmt numFmtId="169" formatCode="0.0"/>
    <numFmt numFmtId="170" formatCode="0.000"/>
    <numFmt numFmtId="171" formatCode="#,##0.000"/>
    <numFmt numFmtId="172" formatCode="#,##0.0"/>
    <numFmt numFmtId="173" formatCode="0.0000"/>
    <numFmt numFmtId="174" formatCode="###,##0.000;\(###,##0.000\)"/>
    <numFmt numFmtId="175" formatCode="#,##0;[Red]\(#,##0\)"/>
    <numFmt numFmtId="176" formatCode="_(* #,##0.000_);_(* \(#,##0.000\);_(* &quot;-&quot;??_);_(@_)"/>
  </numFmts>
  <fonts count="3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vertAlign val="subscript"/>
      <sz val="11"/>
      <color theme="1"/>
      <name val="Calibri"/>
      <family val="2"/>
      <scheme val="minor"/>
    </font>
    <font>
      <b/>
      <vertAlign val="subscript"/>
      <sz val="11"/>
      <color theme="1"/>
      <name val="Calibri"/>
      <family val="2"/>
      <scheme val="minor"/>
    </font>
    <font>
      <i/>
      <sz val="11"/>
      <color theme="1"/>
      <name val="Calibri"/>
      <family val="2"/>
      <scheme val="minor"/>
    </font>
    <font>
      <b/>
      <i/>
      <sz val="11"/>
      <color theme="1"/>
      <name val="Calibri"/>
      <family val="2"/>
      <scheme val="minor"/>
    </font>
    <font>
      <i/>
      <sz val="14"/>
      <color theme="1"/>
      <name val="Calibri"/>
      <family val="2"/>
      <scheme val="minor"/>
    </font>
    <font>
      <b/>
      <sz val="14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sz val="11"/>
      <name val="Calibri"/>
      <family val="2"/>
      <scheme val="minor"/>
    </font>
    <font>
      <sz val="11"/>
      <color indexed="12"/>
      <name val="Calibri"/>
      <family val="2"/>
      <scheme val="minor"/>
    </font>
    <font>
      <b/>
      <sz val="8"/>
      <color indexed="81"/>
      <name val="Tahoma"/>
      <family val="2"/>
    </font>
    <font>
      <sz val="8"/>
      <color indexed="81"/>
      <name val="Tahoma"/>
      <family val="2"/>
    </font>
    <font>
      <b/>
      <sz val="12"/>
      <color indexed="16"/>
      <name val="Arial"/>
      <family val="2"/>
    </font>
    <font>
      <b/>
      <sz val="10"/>
      <color indexed="9"/>
      <name val="Arial"/>
      <family val="2"/>
    </font>
    <font>
      <sz val="10"/>
      <color indexed="9"/>
      <name val="Arial"/>
      <family val="2"/>
    </font>
    <font>
      <sz val="10"/>
      <color rgb="FF0070C0"/>
      <name val="Arial"/>
      <family val="2"/>
    </font>
    <font>
      <b/>
      <sz val="14"/>
      <color indexed="9"/>
      <name val="Arial"/>
      <family val="2"/>
    </font>
    <font>
      <b/>
      <sz val="12"/>
      <color indexed="9"/>
      <name val="Arial"/>
      <family val="2"/>
    </font>
    <font>
      <b/>
      <sz val="12"/>
      <name val="Arial"/>
      <family val="2"/>
    </font>
    <font>
      <b/>
      <i/>
      <sz val="8"/>
      <color indexed="9"/>
      <name val="Arial"/>
      <family val="2"/>
    </font>
    <font>
      <sz val="8"/>
      <name val="Arial"/>
      <family val="2"/>
    </font>
    <font>
      <b/>
      <sz val="8"/>
      <name val="Arial"/>
      <family val="2"/>
    </font>
    <font>
      <sz val="9"/>
      <color indexed="81"/>
      <name val="Tahoma"/>
      <family val="2"/>
    </font>
    <font>
      <b/>
      <sz val="9"/>
      <color indexed="81"/>
      <name val="Tahoma"/>
      <family val="2"/>
    </font>
    <font>
      <sz val="10"/>
      <name val="Arial"/>
      <family val="2"/>
    </font>
    <font>
      <b/>
      <sz val="10"/>
      <name val="Arial"/>
      <family val="2"/>
    </font>
    <font>
      <b/>
      <sz val="12"/>
      <color theme="1"/>
      <name val="Calibri"/>
      <family val="2"/>
      <scheme val="minor"/>
    </font>
    <font>
      <sz val="9"/>
      <color indexed="81"/>
      <name val="Tahoma"/>
      <charset val="1"/>
    </font>
    <font>
      <b/>
      <sz val="9"/>
      <color indexed="81"/>
      <name val="Tahoma"/>
      <charset val="1"/>
    </font>
  </fonts>
  <fills count="13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63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46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8"/>
        <bgColor indexed="64"/>
      </patternFill>
    </fill>
    <fill>
      <patternFill patternType="solid">
        <fgColor indexed="62"/>
        <bgColor indexed="64"/>
      </patternFill>
    </fill>
    <fill>
      <patternFill patternType="solid">
        <fgColor rgb="FFFFFF00"/>
        <bgColor indexed="64"/>
      </patternFill>
    </fill>
  </fills>
  <borders count="37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/>
      <right/>
      <top style="double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23">
    <xf numFmtId="0" fontId="0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/>
    <xf numFmtId="0" fontId="21" fillId="6" borderId="0" applyNumberFormat="0" applyBorder="0" applyAlignment="0" applyProtection="0"/>
    <xf numFmtId="0" fontId="22" fillId="6" borderId="0" applyNumberFormat="0" applyBorder="0" applyAlignment="0" applyProtection="0"/>
    <xf numFmtId="0" fontId="23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8" fillId="10" borderId="0" applyNumberFormat="0" applyBorder="0" applyAlignment="0" applyProtection="0"/>
    <xf numFmtId="0" fontId="18" fillId="10" borderId="0" applyNumberFormat="0" applyBorder="0" applyProtection="0">
      <alignment horizontal="center"/>
    </xf>
    <xf numFmtId="0" fontId="24" fillId="10" borderId="0" applyNumberFormat="0" applyBorder="0" applyAlignment="0" applyProtection="0"/>
    <xf numFmtId="0" fontId="11" fillId="0" borderId="0" applyNumberFormat="0" applyFont="0" applyFill="0" applyBorder="0" applyProtection="0">
      <alignment horizontal="right"/>
    </xf>
    <xf numFmtId="0" fontId="11" fillId="0" borderId="0" applyNumberFormat="0" applyFont="0" applyFill="0" applyBorder="0" applyProtection="0">
      <alignment horizontal="left"/>
    </xf>
    <xf numFmtId="0" fontId="25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11" fillId="11" borderId="0" applyNumberFormat="0" applyFont="0" applyBorder="0" applyAlignment="0" applyProtection="0"/>
    <xf numFmtId="173" fontId="11" fillId="0" borderId="0" applyFont="0" applyFill="0" applyBorder="0" applyAlignment="0" applyProtection="0"/>
    <xf numFmtId="2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0" fontId="11" fillId="0" borderId="0" applyNumberFormat="0" applyFill="0" applyBorder="0" applyProtection="0">
      <alignment wrapText="1"/>
    </xf>
    <xf numFmtId="0" fontId="11" fillId="0" borderId="0" applyNumberFormat="0" applyFill="0" applyBorder="0" applyProtection="0">
      <alignment horizontal="justify" vertical="top" wrapText="1"/>
    </xf>
    <xf numFmtId="0" fontId="11" fillId="0" borderId="21" applyNumberFormat="0" applyFont="0" applyFill="0" applyAlignment="0" applyProtection="0"/>
  </cellStyleXfs>
  <cellXfs count="174">
    <xf numFmtId="0" fontId="0" fillId="0" borderId="0" xfId="0"/>
    <xf numFmtId="0" fontId="0" fillId="0" borderId="0" xfId="0" applyFont="1"/>
    <xf numFmtId="0" fontId="3" fillId="0" borderId="0" xfId="0" applyFont="1"/>
    <xf numFmtId="0" fontId="4" fillId="0" borderId="0" xfId="0" applyFont="1"/>
    <xf numFmtId="0" fontId="4" fillId="0" borderId="1" xfId="0" applyFont="1" applyBorder="1"/>
    <xf numFmtId="0" fontId="0" fillId="0" borderId="0" xfId="0" applyBorder="1"/>
    <xf numFmtId="165" fontId="0" fillId="0" borderId="2" xfId="1" applyNumberFormat="1" applyFont="1" applyBorder="1"/>
    <xf numFmtId="0" fontId="2" fillId="0" borderId="3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165" fontId="0" fillId="0" borderId="5" xfId="1" applyNumberFormat="1" applyFont="1" applyBorder="1"/>
    <xf numFmtId="165" fontId="0" fillId="0" borderId="6" xfId="0" applyNumberFormat="1" applyBorder="1"/>
    <xf numFmtId="0" fontId="0" fillId="0" borderId="1" xfId="0" applyBorder="1"/>
    <xf numFmtId="166" fontId="0" fillId="0" borderId="2" xfId="2" applyNumberFormat="1" applyFont="1" applyBorder="1" applyAlignment="1">
      <alignment horizontal="center"/>
    </xf>
    <xf numFmtId="0" fontId="0" fillId="0" borderId="2" xfId="0" applyBorder="1" applyAlignment="1">
      <alignment horizontal="center"/>
    </xf>
    <xf numFmtId="0" fontId="2" fillId="0" borderId="7" xfId="0" applyFont="1" applyBorder="1" applyAlignment="1">
      <alignment horizontal="center"/>
    </xf>
    <xf numFmtId="43" fontId="0" fillId="0" borderId="0" xfId="0" applyNumberFormat="1" applyBorder="1" applyAlignment="1">
      <alignment horizontal="center"/>
    </xf>
    <xf numFmtId="165" fontId="0" fillId="0" borderId="0" xfId="1" applyNumberFormat="1" applyFont="1" applyFill="1" applyBorder="1"/>
    <xf numFmtId="0" fontId="0" fillId="0" borderId="0" xfId="0" applyAlignment="1">
      <alignment horizontal="right"/>
    </xf>
    <xf numFmtId="0" fontId="0" fillId="0" borderId="4" xfId="0" applyBorder="1" applyAlignment="1">
      <alignment horizontal="center"/>
    </xf>
    <xf numFmtId="0" fontId="7" fillId="0" borderId="0" xfId="0" applyFont="1"/>
    <xf numFmtId="0" fontId="7" fillId="0" borderId="0" xfId="0" applyFont="1" applyAlignment="1">
      <alignment horizontal="right"/>
    </xf>
    <xf numFmtId="165" fontId="7" fillId="0" borderId="2" xfId="1" applyNumberFormat="1" applyFont="1" applyBorder="1"/>
    <xf numFmtId="0" fontId="0" fillId="0" borderId="3" xfId="0" quotePrefix="1" applyFont="1" applyBorder="1" applyAlignment="1">
      <alignment horizontal="center"/>
    </xf>
    <xf numFmtId="0" fontId="0" fillId="0" borderId="4" xfId="0" applyFont="1" applyBorder="1" applyAlignment="1">
      <alignment horizontal="center"/>
    </xf>
    <xf numFmtId="0" fontId="8" fillId="0" borderId="0" xfId="0" applyFont="1"/>
    <xf numFmtId="0" fontId="0" fillId="0" borderId="8" xfId="0" applyBorder="1" applyAlignment="1">
      <alignment horizontal="center"/>
    </xf>
    <xf numFmtId="0" fontId="0" fillId="2" borderId="2" xfId="0" applyFill="1" applyBorder="1"/>
    <xf numFmtId="165" fontId="0" fillId="2" borderId="2" xfId="1" applyNumberFormat="1" applyFont="1" applyFill="1" applyBorder="1"/>
    <xf numFmtId="0" fontId="0" fillId="2" borderId="2" xfId="0" applyFont="1" applyFill="1" applyBorder="1"/>
    <xf numFmtId="0" fontId="0" fillId="2" borderId="5" xfId="0" applyFont="1" applyFill="1" applyBorder="1"/>
    <xf numFmtId="165" fontId="0" fillId="2" borderId="5" xfId="1" applyNumberFormat="1" applyFont="1" applyFill="1" applyBorder="1"/>
    <xf numFmtId="0" fontId="4" fillId="0" borderId="0" xfId="0" applyFont="1" applyAlignment="1">
      <alignment horizontal="left"/>
    </xf>
    <xf numFmtId="0" fontId="0" fillId="2" borderId="2" xfId="0" applyFill="1" applyBorder="1" applyAlignment="1">
      <alignment horizontal="center"/>
    </xf>
    <xf numFmtId="165" fontId="0" fillId="2" borderId="4" xfId="1" applyNumberFormat="1" applyFont="1" applyFill="1" applyBorder="1"/>
    <xf numFmtId="0" fontId="0" fillId="0" borderId="11" xfId="0" applyBorder="1"/>
    <xf numFmtId="0" fontId="0" fillId="0" borderId="12" xfId="0" applyBorder="1"/>
    <xf numFmtId="0" fontId="0" fillId="0" borderId="13" xfId="0" applyBorder="1" applyAlignment="1">
      <alignment horizontal="center"/>
    </xf>
    <xf numFmtId="0" fontId="0" fillId="0" borderId="15" xfId="0" applyBorder="1"/>
    <xf numFmtId="0" fontId="0" fillId="0" borderId="18" xfId="0" applyBorder="1"/>
    <xf numFmtId="0" fontId="0" fillId="0" borderId="19" xfId="0" applyBorder="1"/>
    <xf numFmtId="166" fontId="0" fillId="0" borderId="21" xfId="2" applyNumberFormat="1" applyFont="1" applyBorder="1"/>
    <xf numFmtId="0" fontId="0" fillId="0" borderId="21" xfId="0" applyBorder="1"/>
    <xf numFmtId="0" fontId="0" fillId="0" borderId="22" xfId="0" applyBorder="1"/>
    <xf numFmtId="0" fontId="2" fillId="0" borderId="23" xfId="0" applyFont="1" applyBorder="1" applyAlignment="1">
      <alignment horizontal="center"/>
    </xf>
    <xf numFmtId="0" fontId="0" fillId="0" borderId="14" xfId="0" applyBorder="1"/>
    <xf numFmtId="0" fontId="0" fillId="0" borderId="24" xfId="0" applyBorder="1"/>
    <xf numFmtId="0" fontId="0" fillId="0" borderId="21" xfId="0" applyBorder="1" applyAlignment="1">
      <alignment horizontal="left"/>
    </xf>
    <xf numFmtId="0" fontId="2" fillId="0" borderId="14" xfId="0" applyFont="1" applyBorder="1" applyAlignment="1">
      <alignment horizontal="center"/>
    </xf>
    <xf numFmtId="0" fontId="2" fillId="0" borderId="16" xfId="0" applyFont="1" applyFill="1" applyBorder="1" applyAlignment="1">
      <alignment horizontal="center"/>
    </xf>
    <xf numFmtId="164" fontId="2" fillId="0" borderId="17" xfId="0" applyNumberFormat="1" applyFont="1" applyBorder="1"/>
    <xf numFmtId="165" fontId="2" fillId="0" borderId="2" xfId="1" applyNumberFormat="1" applyFont="1" applyBorder="1"/>
    <xf numFmtId="166" fontId="2" fillId="0" borderId="2" xfId="2" applyNumberFormat="1" applyFont="1" applyBorder="1" applyAlignment="1">
      <alignment horizontal="center"/>
    </xf>
    <xf numFmtId="0" fontId="9" fillId="0" borderId="0" xfId="0" applyFont="1" applyBorder="1"/>
    <xf numFmtId="0" fontId="9" fillId="0" borderId="0" xfId="0" applyFont="1"/>
    <xf numFmtId="0" fontId="0" fillId="0" borderId="25" xfId="0" applyBorder="1"/>
    <xf numFmtId="0" fontId="0" fillId="0" borderId="26" xfId="0" applyBorder="1"/>
    <xf numFmtId="0" fontId="0" fillId="2" borderId="27" xfId="0" applyFill="1" applyBorder="1"/>
    <xf numFmtId="165" fontId="0" fillId="2" borderId="20" xfId="1" applyNumberFormat="1" applyFont="1" applyFill="1" applyBorder="1" applyAlignment="1">
      <alignment horizontal="center"/>
    </xf>
    <xf numFmtId="43" fontId="2" fillId="0" borderId="28" xfId="0" applyNumberFormat="1" applyFont="1" applyBorder="1" applyAlignment="1">
      <alignment vertical="center"/>
    </xf>
    <xf numFmtId="0" fontId="0" fillId="0" borderId="0" xfId="0" applyBorder="1" applyAlignment="1">
      <alignment horizontal="center"/>
    </xf>
    <xf numFmtId="0" fontId="0" fillId="0" borderId="0" xfId="0" applyFill="1" applyBorder="1" applyAlignment="1">
      <alignment horizontal="center"/>
    </xf>
    <xf numFmtId="0" fontId="0" fillId="2" borderId="29" xfId="0" applyFill="1" applyBorder="1"/>
    <xf numFmtId="165" fontId="0" fillId="2" borderId="2" xfId="1" applyNumberFormat="1" applyFont="1" applyFill="1" applyBorder="1" applyAlignment="1"/>
    <xf numFmtId="165" fontId="0" fillId="0" borderId="20" xfId="0" applyNumberFormat="1" applyBorder="1" applyAlignment="1"/>
    <xf numFmtId="0" fontId="2" fillId="0" borderId="18" xfId="0" applyFont="1" applyBorder="1" applyAlignment="1">
      <alignment horizontal="center"/>
    </xf>
    <xf numFmtId="0" fontId="0" fillId="0" borderId="30" xfId="0" applyBorder="1"/>
    <xf numFmtId="165" fontId="2" fillId="0" borderId="8" xfId="1" applyNumberFormat="1" applyFont="1" applyBorder="1"/>
    <xf numFmtId="165" fontId="2" fillId="0" borderId="30" xfId="0" applyNumberFormat="1" applyFont="1" applyBorder="1"/>
    <xf numFmtId="0" fontId="2" fillId="0" borderId="31" xfId="0" applyFont="1" applyBorder="1" applyAlignment="1">
      <alignment horizontal="center"/>
    </xf>
    <xf numFmtId="166" fontId="2" fillId="0" borderId="32" xfId="2" applyNumberFormat="1" applyFont="1" applyBorder="1" applyAlignment="1">
      <alignment horizontal="center"/>
    </xf>
    <xf numFmtId="0" fontId="11" fillId="0" borderId="0" xfId="4" applyAlignment="1">
      <alignment horizontal="left"/>
    </xf>
    <xf numFmtId="167" fontId="11" fillId="0" borderId="0" xfId="4" applyNumberFormat="1" applyAlignment="1">
      <alignment horizontal="left"/>
    </xf>
    <xf numFmtId="168" fontId="11" fillId="0" borderId="0" xfId="4" applyNumberFormat="1" applyAlignment="1">
      <alignment horizontal="right"/>
    </xf>
    <xf numFmtId="0" fontId="13" fillId="3" borderId="2" xfId="0" applyFont="1" applyFill="1" applyBorder="1" applyAlignment="1" applyProtection="1">
      <alignment horizontal="center" vertical="center"/>
      <protection locked="0"/>
    </xf>
    <xf numFmtId="169" fontId="14" fillId="3" borderId="2" xfId="0" applyNumberFormat="1" applyFont="1" applyFill="1" applyBorder="1" applyAlignment="1" applyProtection="1">
      <alignment horizontal="center" vertical="center"/>
      <protection locked="0"/>
    </xf>
    <xf numFmtId="3" fontId="13" fillId="4" borderId="2" xfId="1" applyNumberFormat="1" applyFont="1" applyFill="1" applyBorder="1" applyAlignment="1" applyProtection="1">
      <alignment horizontal="center" vertical="center"/>
      <protection locked="0"/>
    </xf>
    <xf numFmtId="3" fontId="13" fillId="4" borderId="2" xfId="1" quotePrefix="1" applyNumberFormat="1" applyFont="1" applyFill="1" applyBorder="1" applyAlignment="1" applyProtection="1">
      <alignment horizontal="center" vertical="center"/>
      <protection locked="0"/>
    </xf>
    <xf numFmtId="169" fontId="14" fillId="3" borderId="2" xfId="0" quotePrefix="1" applyNumberFormat="1" applyFont="1" applyFill="1" applyBorder="1" applyAlignment="1" applyProtection="1">
      <alignment horizontal="center" vertical="center"/>
      <protection locked="0"/>
    </xf>
    <xf numFmtId="0" fontId="0" fillId="5" borderId="0" xfId="0" applyFill="1" applyBorder="1"/>
    <xf numFmtId="2" fontId="0" fillId="5" borderId="0" xfId="0" applyNumberFormat="1" applyFont="1" applyFill="1" applyBorder="1"/>
    <xf numFmtId="0" fontId="17" fillId="3" borderId="0" xfId="0" applyFont="1" applyFill="1" applyBorder="1" applyAlignment="1">
      <alignment horizontal="center"/>
    </xf>
    <xf numFmtId="2" fontId="0" fillId="5" borderId="35" xfId="0" applyNumberFormat="1" applyFont="1" applyFill="1" applyBorder="1"/>
    <xf numFmtId="2" fontId="12" fillId="0" borderId="2" xfId="0" applyNumberFormat="1" applyFont="1" applyFill="1" applyBorder="1" applyAlignment="1">
      <alignment horizontal="center" vertical="center"/>
    </xf>
    <xf numFmtId="4" fontId="12" fillId="0" borderId="2" xfId="0" applyNumberFormat="1" applyFont="1" applyFill="1" applyBorder="1" applyAlignment="1">
      <alignment horizontal="center" vertical="center"/>
    </xf>
    <xf numFmtId="4" fontId="12" fillId="0" borderId="36" xfId="0" applyNumberFormat="1" applyFont="1" applyFill="1" applyBorder="1" applyAlignment="1">
      <alignment horizontal="center" vertical="center"/>
    </xf>
    <xf numFmtId="4" fontId="12" fillId="0" borderId="36" xfId="0" applyNumberFormat="1" applyFont="1" applyFill="1" applyBorder="1" applyAlignment="1">
      <alignment horizontal="center" vertical="center" wrapText="1"/>
    </xf>
    <xf numFmtId="4" fontId="12" fillId="0" borderId="2" xfId="0" applyNumberFormat="1" applyFont="1" applyFill="1" applyBorder="1" applyAlignment="1">
      <alignment horizontal="center" vertical="center" wrapText="1"/>
    </xf>
    <xf numFmtId="0" fontId="0" fillId="5" borderId="0" xfId="0" applyFill="1" applyBorder="1" applyAlignment="1">
      <alignment wrapText="1"/>
    </xf>
    <xf numFmtId="2" fontId="0" fillId="5" borderId="0" xfId="0" applyNumberFormat="1" applyFont="1" applyFill="1" applyBorder="1" applyAlignment="1">
      <alignment wrapText="1"/>
    </xf>
    <xf numFmtId="2" fontId="0" fillId="5" borderId="35" xfId="0" applyNumberFormat="1" applyFont="1" applyFill="1" applyBorder="1" applyAlignment="1">
      <alignment wrapText="1"/>
    </xf>
    <xf numFmtId="2" fontId="0" fillId="0" borderId="3" xfId="0" applyNumberFormat="1" applyFill="1" applyBorder="1" applyAlignment="1">
      <alignment horizontal="center" vertical="center" wrapText="1"/>
    </xf>
    <xf numFmtId="4" fontId="0" fillId="0" borderId="3" xfId="0" applyNumberFormat="1" applyFill="1" applyBorder="1" applyAlignment="1">
      <alignment horizontal="center" vertical="center" wrapText="1"/>
    </xf>
    <xf numFmtId="4" fontId="0" fillId="0" borderId="2" xfId="0" applyNumberFormat="1" applyFill="1" applyBorder="1" applyAlignment="1">
      <alignment horizontal="center" vertical="center" wrapText="1"/>
    </xf>
    <xf numFmtId="2" fontId="0" fillId="5" borderId="1" xfId="0" applyNumberFormat="1" applyFont="1" applyFill="1" applyBorder="1"/>
    <xf numFmtId="2" fontId="0" fillId="0" borderId="2" xfId="0" applyNumberFormat="1" applyFont="1" applyFill="1" applyBorder="1" applyAlignment="1">
      <alignment horizontal="center" vertical="center" wrapText="1"/>
    </xf>
    <xf numFmtId="2" fontId="0" fillId="0" borderId="2" xfId="0" applyNumberFormat="1" applyFill="1" applyBorder="1" applyAlignment="1">
      <alignment horizontal="center" vertical="center" wrapText="1"/>
    </xf>
    <xf numFmtId="4" fontId="0" fillId="0" borderId="2" xfId="0" applyNumberFormat="1" applyFont="1" applyFill="1" applyBorder="1" applyAlignment="1">
      <alignment horizontal="center" vertical="center" wrapText="1"/>
    </xf>
    <xf numFmtId="9" fontId="1" fillId="0" borderId="2" xfId="2" applyFill="1" applyBorder="1" applyAlignment="1">
      <alignment horizontal="center" vertical="center" wrapText="1"/>
    </xf>
    <xf numFmtId="3" fontId="0" fillId="0" borderId="2" xfId="0" applyNumberFormat="1" applyFill="1" applyBorder="1" applyAlignment="1">
      <alignment horizontal="center" vertical="center" wrapText="1"/>
    </xf>
    <xf numFmtId="0" fontId="0" fillId="5" borderId="2" xfId="0" applyFill="1" applyBorder="1" applyProtection="1">
      <protection locked="0"/>
    </xf>
    <xf numFmtId="2" fontId="0" fillId="5" borderId="2" xfId="0" applyNumberFormat="1" applyFill="1" applyBorder="1" applyProtection="1">
      <protection locked="0"/>
    </xf>
    <xf numFmtId="9" fontId="1" fillId="5" borderId="2" xfId="2" applyFill="1" applyBorder="1" applyAlignment="1" applyProtection="1">
      <alignment horizontal="center"/>
      <protection locked="0"/>
    </xf>
    <xf numFmtId="4" fontId="0" fillId="5" borderId="2" xfId="0" applyNumberFormat="1" applyFont="1" applyFill="1" applyBorder="1" applyAlignment="1" applyProtection="1">
      <alignment horizontal="center" vertical="center"/>
      <protection locked="0"/>
    </xf>
    <xf numFmtId="2" fontId="0" fillId="5" borderId="2" xfId="0" applyNumberFormat="1" applyFill="1" applyBorder="1" applyAlignment="1" applyProtection="1">
      <alignment horizontal="center" vertical="center" wrapText="1"/>
      <protection locked="0"/>
    </xf>
    <xf numFmtId="170" fontId="0" fillId="5" borderId="2" xfId="0" applyNumberFormat="1" applyFill="1" applyBorder="1" applyAlignment="1" applyProtection="1">
      <alignment horizontal="center" vertical="center" wrapText="1"/>
      <protection locked="0"/>
    </xf>
    <xf numFmtId="1" fontId="0" fillId="5" borderId="2" xfId="0" applyNumberFormat="1" applyFill="1" applyBorder="1" applyAlignment="1" applyProtection="1">
      <alignment horizontal="center" vertical="center" wrapText="1"/>
      <protection locked="0"/>
    </xf>
    <xf numFmtId="4" fontId="0" fillId="5" borderId="2" xfId="0" applyNumberFormat="1" applyFill="1" applyBorder="1" applyAlignment="1" applyProtection="1">
      <alignment horizontal="center" vertical="center"/>
      <protection locked="0"/>
    </xf>
    <xf numFmtId="1" fontId="0" fillId="5" borderId="2" xfId="0" applyNumberFormat="1" applyFont="1" applyFill="1" applyBorder="1" applyAlignment="1" applyProtection="1">
      <alignment horizontal="center" vertical="center" wrapText="1"/>
      <protection locked="0"/>
    </xf>
    <xf numFmtId="3" fontId="0" fillId="5" borderId="2" xfId="0" applyNumberFormat="1" applyFont="1" applyFill="1" applyBorder="1" applyAlignment="1" applyProtection="1">
      <alignment horizontal="center" vertical="center" wrapText="1"/>
      <protection locked="0"/>
    </xf>
    <xf numFmtId="4" fontId="0" fillId="5" borderId="2" xfId="0" applyNumberFormat="1" applyFill="1" applyBorder="1" applyAlignment="1" applyProtection="1">
      <alignment horizontal="center" vertical="center" wrapText="1"/>
      <protection locked="0"/>
    </xf>
    <xf numFmtId="0" fontId="18" fillId="6" borderId="2" xfId="0" applyFont="1" applyFill="1" applyBorder="1" applyAlignment="1" applyProtection="1">
      <alignment horizontal="center" vertical="center"/>
      <protection locked="0"/>
    </xf>
    <xf numFmtId="2" fontId="18" fillId="6" borderId="0" xfId="0" applyNumberFormat="1" applyFont="1" applyFill="1" applyBorder="1" applyAlignment="1" applyProtection="1">
      <alignment horizontal="center" vertical="center"/>
      <protection locked="0"/>
    </xf>
    <xf numFmtId="4" fontId="19" fillId="6" borderId="2" xfId="0" applyNumberFormat="1" applyFont="1" applyFill="1" applyBorder="1" applyAlignment="1" applyProtection="1">
      <alignment horizontal="center" vertical="center"/>
      <protection locked="0"/>
    </xf>
    <xf numFmtId="2" fontId="19" fillId="6" borderId="2" xfId="0" applyNumberFormat="1" applyFont="1" applyFill="1" applyBorder="1" applyAlignment="1" applyProtection="1">
      <alignment horizontal="center" vertical="center" wrapText="1"/>
      <protection locked="0"/>
    </xf>
    <xf numFmtId="0" fontId="19" fillId="6" borderId="2" xfId="0" applyFont="1" applyFill="1" applyBorder="1" applyAlignment="1" applyProtection="1">
      <alignment horizontal="center" vertical="center" wrapText="1"/>
      <protection locked="0"/>
    </xf>
    <xf numFmtId="0" fontId="19" fillId="6" borderId="3" xfId="0" applyFont="1" applyFill="1" applyBorder="1" applyAlignment="1" applyProtection="1">
      <alignment horizontal="center" vertical="center" wrapText="1"/>
      <protection locked="0"/>
    </xf>
    <xf numFmtId="2" fontId="19" fillId="6" borderId="3" xfId="0" applyNumberFormat="1" applyFont="1" applyFill="1" applyBorder="1" applyAlignment="1" applyProtection="1">
      <alignment horizontal="center" vertical="center" wrapText="1"/>
      <protection locked="0"/>
    </xf>
    <xf numFmtId="0" fontId="0" fillId="3" borderId="2" xfId="0" applyFill="1" applyBorder="1" applyAlignment="1" applyProtection="1">
      <alignment horizontal="center" vertical="center"/>
      <protection locked="0"/>
    </xf>
    <xf numFmtId="3" fontId="0" fillId="4" borderId="2" xfId="0" applyNumberFormat="1" applyFill="1" applyBorder="1" applyAlignment="1" applyProtection="1">
      <alignment horizontal="center" vertical="center"/>
      <protection locked="0"/>
    </xf>
    <xf numFmtId="2" fontId="0" fillId="9" borderId="2" xfId="0" applyNumberFormat="1" applyFill="1" applyBorder="1" applyAlignment="1" applyProtection="1">
      <alignment horizontal="center" vertical="center" wrapText="1"/>
      <protection locked="0"/>
    </xf>
    <xf numFmtId="171" fontId="0" fillId="4" borderId="2" xfId="0" applyNumberFormat="1" applyFill="1" applyBorder="1" applyAlignment="1" applyProtection="1">
      <alignment horizontal="center" vertical="center"/>
      <protection locked="0"/>
    </xf>
    <xf numFmtId="4" fontId="0" fillId="7" borderId="2" xfId="0" applyNumberFormat="1" applyFont="1" applyFill="1" applyBorder="1" applyAlignment="1" applyProtection="1">
      <alignment horizontal="center" vertical="center" wrapText="1"/>
      <protection locked="0"/>
    </xf>
    <xf numFmtId="4" fontId="0" fillId="9" borderId="2" xfId="0" applyNumberFormat="1" applyFill="1" applyBorder="1" applyAlignment="1" applyProtection="1">
      <alignment horizontal="center" vertical="center"/>
      <protection locked="0"/>
    </xf>
    <xf numFmtId="4" fontId="0" fillId="4" borderId="2" xfId="0" applyNumberFormat="1" applyFill="1" applyBorder="1" applyAlignment="1" applyProtection="1">
      <alignment horizontal="center" vertical="center"/>
      <protection locked="0"/>
    </xf>
    <xf numFmtId="166" fontId="1" fillId="4" borderId="2" xfId="2" applyNumberFormat="1" applyFill="1" applyBorder="1" applyAlignment="1" applyProtection="1">
      <alignment horizontal="center" vertical="center"/>
      <protection locked="0"/>
    </xf>
    <xf numFmtId="2" fontId="1" fillId="4" borderId="2" xfId="2" applyNumberFormat="1" applyFill="1" applyBorder="1" applyAlignment="1" applyProtection="1">
      <alignment horizontal="center" vertical="center"/>
      <protection locked="0"/>
    </xf>
    <xf numFmtId="3" fontId="0" fillId="7" borderId="2" xfId="0" applyNumberFormat="1" applyFont="1" applyFill="1" applyBorder="1" applyAlignment="1" applyProtection="1">
      <alignment horizontal="center" vertical="center" wrapText="1"/>
      <protection locked="0"/>
    </xf>
    <xf numFmtId="9" fontId="1" fillId="8" borderId="2" xfId="2" applyFill="1" applyBorder="1" applyAlignment="1" applyProtection="1">
      <alignment horizontal="center" vertical="center"/>
      <protection locked="0"/>
    </xf>
    <xf numFmtId="2" fontId="11" fillId="9" borderId="2" xfId="0" applyNumberFormat="1" applyFont="1" applyFill="1" applyBorder="1" applyAlignment="1" applyProtection="1">
      <alignment horizontal="center" vertical="center" wrapText="1"/>
      <protection locked="0"/>
    </xf>
    <xf numFmtId="172" fontId="0" fillId="4" borderId="2" xfId="0" applyNumberFormat="1" applyFill="1" applyBorder="1" applyAlignment="1" applyProtection="1">
      <alignment horizontal="center" vertical="center"/>
      <protection locked="0"/>
    </xf>
    <xf numFmtId="2" fontId="0" fillId="3" borderId="2" xfId="0" applyNumberFormat="1" applyFont="1" applyFill="1" applyBorder="1" applyAlignment="1" applyProtection="1">
      <alignment horizontal="center" vertical="center"/>
      <protection locked="0"/>
    </xf>
    <xf numFmtId="9" fontId="1" fillId="4" borderId="2" xfId="2" applyFill="1" applyBorder="1" applyAlignment="1" applyProtection="1">
      <alignment horizontal="center" vertical="center"/>
      <protection locked="0"/>
    </xf>
    <xf numFmtId="0" fontId="20" fillId="3" borderId="2" xfId="0" applyFont="1" applyFill="1" applyBorder="1" applyAlignment="1" applyProtection="1">
      <alignment horizontal="center" vertical="center"/>
      <protection locked="0"/>
    </xf>
    <xf numFmtId="2" fontId="20" fillId="3" borderId="2" xfId="0" applyNumberFormat="1" applyFont="1" applyFill="1" applyBorder="1" applyAlignment="1" applyProtection="1">
      <alignment horizontal="center" vertical="center"/>
      <protection locked="0"/>
    </xf>
    <xf numFmtId="43" fontId="0" fillId="2" borderId="2" xfId="1" applyNumberFormat="1" applyFont="1" applyFill="1" applyBorder="1"/>
    <xf numFmtId="9" fontId="29" fillId="5" borderId="2" xfId="2" applyFont="1" applyFill="1" applyBorder="1" applyAlignment="1" applyProtection="1">
      <alignment horizontal="center" vertical="center" wrapText="1"/>
      <protection locked="0"/>
    </xf>
    <xf numFmtId="2" fontId="29" fillId="5" borderId="2" xfId="2" applyNumberFormat="1" applyFont="1" applyFill="1" applyBorder="1" applyAlignment="1" applyProtection="1">
      <alignment horizontal="center" vertical="center" wrapText="1"/>
      <protection locked="0"/>
    </xf>
    <xf numFmtId="9" fontId="29" fillId="8" borderId="2" xfId="2" applyFont="1" applyFill="1" applyBorder="1" applyAlignment="1" applyProtection="1">
      <alignment horizontal="center" vertical="center"/>
      <protection locked="0"/>
    </xf>
    <xf numFmtId="0" fontId="30" fillId="0" borderId="0" xfId="4" applyFont="1" applyAlignment="1">
      <alignment horizontal="left"/>
    </xf>
    <xf numFmtId="168" fontId="0" fillId="0" borderId="0" xfId="0" applyNumberFormat="1"/>
    <xf numFmtId="174" fontId="11" fillId="0" borderId="0" xfId="4" applyNumberFormat="1" applyAlignment="1">
      <alignment horizontal="right"/>
    </xf>
    <xf numFmtId="43" fontId="0" fillId="0" borderId="0" xfId="0" applyNumberFormat="1"/>
    <xf numFmtId="0" fontId="2" fillId="0" borderId="0" xfId="0" applyFont="1" applyAlignment="1">
      <alignment horizontal="center" wrapText="1"/>
    </xf>
    <xf numFmtId="165" fontId="2" fillId="0" borderId="0" xfId="1" applyNumberFormat="1" applyFont="1" applyAlignment="1">
      <alignment horizontal="center" wrapText="1"/>
    </xf>
    <xf numFmtId="0" fontId="31" fillId="0" borderId="0" xfId="0" applyFont="1"/>
    <xf numFmtId="0" fontId="2" fillId="0" borderId="0" xfId="0" applyFont="1"/>
    <xf numFmtId="0" fontId="11" fillId="0" borderId="0" xfId="4"/>
    <xf numFmtId="0" fontId="11" fillId="0" borderId="0" xfId="4" applyNumberFormat="1" applyAlignment="1">
      <alignment horizontal="left" vertical="top" wrapText="1"/>
    </xf>
    <xf numFmtId="175" fontId="11" fillId="0" borderId="0" xfId="4" applyNumberFormat="1" applyAlignment="1">
      <alignment horizontal="right" vertical="top" wrapText="1"/>
    </xf>
    <xf numFmtId="0" fontId="0" fillId="0" borderId="0" xfId="0"/>
    <xf numFmtId="0" fontId="0" fillId="0" borderId="0" xfId="0" applyNumberFormat="1" applyAlignment="1">
      <alignment horizontal="left" vertical="top" wrapText="1"/>
    </xf>
    <xf numFmtId="175" fontId="0" fillId="0" borderId="0" xfId="0" applyNumberFormat="1" applyAlignment="1">
      <alignment horizontal="right" vertical="top" wrapText="1"/>
    </xf>
    <xf numFmtId="175" fontId="0" fillId="0" borderId="0" xfId="0" applyNumberFormat="1"/>
    <xf numFmtId="11" fontId="0" fillId="0" borderId="0" xfId="0" applyNumberFormat="1"/>
    <xf numFmtId="165" fontId="0" fillId="0" borderId="0" xfId="1" applyNumberFormat="1" applyFont="1"/>
    <xf numFmtId="3" fontId="0" fillId="0" borderId="0" xfId="0" applyNumberFormat="1"/>
    <xf numFmtId="0" fontId="0" fillId="2" borderId="2" xfId="0" applyFont="1" applyFill="1" applyBorder="1" applyAlignment="1">
      <alignment wrapText="1"/>
    </xf>
    <xf numFmtId="0" fontId="0" fillId="0" borderId="4" xfId="0" applyFont="1" applyBorder="1" applyAlignment="1">
      <alignment horizontal="center"/>
    </xf>
    <xf numFmtId="176" fontId="0" fillId="2" borderId="10" xfId="1" applyNumberFormat="1" applyFont="1" applyFill="1" applyBorder="1"/>
    <xf numFmtId="0" fontId="0" fillId="12" borderId="0" xfId="0" applyFill="1"/>
    <xf numFmtId="165" fontId="0" fillId="0" borderId="8" xfId="1" applyNumberFormat="1" applyFont="1" applyBorder="1"/>
    <xf numFmtId="176" fontId="0" fillId="12" borderId="0" xfId="0" applyNumberFormat="1" applyFill="1"/>
    <xf numFmtId="176" fontId="0" fillId="0" borderId="0" xfId="0" applyNumberFormat="1"/>
    <xf numFmtId="0" fontId="8" fillId="0" borderId="0" xfId="0" applyFont="1" applyAlignment="1">
      <alignment horizontal="center"/>
    </xf>
    <xf numFmtId="0" fontId="8" fillId="0" borderId="35" xfId="0" applyFont="1" applyBorder="1" applyAlignment="1">
      <alignment horizontal="center"/>
    </xf>
    <xf numFmtId="0" fontId="8" fillId="0" borderId="0" xfId="0" applyFont="1"/>
    <xf numFmtId="0" fontId="0" fillId="0" borderId="4" xfId="0" applyFont="1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33" xfId="0" applyBorder="1" applyAlignment="1">
      <alignment horizontal="center"/>
    </xf>
    <xf numFmtId="0" fontId="0" fillId="0" borderId="34" xfId="0" applyBorder="1" applyAlignment="1">
      <alignment horizontal="center"/>
    </xf>
    <xf numFmtId="0" fontId="0" fillId="0" borderId="30" xfId="0" applyBorder="1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right"/>
    </xf>
    <xf numFmtId="0" fontId="0" fillId="0" borderId="18" xfId="0" applyBorder="1" applyAlignment="1">
      <alignment horizontal="right"/>
    </xf>
  </cellXfs>
  <cellStyles count="23">
    <cellStyle name="Comma" xfId="1" builtinId="3"/>
    <cellStyle name="HeadlineStyle" xfId="20" xr:uid="{00000000-0005-0000-0000-000001000000}"/>
    <cellStyle name="HeadlineStyleJustified" xfId="21" xr:uid="{00000000-0005-0000-0000-000002000000}"/>
    <cellStyle name="Normal" xfId="0" builtinId="0"/>
    <cellStyle name="Normal 2" xfId="4" xr:uid="{00000000-0005-0000-0000-000004000000}"/>
    <cellStyle name="Percent" xfId="2" builtinId="5"/>
    <cellStyle name="Style 21" xfId="5" xr:uid="{00000000-0005-0000-0000-000006000000}"/>
    <cellStyle name="Style 22" xfId="3" xr:uid="{00000000-0005-0000-0000-000007000000}"/>
    <cellStyle name="Style 23" xfId="6" xr:uid="{00000000-0005-0000-0000-000008000000}"/>
    <cellStyle name="Style 24" xfId="7" xr:uid="{00000000-0005-0000-0000-000009000000}"/>
    <cellStyle name="Style 25" xfId="8" xr:uid="{00000000-0005-0000-0000-00000A000000}"/>
    <cellStyle name="Style 26" xfId="9" xr:uid="{00000000-0005-0000-0000-00000B000000}"/>
    <cellStyle name="Style 27" xfId="10" xr:uid="{00000000-0005-0000-0000-00000C000000}"/>
    <cellStyle name="Style 28" xfId="11" xr:uid="{00000000-0005-0000-0000-00000D000000}"/>
    <cellStyle name="Style 29" xfId="12" xr:uid="{00000000-0005-0000-0000-00000E000000}"/>
    <cellStyle name="Style 30" xfId="13" xr:uid="{00000000-0005-0000-0000-00000F000000}"/>
    <cellStyle name="Style 31" xfId="14" xr:uid="{00000000-0005-0000-0000-000010000000}"/>
    <cellStyle name="Style 32" xfId="15" xr:uid="{00000000-0005-0000-0000-000011000000}"/>
    <cellStyle name="Style 33" xfId="16" xr:uid="{00000000-0005-0000-0000-000012000000}"/>
    <cellStyle name="Style 34" xfId="17" xr:uid="{00000000-0005-0000-0000-000013000000}"/>
    <cellStyle name="Style 35" xfId="18" xr:uid="{00000000-0005-0000-0000-000014000000}"/>
    <cellStyle name="Style 36" xfId="19" xr:uid="{00000000-0005-0000-0000-000015000000}"/>
    <cellStyle name="Style 39" xfId="22" xr:uid="{00000000-0005-0000-0000-000016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11" Type="http://schemas.openxmlformats.org/officeDocument/2006/relationships/customXml" Target="../customXml/item4.xml"/><Relationship Id="rId5" Type="http://schemas.openxmlformats.org/officeDocument/2006/relationships/styles" Target="styles.xml"/><Relationship Id="rId10" Type="http://schemas.openxmlformats.org/officeDocument/2006/relationships/customXml" Target="../customXml/item3.xml"/><Relationship Id="rId4" Type="http://schemas.openxmlformats.org/officeDocument/2006/relationships/theme" Target="theme/theme1.xml"/><Relationship Id="rId9" Type="http://schemas.openxmlformats.org/officeDocument/2006/relationships/customXml" Target="../customXml/item2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390525</xdr:colOff>
      <xdr:row>23</xdr:row>
      <xdr:rowOff>0</xdr:rowOff>
    </xdr:from>
    <xdr:to>
      <xdr:col>6</xdr:col>
      <xdr:colOff>533400</xdr:colOff>
      <xdr:row>24</xdr:row>
      <xdr:rowOff>47625</xdr:rowOff>
    </xdr:to>
    <xdr:sp macro="" textlink="">
      <xdr:nvSpPr>
        <xdr:cNvPr id="2" name="Up Arrow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SpPr/>
      </xdr:nvSpPr>
      <xdr:spPr>
        <a:xfrm>
          <a:off x="5000625" y="3971925"/>
          <a:ext cx="142875" cy="238125"/>
        </a:xfrm>
        <a:prstGeom prst="up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H30"/>
  <sheetViews>
    <sheetView tabSelected="1" workbookViewId="0">
      <selection activeCell="F23" sqref="F23"/>
    </sheetView>
  </sheetViews>
  <sheetFormatPr defaultRowHeight="15" x14ac:dyDescent="0.25"/>
  <cols>
    <col min="1" max="1" width="9.140625" customWidth="1"/>
    <col min="3" max="3" width="10.7109375" customWidth="1"/>
    <col min="4" max="4" width="15.5703125" customWidth="1"/>
    <col min="5" max="5" width="15" customWidth="1"/>
    <col min="6" max="6" width="12.5703125" customWidth="1"/>
    <col min="7" max="7" width="13.42578125" customWidth="1"/>
    <col min="8" max="8" width="13.5703125" customWidth="1"/>
    <col min="9" max="9" width="13.28515625" bestFit="1" customWidth="1"/>
    <col min="10" max="11" width="11.5703125" bestFit="1" customWidth="1"/>
    <col min="12" max="12" width="13.28515625" bestFit="1" customWidth="1"/>
  </cols>
  <sheetData>
    <row r="1" spans="1:7" ht="18.75" x14ac:dyDescent="0.3">
      <c r="A1" s="3" t="s">
        <v>4</v>
      </c>
    </row>
    <row r="2" spans="1:7" ht="15.75" thickBot="1" x14ac:dyDescent="0.3"/>
    <row r="3" spans="1:7" x14ac:dyDescent="0.25">
      <c r="A3" s="54"/>
      <c r="B3" s="55" t="s">
        <v>8</v>
      </c>
      <c r="C3" s="56" t="s">
        <v>16</v>
      </c>
      <c r="D3" s="61"/>
      <c r="E3" s="59"/>
    </row>
    <row r="4" spans="1:7" x14ac:dyDescent="0.25">
      <c r="A4" s="165" t="s">
        <v>9</v>
      </c>
      <c r="B4" s="167"/>
      <c r="C4" s="32">
        <v>2017</v>
      </c>
      <c r="D4" s="64" t="s">
        <v>28</v>
      </c>
      <c r="E4" s="60"/>
    </row>
    <row r="5" spans="1:7" ht="15.75" thickBot="1" x14ac:dyDescent="0.3">
      <c r="A5" s="168" t="s">
        <v>14</v>
      </c>
      <c r="B5" s="169"/>
      <c r="C5" s="57">
        <v>545175</v>
      </c>
      <c r="D5" s="58">
        <f>+D13/C5</f>
        <v>10.642866969321778</v>
      </c>
    </row>
    <row r="6" spans="1:7" x14ac:dyDescent="0.25">
      <c r="A6" s="5"/>
      <c r="B6" s="5"/>
      <c r="C6" s="16"/>
      <c r="E6" s="15"/>
    </row>
    <row r="7" spans="1:7" ht="19.5" thickBot="1" x14ac:dyDescent="0.35">
      <c r="A7" s="5"/>
      <c r="B7" s="52" t="s">
        <v>25</v>
      </c>
      <c r="C7" s="16"/>
      <c r="E7" s="15"/>
    </row>
    <row r="8" spans="1:7" x14ac:dyDescent="0.25">
      <c r="A8" s="34"/>
      <c r="B8" s="35"/>
      <c r="C8" s="35"/>
      <c r="D8" s="35"/>
      <c r="E8" s="35"/>
      <c r="F8" s="36" t="s">
        <v>13</v>
      </c>
      <c r="G8" s="47" t="s">
        <v>29</v>
      </c>
    </row>
    <row r="9" spans="1:7" x14ac:dyDescent="0.25">
      <c r="A9" s="37"/>
      <c r="B9" s="11"/>
      <c r="C9" s="11"/>
      <c r="D9" s="13" t="s">
        <v>7</v>
      </c>
      <c r="E9" s="25" t="s">
        <v>20</v>
      </c>
      <c r="F9" s="18" t="s">
        <v>24</v>
      </c>
      <c r="G9" s="48" t="s">
        <v>13</v>
      </c>
    </row>
    <row r="10" spans="1:7" x14ac:dyDescent="0.25">
      <c r="A10" s="165" t="s">
        <v>5</v>
      </c>
      <c r="B10" s="166"/>
      <c r="C10" s="167"/>
      <c r="D10" s="62">
        <v>2606947</v>
      </c>
      <c r="E10" s="12">
        <f>+D10/D13</f>
        <v>0.44930125943064947</v>
      </c>
      <c r="F10" s="33">
        <v>222837</v>
      </c>
      <c r="G10" s="49">
        <f>+D10/F10</f>
        <v>11.698896502824935</v>
      </c>
    </row>
    <row r="11" spans="1:7" x14ac:dyDescent="0.25">
      <c r="A11" s="165" t="s">
        <v>10</v>
      </c>
      <c r="B11" s="166"/>
      <c r="C11" s="167"/>
      <c r="D11" s="62">
        <v>2199547</v>
      </c>
      <c r="E11" s="12">
        <f>+D11/D13</f>
        <v>0.37908681583358106</v>
      </c>
      <c r="F11" s="27">
        <v>24705</v>
      </c>
      <c r="G11" s="49">
        <f>+D11/F11</f>
        <v>89.032463064157056</v>
      </c>
    </row>
    <row r="12" spans="1:7" x14ac:dyDescent="0.25">
      <c r="A12" s="165" t="s">
        <v>11</v>
      </c>
      <c r="B12" s="166"/>
      <c r="C12" s="167"/>
      <c r="D12" s="62">
        <v>995731</v>
      </c>
      <c r="E12" s="12">
        <f>+D12/D13</f>
        <v>0.17161192473576947</v>
      </c>
      <c r="F12" s="5"/>
      <c r="G12" s="38"/>
    </row>
    <row r="13" spans="1:7" ht="15.75" thickBot="1" x14ac:dyDescent="0.3">
      <c r="A13" s="39"/>
      <c r="B13" s="170" t="s">
        <v>6</v>
      </c>
      <c r="C13" s="169"/>
      <c r="D13" s="63">
        <f>SUM(D10:D12)</f>
        <v>5802225</v>
      </c>
      <c r="E13" s="40"/>
      <c r="F13" s="41"/>
      <c r="G13" s="42"/>
    </row>
    <row r="15" spans="1:7" ht="19.5" thickBot="1" x14ac:dyDescent="0.35">
      <c r="B15" s="53" t="s">
        <v>26</v>
      </c>
    </row>
    <row r="16" spans="1:7" x14ac:dyDescent="0.25">
      <c r="A16" s="34"/>
      <c r="B16" s="35"/>
      <c r="C16" s="35"/>
      <c r="D16" s="35"/>
      <c r="E16" s="36" t="s">
        <v>21</v>
      </c>
      <c r="F16" s="43" t="s">
        <v>254</v>
      </c>
      <c r="G16" s="44"/>
    </row>
    <row r="17" spans="1:8" ht="18" x14ac:dyDescent="0.35">
      <c r="A17" s="45"/>
      <c r="B17" s="5"/>
      <c r="C17" s="5"/>
      <c r="D17" s="25" t="s">
        <v>12</v>
      </c>
      <c r="E17" s="18" t="s">
        <v>22</v>
      </c>
      <c r="F17" s="14" t="s">
        <v>2</v>
      </c>
      <c r="G17" s="38"/>
    </row>
    <row r="18" spans="1:8" x14ac:dyDescent="0.25">
      <c r="A18" s="163" t="s">
        <v>258</v>
      </c>
      <c r="B18" s="163"/>
      <c r="C18" s="164"/>
      <c r="D18" s="6">
        <f>+'Known Resources'!B41*0.65</f>
        <v>6795366.3638249999</v>
      </c>
      <c r="E18" s="12">
        <f>+D18/(D18+D20)</f>
        <v>1.0122615958005285</v>
      </c>
      <c r="F18" s="6">
        <f>+'Known Resources'!D41*0.65</f>
        <v>1740306.7138901865</v>
      </c>
      <c r="G18" s="38"/>
    </row>
    <row r="19" spans="1:8" s="149" customFormat="1" ht="15.75" thickBot="1" x14ac:dyDescent="0.3">
      <c r="A19" s="163" t="s">
        <v>259</v>
      </c>
      <c r="B19" s="163"/>
      <c r="C19" s="164"/>
      <c r="D19" s="6"/>
      <c r="E19" s="12"/>
      <c r="F19" s="160"/>
      <c r="G19" s="38"/>
    </row>
    <row r="20" spans="1:8" ht="18" x14ac:dyDescent="0.35">
      <c r="A20" s="165" t="s">
        <v>257</v>
      </c>
      <c r="B20" s="166"/>
      <c r="C20" s="167"/>
      <c r="D20" s="50">
        <f>'Unknown Resources'!F63*0.65</f>
        <v>-82312.75</v>
      </c>
      <c r="E20" s="51">
        <f>+D20/(D18+D20)</f>
        <v>-1.2261595800528605E-2</v>
      </c>
      <c r="F20" s="66">
        <f>+'Unknown Resources'!G63*0.65</f>
        <v>96.128487947178783</v>
      </c>
      <c r="G20" s="68" t="s">
        <v>27</v>
      </c>
    </row>
    <row r="21" spans="1:8" ht="18.75" thickBot="1" x14ac:dyDescent="0.4">
      <c r="A21" s="39"/>
      <c r="B21" s="41"/>
      <c r="C21" s="41"/>
      <c r="D21" s="65">
        <f>+C4</f>
        <v>2017</v>
      </c>
      <c r="E21" s="46" t="s">
        <v>253</v>
      </c>
      <c r="F21" s="67">
        <f>SUM(F18:F20)</f>
        <v>1740402.8423781337</v>
      </c>
      <c r="G21" s="69">
        <f>+F21/G23</f>
        <v>1.6948047082649049</v>
      </c>
    </row>
    <row r="22" spans="1:8" ht="18" x14ac:dyDescent="0.35">
      <c r="A22" t="s">
        <v>255</v>
      </c>
    </row>
    <row r="23" spans="1:8" ht="18" x14ac:dyDescent="0.35">
      <c r="F23" s="17" t="s">
        <v>263</v>
      </c>
      <c r="G23" s="27">
        <f>G28</f>
        <v>1026904.6539054703</v>
      </c>
      <c r="H23" s="24"/>
    </row>
    <row r="25" spans="1:8" x14ac:dyDescent="0.25">
      <c r="B25" s="24" t="s">
        <v>15</v>
      </c>
      <c r="F25" s="19"/>
      <c r="G25" s="19"/>
    </row>
    <row r="26" spans="1:8" x14ac:dyDescent="0.25">
      <c r="E26" s="19"/>
      <c r="F26" s="19"/>
      <c r="G26" s="22" t="s">
        <v>19</v>
      </c>
    </row>
    <row r="27" spans="1:8" ht="18" x14ac:dyDescent="0.35">
      <c r="E27" s="19"/>
      <c r="F27" s="19"/>
      <c r="G27" s="23" t="s">
        <v>253</v>
      </c>
      <c r="H27" s="157" t="s">
        <v>1</v>
      </c>
    </row>
    <row r="28" spans="1:8" x14ac:dyDescent="0.25">
      <c r="E28" s="19"/>
      <c r="F28" s="20" t="s">
        <v>16</v>
      </c>
      <c r="G28" s="21">
        <f>H28/1.1023</f>
        <v>1026904.6539054703</v>
      </c>
      <c r="H28" s="21">
        <v>1131957</v>
      </c>
    </row>
    <row r="29" spans="1:8" x14ac:dyDescent="0.25">
      <c r="E29" s="19"/>
      <c r="F29" s="20" t="s">
        <v>17</v>
      </c>
      <c r="G29" s="21">
        <f t="shared" ref="G29:G30" si="0">H29/1.1023</f>
        <v>2176429.2842238955</v>
      </c>
      <c r="H29" s="21">
        <v>2399078</v>
      </c>
    </row>
    <row r="30" spans="1:8" x14ac:dyDescent="0.25">
      <c r="E30" s="19"/>
      <c r="F30" s="20" t="s">
        <v>18</v>
      </c>
      <c r="G30" s="21">
        <f t="shared" si="0"/>
        <v>6301427.9234328223</v>
      </c>
      <c r="H30" s="21">
        <v>6946064</v>
      </c>
    </row>
  </sheetData>
  <mergeCells count="9">
    <mergeCell ref="A18:C18"/>
    <mergeCell ref="A20:C20"/>
    <mergeCell ref="A4:B4"/>
    <mergeCell ref="A5:B5"/>
    <mergeCell ref="A10:C10"/>
    <mergeCell ref="A11:C11"/>
    <mergeCell ref="A12:C12"/>
    <mergeCell ref="B13:C13"/>
    <mergeCell ref="A19:C19"/>
  </mergeCells>
  <pageMargins left="0.7" right="0.7" top="0.75" bottom="0.75" header="0.3" footer="0.3"/>
  <pageSetup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H51"/>
  <sheetViews>
    <sheetView topLeftCell="A25" workbookViewId="0">
      <selection activeCell="C41" sqref="C41"/>
    </sheetView>
  </sheetViews>
  <sheetFormatPr defaultRowHeight="15" x14ac:dyDescent="0.25"/>
  <cols>
    <col min="1" max="1" width="47.5703125" customWidth="1"/>
    <col min="2" max="2" width="13.140625" customWidth="1"/>
    <col min="3" max="3" width="12.5703125" customWidth="1"/>
    <col min="4" max="4" width="12.7109375" customWidth="1"/>
    <col min="6" max="7" width="25" bestFit="1" customWidth="1"/>
    <col min="8" max="8" width="10.5703125" customWidth="1"/>
    <col min="9" max="9" width="10.85546875" bestFit="1" customWidth="1"/>
    <col min="14" max="14" width="12.7109375" bestFit="1" customWidth="1"/>
    <col min="18" max="18" width="16" bestFit="1" customWidth="1"/>
    <col min="19" max="19" width="13.28515625" bestFit="1" customWidth="1"/>
    <col min="20" max="20" width="19.28515625" bestFit="1" customWidth="1"/>
    <col min="21" max="21" width="25.7109375" bestFit="1" customWidth="1"/>
    <col min="22" max="22" width="19.28515625" bestFit="1" customWidth="1"/>
  </cols>
  <sheetData>
    <row r="1" spans="1:34" ht="18.75" x14ac:dyDescent="0.3">
      <c r="A1" s="3" t="s">
        <v>3</v>
      </c>
      <c r="B1" s="31">
        <f>+Summary!C4</f>
        <v>2017</v>
      </c>
    </row>
    <row r="2" spans="1:34" ht="18.75" x14ac:dyDescent="0.3">
      <c r="A2" s="3"/>
      <c r="B2" s="7" t="s">
        <v>23</v>
      </c>
      <c r="C2" s="7">
        <f>+Summary!C4</f>
        <v>2017</v>
      </c>
      <c r="D2" s="7" t="s">
        <v>256</v>
      </c>
      <c r="F2" t="s">
        <v>210</v>
      </c>
    </row>
    <row r="3" spans="1:34" ht="19.5" x14ac:dyDescent="0.35">
      <c r="A3" s="4" t="s">
        <v>0</v>
      </c>
      <c r="B3" s="8">
        <f>+Summary!C4</f>
        <v>2017</v>
      </c>
      <c r="C3" s="8" t="s">
        <v>262</v>
      </c>
      <c r="D3" s="8" t="s">
        <v>261</v>
      </c>
      <c r="E3" s="2"/>
      <c r="F3" s="73" t="s">
        <v>73</v>
      </c>
      <c r="G3" s="74">
        <v>222</v>
      </c>
      <c r="H3" s="73" t="s">
        <v>74</v>
      </c>
      <c r="I3" s="75">
        <v>1423319</v>
      </c>
      <c r="K3" t="s">
        <v>144</v>
      </c>
      <c r="L3" t="s">
        <v>145</v>
      </c>
      <c r="M3" t="s">
        <v>146</v>
      </c>
      <c r="N3" t="s">
        <v>147</v>
      </c>
      <c r="O3" t="s">
        <v>148</v>
      </c>
      <c r="P3" t="s">
        <v>149</v>
      </c>
      <c r="Q3" t="s">
        <v>150</v>
      </c>
      <c r="R3" t="s">
        <v>189</v>
      </c>
      <c r="S3" t="s">
        <v>151</v>
      </c>
      <c r="T3" s="149" t="s">
        <v>260</v>
      </c>
      <c r="U3" s="149" t="s">
        <v>252</v>
      </c>
      <c r="V3" t="s">
        <v>152</v>
      </c>
      <c r="Y3" s="155"/>
      <c r="Z3" s="149"/>
      <c r="AA3" s="149"/>
      <c r="AB3" s="149"/>
      <c r="AC3" s="149"/>
      <c r="AD3" s="149"/>
      <c r="AE3" s="149"/>
      <c r="AF3" s="149"/>
      <c r="AG3" s="149"/>
      <c r="AH3" s="149"/>
    </row>
    <row r="4" spans="1:34" x14ac:dyDescent="0.25">
      <c r="A4" s="26" t="s">
        <v>30</v>
      </c>
      <c r="B4" s="27">
        <f>0.15*(R7+R8)</f>
        <v>1610228.0805000002</v>
      </c>
      <c r="C4" s="134">
        <f>D4/B4</f>
        <v>0.9238776615968004</v>
      </c>
      <c r="D4" s="6">
        <f>U7+U8</f>
        <v>1487653.7536498446</v>
      </c>
      <c r="F4" s="73" t="s">
        <v>75</v>
      </c>
      <c r="G4" s="74">
        <v>149</v>
      </c>
      <c r="H4" s="73" t="s">
        <v>76</v>
      </c>
      <c r="I4" s="75">
        <v>71741</v>
      </c>
      <c r="K4" t="s">
        <v>153</v>
      </c>
      <c r="L4" t="s">
        <v>154</v>
      </c>
      <c r="M4">
        <v>7456</v>
      </c>
      <c r="N4">
        <v>1</v>
      </c>
      <c r="P4">
        <v>2017</v>
      </c>
      <c r="Q4" t="s">
        <v>155</v>
      </c>
      <c r="R4" s="154">
        <v>28817.27</v>
      </c>
      <c r="S4" s="154">
        <v>17487.900000000001</v>
      </c>
      <c r="T4" s="154">
        <f>S4/1.1023</f>
        <v>15864.918806132633</v>
      </c>
      <c r="U4" s="154">
        <f>T4+Y44</f>
        <v>15908.578561700633</v>
      </c>
      <c r="V4" s="154">
        <v>294282.85800000001</v>
      </c>
      <c r="Y4" s="155"/>
      <c r="Z4" s="149"/>
      <c r="AA4" s="149"/>
      <c r="AB4" s="149"/>
      <c r="AC4" s="149"/>
      <c r="AD4" s="149"/>
      <c r="AE4" s="149"/>
      <c r="AF4" s="149"/>
      <c r="AG4" s="149"/>
      <c r="AH4" s="149"/>
    </row>
    <row r="5" spans="1:34" x14ac:dyDescent="0.25">
      <c r="A5" s="28" t="s">
        <v>31</v>
      </c>
      <c r="B5" s="27">
        <f>R4+R5</f>
        <v>72052.17</v>
      </c>
      <c r="C5" s="134">
        <f t="shared" ref="C5:C9" si="0">D5/B5</f>
        <v>0.54938443988985552</v>
      </c>
      <c r="D5" s="6">
        <f>U4+U5</f>
        <v>39584.341058298654</v>
      </c>
      <c r="F5" s="73" t="s">
        <v>77</v>
      </c>
      <c r="G5" s="74">
        <v>61.2</v>
      </c>
      <c r="H5" s="73" t="s">
        <v>76</v>
      </c>
      <c r="I5" s="75">
        <v>390</v>
      </c>
      <c r="K5" t="s">
        <v>153</v>
      </c>
      <c r="L5" t="s">
        <v>154</v>
      </c>
      <c r="M5">
        <v>7456</v>
      </c>
      <c r="N5">
        <v>2</v>
      </c>
      <c r="P5">
        <v>2017</v>
      </c>
      <c r="Q5" t="s">
        <v>155</v>
      </c>
      <c r="R5" s="154">
        <v>43234.9</v>
      </c>
      <c r="S5" s="154">
        <v>26097.793000000001</v>
      </c>
      <c r="T5" s="154">
        <f t="shared" ref="T5:T9" si="1">S5/1.1023</f>
        <v>23675.762496598021</v>
      </c>
      <c r="U5" s="154">
        <f>T5</f>
        <v>23675.762496598021</v>
      </c>
      <c r="V5" s="154">
        <v>439137.54399999999</v>
      </c>
      <c r="Y5" s="155"/>
      <c r="Z5" s="149"/>
      <c r="AA5" s="149"/>
      <c r="AB5" s="149"/>
      <c r="AC5" s="149"/>
      <c r="AD5" s="149"/>
      <c r="AE5" s="149"/>
      <c r="AF5" s="149"/>
      <c r="AG5" s="149"/>
      <c r="AH5" s="149"/>
    </row>
    <row r="6" spans="1:34" x14ac:dyDescent="0.25">
      <c r="A6" s="28" t="s">
        <v>32</v>
      </c>
      <c r="B6" s="27">
        <f t="shared" ref="B6:B7" si="2">I5</f>
        <v>390</v>
      </c>
      <c r="C6" s="134">
        <f t="shared" si="0"/>
        <v>0.68915918022923073</v>
      </c>
      <c r="D6" s="6">
        <f>U28+Y45</f>
        <v>268.77208028939998</v>
      </c>
      <c r="F6" s="73" t="s">
        <v>78</v>
      </c>
      <c r="G6" s="74">
        <v>24</v>
      </c>
      <c r="H6" s="73" t="s">
        <v>76</v>
      </c>
      <c r="I6" s="75">
        <v>26649</v>
      </c>
      <c r="K6" s="149" t="s">
        <v>153</v>
      </c>
      <c r="L6" s="149" t="s">
        <v>156</v>
      </c>
      <c r="M6" s="149">
        <v>55179</v>
      </c>
      <c r="N6" s="149" t="s">
        <v>157</v>
      </c>
      <c r="O6" s="149"/>
      <c r="P6" s="149">
        <v>2017</v>
      </c>
      <c r="Q6" s="149" t="s">
        <v>155</v>
      </c>
      <c r="R6" s="154">
        <v>1353341.87</v>
      </c>
      <c r="S6" s="154">
        <v>562896.57499999995</v>
      </c>
      <c r="T6" s="154">
        <f t="shared" si="1"/>
        <v>510656.42293386551</v>
      </c>
      <c r="U6" s="154">
        <f>T6+Y51</f>
        <v>511148.9579274655</v>
      </c>
      <c r="V6" s="154">
        <v>9471860.0189999994</v>
      </c>
      <c r="Y6" s="155"/>
      <c r="Z6" s="149"/>
      <c r="AA6" s="149"/>
      <c r="AB6" s="149"/>
      <c r="AC6" s="149"/>
      <c r="AD6" s="149"/>
      <c r="AE6" s="149"/>
      <c r="AF6" s="149"/>
      <c r="AG6" s="149"/>
      <c r="AH6" s="149"/>
    </row>
    <row r="7" spans="1:34" x14ac:dyDescent="0.25">
      <c r="A7" s="28" t="s">
        <v>33</v>
      </c>
      <c r="B7" s="27">
        <f t="shared" si="2"/>
        <v>26649</v>
      </c>
      <c r="C7" s="134">
        <f t="shared" si="0"/>
        <v>0.49603743782249243</v>
      </c>
      <c r="D7" s="6">
        <f>U29+Y46</f>
        <v>13218.901680531601</v>
      </c>
      <c r="F7" s="73" t="s">
        <v>79</v>
      </c>
      <c r="G7" s="74">
        <v>278.3</v>
      </c>
      <c r="H7" s="73" t="s">
        <v>76</v>
      </c>
      <c r="I7" s="75">
        <v>1659029</v>
      </c>
      <c r="K7" s="149" t="s">
        <v>158</v>
      </c>
      <c r="L7" s="149" t="s">
        <v>159</v>
      </c>
      <c r="M7" s="149">
        <v>6076</v>
      </c>
      <c r="N7" s="149">
        <v>3</v>
      </c>
      <c r="O7" s="149"/>
      <c r="P7" s="149">
        <v>2017</v>
      </c>
      <c r="Q7" s="149" t="s">
        <v>155</v>
      </c>
      <c r="R7" s="154">
        <v>5029732.62</v>
      </c>
      <c r="S7" s="154">
        <v>5178017.9709999999</v>
      </c>
      <c r="T7" s="154">
        <f>(0.15*S7)/1.1023</f>
        <v>704620.06318606553</v>
      </c>
      <c r="U7" s="154">
        <f>T7+Y42+Y43</f>
        <v>715778.69939964055</v>
      </c>
      <c r="V7" s="154">
        <v>49370890.696000002</v>
      </c>
      <c r="Y7" s="155"/>
      <c r="Z7" s="149"/>
      <c r="AA7" s="149"/>
      <c r="AB7" s="149"/>
      <c r="AC7" s="149"/>
      <c r="AD7" s="149"/>
      <c r="AE7" s="149"/>
      <c r="AF7" s="149"/>
      <c r="AG7" s="149"/>
      <c r="AH7" s="153"/>
    </row>
    <row r="8" spans="1:34" x14ac:dyDescent="0.25">
      <c r="A8" s="28" t="s">
        <v>34</v>
      </c>
      <c r="B8" s="27">
        <f>R9</f>
        <v>1677644.67</v>
      </c>
      <c r="C8" s="134">
        <f t="shared" si="0"/>
        <v>0.37099653417963818</v>
      </c>
      <c r="D8" s="6">
        <f>U9</f>
        <v>622400.35815494275</v>
      </c>
      <c r="F8" s="73" t="s">
        <v>80</v>
      </c>
      <c r="G8" s="74">
        <v>6.9</v>
      </c>
      <c r="H8" s="73" t="s">
        <v>76</v>
      </c>
      <c r="I8" s="76">
        <v>5000</v>
      </c>
      <c r="K8" s="149" t="s">
        <v>158</v>
      </c>
      <c r="L8" s="149" t="s">
        <v>159</v>
      </c>
      <c r="M8" s="149">
        <v>6076</v>
      </c>
      <c r="N8" s="149">
        <v>4</v>
      </c>
      <c r="O8" s="149"/>
      <c r="P8" s="149">
        <v>2017</v>
      </c>
      <c r="Q8" s="149" t="s">
        <v>155</v>
      </c>
      <c r="R8" s="154">
        <v>5705121.25</v>
      </c>
      <c r="S8" s="154">
        <v>5672252.4819999998</v>
      </c>
      <c r="T8" s="154">
        <f>(0.15*S8)/1.1023</f>
        <v>771875.054250204</v>
      </c>
      <c r="U8" s="154">
        <f>T8</f>
        <v>771875.054250204</v>
      </c>
      <c r="V8" s="154">
        <v>54083267.141999997</v>
      </c>
      <c r="Y8" s="155"/>
      <c r="Z8" s="149"/>
      <c r="AA8" s="149"/>
      <c r="AB8" s="149"/>
      <c r="AC8" s="149"/>
      <c r="AD8" s="149"/>
      <c r="AE8" s="149"/>
      <c r="AF8" s="149"/>
      <c r="AG8" s="149"/>
      <c r="AH8" s="153"/>
    </row>
    <row r="9" spans="1:34" x14ac:dyDescent="0.25">
      <c r="A9" s="28" t="s">
        <v>211</v>
      </c>
      <c r="B9" s="27">
        <f t="shared" ref="B9:B18" si="3">I8</f>
        <v>5000</v>
      </c>
      <c r="C9" s="134">
        <f t="shared" si="0"/>
        <v>0.62397197901360002</v>
      </c>
      <c r="D9" s="6">
        <f>U31+Y48</f>
        <v>3119.8598950680002</v>
      </c>
      <c r="F9" s="73" t="s">
        <v>81</v>
      </c>
      <c r="G9" s="77">
        <v>50</v>
      </c>
      <c r="H9" s="73" t="s">
        <v>82</v>
      </c>
      <c r="I9" s="75">
        <v>290117</v>
      </c>
      <c r="K9" s="149" t="s">
        <v>160</v>
      </c>
      <c r="L9" s="149" t="s">
        <v>161</v>
      </c>
      <c r="M9" s="149">
        <v>7350</v>
      </c>
      <c r="N9" s="149" t="s">
        <v>162</v>
      </c>
      <c r="O9" s="149"/>
      <c r="P9" s="149">
        <v>2017</v>
      </c>
      <c r="Q9" s="149" t="s">
        <v>155</v>
      </c>
      <c r="R9" s="154">
        <v>1677644.67</v>
      </c>
      <c r="S9" s="154">
        <v>685416.21900000004</v>
      </c>
      <c r="T9" s="154">
        <f t="shared" si="1"/>
        <v>621805.51483262272</v>
      </c>
      <c r="U9" s="154">
        <f>T9+Y47</f>
        <v>622400.35815494275</v>
      </c>
      <c r="V9" s="154">
        <v>11533460.34</v>
      </c>
      <c r="Y9" s="155"/>
      <c r="Z9" s="149"/>
      <c r="AA9" s="149"/>
      <c r="AB9" s="149"/>
      <c r="AC9" s="149"/>
      <c r="AD9" s="149"/>
      <c r="AE9" s="149"/>
      <c r="AF9" s="149"/>
      <c r="AG9" s="149"/>
      <c r="AH9" s="153"/>
    </row>
    <row r="10" spans="1:34" x14ac:dyDescent="0.25">
      <c r="A10" s="28" t="s">
        <v>92</v>
      </c>
      <c r="B10" s="27">
        <f t="shared" si="3"/>
        <v>290117</v>
      </c>
      <c r="C10" s="134">
        <v>0</v>
      </c>
      <c r="D10" s="6">
        <f t="shared" ref="D10" si="4">(+B10*C10)/2000</f>
        <v>0</v>
      </c>
      <c r="F10" s="73" t="s">
        <v>83</v>
      </c>
      <c r="G10" s="74">
        <v>15</v>
      </c>
      <c r="H10" s="73" t="s">
        <v>84</v>
      </c>
      <c r="I10" s="75">
        <v>95459</v>
      </c>
      <c r="W10" s="155"/>
      <c r="X10" s="149"/>
      <c r="Y10" s="149"/>
      <c r="Z10" s="149"/>
      <c r="AA10" s="149"/>
      <c r="AB10" s="149"/>
      <c r="AC10" s="149"/>
      <c r="AD10" s="149"/>
      <c r="AE10" s="149"/>
      <c r="AF10" s="153"/>
    </row>
    <row r="11" spans="1:34" x14ac:dyDescent="0.25">
      <c r="A11" s="28" t="s">
        <v>36</v>
      </c>
      <c r="B11" s="27">
        <f t="shared" si="3"/>
        <v>95459</v>
      </c>
      <c r="C11" s="134">
        <v>0</v>
      </c>
      <c r="D11" s="6">
        <f t="shared" ref="D11:D40" si="5">(+B11*C11)/2000</f>
        <v>0</v>
      </c>
      <c r="F11" s="73" t="s">
        <v>85</v>
      </c>
      <c r="G11" s="74">
        <v>15</v>
      </c>
      <c r="H11" s="73" t="s">
        <v>84</v>
      </c>
      <c r="I11" s="75">
        <v>79120</v>
      </c>
      <c r="W11" s="155"/>
      <c r="X11" s="149"/>
      <c r="Y11" s="149"/>
      <c r="Z11" s="149"/>
      <c r="AA11" s="149"/>
      <c r="AB11" s="149"/>
      <c r="AC11" s="149"/>
      <c r="AD11" s="149"/>
      <c r="AE11" s="149"/>
      <c r="AF11" s="149"/>
    </row>
    <row r="12" spans="1:34" x14ac:dyDescent="0.25">
      <c r="A12" s="28" t="s">
        <v>37</v>
      </c>
      <c r="B12" s="27">
        <f t="shared" si="3"/>
        <v>79120</v>
      </c>
      <c r="C12" s="134">
        <v>0</v>
      </c>
      <c r="D12" s="6">
        <f t="shared" si="5"/>
        <v>0</v>
      </c>
      <c r="F12" s="73" t="s">
        <v>86</v>
      </c>
      <c r="G12" s="74">
        <v>20</v>
      </c>
      <c r="H12" s="73" t="s">
        <v>84</v>
      </c>
      <c r="I12" s="75">
        <v>114367</v>
      </c>
      <c r="W12" s="155"/>
      <c r="X12" s="149"/>
      <c r="Y12" s="149"/>
      <c r="Z12" s="149"/>
      <c r="AA12" s="149"/>
      <c r="AB12" s="149"/>
      <c r="AC12" s="149"/>
      <c r="AD12" s="149"/>
      <c r="AE12" s="149"/>
      <c r="AF12" s="153"/>
    </row>
    <row r="13" spans="1:34" x14ac:dyDescent="0.25">
      <c r="A13" s="28" t="s">
        <v>38</v>
      </c>
      <c r="B13" s="27">
        <f t="shared" si="3"/>
        <v>114367</v>
      </c>
      <c r="C13" s="134">
        <f t="shared" ref="C13:C18" si="6">(V20*2204.62262)/B13</f>
        <v>0</v>
      </c>
      <c r="D13" s="6">
        <f t="shared" si="5"/>
        <v>0</v>
      </c>
      <c r="F13" s="73" t="s">
        <v>87</v>
      </c>
      <c r="G13" s="74">
        <v>36</v>
      </c>
      <c r="H13" s="73" t="s">
        <v>84</v>
      </c>
      <c r="I13" s="75">
        <v>182385</v>
      </c>
      <c r="W13" s="155"/>
    </row>
    <row r="14" spans="1:34" x14ac:dyDescent="0.25">
      <c r="A14" s="28" t="s">
        <v>39</v>
      </c>
      <c r="B14" s="27">
        <f t="shared" si="3"/>
        <v>182385</v>
      </c>
      <c r="C14" s="134">
        <f t="shared" si="6"/>
        <v>0</v>
      </c>
      <c r="D14" s="6">
        <f t="shared" si="5"/>
        <v>0</v>
      </c>
      <c r="F14" s="73" t="s">
        <v>88</v>
      </c>
      <c r="G14" s="74">
        <v>88</v>
      </c>
      <c r="H14" s="73" t="s">
        <v>84</v>
      </c>
      <c r="I14" s="75">
        <v>508341</v>
      </c>
      <c r="W14" s="155"/>
    </row>
    <row r="15" spans="1:34" x14ac:dyDescent="0.25">
      <c r="A15" s="28" t="s">
        <v>40</v>
      </c>
      <c r="B15" s="27">
        <f t="shared" si="3"/>
        <v>508341</v>
      </c>
      <c r="C15" s="134">
        <f t="shared" si="6"/>
        <v>0</v>
      </c>
      <c r="D15" s="6">
        <f t="shared" si="5"/>
        <v>0</v>
      </c>
      <c r="F15" s="73" t="s">
        <v>89</v>
      </c>
      <c r="G15" s="74">
        <v>10.199999999999999</v>
      </c>
      <c r="H15" s="73" t="s">
        <v>84</v>
      </c>
      <c r="I15" s="75">
        <v>68396</v>
      </c>
      <c r="W15" s="155"/>
    </row>
    <row r="16" spans="1:34" x14ac:dyDescent="0.25">
      <c r="A16" s="28" t="s">
        <v>41</v>
      </c>
      <c r="B16" s="27">
        <f t="shared" si="3"/>
        <v>68396</v>
      </c>
      <c r="C16" s="134">
        <f t="shared" si="6"/>
        <v>0</v>
      </c>
      <c r="D16" s="6">
        <f t="shared" si="5"/>
        <v>0</v>
      </c>
      <c r="F16" s="73" t="s">
        <v>90</v>
      </c>
      <c r="G16" s="74">
        <v>273</v>
      </c>
      <c r="H16" s="73" t="s">
        <v>84</v>
      </c>
      <c r="I16" s="75">
        <v>1062811</v>
      </c>
      <c r="W16" s="155"/>
    </row>
    <row r="17" spans="1:23" x14ac:dyDescent="0.25">
      <c r="A17" s="28" t="s">
        <v>42</v>
      </c>
      <c r="B17" s="27">
        <f t="shared" si="3"/>
        <v>1062811</v>
      </c>
      <c r="C17" s="134">
        <f t="shared" si="6"/>
        <v>0</v>
      </c>
      <c r="D17" s="6">
        <f t="shared" si="5"/>
        <v>0</v>
      </c>
      <c r="F17" s="73" t="s">
        <v>91</v>
      </c>
      <c r="G17" s="74">
        <v>562.4</v>
      </c>
      <c r="H17" s="73" t="s">
        <v>84</v>
      </c>
      <c r="I17" s="75">
        <v>1866144</v>
      </c>
      <c r="W17" s="155"/>
    </row>
    <row r="18" spans="1:23" x14ac:dyDescent="0.25">
      <c r="A18" s="28" t="s">
        <v>43</v>
      </c>
      <c r="B18" s="27">
        <f t="shared" si="3"/>
        <v>1866144</v>
      </c>
      <c r="C18" s="134">
        <f t="shared" si="6"/>
        <v>0</v>
      </c>
      <c r="D18" s="6">
        <f t="shared" si="5"/>
        <v>0</v>
      </c>
    </row>
    <row r="19" spans="1:23" x14ac:dyDescent="0.25">
      <c r="A19" s="28" t="s">
        <v>66</v>
      </c>
      <c r="B19" s="27">
        <f>R6</f>
        <v>1353341.87</v>
      </c>
      <c r="C19" s="134">
        <f>D19/B19</f>
        <v>0.37769389188222297</v>
      </c>
      <c r="D19" s="6">
        <f>U6</f>
        <v>511148.9579274655</v>
      </c>
    </row>
    <row r="20" spans="1:23" ht="15.75" x14ac:dyDescent="0.25">
      <c r="A20" s="28" t="s">
        <v>142</v>
      </c>
      <c r="B20" s="27"/>
      <c r="C20" s="27">
        <v>0</v>
      </c>
      <c r="D20" s="6">
        <f t="shared" si="5"/>
        <v>0</v>
      </c>
      <c r="F20" s="80">
        <v>2017</v>
      </c>
      <c r="G20" s="79"/>
      <c r="H20" s="81"/>
      <c r="I20" s="82" t="s">
        <v>93</v>
      </c>
      <c r="J20" s="82" t="s">
        <v>94</v>
      </c>
      <c r="K20" s="83" t="s">
        <v>95</v>
      </c>
      <c r="L20" s="84" t="s">
        <v>96</v>
      </c>
      <c r="M20" s="83" t="s">
        <v>97</v>
      </c>
      <c r="N20" s="83" t="s">
        <v>98</v>
      </c>
      <c r="O20" s="83" t="s">
        <v>99</v>
      </c>
      <c r="P20" s="84" t="s">
        <v>100</v>
      </c>
      <c r="Q20" s="84" t="s">
        <v>101</v>
      </c>
      <c r="R20" s="85" t="s">
        <v>102</v>
      </c>
      <c r="S20" s="85" t="s">
        <v>103</v>
      </c>
      <c r="T20" s="85" t="s">
        <v>104</v>
      </c>
      <c r="U20" s="86" t="s">
        <v>105</v>
      </c>
    </row>
    <row r="21" spans="1:23" ht="75" x14ac:dyDescent="0.25">
      <c r="A21" s="156" t="s">
        <v>212</v>
      </c>
      <c r="B21" s="27">
        <v>466801</v>
      </c>
      <c r="C21" s="27">
        <v>0</v>
      </c>
      <c r="D21" s="6">
        <f t="shared" si="5"/>
        <v>0</v>
      </c>
      <c r="F21" s="87"/>
      <c r="G21" s="88"/>
      <c r="H21" s="89"/>
      <c r="I21" s="90" t="s">
        <v>106</v>
      </c>
      <c r="J21" s="90" t="s">
        <v>107</v>
      </c>
      <c r="K21" s="90" t="s">
        <v>108</v>
      </c>
      <c r="L21" s="90" t="s">
        <v>109</v>
      </c>
      <c r="M21" s="90" t="s">
        <v>110</v>
      </c>
      <c r="N21" s="90" t="s">
        <v>111</v>
      </c>
      <c r="O21" s="90" t="s">
        <v>112</v>
      </c>
      <c r="P21" s="91" t="s">
        <v>113</v>
      </c>
      <c r="Q21" s="91" t="s">
        <v>114</v>
      </c>
      <c r="R21" s="91" t="s">
        <v>115</v>
      </c>
      <c r="S21" s="91" t="s">
        <v>116</v>
      </c>
      <c r="T21" s="91" t="s">
        <v>200</v>
      </c>
      <c r="U21" s="92" t="s">
        <v>201</v>
      </c>
    </row>
    <row r="22" spans="1:23" ht="30" x14ac:dyDescent="0.25">
      <c r="A22" s="28" t="s">
        <v>191</v>
      </c>
      <c r="B22" s="27">
        <v>3834</v>
      </c>
      <c r="C22" s="27">
        <v>0</v>
      </c>
      <c r="D22" s="6">
        <f t="shared" si="5"/>
        <v>0</v>
      </c>
      <c r="F22" s="78"/>
      <c r="G22" s="93"/>
      <c r="H22" s="81"/>
      <c r="I22" s="94"/>
      <c r="J22" s="94"/>
      <c r="K22" s="94"/>
      <c r="L22" s="94"/>
      <c r="M22" s="95" t="s">
        <v>117</v>
      </c>
      <c r="N22" s="95" t="s">
        <v>118</v>
      </c>
      <c r="O22" s="95"/>
      <c r="P22" s="96"/>
      <c r="Q22" s="96"/>
      <c r="R22" s="97"/>
      <c r="S22" s="97"/>
      <c r="T22" s="92" t="s">
        <v>119</v>
      </c>
      <c r="U22" s="98" t="s">
        <v>120</v>
      </c>
    </row>
    <row r="23" spans="1:23" ht="34.5" customHeight="1" x14ac:dyDescent="0.25">
      <c r="A23" s="156" t="s">
        <v>213</v>
      </c>
      <c r="B23" s="27">
        <v>343735</v>
      </c>
      <c r="C23" s="27">
        <v>0</v>
      </c>
      <c r="D23" s="6">
        <f t="shared" si="5"/>
        <v>0</v>
      </c>
      <c r="F23" s="99" t="s">
        <v>121</v>
      </c>
      <c r="G23" s="100" t="s">
        <v>76</v>
      </c>
      <c r="H23" s="101">
        <v>0.5</v>
      </c>
      <c r="I23" s="102">
        <v>1000</v>
      </c>
      <c r="J23" s="103" t="s">
        <v>122</v>
      </c>
      <c r="K23" s="104">
        <v>5.0999999999999997E-2</v>
      </c>
      <c r="L23" s="105" t="s">
        <v>123</v>
      </c>
      <c r="M23" s="103" t="s">
        <v>124</v>
      </c>
      <c r="N23" s="102">
        <v>51</v>
      </c>
      <c r="O23" s="106" t="s">
        <v>125</v>
      </c>
      <c r="P23" s="107">
        <v>14</v>
      </c>
      <c r="Q23" s="103" t="s">
        <v>126</v>
      </c>
      <c r="R23" s="135">
        <v>1</v>
      </c>
      <c r="S23" s="136">
        <v>1</v>
      </c>
      <c r="T23" s="108">
        <v>2618.0000000000023</v>
      </c>
      <c r="U23" s="109">
        <v>2.6180000000000021</v>
      </c>
    </row>
    <row r="24" spans="1:23" x14ac:dyDescent="0.25">
      <c r="A24" s="28" t="s">
        <v>214</v>
      </c>
      <c r="B24" s="27">
        <v>11033</v>
      </c>
      <c r="C24" s="27">
        <v>0</v>
      </c>
      <c r="D24" s="6">
        <f t="shared" si="5"/>
        <v>0</v>
      </c>
      <c r="F24" s="110" t="s">
        <v>127</v>
      </c>
      <c r="G24" s="111" t="s">
        <v>128</v>
      </c>
      <c r="H24" s="111" t="s">
        <v>129</v>
      </c>
      <c r="I24" s="112"/>
      <c r="J24" s="113"/>
      <c r="K24" s="113"/>
      <c r="L24" s="113"/>
      <c r="M24" s="113"/>
      <c r="N24" s="113"/>
      <c r="O24" s="113"/>
      <c r="P24" s="114"/>
      <c r="Q24" s="115"/>
      <c r="R24" s="116"/>
      <c r="S24" s="116"/>
      <c r="T24" s="116"/>
      <c r="U24" s="113"/>
    </row>
    <row r="25" spans="1:23" ht="30" x14ac:dyDescent="0.25">
      <c r="A25" s="28" t="s">
        <v>215</v>
      </c>
      <c r="B25" s="27">
        <v>1234</v>
      </c>
      <c r="C25" s="27">
        <v>0</v>
      </c>
      <c r="D25" s="6">
        <f t="shared" si="5"/>
        <v>0</v>
      </c>
      <c r="F25" s="117" t="s">
        <v>30</v>
      </c>
      <c r="G25" s="117" t="s">
        <v>74</v>
      </c>
      <c r="H25" s="137">
        <v>0.15</v>
      </c>
      <c r="I25" s="118">
        <v>901281</v>
      </c>
      <c r="J25" s="119" t="s">
        <v>130</v>
      </c>
      <c r="K25" s="120">
        <v>17.024999999999999</v>
      </c>
      <c r="L25" s="119" t="s">
        <v>131</v>
      </c>
      <c r="M25" s="119" t="s">
        <v>124</v>
      </c>
      <c r="N25" s="121">
        <v>15344309.024999999</v>
      </c>
      <c r="O25" s="122" t="s">
        <v>132</v>
      </c>
      <c r="P25" s="123">
        <v>93.4</v>
      </c>
      <c r="Q25" s="122" t="s">
        <v>133</v>
      </c>
      <c r="R25" s="124">
        <v>0.98</v>
      </c>
      <c r="S25" s="125">
        <v>1</v>
      </c>
      <c r="T25" s="126">
        <v>1404495293.6762998</v>
      </c>
      <c r="U25" s="126">
        <v>1404495.2936762997</v>
      </c>
    </row>
    <row r="26" spans="1:23" ht="25.5" x14ac:dyDescent="0.25">
      <c r="A26" s="28" t="s">
        <v>143</v>
      </c>
      <c r="B26" s="27">
        <v>300380</v>
      </c>
      <c r="C26" s="27">
        <v>0</v>
      </c>
      <c r="D26" s="6">
        <f t="shared" si="5"/>
        <v>0</v>
      </c>
      <c r="F26" s="117" t="s">
        <v>30</v>
      </c>
      <c r="G26" s="117" t="s">
        <v>134</v>
      </c>
      <c r="H26" s="127">
        <v>0.15</v>
      </c>
      <c r="I26" s="118">
        <v>2270</v>
      </c>
      <c r="J26" s="119" t="s">
        <v>135</v>
      </c>
      <c r="K26" s="123">
        <v>5.88</v>
      </c>
      <c r="L26" s="128" t="s">
        <v>136</v>
      </c>
      <c r="M26" s="119" t="s">
        <v>124</v>
      </c>
      <c r="N26" s="121">
        <v>13347.6</v>
      </c>
      <c r="O26" s="122" t="s">
        <v>132</v>
      </c>
      <c r="P26" s="123">
        <v>73.959999999999994</v>
      </c>
      <c r="Q26" s="122" t="s">
        <v>133</v>
      </c>
      <c r="R26" s="124">
        <v>0.99</v>
      </c>
      <c r="S26" s="125">
        <v>1</v>
      </c>
      <c r="T26" s="126">
        <v>977316.61103999987</v>
      </c>
      <c r="U26" s="126">
        <v>977.31661103999988</v>
      </c>
    </row>
    <row r="27" spans="1:23" x14ac:dyDescent="0.25">
      <c r="A27" s="28" t="s">
        <v>216</v>
      </c>
      <c r="B27" s="27">
        <v>48</v>
      </c>
      <c r="C27" s="27">
        <v>0</v>
      </c>
      <c r="D27" s="6">
        <f t="shared" si="5"/>
        <v>0</v>
      </c>
      <c r="F27" s="117" t="s">
        <v>137</v>
      </c>
      <c r="G27" s="117" t="s">
        <v>76</v>
      </c>
      <c r="H27" s="127">
        <v>1</v>
      </c>
      <c r="I27" s="123">
        <v>818.33399999999995</v>
      </c>
      <c r="J27" s="119" t="s">
        <v>138</v>
      </c>
      <c r="K27" s="129">
        <v>1026</v>
      </c>
      <c r="L27" s="119" t="s">
        <v>139</v>
      </c>
      <c r="M27" s="119" t="s">
        <v>124</v>
      </c>
      <c r="N27" s="121">
        <v>839610.68399999989</v>
      </c>
      <c r="O27" s="122" t="s">
        <v>132</v>
      </c>
      <c r="P27" s="123">
        <v>53.06</v>
      </c>
      <c r="Q27" s="122" t="s">
        <v>133</v>
      </c>
      <c r="R27" s="124">
        <v>0.995</v>
      </c>
      <c r="S27" s="125">
        <v>1</v>
      </c>
      <c r="T27" s="126">
        <v>44326994.178574793</v>
      </c>
      <c r="U27" s="126">
        <v>44326.994178574794</v>
      </c>
    </row>
    <row r="28" spans="1:23" x14ac:dyDescent="0.25">
      <c r="A28" s="28" t="s">
        <v>221</v>
      </c>
      <c r="B28" s="27">
        <v>137984</v>
      </c>
      <c r="C28" s="27">
        <v>0</v>
      </c>
      <c r="D28" s="6">
        <f t="shared" si="5"/>
        <v>0</v>
      </c>
      <c r="F28" s="117" t="s">
        <v>140</v>
      </c>
      <c r="G28" s="117" t="s">
        <v>76</v>
      </c>
      <c r="H28" s="127">
        <v>1</v>
      </c>
      <c r="I28" s="123">
        <v>4.9569999999999999</v>
      </c>
      <c r="J28" s="119" t="s">
        <v>138</v>
      </c>
      <c r="K28" s="129">
        <v>1026</v>
      </c>
      <c r="L28" s="119" t="s">
        <v>139</v>
      </c>
      <c r="M28" s="119" t="s">
        <v>124</v>
      </c>
      <c r="N28" s="121">
        <v>5085.8819999999996</v>
      </c>
      <c r="O28" s="122" t="s">
        <v>132</v>
      </c>
      <c r="P28" s="123">
        <v>53.06</v>
      </c>
      <c r="Q28" s="122" t="s">
        <v>133</v>
      </c>
      <c r="R28" s="124">
        <v>0.995</v>
      </c>
      <c r="S28" s="125">
        <v>1</v>
      </c>
      <c r="T28" s="126">
        <v>268507.61442539998</v>
      </c>
      <c r="U28" s="126">
        <v>268.50761442539999</v>
      </c>
    </row>
    <row r="29" spans="1:23" ht="29.25" customHeight="1" x14ac:dyDescent="0.25">
      <c r="A29" s="156" t="s">
        <v>222</v>
      </c>
      <c r="B29" s="27">
        <v>20969</v>
      </c>
      <c r="C29" s="27">
        <v>0</v>
      </c>
      <c r="D29" s="6">
        <f t="shared" si="5"/>
        <v>0</v>
      </c>
      <c r="F29" s="117" t="s">
        <v>33</v>
      </c>
      <c r="G29" s="117" t="s">
        <v>76</v>
      </c>
      <c r="H29" s="127">
        <v>1</v>
      </c>
      <c r="I29" s="123">
        <v>243.798</v>
      </c>
      <c r="J29" s="119" t="s">
        <v>138</v>
      </c>
      <c r="K29" s="129">
        <v>1026</v>
      </c>
      <c r="L29" s="119" t="s">
        <v>139</v>
      </c>
      <c r="M29" s="119" t="s">
        <v>124</v>
      </c>
      <c r="N29" s="121">
        <v>250136.74799999999</v>
      </c>
      <c r="O29" s="122" t="s">
        <v>132</v>
      </c>
      <c r="P29" s="123">
        <v>53.06</v>
      </c>
      <c r="Q29" s="122" t="s">
        <v>133</v>
      </c>
      <c r="R29" s="124">
        <v>0.995</v>
      </c>
      <c r="S29" s="125">
        <v>1</v>
      </c>
      <c r="T29" s="126">
        <v>13205894.5696356</v>
      </c>
      <c r="U29" s="126">
        <v>13205.8945696356</v>
      </c>
    </row>
    <row r="30" spans="1:23" ht="27" customHeight="1" x14ac:dyDescent="0.25">
      <c r="A30" s="156" t="s">
        <v>223</v>
      </c>
      <c r="B30" s="27">
        <v>65304</v>
      </c>
      <c r="C30" s="27">
        <v>0</v>
      </c>
      <c r="D30" s="6">
        <f t="shared" si="5"/>
        <v>0</v>
      </c>
      <c r="F30" s="117" t="s">
        <v>34</v>
      </c>
      <c r="G30" s="117" t="s">
        <v>76</v>
      </c>
      <c r="H30" s="127">
        <v>1</v>
      </c>
      <c r="I30" s="123">
        <v>11149.41</v>
      </c>
      <c r="J30" s="119" t="s">
        <v>138</v>
      </c>
      <c r="K30" s="129">
        <v>1026</v>
      </c>
      <c r="L30" s="119" t="s">
        <v>139</v>
      </c>
      <c r="M30" s="119" t="s">
        <v>124</v>
      </c>
      <c r="N30" s="121">
        <v>11439294.66</v>
      </c>
      <c r="O30" s="122" t="s">
        <v>132</v>
      </c>
      <c r="P30" s="123">
        <v>53.06</v>
      </c>
      <c r="Q30" s="122" t="s">
        <v>133</v>
      </c>
      <c r="R30" s="124">
        <v>0.995</v>
      </c>
      <c r="S30" s="125">
        <v>1</v>
      </c>
      <c r="T30" s="126">
        <v>603934129.78630197</v>
      </c>
      <c r="U30" s="126">
        <v>603934.12978630199</v>
      </c>
    </row>
    <row r="31" spans="1:23" x14ac:dyDescent="0.25">
      <c r="A31" s="28" t="s">
        <v>217</v>
      </c>
      <c r="B31" s="27">
        <v>8031</v>
      </c>
      <c r="C31" s="27">
        <v>0</v>
      </c>
      <c r="D31" s="6">
        <f t="shared" si="5"/>
        <v>0</v>
      </c>
      <c r="F31" s="117" t="s">
        <v>35</v>
      </c>
      <c r="G31" s="117" t="s">
        <v>76</v>
      </c>
      <c r="H31" s="127">
        <v>1</v>
      </c>
      <c r="I31" s="123">
        <v>57.54</v>
      </c>
      <c r="J31" s="119" t="s">
        <v>138</v>
      </c>
      <c r="K31" s="129">
        <v>1026</v>
      </c>
      <c r="L31" s="119" t="s">
        <v>139</v>
      </c>
      <c r="M31" s="119" t="s">
        <v>124</v>
      </c>
      <c r="N31" s="121">
        <v>59036.04</v>
      </c>
      <c r="O31" s="122" t="s">
        <v>132</v>
      </c>
      <c r="P31" s="123">
        <v>53.06</v>
      </c>
      <c r="Q31" s="122" t="s">
        <v>133</v>
      </c>
      <c r="R31" s="124">
        <v>0.995</v>
      </c>
      <c r="S31" s="125">
        <v>1</v>
      </c>
      <c r="T31" s="126">
        <v>3116790.0209880006</v>
      </c>
      <c r="U31" s="126">
        <v>3116.7900209880004</v>
      </c>
    </row>
    <row r="32" spans="1:23" x14ac:dyDescent="0.25">
      <c r="A32" s="28" t="s">
        <v>218</v>
      </c>
      <c r="B32" s="27">
        <v>47072</v>
      </c>
      <c r="C32" s="27">
        <v>0</v>
      </c>
      <c r="D32" s="6">
        <f t="shared" si="5"/>
        <v>0</v>
      </c>
      <c r="F32" s="117" t="s">
        <v>202</v>
      </c>
      <c r="G32" s="130" t="s">
        <v>76</v>
      </c>
      <c r="H32" s="127">
        <v>1</v>
      </c>
      <c r="I32" s="123">
        <v>9.16</v>
      </c>
      <c r="J32" s="119" t="s">
        <v>138</v>
      </c>
      <c r="K32" s="118">
        <v>1026</v>
      </c>
      <c r="L32" s="119" t="s">
        <v>139</v>
      </c>
      <c r="M32" s="119" t="s">
        <v>124</v>
      </c>
      <c r="N32" s="121">
        <v>9398.16</v>
      </c>
      <c r="O32" s="122" t="s">
        <v>132</v>
      </c>
      <c r="P32" s="118">
        <v>53.06</v>
      </c>
      <c r="Q32" s="122" t="s">
        <v>133</v>
      </c>
      <c r="R32" s="131">
        <v>0.995</v>
      </c>
      <c r="S32" s="125">
        <v>1</v>
      </c>
      <c r="T32" s="126">
        <v>496173.03775200003</v>
      </c>
      <c r="U32" s="126">
        <v>496.17303775200003</v>
      </c>
    </row>
    <row r="33" spans="1:26" x14ac:dyDescent="0.25">
      <c r="A33" s="28" t="s">
        <v>219</v>
      </c>
      <c r="B33" s="27">
        <v>1201</v>
      </c>
      <c r="C33" s="27"/>
      <c r="D33" s="6">
        <f t="shared" si="5"/>
        <v>0</v>
      </c>
      <c r="F33" s="132"/>
      <c r="G33" s="133"/>
      <c r="H33" s="127">
        <v>1</v>
      </c>
      <c r="I33" s="123"/>
      <c r="J33" s="119"/>
      <c r="K33" s="129" t="s">
        <v>203</v>
      </c>
      <c r="L33" s="119" t="s">
        <v>203</v>
      </c>
      <c r="M33" s="119" t="s">
        <v>203</v>
      </c>
      <c r="N33" s="121" t="s">
        <v>203</v>
      </c>
      <c r="O33" s="122" t="s">
        <v>203</v>
      </c>
      <c r="P33" s="123" t="s">
        <v>203</v>
      </c>
      <c r="Q33" s="122" t="s">
        <v>203</v>
      </c>
      <c r="R33" s="124" t="s">
        <v>203</v>
      </c>
      <c r="S33" s="125" t="s">
        <v>203</v>
      </c>
      <c r="T33" s="126" t="s">
        <v>203</v>
      </c>
      <c r="U33" s="126" t="s">
        <v>203</v>
      </c>
    </row>
    <row r="34" spans="1:26" x14ac:dyDescent="0.25">
      <c r="A34" s="28" t="s">
        <v>190</v>
      </c>
      <c r="B34" s="27">
        <v>33832</v>
      </c>
      <c r="C34" s="27"/>
      <c r="D34" s="6">
        <f t="shared" si="5"/>
        <v>0</v>
      </c>
      <c r="F34" s="132" t="s">
        <v>141</v>
      </c>
      <c r="G34" s="133" t="s">
        <v>76</v>
      </c>
      <c r="H34" s="127">
        <v>1</v>
      </c>
      <c r="I34" s="123"/>
      <c r="J34" s="119" t="s">
        <v>138</v>
      </c>
      <c r="K34" s="129">
        <v>1026</v>
      </c>
      <c r="L34" s="119" t="s">
        <v>139</v>
      </c>
      <c r="M34" s="119" t="s">
        <v>124</v>
      </c>
      <c r="N34" s="121">
        <v>0</v>
      </c>
      <c r="O34" s="122" t="s">
        <v>132</v>
      </c>
      <c r="P34" s="123">
        <v>53.06</v>
      </c>
      <c r="Q34" s="122" t="s">
        <v>133</v>
      </c>
      <c r="R34" s="124">
        <v>0.995</v>
      </c>
      <c r="S34" s="125">
        <v>1</v>
      </c>
      <c r="T34" s="126">
        <v>0</v>
      </c>
      <c r="U34" s="126">
        <v>0</v>
      </c>
    </row>
    <row r="35" spans="1:26" x14ac:dyDescent="0.25">
      <c r="A35" s="28" t="s">
        <v>224</v>
      </c>
      <c r="B35" s="27">
        <v>486</v>
      </c>
      <c r="C35" s="27"/>
      <c r="D35" s="6">
        <f t="shared" si="5"/>
        <v>0</v>
      </c>
    </row>
    <row r="36" spans="1:26" x14ac:dyDescent="0.25">
      <c r="A36" s="28" t="s">
        <v>225</v>
      </c>
      <c r="B36" s="27">
        <v>20</v>
      </c>
      <c r="C36" s="27"/>
      <c r="D36" s="6">
        <f t="shared" si="5"/>
        <v>0</v>
      </c>
      <c r="F36" t="s">
        <v>229</v>
      </c>
      <c r="J36" t="s">
        <v>230</v>
      </c>
      <c r="L36" t="s">
        <v>231</v>
      </c>
      <c r="Q36" t="s">
        <v>232</v>
      </c>
      <c r="S36" t="s">
        <v>233</v>
      </c>
      <c r="U36" t="s">
        <v>234</v>
      </c>
      <c r="V36" t="s">
        <v>235</v>
      </c>
    </row>
    <row r="37" spans="1:26" x14ac:dyDescent="0.25">
      <c r="A37" s="28"/>
      <c r="B37" s="27"/>
      <c r="C37" s="27"/>
      <c r="D37" s="6">
        <f t="shared" si="5"/>
        <v>0</v>
      </c>
      <c r="F37" s="70" t="s">
        <v>236</v>
      </c>
      <c r="G37" s="70">
        <v>2017</v>
      </c>
      <c r="H37" s="71"/>
      <c r="I37" s="140"/>
      <c r="J37" s="140" t="s">
        <v>93</v>
      </c>
      <c r="K37" s="72" t="s">
        <v>94</v>
      </c>
      <c r="L37" s="139" t="s">
        <v>95</v>
      </c>
      <c r="M37" t="s">
        <v>96</v>
      </c>
      <c r="N37" t="s">
        <v>97</v>
      </c>
      <c r="O37" t="s">
        <v>98</v>
      </c>
      <c r="P37" t="s">
        <v>99</v>
      </c>
      <c r="Q37" t="s">
        <v>100</v>
      </c>
      <c r="R37" t="s">
        <v>101</v>
      </c>
      <c r="S37" t="s">
        <v>102</v>
      </c>
      <c r="T37" t="s">
        <v>103</v>
      </c>
      <c r="U37" t="s">
        <v>104</v>
      </c>
      <c r="V37" t="s">
        <v>105</v>
      </c>
      <c r="W37" t="s">
        <v>237</v>
      </c>
    </row>
    <row r="38" spans="1:26" x14ac:dyDescent="0.25">
      <c r="A38" s="28"/>
      <c r="B38" s="27"/>
      <c r="C38" s="27"/>
      <c r="D38" s="6">
        <f t="shared" si="5"/>
        <v>0</v>
      </c>
      <c r="F38" s="70"/>
      <c r="G38" s="70"/>
      <c r="H38" s="71"/>
      <c r="I38" s="140"/>
      <c r="J38" s="140" t="s">
        <v>106</v>
      </c>
      <c r="K38" s="72" t="s">
        <v>107</v>
      </c>
      <c r="L38" t="s">
        <v>108</v>
      </c>
      <c r="M38" t="s">
        <v>109</v>
      </c>
      <c r="N38" t="s">
        <v>110</v>
      </c>
      <c r="O38" t="s">
        <v>111</v>
      </c>
      <c r="P38" t="s">
        <v>112</v>
      </c>
      <c r="Q38" t="s">
        <v>238</v>
      </c>
      <c r="R38" t="s">
        <v>114</v>
      </c>
      <c r="S38" t="s">
        <v>239</v>
      </c>
      <c r="T38" t="s">
        <v>240</v>
      </c>
      <c r="U38" t="s">
        <v>116</v>
      </c>
      <c r="V38" t="s">
        <v>241</v>
      </c>
      <c r="W38" t="s">
        <v>242</v>
      </c>
      <c r="Y38" s="159" t="s">
        <v>243</v>
      </c>
    </row>
    <row r="39" spans="1:26" x14ac:dyDescent="0.25">
      <c r="A39" s="28"/>
      <c r="B39" s="27"/>
      <c r="C39" s="27"/>
      <c r="D39" s="6">
        <f t="shared" si="5"/>
        <v>0</v>
      </c>
      <c r="F39" s="70"/>
      <c r="G39" s="70"/>
      <c r="H39" s="71"/>
      <c r="I39" s="140"/>
      <c r="J39" s="140"/>
      <c r="K39" s="72"/>
      <c r="N39" t="s">
        <v>117</v>
      </c>
      <c r="O39" t="s">
        <v>118</v>
      </c>
      <c r="V39" t="s">
        <v>244</v>
      </c>
      <c r="W39" t="s">
        <v>245</v>
      </c>
      <c r="Y39" s="159"/>
    </row>
    <row r="40" spans="1:26" ht="15.75" thickBot="1" x14ac:dyDescent="0.3">
      <c r="A40" s="29"/>
      <c r="B40" s="30"/>
      <c r="C40" s="30"/>
      <c r="D40" s="9">
        <f t="shared" si="5"/>
        <v>0</v>
      </c>
      <c r="F40" s="70" t="s">
        <v>246</v>
      </c>
      <c r="G40" s="70"/>
      <c r="H40" s="71"/>
      <c r="I40" s="140"/>
      <c r="J40" s="140">
        <v>1000</v>
      </c>
      <c r="K40" s="72" t="s">
        <v>122</v>
      </c>
      <c r="L40">
        <v>5.0999999999999997E-2</v>
      </c>
      <c r="M40" t="s">
        <v>123</v>
      </c>
      <c r="N40" t="s">
        <v>124</v>
      </c>
      <c r="O40">
        <v>51</v>
      </c>
      <c r="P40" t="s">
        <v>125</v>
      </c>
      <c r="Q40">
        <v>1E-3</v>
      </c>
      <c r="R40" t="s">
        <v>247</v>
      </c>
      <c r="S40">
        <v>2E-3</v>
      </c>
      <c r="T40" t="s">
        <v>248</v>
      </c>
      <c r="U40">
        <v>1</v>
      </c>
      <c r="V40">
        <v>5.1000000000000004E-2</v>
      </c>
      <c r="W40">
        <v>0.10200000000000001</v>
      </c>
      <c r="Y40" s="159"/>
    </row>
    <row r="41" spans="1:26" ht="16.5" thickTop="1" thickBot="1" x14ac:dyDescent="0.3">
      <c r="A41" s="1"/>
      <c r="B41" s="10">
        <f>SUM(B4:B40)</f>
        <v>10454409.7905</v>
      </c>
      <c r="C41" s="161">
        <f>D41/B41</f>
        <v>0.25610197018289921</v>
      </c>
      <c r="D41" s="10">
        <f>SUM(D4:D40)</f>
        <v>2677394.9444464408</v>
      </c>
      <c r="F41" t="s">
        <v>249</v>
      </c>
      <c r="G41" t="s">
        <v>127</v>
      </c>
      <c r="H41" t="s">
        <v>128</v>
      </c>
      <c r="I41" t="s">
        <v>129</v>
      </c>
      <c r="Y41" s="159"/>
      <c r="Z41" s="149" t="s">
        <v>127</v>
      </c>
    </row>
    <row r="42" spans="1:26" x14ac:dyDescent="0.25">
      <c r="F42">
        <v>1</v>
      </c>
      <c r="G42" t="s">
        <v>30</v>
      </c>
      <c r="H42" t="s">
        <v>74</v>
      </c>
      <c r="I42">
        <v>0.15</v>
      </c>
      <c r="J42">
        <v>901281</v>
      </c>
      <c r="K42" t="s">
        <v>130</v>
      </c>
      <c r="L42">
        <v>17.024999999999999</v>
      </c>
      <c r="M42" t="s">
        <v>131</v>
      </c>
      <c r="N42" t="s">
        <v>124</v>
      </c>
      <c r="O42">
        <v>15344309.024999999</v>
      </c>
      <c r="P42" t="s">
        <v>132</v>
      </c>
      <c r="Q42">
        <v>1.0999999999999999E-2</v>
      </c>
      <c r="R42" t="s">
        <v>250</v>
      </c>
      <c r="S42">
        <v>1.6000000000000001E-3</v>
      </c>
      <c r="T42" t="s">
        <v>250</v>
      </c>
      <c r="U42">
        <v>1</v>
      </c>
      <c r="V42">
        <v>168787.39927499997</v>
      </c>
      <c r="W42">
        <v>24550.89444</v>
      </c>
      <c r="Y42" s="159">
        <v>11155.312661174999</v>
      </c>
      <c r="Z42" s="149" t="s">
        <v>30</v>
      </c>
    </row>
    <row r="43" spans="1:26" x14ac:dyDescent="0.25">
      <c r="F43">
        <v>2</v>
      </c>
      <c r="G43" t="s">
        <v>30</v>
      </c>
      <c r="H43" t="s">
        <v>134</v>
      </c>
      <c r="I43">
        <v>0.15</v>
      </c>
      <c r="J43">
        <v>2270</v>
      </c>
      <c r="K43" t="s">
        <v>135</v>
      </c>
      <c r="L43">
        <v>5.88</v>
      </c>
      <c r="M43" t="s">
        <v>251</v>
      </c>
      <c r="N43" t="s">
        <v>124</v>
      </c>
      <c r="O43">
        <v>13347.6</v>
      </c>
      <c r="P43" t="s">
        <v>132</v>
      </c>
      <c r="Q43">
        <v>3.0000000000000001E-3</v>
      </c>
      <c r="R43" t="s">
        <v>250</v>
      </c>
      <c r="S43">
        <v>5.9999999999999995E-4</v>
      </c>
      <c r="T43" t="s">
        <v>250</v>
      </c>
      <c r="U43">
        <v>1</v>
      </c>
      <c r="V43">
        <v>40.0428</v>
      </c>
      <c r="W43">
        <v>8.0085599999999992</v>
      </c>
      <c r="Y43" s="159">
        <v>3.3235523999999996</v>
      </c>
      <c r="Z43" s="149" t="s">
        <v>30</v>
      </c>
    </row>
    <row r="44" spans="1:26" x14ac:dyDescent="0.25">
      <c r="F44">
        <v>3</v>
      </c>
      <c r="G44" t="s">
        <v>137</v>
      </c>
      <c r="H44" t="s">
        <v>76</v>
      </c>
      <c r="I44">
        <v>1</v>
      </c>
      <c r="J44">
        <v>818.33399999999995</v>
      </c>
      <c r="K44" t="s">
        <v>138</v>
      </c>
      <c r="L44">
        <v>1026</v>
      </c>
      <c r="M44" t="s">
        <v>139</v>
      </c>
      <c r="N44" t="s">
        <v>124</v>
      </c>
      <c r="O44">
        <v>839610.68399999989</v>
      </c>
      <c r="P44" t="s">
        <v>132</v>
      </c>
      <c r="Q44">
        <v>1E-3</v>
      </c>
      <c r="R44" t="s">
        <v>250</v>
      </c>
      <c r="S44">
        <v>1E-4</v>
      </c>
      <c r="T44" t="s">
        <v>250</v>
      </c>
      <c r="U44">
        <v>1</v>
      </c>
      <c r="V44">
        <v>839.61068399999988</v>
      </c>
      <c r="W44">
        <v>83.961068399999988</v>
      </c>
      <c r="Y44" s="159">
        <v>43.659755567999994</v>
      </c>
      <c r="Z44" s="149" t="s">
        <v>137</v>
      </c>
    </row>
    <row r="45" spans="1:26" x14ac:dyDescent="0.25">
      <c r="A45" s="70"/>
      <c r="B45" s="70"/>
      <c r="C45" s="71"/>
      <c r="D45" s="72"/>
      <c r="F45">
        <v>4</v>
      </c>
      <c r="G45" t="s">
        <v>140</v>
      </c>
      <c r="H45" t="s">
        <v>76</v>
      </c>
      <c r="I45">
        <v>1</v>
      </c>
      <c r="J45">
        <v>4.9569999999999999</v>
      </c>
      <c r="K45" t="s">
        <v>138</v>
      </c>
      <c r="L45">
        <v>1026</v>
      </c>
      <c r="M45" t="s">
        <v>139</v>
      </c>
      <c r="N45" t="s">
        <v>124</v>
      </c>
      <c r="O45">
        <v>5085.8819999999996</v>
      </c>
      <c r="P45" t="s">
        <v>132</v>
      </c>
      <c r="Q45">
        <v>1E-3</v>
      </c>
      <c r="R45" t="s">
        <v>250</v>
      </c>
      <c r="S45">
        <v>1E-4</v>
      </c>
      <c r="T45" t="s">
        <v>250</v>
      </c>
      <c r="U45">
        <v>1</v>
      </c>
      <c r="V45">
        <v>5.0858819999999998</v>
      </c>
      <c r="W45">
        <v>0.50858819999999993</v>
      </c>
      <c r="Y45" s="159">
        <v>0.26446586399999994</v>
      </c>
      <c r="Z45" s="149" t="s">
        <v>140</v>
      </c>
    </row>
    <row r="46" spans="1:26" x14ac:dyDescent="0.25">
      <c r="A46" s="70"/>
      <c r="B46" s="70"/>
      <c r="C46" s="71"/>
      <c r="D46" s="72"/>
      <c r="F46">
        <v>5</v>
      </c>
      <c r="G46" t="s">
        <v>33</v>
      </c>
      <c r="H46" t="s">
        <v>76</v>
      </c>
      <c r="I46">
        <v>1</v>
      </c>
      <c r="J46">
        <v>243.798</v>
      </c>
      <c r="K46" t="s">
        <v>138</v>
      </c>
      <c r="L46">
        <v>1026</v>
      </c>
      <c r="M46" t="s">
        <v>139</v>
      </c>
      <c r="N46" t="s">
        <v>124</v>
      </c>
      <c r="O46">
        <v>250136.74799999999</v>
      </c>
      <c r="P46" t="s">
        <v>132</v>
      </c>
      <c r="Q46">
        <v>1E-3</v>
      </c>
      <c r="R46" t="s">
        <v>250</v>
      </c>
      <c r="S46">
        <v>1E-4</v>
      </c>
      <c r="T46" t="s">
        <v>250</v>
      </c>
      <c r="U46">
        <v>1</v>
      </c>
      <c r="V46">
        <v>250.13674800000001</v>
      </c>
      <c r="W46">
        <v>25.0136748</v>
      </c>
      <c r="Y46" s="159">
        <v>13.007110896000002</v>
      </c>
      <c r="Z46" s="149" t="s">
        <v>33</v>
      </c>
    </row>
    <row r="47" spans="1:26" x14ac:dyDescent="0.25">
      <c r="F47">
        <v>6</v>
      </c>
      <c r="G47" t="s">
        <v>34</v>
      </c>
      <c r="H47" t="s">
        <v>76</v>
      </c>
      <c r="I47">
        <v>1</v>
      </c>
      <c r="J47">
        <v>11149.41</v>
      </c>
      <c r="K47" t="s">
        <v>138</v>
      </c>
      <c r="L47">
        <v>1026</v>
      </c>
      <c r="M47" t="s">
        <v>139</v>
      </c>
      <c r="N47" t="s">
        <v>124</v>
      </c>
      <c r="O47">
        <v>11439294.66</v>
      </c>
      <c r="P47" t="s">
        <v>132</v>
      </c>
      <c r="Q47">
        <v>1E-3</v>
      </c>
      <c r="R47" t="s">
        <v>250</v>
      </c>
      <c r="S47">
        <v>1E-4</v>
      </c>
      <c r="T47" t="s">
        <v>250</v>
      </c>
      <c r="U47">
        <v>1</v>
      </c>
      <c r="V47">
        <v>11439.29466</v>
      </c>
      <c r="W47">
        <v>1143.929466</v>
      </c>
      <c r="Y47" s="159">
        <v>594.84332232000008</v>
      </c>
      <c r="Z47" s="149" t="s">
        <v>34</v>
      </c>
    </row>
    <row r="48" spans="1:26" x14ac:dyDescent="0.25">
      <c r="F48">
        <v>7</v>
      </c>
      <c r="G48" t="s">
        <v>35</v>
      </c>
      <c r="H48" t="s">
        <v>76</v>
      </c>
      <c r="I48">
        <v>1</v>
      </c>
      <c r="J48">
        <v>57.54</v>
      </c>
      <c r="K48" t="s">
        <v>138</v>
      </c>
      <c r="L48">
        <v>1026</v>
      </c>
      <c r="M48" t="s">
        <v>139</v>
      </c>
      <c r="N48" t="s">
        <v>124</v>
      </c>
      <c r="O48">
        <v>59036.04</v>
      </c>
      <c r="P48" t="s">
        <v>132</v>
      </c>
      <c r="Q48">
        <v>1E-3</v>
      </c>
      <c r="R48" t="s">
        <v>250</v>
      </c>
      <c r="S48">
        <v>1E-4</v>
      </c>
      <c r="T48" t="s">
        <v>250</v>
      </c>
      <c r="U48">
        <v>1</v>
      </c>
      <c r="V48">
        <v>59.03604</v>
      </c>
      <c r="W48">
        <v>5.9036040000000005</v>
      </c>
      <c r="Y48" s="159">
        <v>3.0698740800000004</v>
      </c>
      <c r="Z48" s="149" t="s">
        <v>35</v>
      </c>
    </row>
    <row r="49" spans="6:26" x14ac:dyDescent="0.25">
      <c r="F49">
        <v>8</v>
      </c>
      <c r="G49" t="s">
        <v>202</v>
      </c>
      <c r="H49" t="s">
        <v>76</v>
      </c>
      <c r="I49">
        <v>1</v>
      </c>
      <c r="J49">
        <v>9.16</v>
      </c>
      <c r="K49" t="s">
        <v>138</v>
      </c>
      <c r="L49">
        <v>1026</v>
      </c>
      <c r="M49" t="s">
        <v>139</v>
      </c>
      <c r="N49" t="s">
        <v>124</v>
      </c>
      <c r="O49">
        <v>9398.16</v>
      </c>
      <c r="P49" t="e">
        <v>#REF!</v>
      </c>
      <c r="Q49">
        <v>1E-3</v>
      </c>
      <c r="R49" t="s">
        <v>250</v>
      </c>
      <c r="S49">
        <v>1E-4</v>
      </c>
      <c r="T49" t="s">
        <v>250</v>
      </c>
      <c r="U49">
        <v>1</v>
      </c>
      <c r="V49">
        <v>9.3981600000000007</v>
      </c>
      <c r="W49">
        <v>0.93981599999999998</v>
      </c>
      <c r="Y49" s="159">
        <v>0.48870432000000003</v>
      </c>
      <c r="Z49" s="149" t="s">
        <v>202</v>
      </c>
    </row>
    <row r="50" spans="6:26" x14ac:dyDescent="0.25">
      <c r="F50">
        <v>9</v>
      </c>
      <c r="I50" t="s">
        <v>203</v>
      </c>
      <c r="J50">
        <v>0</v>
      </c>
      <c r="K50">
        <v>0</v>
      </c>
      <c r="L50">
        <v>0</v>
      </c>
      <c r="M50" t="s">
        <v>203</v>
      </c>
      <c r="N50" t="s">
        <v>203</v>
      </c>
      <c r="O50" t="s">
        <v>203</v>
      </c>
      <c r="P50" t="s">
        <v>203</v>
      </c>
      <c r="Q50" t="s">
        <v>203</v>
      </c>
      <c r="R50" t="s">
        <v>203</v>
      </c>
      <c r="S50" t="s">
        <v>203</v>
      </c>
      <c r="T50" t="s">
        <v>203</v>
      </c>
      <c r="U50" t="s">
        <v>203</v>
      </c>
      <c r="V50" t="s">
        <v>203</v>
      </c>
      <c r="W50" t="s">
        <v>203</v>
      </c>
      <c r="Y50" s="159"/>
      <c r="Z50" s="149"/>
    </row>
    <row r="51" spans="6:26" x14ac:dyDescent="0.25">
      <c r="F51">
        <v>10</v>
      </c>
      <c r="G51" t="s">
        <v>141</v>
      </c>
      <c r="I51">
        <v>1</v>
      </c>
      <c r="J51">
        <v>9231.7999999999993</v>
      </c>
      <c r="K51" t="s">
        <v>138</v>
      </c>
      <c r="L51">
        <v>1026</v>
      </c>
      <c r="M51" t="s">
        <v>139</v>
      </c>
      <c r="N51" t="s">
        <v>124</v>
      </c>
      <c r="O51">
        <v>9471826.7999999989</v>
      </c>
      <c r="P51" t="e">
        <v>#REF!</v>
      </c>
      <c r="Q51">
        <v>1E-3</v>
      </c>
      <c r="R51" t="s">
        <v>250</v>
      </c>
      <c r="S51">
        <v>1E-4</v>
      </c>
      <c r="T51" t="s">
        <v>250</v>
      </c>
      <c r="U51">
        <v>1</v>
      </c>
      <c r="V51">
        <v>9471.8267999999989</v>
      </c>
      <c r="W51">
        <v>947.18267999999989</v>
      </c>
      <c r="Y51" s="159">
        <v>492.53499359999995</v>
      </c>
      <c r="Z51" s="149" t="s">
        <v>141</v>
      </c>
    </row>
  </sheetData>
  <pageMargins left="0.7" right="0.7" top="0.75" bottom="0.75" header="0.3" footer="0.3"/>
  <pageSetup orientation="portrait" r:id="rId1"/>
  <legacy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J95"/>
  <sheetViews>
    <sheetView workbookViewId="0">
      <selection activeCell="F3" sqref="F3"/>
    </sheetView>
  </sheetViews>
  <sheetFormatPr defaultRowHeight="15" customHeight="1" x14ac:dyDescent="0.25"/>
  <cols>
    <col min="1" max="1" width="25.5703125" customWidth="1"/>
    <col min="2" max="2" width="10.7109375" bestFit="1" customWidth="1"/>
    <col min="4" max="4" width="22.28515625" customWidth="1"/>
    <col min="5" max="5" width="12.5703125" bestFit="1" customWidth="1"/>
    <col min="7" max="8" width="16" bestFit="1" customWidth="1"/>
  </cols>
  <sheetData>
    <row r="1" spans="1:10" s="149" customFormat="1" ht="15" customHeight="1" thickBot="1" x14ac:dyDescent="0.3">
      <c r="A1" s="144" t="s">
        <v>192</v>
      </c>
      <c r="B1" s="145">
        <v>2017</v>
      </c>
      <c r="G1" s="171"/>
      <c r="H1" s="171"/>
      <c r="I1" s="171"/>
      <c r="J1" s="171"/>
    </row>
    <row r="2" spans="1:10" s="149" customFormat="1" ht="15" customHeight="1" x14ac:dyDescent="0.35">
      <c r="A2" s="138"/>
      <c r="B2" s="172" t="s">
        <v>226</v>
      </c>
      <c r="C2" s="172"/>
      <c r="D2" s="172"/>
      <c r="E2" s="173"/>
      <c r="F2" s="158">
        <v>0.437</v>
      </c>
      <c r="G2" s="149" t="s">
        <v>227</v>
      </c>
      <c r="H2" s="146"/>
      <c r="I2" s="146"/>
      <c r="J2" s="146"/>
    </row>
    <row r="3" spans="1:10" s="149" customFormat="1" ht="15" customHeight="1" x14ac:dyDescent="0.35">
      <c r="E3" s="149" t="s">
        <v>193</v>
      </c>
      <c r="F3" s="162">
        <f>'Known Resources'!C41</f>
        <v>0.25610197018289921</v>
      </c>
      <c r="G3" s="149" t="s">
        <v>227</v>
      </c>
    </row>
    <row r="4" spans="1:10" ht="49.5" customHeight="1" x14ac:dyDescent="0.25">
      <c r="A4" s="142" t="s">
        <v>163</v>
      </c>
      <c r="B4" s="142" t="s">
        <v>164</v>
      </c>
      <c r="D4" s="142" t="s">
        <v>163</v>
      </c>
      <c r="E4" s="142" t="s">
        <v>165</v>
      </c>
      <c r="F4" s="142" t="s">
        <v>194</v>
      </c>
      <c r="G4" s="143" t="s">
        <v>228</v>
      </c>
    </row>
    <row r="5" spans="1:10" ht="15" customHeight="1" x14ac:dyDescent="0.25">
      <c r="A5" s="147" t="s">
        <v>166</v>
      </c>
      <c r="B5" s="148">
        <v>102835</v>
      </c>
      <c r="D5" s="150" t="s">
        <v>166</v>
      </c>
      <c r="E5" s="151">
        <v>313261</v>
      </c>
      <c r="F5" s="152">
        <f>B5-E5</f>
        <v>-210426</v>
      </c>
      <c r="G5" s="154">
        <f>IF(F5&gt;0,F5*$F$2,F5*$F$3)</f>
        <v>-53890.513177706751</v>
      </c>
      <c r="H5" s="141"/>
      <c r="I5" s="149"/>
    </row>
    <row r="6" spans="1:10" ht="15" customHeight="1" x14ac:dyDescent="0.25">
      <c r="A6" s="147" t="s">
        <v>44</v>
      </c>
      <c r="B6" s="148">
        <v>600</v>
      </c>
      <c r="D6" s="150"/>
      <c r="E6" s="151"/>
      <c r="F6" s="152">
        <f t="shared" ref="F6:F61" si="0">B6-E6</f>
        <v>600</v>
      </c>
      <c r="G6" s="154">
        <f t="shared" ref="G6:G61" si="1">IF(F6&gt;0,F6*$F$2,F6*$F$3)</f>
        <v>262.2</v>
      </c>
    </row>
    <row r="7" spans="1:10" ht="15" customHeight="1" x14ac:dyDescent="0.25">
      <c r="A7" s="147" t="s">
        <v>167</v>
      </c>
      <c r="B7" s="148">
        <v>1429214</v>
      </c>
      <c r="D7" s="150" t="s">
        <v>167</v>
      </c>
      <c r="E7" s="151">
        <v>87761</v>
      </c>
      <c r="F7" s="152">
        <f t="shared" si="0"/>
        <v>1341453</v>
      </c>
      <c r="G7" s="154">
        <f t="shared" si="1"/>
        <v>586214.96100000001</v>
      </c>
    </row>
    <row r="8" spans="1:10" ht="15" customHeight="1" x14ac:dyDescent="0.25">
      <c r="A8" s="147" t="s">
        <v>45</v>
      </c>
      <c r="B8" s="148">
        <v>544</v>
      </c>
      <c r="C8" s="152"/>
      <c r="D8" s="150" t="s">
        <v>45</v>
      </c>
      <c r="E8" s="151">
        <v>442</v>
      </c>
      <c r="F8" s="152">
        <f t="shared" si="0"/>
        <v>102</v>
      </c>
      <c r="G8" s="154">
        <f t="shared" si="1"/>
        <v>44.573999999999998</v>
      </c>
    </row>
    <row r="9" spans="1:10" ht="15" customHeight="1" x14ac:dyDescent="0.25">
      <c r="A9" s="147"/>
      <c r="B9" s="148"/>
      <c r="D9" s="150" t="s">
        <v>204</v>
      </c>
      <c r="E9" s="151">
        <v>10</v>
      </c>
      <c r="F9" s="152">
        <f t="shared" si="0"/>
        <v>-10</v>
      </c>
      <c r="G9" s="154">
        <f t="shared" si="1"/>
        <v>-2.5610197018289922</v>
      </c>
    </row>
    <row r="10" spans="1:10" ht="15" customHeight="1" x14ac:dyDescent="0.25">
      <c r="A10" s="147" t="s">
        <v>170</v>
      </c>
      <c r="B10" s="148">
        <v>1400</v>
      </c>
      <c r="D10" s="150" t="s">
        <v>168</v>
      </c>
      <c r="E10" s="151">
        <v>2361</v>
      </c>
      <c r="F10" s="152">
        <f t="shared" si="0"/>
        <v>-961</v>
      </c>
      <c r="G10" s="154">
        <f t="shared" si="1"/>
        <v>-246.11399334576615</v>
      </c>
    </row>
    <row r="11" spans="1:10" ht="15" customHeight="1" x14ac:dyDescent="0.25">
      <c r="A11" s="147" t="s">
        <v>169</v>
      </c>
      <c r="B11" s="148">
        <v>10097</v>
      </c>
      <c r="D11" s="150" t="s">
        <v>169</v>
      </c>
      <c r="E11" s="151">
        <v>151559</v>
      </c>
      <c r="F11" s="152">
        <f t="shared" si="0"/>
        <v>-141462</v>
      </c>
      <c r="G11" s="154">
        <f t="shared" si="1"/>
        <v>-36228.696906013291</v>
      </c>
    </row>
    <row r="12" spans="1:10" ht="15" customHeight="1" x14ac:dyDescent="0.25">
      <c r="A12" s="147" t="s">
        <v>195</v>
      </c>
      <c r="B12" s="148">
        <v>23683</v>
      </c>
      <c r="D12" s="150" t="s">
        <v>195</v>
      </c>
      <c r="E12" s="151">
        <v>36332</v>
      </c>
      <c r="F12" s="152">
        <f t="shared" si="0"/>
        <v>-12649</v>
      </c>
      <c r="G12" s="154">
        <f t="shared" si="1"/>
        <v>-3239.433820843492</v>
      </c>
    </row>
    <row r="13" spans="1:10" ht="15" customHeight="1" x14ac:dyDescent="0.25">
      <c r="A13" s="147" t="s">
        <v>171</v>
      </c>
      <c r="B13" s="148">
        <v>2200</v>
      </c>
      <c r="D13" s="150" t="s">
        <v>171</v>
      </c>
      <c r="E13" s="151">
        <v>4800</v>
      </c>
      <c r="F13" s="152">
        <f t="shared" si="0"/>
        <v>-2600</v>
      </c>
      <c r="G13" s="154">
        <f t="shared" si="1"/>
        <v>-665.86512247553799</v>
      </c>
    </row>
    <row r="14" spans="1:10" ht="15" customHeight="1" x14ac:dyDescent="0.25">
      <c r="A14" s="147" t="s">
        <v>172</v>
      </c>
      <c r="B14" s="148">
        <v>-20228</v>
      </c>
      <c r="D14" s="150" t="s">
        <v>172</v>
      </c>
      <c r="E14" s="151">
        <v>39205</v>
      </c>
      <c r="F14" s="152">
        <f t="shared" si="0"/>
        <v>-59433</v>
      </c>
      <c r="G14" s="154">
        <f t="shared" si="1"/>
        <v>-15220.908393880249</v>
      </c>
    </row>
    <row r="15" spans="1:10" ht="15" customHeight="1" x14ac:dyDescent="0.25">
      <c r="A15" s="147" t="s">
        <v>46</v>
      </c>
      <c r="B15" s="148">
        <v>23184</v>
      </c>
      <c r="D15" s="150" t="s">
        <v>46</v>
      </c>
      <c r="E15" s="151">
        <v>110784</v>
      </c>
      <c r="F15" s="152">
        <f t="shared" si="0"/>
        <v>-87600</v>
      </c>
      <c r="G15" s="154">
        <f t="shared" si="1"/>
        <v>-22434.532588021972</v>
      </c>
    </row>
    <row r="16" spans="1:10" ht="15" customHeight="1" x14ac:dyDescent="0.25">
      <c r="A16" s="147" t="s">
        <v>47</v>
      </c>
      <c r="B16" s="148">
        <v>5381</v>
      </c>
      <c r="D16" s="150" t="s">
        <v>47</v>
      </c>
      <c r="E16" s="151">
        <v>2275</v>
      </c>
      <c r="F16" s="152">
        <f t="shared" si="0"/>
        <v>3106</v>
      </c>
      <c r="G16" s="154">
        <f t="shared" si="1"/>
        <v>1357.3219999999999</v>
      </c>
    </row>
    <row r="17" spans="1:7" ht="15" customHeight="1" x14ac:dyDescent="0.25">
      <c r="A17" s="147" t="s">
        <v>48</v>
      </c>
      <c r="B17" s="148">
        <v>773</v>
      </c>
      <c r="D17" s="150" t="s">
        <v>48</v>
      </c>
      <c r="E17" s="151">
        <v>2156</v>
      </c>
      <c r="F17" s="152">
        <f t="shared" si="0"/>
        <v>-1383</v>
      </c>
      <c r="G17" s="154">
        <f t="shared" si="1"/>
        <v>-354.1890247629496</v>
      </c>
    </row>
    <row r="18" spans="1:7" ht="15" customHeight="1" x14ac:dyDescent="0.25">
      <c r="A18" s="147" t="s">
        <v>196</v>
      </c>
      <c r="B18" s="148">
        <v>2000</v>
      </c>
      <c r="C18" s="152"/>
      <c r="D18" s="150" t="s">
        <v>196</v>
      </c>
      <c r="E18" s="151">
        <v>6000</v>
      </c>
      <c r="F18" s="152">
        <f t="shared" si="0"/>
        <v>-4000</v>
      </c>
      <c r="G18" s="154">
        <f t="shared" si="1"/>
        <v>-1024.4078807315968</v>
      </c>
    </row>
    <row r="19" spans="1:7" ht="15" customHeight="1" x14ac:dyDescent="0.25">
      <c r="A19" s="147"/>
      <c r="B19" s="148"/>
      <c r="D19" s="150" t="s">
        <v>205</v>
      </c>
      <c r="E19" s="151">
        <v>461430</v>
      </c>
      <c r="F19" s="152">
        <f t="shared" si="0"/>
        <v>-461430</v>
      </c>
      <c r="G19" s="154">
        <f t="shared" si="1"/>
        <v>-118173.13210149518</v>
      </c>
    </row>
    <row r="20" spans="1:7" ht="15" customHeight="1" x14ac:dyDescent="0.25">
      <c r="A20" s="147" t="s">
        <v>49</v>
      </c>
      <c r="B20" s="148">
        <v>13400</v>
      </c>
      <c r="D20" s="150" t="s">
        <v>173</v>
      </c>
      <c r="E20" s="151">
        <v>73977</v>
      </c>
      <c r="F20" s="152">
        <f t="shared" si="0"/>
        <v>-60577</v>
      </c>
      <c r="G20" s="154">
        <f t="shared" si="1"/>
        <v>-15513.889047769486</v>
      </c>
    </row>
    <row r="21" spans="1:7" ht="15" customHeight="1" x14ac:dyDescent="0.25">
      <c r="A21" s="147" t="s">
        <v>174</v>
      </c>
      <c r="B21" s="148">
        <v>327</v>
      </c>
      <c r="D21" s="150" t="s">
        <v>174</v>
      </c>
      <c r="E21" s="151">
        <v>1010</v>
      </c>
      <c r="F21" s="152">
        <f t="shared" si="0"/>
        <v>-683</v>
      </c>
      <c r="G21" s="154">
        <f t="shared" si="1"/>
        <v>-174.91764563492015</v>
      </c>
    </row>
    <row r="22" spans="1:7" ht="15" customHeight="1" x14ac:dyDescent="0.25">
      <c r="A22" s="147" t="s">
        <v>50</v>
      </c>
      <c r="B22" s="148">
        <v>21114</v>
      </c>
      <c r="D22" s="150" t="s">
        <v>50</v>
      </c>
      <c r="E22" s="151">
        <v>24357</v>
      </c>
      <c r="F22" s="152">
        <f t="shared" si="0"/>
        <v>-3243</v>
      </c>
      <c r="G22" s="154">
        <f t="shared" si="1"/>
        <v>-830.53868930314218</v>
      </c>
    </row>
    <row r="23" spans="1:7" ht="15" customHeight="1" x14ac:dyDescent="0.25">
      <c r="A23" s="147" t="s">
        <v>175</v>
      </c>
      <c r="B23" s="148">
        <v>3935</v>
      </c>
      <c r="D23" s="150" t="s">
        <v>175</v>
      </c>
      <c r="E23" s="151">
        <v>24299</v>
      </c>
      <c r="F23" s="152">
        <f t="shared" si="0"/>
        <v>-20364</v>
      </c>
      <c r="G23" s="154">
        <f t="shared" si="1"/>
        <v>-5215.2605208045597</v>
      </c>
    </row>
    <row r="24" spans="1:7" ht="15" customHeight="1" x14ac:dyDescent="0.25">
      <c r="A24" s="147" t="s">
        <v>51</v>
      </c>
      <c r="B24" s="148">
        <v>40208</v>
      </c>
      <c r="D24" s="150" t="s">
        <v>51</v>
      </c>
      <c r="E24" s="151">
        <v>23621</v>
      </c>
      <c r="F24" s="152">
        <f t="shared" si="0"/>
        <v>16587</v>
      </c>
      <c r="G24" s="154">
        <f t="shared" si="1"/>
        <v>7248.5190000000002</v>
      </c>
    </row>
    <row r="25" spans="1:7" ht="15" customHeight="1" x14ac:dyDescent="0.25">
      <c r="A25" s="147" t="s">
        <v>52</v>
      </c>
      <c r="B25" s="148">
        <v>24</v>
      </c>
      <c r="D25" s="150" t="s">
        <v>52</v>
      </c>
      <c r="E25" s="151">
        <v>19</v>
      </c>
      <c r="F25" s="152">
        <f t="shared" si="0"/>
        <v>5</v>
      </c>
      <c r="G25" s="154">
        <f t="shared" si="1"/>
        <v>2.1850000000000001</v>
      </c>
    </row>
    <row r="26" spans="1:7" ht="15" customHeight="1" x14ac:dyDescent="0.25">
      <c r="A26" s="147" t="s">
        <v>176</v>
      </c>
      <c r="B26" s="148">
        <v>10</v>
      </c>
      <c r="D26" s="150" t="s">
        <v>176</v>
      </c>
      <c r="E26" s="151">
        <v>134</v>
      </c>
      <c r="F26" s="152">
        <f t="shared" si="0"/>
        <v>-124</v>
      </c>
      <c r="G26" s="154">
        <f t="shared" si="1"/>
        <v>-31.756644302679501</v>
      </c>
    </row>
    <row r="27" spans="1:7" ht="15" customHeight="1" x14ac:dyDescent="0.25">
      <c r="A27" s="147" t="s">
        <v>53</v>
      </c>
      <c r="B27" s="148">
        <v>2859</v>
      </c>
      <c r="F27" s="152">
        <f t="shared" si="0"/>
        <v>2859</v>
      </c>
      <c r="G27" s="154">
        <f t="shared" si="1"/>
        <v>1249.383</v>
      </c>
    </row>
    <row r="28" spans="1:7" ht="15" customHeight="1" x14ac:dyDescent="0.25">
      <c r="A28" s="147" t="s">
        <v>54</v>
      </c>
      <c r="B28" s="148">
        <v>277625</v>
      </c>
      <c r="D28" s="150" t="s">
        <v>54</v>
      </c>
      <c r="E28" s="151">
        <v>42064</v>
      </c>
      <c r="F28" s="152">
        <f t="shared" si="0"/>
        <v>235561</v>
      </c>
      <c r="G28" s="154">
        <f t="shared" si="1"/>
        <v>102940.15700000001</v>
      </c>
    </row>
    <row r="29" spans="1:7" ht="15" customHeight="1" x14ac:dyDescent="0.25">
      <c r="A29" s="147" t="s">
        <v>177</v>
      </c>
      <c r="B29" s="148">
        <v>118</v>
      </c>
      <c r="F29" s="152">
        <f t="shared" si="0"/>
        <v>118</v>
      </c>
      <c r="G29" s="154">
        <f t="shared" si="1"/>
        <v>51.566000000000003</v>
      </c>
    </row>
    <row r="30" spans="1:7" ht="15" customHeight="1" x14ac:dyDescent="0.25">
      <c r="A30" s="147" t="s">
        <v>55</v>
      </c>
      <c r="B30" s="148">
        <v>1540</v>
      </c>
      <c r="D30" s="150" t="s">
        <v>55</v>
      </c>
      <c r="E30" s="151">
        <v>1483</v>
      </c>
      <c r="F30" s="152">
        <f t="shared" si="0"/>
        <v>57</v>
      </c>
      <c r="G30" s="154">
        <f t="shared" si="1"/>
        <v>24.908999999999999</v>
      </c>
    </row>
    <row r="31" spans="1:7" ht="15" customHeight="1" x14ac:dyDescent="0.25">
      <c r="A31" s="147" t="s">
        <v>56</v>
      </c>
      <c r="B31" s="148">
        <v>37975</v>
      </c>
      <c r="D31" s="150" t="s">
        <v>56</v>
      </c>
      <c r="E31" s="151">
        <v>53971</v>
      </c>
      <c r="F31" s="152">
        <f t="shared" si="0"/>
        <v>-15996</v>
      </c>
      <c r="G31" s="154">
        <f t="shared" si="1"/>
        <v>-4096.6071150456555</v>
      </c>
    </row>
    <row r="32" spans="1:7" ht="15" customHeight="1" x14ac:dyDescent="0.25">
      <c r="A32" s="147" t="s">
        <v>57</v>
      </c>
      <c r="B32" s="148">
        <v>54422</v>
      </c>
      <c r="D32" s="150" t="s">
        <v>57</v>
      </c>
      <c r="E32" s="151">
        <v>103557</v>
      </c>
      <c r="F32" s="152">
        <f t="shared" si="0"/>
        <v>-49135</v>
      </c>
      <c r="G32" s="154">
        <f t="shared" si="1"/>
        <v>-12583.570304936753</v>
      </c>
    </row>
    <row r="33" spans="1:7" ht="15" customHeight="1" x14ac:dyDescent="0.25">
      <c r="A33" s="147" t="s">
        <v>197</v>
      </c>
      <c r="B33" s="148">
        <v>2</v>
      </c>
      <c r="D33" s="150" t="s">
        <v>178</v>
      </c>
      <c r="E33" s="151">
        <v>9771</v>
      </c>
      <c r="F33" s="152">
        <f t="shared" si="0"/>
        <v>-9769</v>
      </c>
      <c r="G33" s="154">
        <f t="shared" si="1"/>
        <v>-2501.8601467167423</v>
      </c>
    </row>
    <row r="34" spans="1:7" ht="15" customHeight="1" x14ac:dyDescent="0.25">
      <c r="A34" s="147" t="s">
        <v>58</v>
      </c>
      <c r="B34" s="148">
        <v>4635</v>
      </c>
      <c r="F34" s="152">
        <f t="shared" si="0"/>
        <v>4635</v>
      </c>
      <c r="G34" s="154">
        <f t="shared" si="1"/>
        <v>2025.4949999999999</v>
      </c>
    </row>
    <row r="35" spans="1:7" ht="15" customHeight="1" x14ac:dyDescent="0.25">
      <c r="A35" s="147" t="s">
        <v>179</v>
      </c>
      <c r="B35" s="148">
        <v>23960</v>
      </c>
      <c r="C35" s="152"/>
      <c r="D35" s="150" t="s">
        <v>179</v>
      </c>
      <c r="E35" s="151">
        <v>34442</v>
      </c>
      <c r="F35" s="152">
        <f t="shared" si="0"/>
        <v>-10482</v>
      </c>
      <c r="G35" s="154">
        <f t="shared" si="1"/>
        <v>-2684.4608514571496</v>
      </c>
    </row>
    <row r="36" spans="1:7" ht="15" customHeight="1" x14ac:dyDescent="0.25">
      <c r="A36" s="147"/>
      <c r="B36" s="148"/>
      <c r="D36" s="150" t="s">
        <v>206</v>
      </c>
      <c r="E36" s="151">
        <v>55225</v>
      </c>
      <c r="F36" s="152">
        <f t="shared" si="0"/>
        <v>-55225</v>
      </c>
      <c r="G36" s="154">
        <f t="shared" si="1"/>
        <v>-14143.231303350609</v>
      </c>
    </row>
    <row r="37" spans="1:7" ht="15" customHeight="1" x14ac:dyDescent="0.25">
      <c r="A37" s="147" t="s">
        <v>59</v>
      </c>
      <c r="B37" s="148">
        <v>92213</v>
      </c>
      <c r="D37" s="150" t="s">
        <v>59</v>
      </c>
      <c r="E37" s="151">
        <v>212207</v>
      </c>
      <c r="F37" s="152">
        <f t="shared" si="0"/>
        <v>-119994</v>
      </c>
      <c r="G37" s="154">
        <f t="shared" si="1"/>
        <v>-30730.699810126807</v>
      </c>
    </row>
    <row r="38" spans="1:7" ht="15" customHeight="1" x14ac:dyDescent="0.25">
      <c r="A38" s="147" t="s">
        <v>180</v>
      </c>
      <c r="B38" s="148">
        <v>50215</v>
      </c>
      <c r="D38" s="150" t="s">
        <v>180</v>
      </c>
      <c r="E38" s="151">
        <v>123598</v>
      </c>
      <c r="F38" s="152">
        <f t="shared" si="0"/>
        <v>-73383</v>
      </c>
      <c r="G38" s="154">
        <f t="shared" si="1"/>
        <v>-18793.530877931691</v>
      </c>
    </row>
    <row r="39" spans="1:7" ht="15" customHeight="1" x14ac:dyDescent="0.25">
      <c r="A39" s="147" t="s">
        <v>60</v>
      </c>
      <c r="B39" s="148">
        <v>67485</v>
      </c>
      <c r="D39" s="150" t="s">
        <v>60</v>
      </c>
      <c r="E39" s="151">
        <v>127567</v>
      </c>
      <c r="F39" s="152">
        <f t="shared" si="0"/>
        <v>-60082</v>
      </c>
      <c r="G39" s="154">
        <f t="shared" si="1"/>
        <v>-15387.118572528951</v>
      </c>
    </row>
    <row r="40" spans="1:7" ht="15" customHeight="1" x14ac:dyDescent="0.25">
      <c r="D40" s="150" t="s">
        <v>181</v>
      </c>
      <c r="E40" s="151">
        <v>800</v>
      </c>
      <c r="F40" s="152">
        <f t="shared" si="0"/>
        <v>-800</v>
      </c>
      <c r="G40" s="154">
        <f t="shared" si="1"/>
        <v>-204.88157614631936</v>
      </c>
    </row>
    <row r="41" spans="1:7" ht="15" customHeight="1" x14ac:dyDescent="0.25">
      <c r="A41" s="147" t="s">
        <v>61</v>
      </c>
      <c r="B41" s="148">
        <v>54140</v>
      </c>
      <c r="D41" s="150" t="s">
        <v>61</v>
      </c>
      <c r="E41" s="151">
        <v>7290</v>
      </c>
      <c r="F41" s="152">
        <f t="shared" si="0"/>
        <v>46850</v>
      </c>
      <c r="G41" s="154">
        <f t="shared" si="1"/>
        <v>20473.45</v>
      </c>
    </row>
    <row r="42" spans="1:7" ht="15" customHeight="1" x14ac:dyDescent="0.25">
      <c r="A42" s="147" t="s">
        <v>62</v>
      </c>
      <c r="B42" s="148">
        <v>13280</v>
      </c>
      <c r="D42" s="150" t="s">
        <v>62</v>
      </c>
      <c r="E42" s="151">
        <v>3240</v>
      </c>
      <c r="F42" s="152">
        <f t="shared" si="0"/>
        <v>10040</v>
      </c>
      <c r="G42" s="154">
        <f t="shared" si="1"/>
        <v>4387.4799999999996</v>
      </c>
    </row>
    <row r="43" spans="1:7" ht="15" customHeight="1" x14ac:dyDescent="0.25">
      <c r="A43" s="147"/>
      <c r="B43" s="148"/>
      <c r="D43" s="150" t="s">
        <v>63</v>
      </c>
      <c r="E43" s="151">
        <v>289816</v>
      </c>
      <c r="F43" s="152">
        <f t="shared" si="0"/>
        <v>-289816</v>
      </c>
      <c r="G43" s="154">
        <f t="shared" si="1"/>
        <v>-74222.448590527114</v>
      </c>
    </row>
    <row r="44" spans="1:7" ht="15" customHeight="1" x14ac:dyDescent="0.25">
      <c r="A44" s="147" t="s">
        <v>64</v>
      </c>
      <c r="B44" s="148">
        <v>38788</v>
      </c>
      <c r="D44" s="150" t="s">
        <v>64</v>
      </c>
      <c r="E44" s="151">
        <v>28038</v>
      </c>
      <c r="F44" s="152">
        <f t="shared" si="0"/>
        <v>10750</v>
      </c>
      <c r="G44" s="154">
        <f t="shared" si="1"/>
        <v>4697.75</v>
      </c>
    </row>
    <row r="45" spans="1:7" ht="15" customHeight="1" x14ac:dyDescent="0.25">
      <c r="A45" s="147" t="s">
        <v>182</v>
      </c>
      <c r="B45" s="148">
        <v>86171</v>
      </c>
      <c r="D45" s="150" t="s">
        <v>182</v>
      </c>
      <c r="E45" s="151">
        <v>162760</v>
      </c>
      <c r="F45" s="152">
        <f t="shared" si="0"/>
        <v>-76589</v>
      </c>
      <c r="G45" s="154">
        <f t="shared" si="1"/>
        <v>-19614.593794338067</v>
      </c>
    </row>
    <row r="46" spans="1:7" ht="15" customHeight="1" x14ac:dyDescent="0.25">
      <c r="A46" s="147" t="s">
        <v>198</v>
      </c>
      <c r="B46" s="148">
        <v>8576</v>
      </c>
      <c r="D46" s="150" t="s">
        <v>65</v>
      </c>
      <c r="E46" s="151">
        <v>7481</v>
      </c>
      <c r="F46" s="152">
        <f t="shared" si="0"/>
        <v>1095</v>
      </c>
      <c r="G46" s="154">
        <f t="shared" si="1"/>
        <v>478.51499999999999</v>
      </c>
    </row>
    <row r="47" spans="1:7" ht="15" customHeight="1" x14ac:dyDescent="0.25">
      <c r="A47" s="147" t="s">
        <v>183</v>
      </c>
      <c r="B47" s="148">
        <v>5</v>
      </c>
      <c r="D47" s="150"/>
      <c r="E47" s="151"/>
      <c r="F47" s="152">
        <f t="shared" si="0"/>
        <v>5</v>
      </c>
      <c r="G47" s="154">
        <f t="shared" si="1"/>
        <v>2.1850000000000001</v>
      </c>
    </row>
    <row r="48" spans="1:7" ht="15" customHeight="1" x14ac:dyDescent="0.25">
      <c r="A48" s="147" t="s">
        <v>67</v>
      </c>
      <c r="B48" s="148">
        <v>31174</v>
      </c>
      <c r="D48" s="150" t="s">
        <v>67</v>
      </c>
      <c r="E48" s="151">
        <v>16571</v>
      </c>
      <c r="F48" s="152">
        <f t="shared" si="0"/>
        <v>14603</v>
      </c>
      <c r="G48" s="154">
        <f t="shared" si="1"/>
        <v>6381.5110000000004</v>
      </c>
    </row>
    <row r="49" spans="1:7" ht="15" customHeight="1" x14ac:dyDescent="0.25">
      <c r="A49" s="147" t="s">
        <v>68</v>
      </c>
      <c r="B49" s="148">
        <v>170399</v>
      </c>
      <c r="D49" s="150" t="s">
        <v>68</v>
      </c>
      <c r="E49" s="151">
        <v>191588</v>
      </c>
      <c r="F49" s="152">
        <f t="shared" si="0"/>
        <v>-21189</v>
      </c>
      <c r="G49" s="154">
        <f t="shared" si="1"/>
        <v>-5426.5446462054515</v>
      </c>
    </row>
    <row r="50" spans="1:7" ht="15" customHeight="1" x14ac:dyDescent="0.25">
      <c r="A50" s="147"/>
      <c r="B50" s="148"/>
      <c r="D50" s="150" t="s">
        <v>184</v>
      </c>
      <c r="E50" s="151">
        <v>9</v>
      </c>
      <c r="F50" s="152">
        <f t="shared" si="0"/>
        <v>-9</v>
      </c>
      <c r="G50" s="154">
        <f t="shared" si="1"/>
        <v>-2.3049177316460927</v>
      </c>
    </row>
    <row r="51" spans="1:7" ht="15" customHeight="1" x14ac:dyDescent="0.25">
      <c r="A51" s="147" t="s">
        <v>69</v>
      </c>
      <c r="B51" s="148">
        <v>150</v>
      </c>
      <c r="D51" s="150" t="s">
        <v>69</v>
      </c>
      <c r="E51" s="151">
        <v>48</v>
      </c>
      <c r="F51" s="152">
        <f t="shared" si="0"/>
        <v>102</v>
      </c>
      <c r="G51" s="154">
        <f t="shared" si="1"/>
        <v>44.573999999999998</v>
      </c>
    </row>
    <row r="52" spans="1:7" ht="15" customHeight="1" x14ac:dyDescent="0.25">
      <c r="A52" s="147" t="s">
        <v>70</v>
      </c>
      <c r="B52" s="148">
        <v>8182</v>
      </c>
      <c r="D52" s="150" t="s">
        <v>70</v>
      </c>
      <c r="E52" s="151">
        <v>11475</v>
      </c>
      <c r="F52" s="152">
        <f t="shared" si="0"/>
        <v>-3293</v>
      </c>
      <c r="G52" s="154">
        <f t="shared" si="1"/>
        <v>-843.34378781228713</v>
      </c>
    </row>
    <row r="53" spans="1:7" ht="15" customHeight="1" x14ac:dyDescent="0.25">
      <c r="A53" s="147" t="s">
        <v>220</v>
      </c>
      <c r="B53" s="148">
        <v>115875</v>
      </c>
      <c r="D53" s="150"/>
      <c r="E53" s="151"/>
      <c r="F53" s="152">
        <f t="shared" si="0"/>
        <v>115875</v>
      </c>
      <c r="G53" s="154">
        <f t="shared" si="1"/>
        <v>50637.375</v>
      </c>
    </row>
    <row r="54" spans="1:7" ht="15" customHeight="1" x14ac:dyDescent="0.25">
      <c r="A54" s="147" t="s">
        <v>71</v>
      </c>
      <c r="B54" s="148">
        <v>19567</v>
      </c>
      <c r="C54" s="152"/>
      <c r="D54" s="150" t="s">
        <v>71</v>
      </c>
      <c r="E54" s="151">
        <v>10037</v>
      </c>
      <c r="F54" s="152">
        <f t="shared" si="0"/>
        <v>9530</v>
      </c>
      <c r="G54" s="154">
        <f t="shared" si="1"/>
        <v>4164.6099999999997</v>
      </c>
    </row>
    <row r="55" spans="1:7" ht="15" customHeight="1" x14ac:dyDescent="0.25">
      <c r="A55" s="147" t="s">
        <v>72</v>
      </c>
      <c r="B55" s="148">
        <v>7277</v>
      </c>
      <c r="D55" s="150" t="s">
        <v>185</v>
      </c>
      <c r="E55" s="151">
        <v>6866</v>
      </c>
      <c r="F55" s="152">
        <f t="shared" si="0"/>
        <v>411</v>
      </c>
      <c r="G55" s="154">
        <f t="shared" si="1"/>
        <v>179.607</v>
      </c>
    </row>
    <row r="56" spans="1:7" ht="15" customHeight="1" x14ac:dyDescent="0.25">
      <c r="A56" s="147"/>
      <c r="B56" s="148"/>
      <c r="D56" s="150" t="s">
        <v>207</v>
      </c>
      <c r="E56" s="151">
        <v>16457</v>
      </c>
      <c r="F56" s="152">
        <f t="shared" si="0"/>
        <v>-16457</v>
      </c>
      <c r="G56" s="154">
        <f t="shared" si="1"/>
        <v>-4214.6701232999721</v>
      </c>
    </row>
    <row r="57" spans="1:7" ht="15" customHeight="1" x14ac:dyDescent="0.25">
      <c r="C57" s="152"/>
      <c r="D57" s="150" t="s">
        <v>208</v>
      </c>
      <c r="E57" s="151">
        <v>3571</v>
      </c>
      <c r="F57" s="152">
        <f t="shared" si="0"/>
        <v>-3571</v>
      </c>
      <c r="G57" s="154">
        <f t="shared" si="1"/>
        <v>-914.54013552313302</v>
      </c>
    </row>
    <row r="58" spans="1:7" ht="15" customHeight="1" x14ac:dyDescent="0.25">
      <c r="A58" s="147" t="s">
        <v>186</v>
      </c>
      <c r="B58" s="148">
        <v>104309</v>
      </c>
      <c r="D58" s="150" t="s">
        <v>186</v>
      </c>
      <c r="E58" s="151">
        <v>169354</v>
      </c>
      <c r="F58" s="152">
        <f t="shared" si="0"/>
        <v>-65045</v>
      </c>
      <c r="G58" s="154">
        <f t="shared" si="1"/>
        <v>-16658.152650546679</v>
      </c>
    </row>
    <row r="59" spans="1:7" ht="15" customHeight="1" x14ac:dyDescent="0.25">
      <c r="D59" s="150" t="s">
        <v>187</v>
      </c>
      <c r="E59" s="151">
        <v>400</v>
      </c>
      <c r="F59" s="152">
        <f t="shared" si="0"/>
        <v>-400</v>
      </c>
      <c r="G59" s="154">
        <f t="shared" si="1"/>
        <v>-102.44078807315968</v>
      </c>
    </row>
    <row r="60" spans="1:7" ht="15" customHeight="1" x14ac:dyDescent="0.25">
      <c r="A60" s="147" t="s">
        <v>188</v>
      </c>
      <c r="B60" s="148">
        <v>11800</v>
      </c>
      <c r="D60" s="150" t="s">
        <v>209</v>
      </c>
      <c r="E60" s="151">
        <v>14600</v>
      </c>
      <c r="F60" s="152">
        <f t="shared" si="0"/>
        <v>-2800</v>
      </c>
      <c r="G60" s="154">
        <f t="shared" si="1"/>
        <v>-717.08551651211781</v>
      </c>
    </row>
    <row r="61" spans="1:7" ht="15" customHeight="1" x14ac:dyDescent="0.25">
      <c r="A61" s="147" t="s">
        <v>199</v>
      </c>
      <c r="B61" s="148">
        <v>1</v>
      </c>
      <c r="D61" s="150"/>
      <c r="E61" s="151"/>
      <c r="F61" s="152">
        <f t="shared" si="0"/>
        <v>1</v>
      </c>
      <c r="G61" s="154">
        <f t="shared" si="1"/>
        <v>0.437</v>
      </c>
    </row>
    <row r="63" spans="1:7" ht="15" customHeight="1" x14ac:dyDescent="0.25">
      <c r="A63" s="147"/>
      <c r="B63" s="148"/>
      <c r="D63" s="150"/>
      <c r="E63" s="151"/>
      <c r="F63" s="152">
        <f>SUM(F5:F61)</f>
        <v>-126635</v>
      </c>
      <c r="G63" s="141">
        <f>SUM(G5:G61)/2000</f>
        <v>147.88998145719813</v>
      </c>
    </row>
    <row r="64" spans="1:7" ht="15" customHeight="1" x14ac:dyDescent="0.25">
      <c r="A64" s="147"/>
      <c r="B64" s="148"/>
    </row>
    <row r="67" spans="1:7" ht="15" customHeight="1" x14ac:dyDescent="0.25">
      <c r="G67" s="152"/>
    </row>
    <row r="69" spans="1:7" ht="15" customHeight="1" x14ac:dyDescent="0.25">
      <c r="A69" s="147"/>
      <c r="B69" s="148"/>
      <c r="D69" s="150"/>
      <c r="E69" s="151"/>
    </row>
    <row r="70" spans="1:7" ht="15" customHeight="1" x14ac:dyDescent="0.25">
      <c r="G70" s="152"/>
    </row>
    <row r="71" spans="1:7" ht="15" customHeight="1" x14ac:dyDescent="0.25">
      <c r="A71" s="146"/>
      <c r="B71" s="146"/>
    </row>
    <row r="74" spans="1:7" ht="15" customHeight="1" x14ac:dyDescent="0.25">
      <c r="A74" s="147"/>
      <c r="B74" s="148"/>
      <c r="D74" s="150"/>
      <c r="E74" s="151"/>
    </row>
    <row r="75" spans="1:7" ht="15" customHeight="1" x14ac:dyDescent="0.25">
      <c r="G75" s="152"/>
    </row>
    <row r="76" spans="1:7" ht="15" customHeight="1" x14ac:dyDescent="0.25">
      <c r="A76" s="147"/>
      <c r="B76" s="148"/>
      <c r="D76" s="150"/>
      <c r="E76" s="151"/>
    </row>
    <row r="85" spans="1:7" ht="15" customHeight="1" x14ac:dyDescent="0.25">
      <c r="A85" s="147"/>
      <c r="B85" s="148"/>
      <c r="D85" s="150"/>
      <c r="E85" s="151"/>
    </row>
    <row r="86" spans="1:7" ht="15" customHeight="1" x14ac:dyDescent="0.25">
      <c r="A86" s="147"/>
      <c r="B86" s="148"/>
      <c r="D86" s="150"/>
      <c r="E86" s="151"/>
    </row>
    <row r="87" spans="1:7" ht="15" customHeight="1" x14ac:dyDescent="0.25">
      <c r="G87" s="152"/>
    </row>
    <row r="92" spans="1:7" ht="15" customHeight="1" x14ac:dyDescent="0.25">
      <c r="F92" s="152"/>
    </row>
    <row r="95" spans="1:7" ht="15" customHeight="1" x14ac:dyDescent="0.25">
      <c r="D95" s="150"/>
      <c r="E95" s="151"/>
    </row>
  </sheetData>
  <mergeCells count="2">
    <mergeCell ref="G1:J1"/>
    <mergeCell ref="B2:E2"/>
  </mergeCells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?mso-contentType ?>
<SharedContentType xmlns="Microsoft.SharePoint.Taxonomy.ContentTypeSync" SourceId="015f1b76-b32e-440f-80a7-f0ca4d8a872c" ContentTypeId="0x0101006E56B4D1795A2E4DB2F0B01679ED314A" PreviousValue="true"/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Prefix xmlns="dc463f71-b30c-4ab2-9473-d307f9d35888">UE</Prefix>
    <DocumentSetType xmlns="dc463f71-b30c-4ab2-9473-d307f9d35888">Initial Filing</DocumentSetType>
    <IsConfidential xmlns="dc463f71-b30c-4ab2-9473-d307f9d35888">false</IsConfidential>
    <AgendaOrder xmlns="dc463f71-b30c-4ab2-9473-d307f9d35888">false</AgendaOrder>
    <CaseType xmlns="dc463f71-b30c-4ab2-9473-d307f9d35888">Staff Investigation</CaseType>
    <IndustryCode xmlns="dc463f71-b30c-4ab2-9473-d307f9d35888">140</IndustryCode>
    <CaseStatus xmlns="dc463f71-b30c-4ab2-9473-d307f9d35888">Pending</CaseStatus>
    <OpenedDate xmlns="dc463f71-b30c-4ab2-9473-d307f9d35888">2025-05-30T07:00:00+00:00</OpenedDate>
    <Date1 xmlns="dc463f71-b30c-4ab2-9473-d307f9d35888">2025-05-30T07:00:00+00:00</Date1>
    <IsDocumentOrder xmlns="dc463f71-b30c-4ab2-9473-d307f9d35888">false</IsDocumentOrder>
    <IsHighlyConfidential xmlns="dc463f71-b30c-4ab2-9473-d307f9d35888">false</IsHighlyConfidential>
    <CaseCompanyNames xmlns="dc463f71-b30c-4ab2-9473-d307f9d35888">Avista Corporation</CaseCompanyNames>
    <DocketNumber xmlns="dc463f71-b30c-4ab2-9473-d307f9d35888">250408</DocketNumber>
    <DelegatedOrder xmlns="dc463f71-b30c-4ab2-9473-d307f9d35888">false</DelegatedOrder>
    <Visibility xmlns="dc463f71-b30c-4ab2-9473-d307f9d35888">Full Visibility</Visibility>
    <SignificantOrder xmlns="dc463f71-b30c-4ab2-9473-d307f9d35888">false</SignificantOrder>
    <Nickname xmlns="http://schemas.microsoft.com/sharepoint/v3" xsi:nil="true"/>
  </documentManagement>
</p:properties>
</file>

<file path=customXml/item4.xml><?xml version="1.0" encoding="utf-8"?>
<ct:contentTypeSchema xmlns:ct="http://schemas.microsoft.com/office/2006/metadata/contentType" xmlns:ma="http://schemas.microsoft.com/office/2006/metadata/properties/metaAttributes" ct:_="" ma:_="" ma:contentTypeName="Filed Document" ma:contentTypeID="0x0101006E56B4D1795A2E4DB2F0B01679ED314A00FB11BD2EF3043F429A7CBB7A485A5969" ma:contentTypeVersion="19" ma:contentTypeDescription="" ma:contentTypeScope="" ma:versionID="5e3092eded7acb928b1de0925ba8ae0c">
  <xsd:schema xmlns:xsd="http://www.w3.org/2001/XMLSchema" xmlns:xs="http://www.w3.org/2001/XMLSchema" xmlns:p="http://schemas.microsoft.com/office/2006/metadata/properties" xmlns:ns1="http://schemas.microsoft.com/sharepoint/v3" xmlns:ns2="dc463f71-b30c-4ab2-9473-d307f9d35888" targetNamespace="http://schemas.microsoft.com/office/2006/metadata/properties" ma:root="true" ma:fieldsID="d275ef9dcc7ead6001da0d7ec3e70ce9" ns1:_="" ns2:_="">
    <xsd:import namespace="http://schemas.microsoft.com/sharepoint/v3"/>
    <xsd:import namespace="dc463f71-b30c-4ab2-9473-d307f9d35888"/>
    <xsd:element name="properties">
      <xsd:complexType>
        <xsd:sequence>
          <xsd:element name="documentManagement">
            <xsd:complexType>
              <xsd:all>
                <xsd:element ref="ns2:IsConfidential" minOccurs="0"/>
                <xsd:element ref="ns2:IsHighlyConfidential" minOccurs="0"/>
                <xsd:element ref="ns2:Date1" minOccurs="0"/>
                <xsd:element ref="ns2:DocketNumber" minOccurs="0"/>
                <xsd:element ref="ns2:DocumentSetType" minOccurs="0"/>
                <xsd:element ref="ns2:IndustryCode" minOccurs="0"/>
                <xsd:element ref="ns2:CaseType" minOccurs="0"/>
                <xsd:element ref="ns2:CaseStatus" minOccurs="0"/>
                <xsd:element ref="ns2:AgendaOrder" minOccurs="0"/>
                <xsd:element ref="ns2:DelegatedOrder" minOccurs="0"/>
                <xsd:element ref="ns2:IsDocumentOrder" minOccurs="0"/>
                <xsd:element ref="ns2:CaseCompanyNames" minOccurs="0"/>
                <xsd:element ref="ns2:OpenedDate" minOccurs="0"/>
                <xsd:element ref="ns2:Prefix" minOccurs="0"/>
                <xsd:element ref="ns2:Visibility" minOccurs="0"/>
                <xsd:element ref="ns1:Nickname" minOccurs="0"/>
                <xsd:element ref="ns2:SignificantOrder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Nickname" ma:index="17" nillable="true" ma:displayName="Nickname" ma:internalName="Nicknam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c463f71-b30c-4ab2-9473-d307f9d35888" elementFormDefault="qualified">
    <xsd:import namespace="http://schemas.microsoft.com/office/2006/documentManagement/types"/>
    <xsd:import namespace="http://schemas.microsoft.com/office/infopath/2007/PartnerControls"/>
    <xsd:element name="IsConfidential" ma:index="2" nillable="true" ma:displayName="Is Confidential" ma:default="0" ma:internalName="IsConfidential" ma:readOnly="false">
      <xsd:simpleType>
        <xsd:restriction base="dms:Boolean"/>
      </xsd:simpleType>
    </xsd:element>
    <xsd:element name="IsHighlyConfidential" ma:index="3" nillable="true" ma:displayName="Is Highly Confidential" ma:default="0" ma:internalName="IsHighlyConfidential" ma:readOnly="false">
      <xsd:simpleType>
        <xsd:restriction base="dms:Boolean"/>
      </xsd:simpleType>
    </xsd:element>
    <xsd:element name="Date1" ma:index="4" nillable="true" ma:displayName="Date" ma:default="[today]" ma:description="Date the document set was requested" ma:format="DateOnly" ma:internalName="Date1" ma:readOnly="false">
      <xsd:simpleType>
        <xsd:restriction base="dms:DateTime"/>
      </xsd:simpleType>
    </xsd:element>
    <xsd:element name="DocketNumber" ma:index="5" nillable="true" ma:displayName="Docket Number" ma:internalName="DocketNumber" ma:readOnly="false">
      <xsd:simpleType>
        <xsd:restriction base="dms:Text">
          <xsd:maxLength value="255"/>
        </xsd:restriction>
      </xsd:simpleType>
    </xsd:element>
    <xsd:element name="DocumentSetType" ma:index="6" nillable="true" ma:displayName="Document Set Type" ma:internalName="DocumentSetType" ma:readOnly="false">
      <xsd:simpleType>
        <xsd:restriction base="dms:Text">
          <xsd:maxLength value="255"/>
        </xsd:restriction>
      </xsd:simpleType>
    </xsd:element>
    <xsd:element name="IndustryCode" ma:index="7" nillable="true" ma:displayName="Industry Code" ma:internalName="IndustryCode" ma:readOnly="false">
      <xsd:simpleType>
        <xsd:restriction base="dms:Text">
          <xsd:maxLength value="255"/>
        </xsd:restriction>
      </xsd:simpleType>
    </xsd:element>
    <xsd:element name="CaseType" ma:index="8" nillable="true" ma:displayName="CaseType" ma:internalName="CaseType" ma:readOnly="false">
      <xsd:simpleType>
        <xsd:restriction base="dms:Text">
          <xsd:maxLength value="255"/>
        </xsd:restriction>
      </xsd:simpleType>
    </xsd:element>
    <xsd:element name="CaseStatus" ma:index="9" nillable="true" ma:displayName="CaseStatus" ma:internalName="CaseStatus" ma:readOnly="false">
      <xsd:simpleType>
        <xsd:restriction base="dms:Text">
          <xsd:maxLength value="255"/>
        </xsd:restriction>
      </xsd:simpleType>
    </xsd:element>
    <xsd:element name="AgendaOrder" ma:index="10" nillable="true" ma:displayName="Agenda Order" ma:default="0" ma:internalName="AgendaOrder" ma:readOnly="false">
      <xsd:simpleType>
        <xsd:restriction base="dms:Boolean"/>
      </xsd:simpleType>
    </xsd:element>
    <xsd:element name="DelegatedOrder" ma:index="11" nillable="true" ma:displayName="DelegatedOrder" ma:default="0" ma:description="Is this a delegated order?" ma:internalName="DelegatedOrder" ma:readOnly="false">
      <xsd:simpleType>
        <xsd:restriction base="dms:Boolean"/>
      </xsd:simpleType>
    </xsd:element>
    <xsd:element name="IsDocumentOrder" ma:index="12" nillable="true" ma:displayName="IsDocumentOrder" ma:default="0" ma:internalName="IsDocumentOrder" ma:readOnly="false">
      <xsd:simpleType>
        <xsd:restriction base="dms:Boolean"/>
      </xsd:simpleType>
    </xsd:element>
    <xsd:element name="CaseCompanyNames" ma:index="13" nillable="true" ma:displayName="Company Names" ma:description="Company names delimited by ;" ma:internalName="CaseCompanyNames" ma:readOnly="false">
      <xsd:simpleType>
        <xsd:restriction base="dms:Note">
          <xsd:maxLength value="255"/>
        </xsd:restriction>
      </xsd:simpleType>
    </xsd:element>
    <xsd:element name="OpenedDate" ma:index="14" nillable="true" ma:displayName="OpenedDate" ma:format="DateOnly" ma:internalName="OpenedDate">
      <xsd:simpleType>
        <xsd:restriction base="dms:DateTime"/>
      </xsd:simpleType>
    </xsd:element>
    <xsd:element name="Prefix" ma:index="15" nillable="true" ma:displayName="Prefix" ma:description="Docket number prefix" ma:internalName="Prefix">
      <xsd:simpleType>
        <xsd:restriction base="dms:Text">
          <xsd:maxLength value="255"/>
        </xsd:restriction>
      </xsd:simpleType>
    </xsd:element>
    <xsd:element name="Visibility" ma:index="16" nillable="true" ma:displayName="Visibility" ma:default="Full Visibility" ma:format="Dropdown" ma:internalName="Visibility" ma:readOnly="false">
      <xsd:simpleType>
        <xsd:restriction base="dms:Choice">
          <xsd:enumeration value="Full Visibility"/>
        </xsd:restriction>
      </xsd:simpleType>
    </xsd:element>
    <xsd:element name="SignificantOrder" ma:index="24" nillable="true" ma:displayName="SignificantOrder" ma:default="0" ma:description="Whether this document set contains a significant order" ma:internalName="SignificantOrder">
      <xsd:simpleType>
        <xsd:restriction base="dms:Boolea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20" ma:displayName="Content Type"/>
        <xsd:element ref="dc:title" minOccurs="0" maxOccurs="1" ma:index="1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CE5C4E61-F5EF-4C2E-9F3F-DFB5927FB724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72F0990F-3F2C-49A1-ABA4-E7EAE0641E72}"/>
</file>

<file path=customXml/itemProps3.xml><?xml version="1.0" encoding="utf-8"?>
<ds:datastoreItem xmlns:ds="http://schemas.openxmlformats.org/officeDocument/2006/customXml" ds:itemID="{57BE1F28-303A-4833-8A05-0A33588D1988}">
  <ds:schemaRefs>
    <ds:schemaRef ds:uri="dc463f71-b30c-4ab2-9473-d307f9d35888"/>
    <ds:schemaRef ds:uri="http://www.w3.org/XML/1998/namespace"/>
    <ds:schemaRef ds:uri="http://schemas.microsoft.com/office/2006/metadata/properties"/>
    <ds:schemaRef ds:uri="http://purl.org/dc/dcmitype/"/>
    <ds:schemaRef ds:uri="http://purl.org/dc/terms/"/>
    <ds:schemaRef ds:uri="http://schemas.microsoft.com/office/infopath/2007/PartnerControls"/>
    <ds:schemaRef ds:uri="http://schemas.microsoft.com/office/2006/documentManagement/types"/>
    <ds:schemaRef ds:uri="http://purl.org/dc/elements/1.1/"/>
    <ds:schemaRef ds:uri="http://schemas.openxmlformats.org/package/2006/metadata/core-properties"/>
  </ds:schemaRefs>
</ds:datastoreItem>
</file>

<file path=customXml/itemProps4.xml><?xml version="1.0" encoding="utf-8"?>
<ds:datastoreItem xmlns:ds="http://schemas.openxmlformats.org/officeDocument/2006/customXml" ds:itemID="{92160BDB-F7AE-45A5-93A4-F49832811050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Summary</vt:lpstr>
      <vt:lpstr>Known Resources</vt:lpstr>
      <vt:lpstr>Unknown Resources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Nightingale, David (UTC)</dc:creator>
  <cp:lastModifiedBy>Lyons, John</cp:lastModifiedBy>
  <cp:lastPrinted>2016-12-29T16:53:17Z</cp:lastPrinted>
  <dcterms:created xsi:type="dcterms:W3CDTF">2016-02-08T23:38:12Z</dcterms:created>
  <dcterms:modified xsi:type="dcterms:W3CDTF">2022-05-27T22:46:33Z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0x0101006E56B4D1795A2E4DB2F0B01679ED314A00FB11BD2EF3043F429A7CBB7A485A5969</vt:lpwstr>
  </property>
  <property fmtid="{D5CDD505-2E9C-101B-9397-08002B2CF9AE}" pid="3" name="_docset_NoMedatataSyncRequired">
    <vt:lpwstr>False</vt:lpwstr>
  </property>
</Properties>
</file>