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wcnx.org\Regions\Western Region\2000 Western Region Office\WUTC\WUTC-Olympic 2112\Dump Fee\DF Jefferson Co 9-1-2025\"/>
    </mc:Choice>
  </mc:AlternateContent>
  <xr:revisionPtr revIDLastSave="0" documentId="13_ncr:1_{F8E270E4-54B0-4491-83DE-B09C24AB846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ferences" sheetId="4" r:id="rId1"/>
    <sheet name="Staff Calcs " sheetId="7" r:id="rId2"/>
    <sheet name="Proposed Rates" sheetId="13" r:id="rId3"/>
    <sheet name="Jefferson Reg Price Out" sheetId="14" r:id="rId4"/>
    <sheet name="DF Schedule" sheetId="1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\6">'[1]94 Rsrv Mtr (UnAdj)'!#REF!</definedName>
    <definedName name="\7">'[1]94 Rsrv Mtr (UnAdj)'!#REF!</definedName>
    <definedName name="\A">#REF!</definedName>
    <definedName name="\c">#REF!</definedName>
    <definedName name="\D">#REF!</definedName>
    <definedName name="\E">#REF!</definedName>
    <definedName name="\M">#REF!</definedName>
    <definedName name="\p">#REF!</definedName>
    <definedName name="\R">#REF!</definedName>
    <definedName name="\S">#REF!</definedName>
    <definedName name="\Y">#REF!</definedName>
    <definedName name="\z">#REF!</definedName>
    <definedName name="______________CYA1">#REF!</definedName>
    <definedName name="______________CYA10">#REF!</definedName>
    <definedName name="______________CYA11">#REF!</definedName>
    <definedName name="______________CYA2">#REF!</definedName>
    <definedName name="______________CYA3">#REF!</definedName>
    <definedName name="______________CYA4">#REF!</definedName>
    <definedName name="______________CYA5">#REF!</definedName>
    <definedName name="______________CYA6">#REF!</definedName>
    <definedName name="______________CYA7">#REF!</definedName>
    <definedName name="______________CYA8">#REF!</definedName>
    <definedName name="______________CYA9">#REF!</definedName>
    <definedName name="______________LYA12">#REF!</definedName>
    <definedName name="_____________CYA1">#REF!</definedName>
    <definedName name="_____________CYA10">#REF!</definedName>
    <definedName name="_____________CYA11">#REF!</definedName>
    <definedName name="_____________CYA2">#REF!</definedName>
    <definedName name="_____________CYA3">#REF!</definedName>
    <definedName name="_____________CYA4">#REF!</definedName>
    <definedName name="_____________CYA5">#REF!</definedName>
    <definedName name="_____________CYA6">#REF!</definedName>
    <definedName name="_____________CYA7">#REF!</definedName>
    <definedName name="_____________CYA8">#REF!</definedName>
    <definedName name="_____________CYA9">#REF!</definedName>
    <definedName name="_____________LYA12">#REF!</definedName>
    <definedName name="____________CYA1">#REF!</definedName>
    <definedName name="____________CYA10">#REF!</definedName>
    <definedName name="____________CYA11">#REF!</definedName>
    <definedName name="____________CYA2">#REF!</definedName>
    <definedName name="____________CYA3">#REF!</definedName>
    <definedName name="____________CYA4">#REF!</definedName>
    <definedName name="____________CYA5">#REF!</definedName>
    <definedName name="____________CYA6">#REF!</definedName>
    <definedName name="____________CYA7">#REF!</definedName>
    <definedName name="____________CYA8">#REF!</definedName>
    <definedName name="____________CYA9">#REF!</definedName>
    <definedName name="____________LYA12">#REF!</definedName>
    <definedName name="___________CYA1">#REF!</definedName>
    <definedName name="___________CYA10">#REF!</definedName>
    <definedName name="___________CYA11">#REF!</definedName>
    <definedName name="___________CYA2">#REF!</definedName>
    <definedName name="___________CYA3">#REF!</definedName>
    <definedName name="___________CYA4">#REF!</definedName>
    <definedName name="___________CYA5">#REF!</definedName>
    <definedName name="___________CYA6">#REF!</definedName>
    <definedName name="___________CYA7">#REF!</definedName>
    <definedName name="___________CYA8">#REF!</definedName>
    <definedName name="___________CYA9">#REF!</definedName>
    <definedName name="___________LYA12">#REF!</definedName>
    <definedName name="__________CYA1">#REF!</definedName>
    <definedName name="__________CYA10">#REF!</definedName>
    <definedName name="__________CYA11">#REF!</definedName>
    <definedName name="__________CYA2">#REF!</definedName>
    <definedName name="__________CYA3">#REF!</definedName>
    <definedName name="__________CYA4">#REF!</definedName>
    <definedName name="__________CYA5">#REF!</definedName>
    <definedName name="__________CYA6">#REF!</definedName>
    <definedName name="__________CYA7">#REF!</definedName>
    <definedName name="__________CYA8">#REF!</definedName>
    <definedName name="__________CYA9">#REF!</definedName>
    <definedName name="__________LYA12">#REF!</definedName>
    <definedName name="_________CYA1">#REF!</definedName>
    <definedName name="_________CYA10">#REF!</definedName>
    <definedName name="_________CYA11">#REF!</definedName>
    <definedName name="_________CYA2">#REF!</definedName>
    <definedName name="_________CYA3">#REF!</definedName>
    <definedName name="_________CYA4">#REF!</definedName>
    <definedName name="_________CYA5">#REF!</definedName>
    <definedName name="_________CYA6">#REF!</definedName>
    <definedName name="_________CYA7">#REF!</definedName>
    <definedName name="_________CYA8">#REF!</definedName>
    <definedName name="_________CYA9">#REF!</definedName>
    <definedName name="_________LYA12">#REF!</definedName>
    <definedName name="________CYA1">#REF!</definedName>
    <definedName name="________CYA10">#REF!</definedName>
    <definedName name="________CYA11">#REF!</definedName>
    <definedName name="________CYA2">#REF!</definedName>
    <definedName name="________CYA3">#REF!</definedName>
    <definedName name="________CYA4">#REF!</definedName>
    <definedName name="________CYA5">#REF!</definedName>
    <definedName name="________CYA6">#REF!</definedName>
    <definedName name="________CYA7">#REF!</definedName>
    <definedName name="________CYA8">#REF!</definedName>
    <definedName name="________CYA9">#REF!</definedName>
    <definedName name="________LYA12">#REF!</definedName>
    <definedName name="_______CYA1">#REF!</definedName>
    <definedName name="_______CYA10">#REF!</definedName>
    <definedName name="_______CYA11">#REF!</definedName>
    <definedName name="_______CYA2">#REF!</definedName>
    <definedName name="_______CYA3">#REF!</definedName>
    <definedName name="_______CYA4">#REF!</definedName>
    <definedName name="_______CYA5">#REF!</definedName>
    <definedName name="_______CYA6">#REF!</definedName>
    <definedName name="_______CYA7">#REF!</definedName>
    <definedName name="_______CYA8">#REF!</definedName>
    <definedName name="_______CYA9">#REF!</definedName>
    <definedName name="_______LYA12">#REF!</definedName>
    <definedName name="______ACT1">#REF!</definedName>
    <definedName name="______ACT2">#REF!</definedName>
    <definedName name="______ACT3">#REF!</definedName>
    <definedName name="______CYA1">#REF!</definedName>
    <definedName name="______CYA10">#REF!</definedName>
    <definedName name="______CYA11">#REF!</definedName>
    <definedName name="______CYA2">#REF!</definedName>
    <definedName name="______CYA3">#REF!</definedName>
    <definedName name="______CYA4">#REF!</definedName>
    <definedName name="______CYA5">#REF!</definedName>
    <definedName name="______CYA6">#REF!</definedName>
    <definedName name="______CYA7">#REF!</definedName>
    <definedName name="______CYA8">#REF!</definedName>
    <definedName name="______CYA9">#REF!</definedName>
    <definedName name="______LYA12">#REF!</definedName>
    <definedName name="_____ACT1">#REF!</definedName>
    <definedName name="_____ACT2">#REF!</definedName>
    <definedName name="_____ACT3">#REF!</definedName>
    <definedName name="_____CYA1">#REF!</definedName>
    <definedName name="_____CYA10">#REF!</definedName>
    <definedName name="_____CYA11">#REF!</definedName>
    <definedName name="_____CYA2">#REF!</definedName>
    <definedName name="_____CYA3">#REF!</definedName>
    <definedName name="_____CYA4">#REF!</definedName>
    <definedName name="_____CYA5">#REF!</definedName>
    <definedName name="_____CYA6">#REF!</definedName>
    <definedName name="_____CYA7">#REF!</definedName>
    <definedName name="_____CYA8">#REF!</definedName>
    <definedName name="_____CYA9">#REF!</definedName>
    <definedName name="_____LYA12">#REF!</definedName>
    <definedName name="_____MAS95">'[1]95 Plt Mtr (Adj)'!$A$1:$AM$162</definedName>
    <definedName name="_____Sub1">'[1]CWIP (Adj)'!$E$3:$E$49</definedName>
    <definedName name="_____Sub10">'[1]CWIP (Adj)'!$E$422:$E$468</definedName>
    <definedName name="_____Sub11">'[1]CWIP (Adj)'!$E$470:$E$516</definedName>
    <definedName name="_____Sub12">'[1]CWIP (Adj)'!$E$518:$E$564</definedName>
    <definedName name="_____Sub13">'[1]CWIP (Adj)'!$E$566:$E$612</definedName>
    <definedName name="_____Sub2">'[1]CWIP (Adj)'!$E$52:$E$96</definedName>
    <definedName name="_____Sub3">'[1]CWIP (Adj)'!$E$98:$E$142</definedName>
    <definedName name="_____Sub4">'[1]CWIP (Adj)'!$E$144:$E$188</definedName>
    <definedName name="_____Sub5">'[1]CWIP (Adj)'!$E$190:$E$234</definedName>
    <definedName name="_____Sub6">'[1]CWIP (Adj)'!$E$236:$E$280</definedName>
    <definedName name="_____Sub7">'[1]CWIP (Adj)'!$E$282:$E$326</definedName>
    <definedName name="_____Sub8">'[1]CWIP (Adj)'!$E$328:$E$373</definedName>
    <definedName name="_____Sub9">'[1]CWIP (Adj)'!$E$375:$E$420</definedName>
    <definedName name="____ACT1">#REF!</definedName>
    <definedName name="____ACT2">#REF!</definedName>
    <definedName name="____ACT3">#REF!</definedName>
    <definedName name="____CYA1">#REF!</definedName>
    <definedName name="____CYA10">#REF!</definedName>
    <definedName name="____CYA11">#REF!</definedName>
    <definedName name="____CYA2">#REF!</definedName>
    <definedName name="____CYA3">#REF!</definedName>
    <definedName name="____CYA4">#REF!</definedName>
    <definedName name="____CYA5">#REF!</definedName>
    <definedName name="____CYA6">#REF!</definedName>
    <definedName name="____CYA7">#REF!</definedName>
    <definedName name="____CYA8">#REF!</definedName>
    <definedName name="____CYA9">#REF!</definedName>
    <definedName name="____LYA12">#REF!</definedName>
    <definedName name="____MAS95">'[1]95 Plt Mtr (Adj)'!$A$1:$AM$162</definedName>
    <definedName name="____Sub1">'[1]CWIP (Adj)'!$E$3:$E$49</definedName>
    <definedName name="____Sub10">'[1]CWIP (Adj)'!$E$422:$E$468</definedName>
    <definedName name="____Sub11">'[1]CWIP (Adj)'!$E$470:$E$516</definedName>
    <definedName name="____Sub12">'[1]CWIP (Adj)'!$E$518:$E$564</definedName>
    <definedName name="____Sub13">'[1]CWIP (Adj)'!$E$566:$E$612</definedName>
    <definedName name="____Sub2">'[1]CWIP (Adj)'!$E$52:$E$96</definedName>
    <definedName name="____Sub3">'[1]CWIP (Adj)'!$E$98:$E$142</definedName>
    <definedName name="____Sub4">'[1]CWIP (Adj)'!$E$144:$E$188</definedName>
    <definedName name="____Sub5">'[1]CWIP (Adj)'!$E$190:$E$234</definedName>
    <definedName name="____Sub6">'[1]CWIP (Adj)'!$E$236:$E$280</definedName>
    <definedName name="____Sub7">'[1]CWIP (Adj)'!$E$282:$E$326</definedName>
    <definedName name="____Sub8">'[1]CWIP (Adj)'!$E$328:$E$373</definedName>
    <definedName name="____Sub9">'[1]CWIP (Adj)'!$E$375:$E$420</definedName>
    <definedName name="___ACT1">#REF!</definedName>
    <definedName name="___ACT2">#REF!</definedName>
    <definedName name="___ACT3">#REF!</definedName>
    <definedName name="___CYA1">#REF!</definedName>
    <definedName name="___CYA10">#REF!</definedName>
    <definedName name="___CYA11">#REF!</definedName>
    <definedName name="___CYA2">#REF!</definedName>
    <definedName name="___CYA3">#REF!</definedName>
    <definedName name="___CYA4">#REF!</definedName>
    <definedName name="___CYA5">#REF!</definedName>
    <definedName name="___CYA6">#REF!</definedName>
    <definedName name="___CYA7">#REF!</definedName>
    <definedName name="___CYA8">#REF!</definedName>
    <definedName name="___CYA9">#REF!</definedName>
    <definedName name="___LYA12">#REF!</definedName>
    <definedName name="___MAS95">'[1]95 Plt Mtr (Adj)'!$A$1:$AM$162</definedName>
    <definedName name="___Sub1">'[1]CWIP (Adj)'!$E$3:$E$49</definedName>
    <definedName name="___Sub10">'[1]CWIP (Adj)'!$E$422:$E$468</definedName>
    <definedName name="___Sub11">'[1]CWIP (Adj)'!$E$470:$E$516</definedName>
    <definedName name="___Sub12">'[1]CWIP (Adj)'!$E$518:$E$564</definedName>
    <definedName name="___Sub13">'[1]CWIP (Adj)'!$E$566:$E$612</definedName>
    <definedName name="___Sub2">'[1]CWIP (Adj)'!$E$52:$E$96</definedName>
    <definedName name="___Sub3">'[1]CWIP (Adj)'!$E$98:$E$142</definedName>
    <definedName name="___Sub4">'[1]CWIP (Adj)'!$E$144:$E$188</definedName>
    <definedName name="___Sub5">'[1]CWIP (Adj)'!$E$190:$E$234</definedName>
    <definedName name="___Sub6">'[1]CWIP (Adj)'!$E$236:$E$280</definedName>
    <definedName name="___Sub7">'[1]CWIP (Adj)'!$E$282:$E$326</definedName>
    <definedName name="___Sub8">'[1]CWIP (Adj)'!$E$328:$E$373</definedName>
    <definedName name="___Sub9">'[1]CWIP (Adj)'!$E$375:$E$420</definedName>
    <definedName name="__ACT1">#REF!</definedName>
    <definedName name="__ACT2">#REF!</definedName>
    <definedName name="__ACT3">#REF!</definedName>
    <definedName name="__CYA1">#REF!</definedName>
    <definedName name="__CYA10">#REF!</definedName>
    <definedName name="__CYA11">#REF!</definedName>
    <definedName name="__CYA2">#REF!</definedName>
    <definedName name="__CYA3">#REF!</definedName>
    <definedName name="__CYA4">#REF!</definedName>
    <definedName name="__CYA5">#REF!</definedName>
    <definedName name="__CYA6">#REF!</definedName>
    <definedName name="__CYA7">#REF!</definedName>
    <definedName name="__CYA8">#REF!</definedName>
    <definedName name="__CYA9">#REF!</definedName>
    <definedName name="__IntlFixup" hidden="1">TRUE</definedName>
    <definedName name="__LYA1">#REF!</definedName>
    <definedName name="__LYA10">#REF!</definedName>
    <definedName name="__LYA11">#REF!</definedName>
    <definedName name="__LYA12">#REF!</definedName>
    <definedName name="__LYA2">#REF!</definedName>
    <definedName name="__LYA3">#REF!</definedName>
    <definedName name="__LYA4">#REF!</definedName>
    <definedName name="__LYA5">#REF!</definedName>
    <definedName name="__LYA6">#REF!</definedName>
    <definedName name="__LYA7">#REF!</definedName>
    <definedName name="__LYA8">#REF!</definedName>
    <definedName name="__LYA9">#REF!</definedName>
    <definedName name="__MAS95">'[1]95 Plt Mtr (Adj)'!$A$1:$AM$162</definedName>
    <definedName name="__Sub1">'[1]CWIP (Adj)'!$E$3:$E$49</definedName>
    <definedName name="__Sub10">'[1]CWIP (Adj)'!$E$422:$E$468</definedName>
    <definedName name="__Sub11">'[1]CWIP (Adj)'!$E$470:$E$516</definedName>
    <definedName name="__Sub12">'[1]CWIP (Adj)'!$E$518:$E$564</definedName>
    <definedName name="__Sub13">'[1]CWIP (Adj)'!$E$566:$E$612</definedName>
    <definedName name="__Sub2">'[1]CWIP (Adj)'!$E$52:$E$96</definedName>
    <definedName name="__Sub3">'[1]CWIP (Adj)'!$E$98:$E$142</definedName>
    <definedName name="__Sub4">'[1]CWIP (Adj)'!$E$144:$E$188</definedName>
    <definedName name="__Sub5">'[1]CWIP (Adj)'!$E$190:$E$234</definedName>
    <definedName name="__Sub6">'[1]CWIP (Adj)'!$E$236:$E$280</definedName>
    <definedName name="__Sub7">'[1]CWIP (Adj)'!$E$282:$E$326</definedName>
    <definedName name="__Sub8">'[1]CWIP (Adj)'!$E$328:$E$373</definedName>
    <definedName name="__Sub9">'[1]CWIP (Adj)'!$E$375:$E$420</definedName>
    <definedName name="_1">#REF!</definedName>
    <definedName name="_10">#REF!</definedName>
    <definedName name="_11">#REF!</definedName>
    <definedName name="_12">#REF!</definedName>
    <definedName name="_123Graph_g" hidden="1">#REF!</definedName>
    <definedName name="_13">#REF!</definedName>
    <definedName name="_13054">#REF!</definedName>
    <definedName name="_132" hidden="1">#REF!</definedName>
    <definedName name="_132Graph_h" hidden="1">#REF!</definedName>
    <definedName name="_14">#REF!</definedName>
    <definedName name="_15">#REF!</definedName>
    <definedName name="_16">#REF!</definedName>
    <definedName name="_17">#REF!</definedName>
    <definedName name="_18">#REF!</definedName>
    <definedName name="_19">#REF!</definedName>
    <definedName name="_2">#REF!</definedName>
    <definedName name="_20">#REF!</definedName>
    <definedName name="_21">#REF!</definedName>
    <definedName name="_22">#REF!</definedName>
    <definedName name="_23">#REF!</definedName>
    <definedName name="_24">#REF!</definedName>
    <definedName name="_25">#REF!</definedName>
    <definedName name="_26">#REF!</definedName>
    <definedName name="_27">#REF!</definedName>
    <definedName name="_28">#REF!</definedName>
    <definedName name="_29">#REF!</definedName>
    <definedName name="_3">#REF!</definedName>
    <definedName name="_30">#REF!</definedName>
    <definedName name="_31">#REF!</definedName>
    <definedName name="_4">#REF!</definedName>
    <definedName name="_5">#REF!</definedName>
    <definedName name="_6">#REF!</definedName>
    <definedName name="_7">#REF!</definedName>
    <definedName name="_8">#REF!</definedName>
    <definedName name="_9">#REF!</definedName>
    <definedName name="_ACT1" localSheetId="3">#REF!</definedName>
    <definedName name="_ACT1">#REF!</definedName>
    <definedName name="_ACT2" localSheetId="3">#REF!</definedName>
    <definedName name="_ACT2">#REF!</definedName>
    <definedName name="_ACT3" localSheetId="3">#REF!</definedName>
    <definedName name="_ACT3">#REF!</definedName>
    <definedName name="_ACT4">#REF!</definedName>
    <definedName name="_BUN1">#REF!</definedName>
    <definedName name="_BUN3">#REF!</definedName>
    <definedName name="_COS1">#REF!</definedName>
    <definedName name="_COS2">#REF!</definedName>
    <definedName name="_CYA1">#REF!</definedName>
    <definedName name="_CYA10">#REF!</definedName>
    <definedName name="_CYA11">#REF!</definedName>
    <definedName name="_CYA2">#REF!</definedName>
    <definedName name="_CYA3">#REF!</definedName>
    <definedName name="_CYA4">#REF!</definedName>
    <definedName name="_CYA5">#REF!</definedName>
    <definedName name="_CYA6">#REF!</definedName>
    <definedName name="_CYA7">#REF!</definedName>
    <definedName name="_CYA8">#REF!</definedName>
    <definedName name="_CYA9">#REF!</definedName>
    <definedName name="_CYB4">[2]Hidden!$O$11</definedName>
    <definedName name="_CYB5">[2]Hidden!$K$11</definedName>
    <definedName name="_CYB6">[2]Hidden!$H$11</definedName>
    <definedName name="_Fill" hidden="1">#REF!</definedName>
    <definedName name="_xlnm._FilterDatabase" localSheetId="3" hidden="1">'Jefferson Reg Price Out'!$B$5:$AJ$176</definedName>
    <definedName name="_JV100">#REF!</definedName>
    <definedName name="_JV502">#REF!</definedName>
    <definedName name="_Key1" hidden="1">#REF!</definedName>
    <definedName name="_Key2" hidden="1">#REF!</definedName>
    <definedName name="_key5" hidden="1">#REF!</definedName>
    <definedName name="_LYA1">#REF!</definedName>
    <definedName name="_LYA10">#REF!</definedName>
    <definedName name="_LYA11">#REF!</definedName>
    <definedName name="_LYA12">#REF!</definedName>
    <definedName name="_LYA2">#REF!</definedName>
    <definedName name="_LYA3">#REF!</definedName>
    <definedName name="_LYA4">#REF!</definedName>
    <definedName name="_LYA5">#REF!</definedName>
    <definedName name="_LYA6">#REF!</definedName>
    <definedName name="_LYA7">#REF!</definedName>
    <definedName name="_LYA8">#REF!</definedName>
    <definedName name="_LYA9">#REF!</definedName>
    <definedName name="_MAS95">'[1]95 Plt Mtr (Adj)'!$A$1:$AM$162</definedName>
    <definedName name="_max" hidden="1">#REF!</definedName>
    <definedName name="_Mon" hidden="1">#REF!</definedName>
    <definedName name="_Order1" hidden="1">255</definedName>
    <definedName name="_Order2" hidden="1">255</definedName>
    <definedName name="_Order3" hidden="1">0</definedName>
    <definedName name="_PER1">#REF!</definedName>
    <definedName name="_PER2">#REF!</definedName>
    <definedName name="_PER3">#REF!</definedName>
    <definedName name="_PER4">#REF!</definedName>
    <definedName name="_PER5">#REF!</definedName>
    <definedName name="_Regression_Int">0</definedName>
    <definedName name="_res1">#REF!</definedName>
    <definedName name="_res2">#REF!</definedName>
    <definedName name="_res3">#REF!</definedName>
    <definedName name="_res4">#REF!</definedName>
    <definedName name="_res5">#REF!</definedName>
    <definedName name="_SFD1">#REF!</definedName>
    <definedName name="_SFD3">#REF!</definedName>
    <definedName name="_SFV1">#REF!</definedName>
    <definedName name="_SFV4">#REF!</definedName>
    <definedName name="_SHR1">'[3]Customize Your Invoice'!$D$30</definedName>
    <definedName name="_Sort" hidden="1">#REF!</definedName>
    <definedName name="_Sort1" hidden="1">#REF!</definedName>
    <definedName name="_sort3" hidden="1">#REF!</definedName>
    <definedName name="_Sub1">'[1]CWIP (Adj)'!$E$3:$E$49</definedName>
    <definedName name="_Sub10">'[1]CWIP (Adj)'!$E$422:$E$468</definedName>
    <definedName name="_Sub11">'[1]CWIP (Adj)'!$E$470:$E$516</definedName>
    <definedName name="_Sub12">'[1]CWIP (Adj)'!$E$518:$E$564</definedName>
    <definedName name="_Sub13">'[1]CWIP (Adj)'!$E$566:$E$612</definedName>
    <definedName name="_Sub2">'[1]CWIP (Adj)'!$E$52:$E$96</definedName>
    <definedName name="_Sub3">'[1]CWIP (Adj)'!$E$98:$E$142</definedName>
    <definedName name="_Sub4">'[1]CWIP (Adj)'!$E$144:$E$188</definedName>
    <definedName name="_Sub5">'[1]CWIP (Adj)'!$E$190:$E$234</definedName>
    <definedName name="_Sub6">'[1]CWIP (Adj)'!$E$236:$E$280</definedName>
    <definedName name="_Sub7">'[1]CWIP (Adj)'!$E$282:$E$326</definedName>
    <definedName name="_Sub8">'[1]CWIP (Adj)'!$E$328:$E$373</definedName>
    <definedName name="_Sub9">'[1]CWIP (Adj)'!$E$375:$E$420</definedName>
    <definedName name="_tax1">#REF!</definedName>
    <definedName name="_tax2">#REF!</definedName>
    <definedName name="_tax3">#REF!</definedName>
    <definedName name="_tax4">#REF!</definedName>
    <definedName name="a">#REF!</definedName>
    <definedName name="aaaaaaa" localSheetId="4">rank</definedName>
    <definedName name="aaaaaaa">rank</definedName>
    <definedName name="Accounts">#REF!</definedName>
    <definedName name="AccrualThreshold">#REF!</definedName>
    <definedName name="ACCT" localSheetId="3">#REF!</definedName>
    <definedName name="ACCT">#REF!</definedName>
    <definedName name="ACCT.ConsolSum">#REF!</definedName>
    <definedName name="AcctName">#REF!</definedName>
    <definedName name="ACT_CUR" localSheetId="3">#REF!</definedName>
    <definedName name="ACT_CUR">#REF!</definedName>
    <definedName name="ACT_YTD" localSheetId="3">#REF!</definedName>
    <definedName name="ACT_YTD">#REF!</definedName>
    <definedName name="AD">#REF!</definedName>
    <definedName name="adfd" localSheetId="4">rank</definedName>
    <definedName name="adfd">rank</definedName>
    <definedName name="Adjtot1">'[1]CWIP (Adj)'!$I$3:$I$49</definedName>
    <definedName name="Adjtot10">'[1]CWIP (Adj)'!$I$422:$I$468</definedName>
    <definedName name="Adjtot11">'[1]CWIP (Adj)'!$I$470:$I$516</definedName>
    <definedName name="Adjtot12">'[1]CWIP (Adj)'!$I$518:$I$564</definedName>
    <definedName name="Adjtot13">'[1]CWIP (Adj)'!$I$566:$I$612</definedName>
    <definedName name="Adjtot2">'[1]CWIP (Adj)'!$I$52:$I$96</definedName>
    <definedName name="Adjtot3">'[1]CWIP (Adj)'!$I$98:$I$142</definedName>
    <definedName name="Adjtot4">'[1]CWIP (Adj)'!$I$144:$I$188</definedName>
    <definedName name="Adjtot5">'[1]CWIP (Adj)'!$I$190:$I$234</definedName>
    <definedName name="Adjtot6">'[1]CWIP (Adj)'!$I$236:$I$280</definedName>
    <definedName name="Adjtot7">'[1]CWIP (Adj)'!$I$282:$I$326</definedName>
    <definedName name="Adjtot8">'[1]CWIP (Adj)'!$I$328:$I$373</definedName>
    <definedName name="Adjtot9">'[1]CWIP (Adj)'!$I$375:$I$420</definedName>
    <definedName name="ADK">#REF!</definedName>
    <definedName name="afsdfsdfsd">#REF!</definedName>
    <definedName name="ajeRow">#REF!</definedName>
    <definedName name="AmountCount" localSheetId="3">#REF!</definedName>
    <definedName name="AmountCount">#REF!</definedName>
    <definedName name="AmountCount1">#REF!</definedName>
    <definedName name="AmountFrom">#REF!</definedName>
    <definedName name="AmountTo">#REF!</definedName>
    <definedName name="AmountTotal" localSheetId="3">#REF!</definedName>
    <definedName name="AmountTotal">#REF!</definedName>
    <definedName name="AmountTotal1">#REF!</definedName>
    <definedName name="AOK">#REF!</definedName>
    <definedName name="APA">#REF!</definedName>
    <definedName name="APN">#REF!</definedName>
    <definedName name="ASD">#REF!</definedName>
    <definedName name="AST">#REF!</definedName>
    <definedName name="averaging">#REF!</definedName>
    <definedName name="BalanceCheck">#REF!</definedName>
    <definedName name="BaseMonthDate">#REF!</definedName>
    <definedName name="BaseMonthDate2">#REF!</definedName>
    <definedName name="BaseMonthDate3">#REF!</definedName>
    <definedName name="BaseYear">#REF!</definedName>
    <definedName name="BatchCode">#REF!</definedName>
    <definedName name="BEGCELL">#REF!</definedName>
    <definedName name="begin">#REF!</definedName>
    <definedName name="BIGFLUX">#REF!</definedName>
    <definedName name="BookRev">#REF!</definedName>
    <definedName name="BookRev_com">#REF!</definedName>
    <definedName name="BookRev_mfr">#REF!</definedName>
    <definedName name="BookRev_ro">#REF!</definedName>
    <definedName name="BookRev_rr">#REF!</definedName>
    <definedName name="BookRev_yw">#REF!</definedName>
    <definedName name="BoolList">[4]Sheet2!$E$2:$E$3</definedName>
    <definedName name="boxes">#REF!</definedName>
    <definedName name="BREMAIR_COST_of_SERVICE_STUDY" localSheetId="4">#REF!</definedName>
    <definedName name="BREMAIR_COST_of_SERVICE_STUDY" localSheetId="3">#REF!</definedName>
    <definedName name="BREMAIR_COST_of_SERVICE_STUDY">#REF!</definedName>
    <definedName name="Brokerage">#REF!</definedName>
    <definedName name="BUD_CUR" localSheetId="3">#REF!</definedName>
    <definedName name="BUD_CUR">#REF!</definedName>
    <definedName name="BUD_YTD" localSheetId="3">#REF!</definedName>
    <definedName name="BUD_YTD">#REF!</definedName>
    <definedName name="BudYear">#REF!</definedName>
    <definedName name="BUN">#REF!</definedName>
    <definedName name="BusUnitCode">#REF!</definedName>
    <definedName name="BusUnitName">#REF!</definedName>
    <definedName name="button_area_1">#REF!</definedName>
    <definedName name="BUV">#REF!</definedName>
    <definedName name="Calc">#REF!</definedName>
    <definedName name="Calc0">#REF!</definedName>
    <definedName name="Calc1">#REF!</definedName>
    <definedName name="Calc10">#REF!</definedName>
    <definedName name="Calc11">#REF!</definedName>
    <definedName name="Calc12">#REF!</definedName>
    <definedName name="Calc13">#REF!</definedName>
    <definedName name="Calc14">#REF!</definedName>
    <definedName name="Calc15">#REF!</definedName>
    <definedName name="Calc16">#REF!</definedName>
    <definedName name="Calc17">#REF!</definedName>
    <definedName name="Calc18">#REF!</definedName>
    <definedName name="Calc2">#REF!</definedName>
    <definedName name="Calc3">#REF!</definedName>
    <definedName name="Calc4">#REF!</definedName>
    <definedName name="Calc5">#REF!</definedName>
    <definedName name="Calc6">#REF!</definedName>
    <definedName name="Calc7">#REF!</definedName>
    <definedName name="Calc8">#REF!</definedName>
    <definedName name="Calc9">#REF!</definedName>
    <definedName name="CalRecyTons">#REF!</definedName>
    <definedName name="CanCartTons">#REF!</definedName>
    <definedName name="CC">'[3]Customize Your Invoice'!$G$22:$G$25</definedName>
    <definedName name="CCT">#REF!</definedName>
    <definedName name="celltips_area">#REF!</definedName>
    <definedName name="CheckTotals" localSheetId="4">#REF!</definedName>
    <definedName name="CheckTotals" localSheetId="3">#REF!</definedName>
    <definedName name="CheckTotals">#REF!</definedName>
    <definedName name="ClassCode">#REF!</definedName>
    <definedName name="clear">#REF!</definedName>
    <definedName name="CloseDate">#REF!</definedName>
    <definedName name="CoCanTons">#REF!</definedName>
    <definedName name="CoComYd">#REF!</definedName>
    <definedName name="CoCustCnt">#REF!</definedName>
    <definedName name="colgroup">#REF!</definedName>
    <definedName name="colsegment">#REF!</definedName>
    <definedName name="Comments">#REF!:INDEX(#REF!,SUMPRODUCT(--(#REF!&lt;&gt;"")))</definedName>
    <definedName name="CommlStaffPriceOut">#REF!</definedName>
    <definedName name="Company">'[5]40122 JE Query Other Disp'!$R$12</definedName>
    <definedName name="CoMultiYd">#REF!</definedName>
    <definedName name="Consideration">#REF!</definedName>
    <definedName name="ContainerTons">#REF!</definedName>
    <definedName name="ControlNumber">#REF!</definedName>
    <definedName name="COST_OF_SERVICE_STUDY">#REF!</definedName>
    <definedName name="Coststudy">#REF!</definedName>
    <definedName name="CoXtraYds">#REF!</definedName>
    <definedName name="CR">#REF!</definedName>
    <definedName name="CRCTable" localSheetId="4">#REF!</definedName>
    <definedName name="CRCTable" localSheetId="3">#REF!</definedName>
    <definedName name="CRCTable">#REF!</definedName>
    <definedName name="CRCTableOLD" localSheetId="4">#REF!</definedName>
    <definedName name="CRCTableOLD" localSheetId="3">#REF!</definedName>
    <definedName name="CRCTableOLD">#REF!</definedName>
    <definedName name="_xlnm.Criteria">#REF!</definedName>
    <definedName name="CriteriaType">#REF!</definedName>
    <definedName name="CtyCanTons">#REF!</definedName>
    <definedName name="CtyComYd">#REF!</definedName>
    <definedName name="CtyCustCnt">#REF!</definedName>
    <definedName name="CtyMultiYd">#REF!</definedName>
    <definedName name="CtyXtraYds">#REF!</definedName>
    <definedName name="CUR">#REF!</definedName>
    <definedName name="Currency">#REF!</definedName>
    <definedName name="CurrentMonth">#REF!</definedName>
    <definedName name="Cutomers" localSheetId="3">#REF!</definedName>
    <definedName name="Cutomers">#REF!</definedName>
    <definedName name="CWR">#REF!</definedName>
    <definedName name="CWRS">#REF!</definedName>
    <definedName name="CYear">#REF!</definedName>
    <definedName name="CYFApr1">[2]Hidden!$P$11</definedName>
    <definedName name="CYFApr2">[2]Hidden!$L$11</definedName>
    <definedName name="CYFApr3">[2]Hidden!$I$11</definedName>
    <definedName name="CYFMar2">[2]Hidden!$F$11</definedName>
    <definedName name="CYFMar3">[2]Hidden!$E$11</definedName>
    <definedName name="dasd" localSheetId="4">rank</definedName>
    <definedName name="dasd">rank</definedName>
    <definedName name="Data_End_Test">#REF!</definedName>
    <definedName name="Data_Start_Test">#REF!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">#REF!</definedName>
    <definedName name="data28">#REF!</definedName>
    <definedName name="data29">#REF!</definedName>
    <definedName name="data3">#REF!</definedName>
    <definedName name="data30">#REF!</definedName>
    <definedName name="data31">#REF!</definedName>
    <definedName name="data32">#REF!</definedName>
    <definedName name="data33">#REF!</definedName>
    <definedName name="data34">#REF!</definedName>
    <definedName name="data35">#REF!</definedName>
    <definedName name="data36">#REF!</definedName>
    <definedName name="data37">#REF!</definedName>
    <definedName name="data38">#REF!</definedName>
    <definedName name="data39">#REF!</definedName>
    <definedName name="data4">#REF!</definedName>
    <definedName name="data40">#REF!</definedName>
    <definedName name="data41">#REF!</definedName>
    <definedName name="data42">#REF!</definedName>
    <definedName name="data43">#REF!</definedName>
    <definedName name="data44">#REF!</definedName>
    <definedName name="data45">#REF!</definedName>
    <definedName name="data46">#REF!</definedName>
    <definedName name="data47">#REF!</definedName>
    <definedName name="data48">#REF!</definedName>
    <definedName name="data49">#REF!</definedName>
    <definedName name="data5">#REF!</definedName>
    <definedName name="data50">#REF!</definedName>
    <definedName name="data51">#REF!</definedName>
    <definedName name="data52">#REF!</definedName>
    <definedName name="data53">#REF!</definedName>
    <definedName name="data54">#REF!</definedName>
    <definedName name="data55">#REF!</definedName>
    <definedName name="data56">#REF!</definedName>
    <definedName name="data57">#REF!</definedName>
    <definedName name="data58">#REF!</definedName>
    <definedName name="data59">#REF!</definedName>
    <definedName name="data6">#REF!</definedName>
    <definedName name="data60">#REF!</definedName>
    <definedName name="data61">#REF!</definedName>
    <definedName name="data62">#REF!</definedName>
    <definedName name="data63">#REF!</definedName>
    <definedName name="data64">#REF!</definedName>
    <definedName name="data65">#REF!</definedName>
    <definedName name="data66">#REF!</definedName>
    <definedName name="data67">#REF!</definedName>
    <definedName name="data68">#REF!</definedName>
    <definedName name="data69">#REF!</definedName>
    <definedName name="data7">#REF!</definedName>
    <definedName name="data70">#REF!</definedName>
    <definedName name="data8">#REF!</definedName>
    <definedName name="data9">#REF!</definedName>
    <definedName name="_xlnm.Database" localSheetId="4">#REF!</definedName>
    <definedName name="_xlnm.Database" localSheetId="3">#REF!</definedName>
    <definedName name="_xlnm.Database">#REF!</definedName>
    <definedName name="Database_MI">#REF!</definedName>
    <definedName name="Database1" localSheetId="4">#REF!</definedName>
    <definedName name="Database1" localSheetId="3">#REF!</definedName>
    <definedName name="Database1">#REF!</definedName>
    <definedName name="Database2">#REF!</definedName>
    <definedName name="DATE">#REF!</definedName>
    <definedName name="DateFrom">#REF!</definedName>
    <definedName name="DateRange">#REF!</definedName>
    <definedName name="Dates">#REF!</definedName>
    <definedName name="DateTo">#REF!</definedName>
    <definedName name="DAY">#REF!</definedName>
    <definedName name="DBxStaffPriceOut">#REF!</definedName>
    <definedName name="DEBITS">#REF!</definedName>
    <definedName name="debtP">#REF!</definedName>
    <definedName name="DeleteCMReconBook">#REF!</definedName>
    <definedName name="deletion">#REF!</definedName>
    <definedName name="DEPRECIATION">'[6]95 Rsrv-Sch of Depr'!$B$9:$AK$69</definedName>
    <definedName name="DEPT" localSheetId="3">#REF!</definedName>
    <definedName name="DEPT">#REF!</definedName>
    <definedName name="Detail">#REF!</definedName>
    <definedName name="DetailBudYear">#REF!</definedName>
    <definedName name="DetailDistrict">#REF!</definedName>
    <definedName name="dflt3">'[3]Customize Your Invoice'!$D$24</definedName>
    <definedName name="dflt4">'[3]Customize Your Invoice'!$E$26</definedName>
    <definedName name="dflt6">'[3]Customize Your Invoice'!$D$28</definedName>
    <definedName name="display_area_2">#REF!</definedName>
    <definedName name="DispRates">#REF!</definedName>
    <definedName name="Dist">#REF!</definedName>
    <definedName name="District">#REF!</definedName>
    <definedName name="District_1">#REF!</definedName>
    <definedName name="DistrictCode">#REF!</definedName>
    <definedName name="DistrictName">#REF!</definedName>
    <definedName name="DistrictNum" localSheetId="4">#REF!</definedName>
    <definedName name="DistrictNum" localSheetId="3">#REF!</definedName>
    <definedName name="DistrictNum">#REF!</definedName>
    <definedName name="Districts">#REF!</definedName>
    <definedName name="DistrictSelection">#REF!</definedName>
    <definedName name="DistStaffSignOffStatus">#REF!</definedName>
    <definedName name="DivisionSignOffReq">#REF!</definedName>
    <definedName name="DivSignOffStatus">#REF!</definedName>
    <definedName name="dOG">#REF!</definedName>
    <definedName name="drlFilter" localSheetId="4">#REF!</definedName>
    <definedName name="drlFilter">#REF!</definedName>
    <definedName name="End" localSheetId="4">#REF!</definedName>
    <definedName name="End" localSheetId="3">#REF!</definedName>
    <definedName name="End">#REF!</definedName>
    <definedName name="EndOfEntry">#REF!</definedName>
    <definedName name="EndPoint">#REF!</definedName>
    <definedName name="EndTime">#REF!</definedName>
    <definedName name="EntrieShownLimit">#REF!</definedName>
    <definedName name="error">#REF!</definedName>
    <definedName name="ewfw32a" localSheetId="4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ewfw32a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ExcludeIC">#REF!</definedName>
    <definedName name="ExcludeIC_1">#REF!</definedName>
    <definedName name="expenses">#REF!</definedName>
    <definedName name="ExpensesPF1">#REF!</definedName>
    <definedName name="EXT">#REF!</definedName>
    <definedName name="FBTable" localSheetId="4">#REF!</definedName>
    <definedName name="FBTable" localSheetId="3">#REF!</definedName>
    <definedName name="FBTable">#REF!</definedName>
    <definedName name="FBTableOld" localSheetId="4">#REF!</definedName>
    <definedName name="FBTableOld" localSheetId="3">#REF!</definedName>
    <definedName name="FBTableOld">#REF!</definedName>
    <definedName name="fences">#REF!</definedName>
    <definedName name="FICA">#REF!</definedName>
    <definedName name="filter" localSheetId="4">#REF!</definedName>
    <definedName name="filter">#REF!</definedName>
    <definedName name="Financial">#REF!</definedName>
    <definedName name="FIRST">#REF!</definedName>
    <definedName name="First_Day">'[7]May A Week'!#REF!</definedName>
    <definedName name="FirstColCriteria">#REF!</definedName>
    <definedName name="FirstHeaderCriteria">#REF!</definedName>
    <definedName name="flag">#REF!</definedName>
    <definedName name="FLUX">#REF!</definedName>
    <definedName name="Format_Column">#REF!</definedName>
    <definedName name="formata">#REF!</definedName>
    <definedName name="formatb">#REF!</definedName>
    <definedName name="Formula">[8]Formula!$C$5:$D$58</definedName>
    <definedName name="FROM">#REF!</definedName>
    <definedName name="FromMonth">#REF!</definedName>
    <definedName name="FundsApprPend">#REF!</definedName>
    <definedName name="FundsBudUnbud">#REF!</definedName>
    <definedName name="FY">#REF!</definedName>
    <definedName name="GLAccount">#REF!</definedName>
    <definedName name="GLMappingStart" localSheetId="3">#REF!</definedName>
    <definedName name="GLMappingStart">#REF!</definedName>
    <definedName name="GLMappingStart1">#REF!</definedName>
    <definedName name="GRETABLE">#REF!</definedName>
    <definedName name="GrossWeightList">[4]Sheet2!$B$2:$B$23</definedName>
    <definedName name="HasBudAdd">#REF!</definedName>
    <definedName name="HeaderReturnMessage">#REF!</definedName>
    <definedName name="Heading1">#REF!</definedName>
    <definedName name="help">'[1]94 Rsrv Mtr (UnAdj)'!#REF!</definedName>
    <definedName name="IDN">#REF!</definedName>
    <definedName name="IFN">#REF!</definedName>
    <definedName name="Import_Range">#REF!</definedName>
    <definedName name="IncomeStmnt" localSheetId="4">#REF!</definedName>
    <definedName name="IncomeStmnt" localSheetId="3">#REF!</definedName>
    <definedName name="IncomeStmnt">#REF!</definedName>
    <definedName name="Incomplete">[9]JE_Month00!$I$21</definedName>
    <definedName name="INPUT" localSheetId="4">#REF!</definedName>
    <definedName name="INPUT" localSheetId="3">#REF!</definedName>
    <definedName name="INPUT">#REF!</definedName>
    <definedName name="INPUT1">#REF!</definedName>
    <definedName name="INPUTc">#REF!</definedName>
    <definedName name="InsertColRange">#REF!</definedName>
    <definedName name="Insurance" localSheetId="3">#REF!</definedName>
    <definedName name="Insurance">#REF!</definedName>
    <definedName name="INT">#REF!</definedName>
    <definedName name="inter2">#REF!</definedName>
    <definedName name="intercept">#REF!</definedName>
    <definedName name="Invoice_Start">#REF!</definedName>
    <definedName name="InvoiceNumber">#REF!</definedName>
    <definedName name="InvoiceStatus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ItemCount">#REF!</definedName>
    <definedName name="ItemDesc">#REF!</definedName>
    <definedName name="JEDetail" localSheetId="3">#REF!</definedName>
    <definedName name="JEDetail">#REF!</definedName>
    <definedName name="JEDetail1">#REF!</definedName>
    <definedName name="JEType" localSheetId="3">#REF!</definedName>
    <definedName name="JEType">#REF!</definedName>
    <definedName name="JEType1">#REF!</definedName>
    <definedName name="Juris1CanCount">#REF!</definedName>
    <definedName name="Juris1CanTons">#REF!</definedName>
    <definedName name="Juris1ComYd">#REF!</definedName>
    <definedName name="Juris1CustCnt">#REF!</definedName>
    <definedName name="Juris1MultiYd">#REF!</definedName>
    <definedName name="Juris1SeasonalYds">#REF!</definedName>
    <definedName name="Juris1XtraYds">#REF!</definedName>
    <definedName name="Juris2CanCount">#REF!</definedName>
    <definedName name="Juris2CanTons">#REF!</definedName>
    <definedName name="Juris2ComYd">#REF!</definedName>
    <definedName name="Juris2CustCnt">#REF!</definedName>
    <definedName name="Juris2MultiYd">#REF!</definedName>
    <definedName name="Juris2SeasonalYds">#REF!</definedName>
    <definedName name="Juris2XtraYds">#REF!</definedName>
    <definedName name="Juris3CanCount">#REF!</definedName>
    <definedName name="Juris3CanTons">#REF!</definedName>
    <definedName name="Juris3ComYd">#REF!</definedName>
    <definedName name="Juris3CustCnt">#REF!</definedName>
    <definedName name="Juris3MultiYd">#REF!</definedName>
    <definedName name="Juris3SeasonalYds">#REF!</definedName>
    <definedName name="Juris3XtraYds">#REF!</definedName>
    <definedName name="Juris4CanCount">#REF!</definedName>
    <definedName name="Juris4CanTons">#REF!</definedName>
    <definedName name="Juris4ComYd">#REF!</definedName>
    <definedName name="Juris4CustCnt">#REF!</definedName>
    <definedName name="Juris4MultiYd">#REF!</definedName>
    <definedName name="Juris4SeasonalYds">#REF!</definedName>
    <definedName name="Juris4XtraYds">#REF!</definedName>
    <definedName name="Juris5CanCount">#REF!</definedName>
    <definedName name="Juris5CanTons">#REF!</definedName>
    <definedName name="Juris5ComYD">#REF!</definedName>
    <definedName name="Juris5CustCnt">#REF!</definedName>
    <definedName name="Juris5MultiYd">#REF!</definedName>
    <definedName name="Juris5SeasonalYds">#REF!</definedName>
    <definedName name="Juris5XtraYds">#REF!</definedName>
    <definedName name="Jurisdiction_1">#REF!</definedName>
    <definedName name="Jurisdiction_2">#REF!</definedName>
    <definedName name="Jurisdiction_3">#REF!</definedName>
    <definedName name="Jurisdiction_4">#REF!</definedName>
    <definedName name="Jurisdiction_5">#REF!</definedName>
    <definedName name="JV100_2">#REF!</definedName>
    <definedName name="LAST_ROW">#REF!</definedName>
    <definedName name="LastExecutedFor">#REF!</definedName>
    <definedName name="LastSavedOn">#REF!</definedName>
    <definedName name="LastTranxDate">#REF!</definedName>
    <definedName name="lblBillAreaStatus" localSheetId="3">#REF!</definedName>
    <definedName name="lblBillAreaStatus">#REF!</definedName>
    <definedName name="lblBillCycleStatus" localSheetId="3">#REF!</definedName>
    <definedName name="lblBillCycleStatus">#REF!</definedName>
    <definedName name="lblCategoryStatus" localSheetId="3">#REF!</definedName>
    <definedName name="lblCategoryStatus">#REF!</definedName>
    <definedName name="lblCompanyStatus" localSheetId="3">#REF!</definedName>
    <definedName name="lblCompanyStatus">#REF!</definedName>
    <definedName name="lblDatabaseStatus" localSheetId="3">#REF!</definedName>
    <definedName name="lblDatabaseStatus">#REF!</definedName>
    <definedName name="lblPullStatus" localSheetId="3">#REF!</definedName>
    <definedName name="lblPullStatus">#REF!</definedName>
    <definedName name="level">#REF!</definedName>
    <definedName name="LITTLE">#REF!</definedName>
    <definedName name="LITTLE01">'[10]13Mo Average Pl'!$A$1:$I$45</definedName>
    <definedName name="lllllllllllllllllllll" localSheetId="3">#REF!</definedName>
    <definedName name="lllllllllllllllllllll">#REF!</definedName>
    <definedName name="LOB">#REF!</definedName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U_Line">#REF!</definedName>
    <definedName name="Lurito">#REF!</definedName>
    <definedName name="LYN">#REF!</definedName>
    <definedName name="MainDataEnd" localSheetId="3">#REF!</definedName>
    <definedName name="MainDataEnd">#REF!</definedName>
    <definedName name="MainDataEnd2">[11]InvoicesToAccrue!$A$6</definedName>
    <definedName name="MainDataEnd3">[11]MonthReceiptDetail!$A$6</definedName>
    <definedName name="MainDataEnd4">[11]OtherOpen!$A$6</definedName>
    <definedName name="MainDataEnd5">[11]Within7!$A$6</definedName>
    <definedName name="MainDataEndJ">#REF!</definedName>
    <definedName name="MainDataStart" localSheetId="3">#REF!</definedName>
    <definedName name="MainDataStart">#REF!</definedName>
    <definedName name="MainDataStart2">[11]InvoicesToAccrue!$A$4</definedName>
    <definedName name="MainDataStart3">[11]MonthReceiptDetail!$A$4</definedName>
    <definedName name="MainDataStart4">[11]OtherOpen!$A$4</definedName>
    <definedName name="MainDataStart5">[11]Within7!$A$4</definedName>
    <definedName name="MainDataStartJ">#REF!</definedName>
    <definedName name="MapKeyStart" localSheetId="3">#REF!</definedName>
    <definedName name="MapKeyStart">#REF!</definedName>
    <definedName name="master_def" localSheetId="4">#REF!</definedName>
    <definedName name="master_def" localSheetId="3">#REF!</definedName>
    <definedName name="master_def">#REF!</definedName>
    <definedName name="MASTERA">'[1]95 Plt Mtr (Adj)'!$B$12:$AM$161</definedName>
    <definedName name="MASTERD">'[1]95 Rsrv Mtr (UnAdj)'!$C$8:$AM$207</definedName>
    <definedName name="MATRIX">#REF!</definedName>
    <definedName name="MemoAttachment" localSheetId="4">#REF!</definedName>
    <definedName name="MemoAttachment">#REF!</definedName>
    <definedName name="MetaSet" localSheetId="4">#REF!</definedName>
    <definedName name="MetaSet">#REF!</definedName>
    <definedName name="MFStaffPriceOut">#REF!</definedName>
    <definedName name="MILTON">#REF!</definedName>
    <definedName name="MissingAccountList">#REF!</definedName>
    <definedName name="Month">#REF!</definedName>
    <definedName name="MONTH1">#REF!</definedName>
    <definedName name="MONTH2">#REF!</definedName>
    <definedName name="MONTH3">#REF!</definedName>
    <definedName name="MONTH4">#REF!</definedName>
    <definedName name="MONTH5">#REF!</definedName>
    <definedName name="MONTH6">#REF!</definedName>
    <definedName name="MonthList">#REF!</definedName>
    <definedName name="monthlyplcf">#REF!</definedName>
    <definedName name="MORESTUFF">#REF!</definedName>
    <definedName name="MthValue">#REF!</definedName>
    <definedName name="NarrThreshold_Doll">#REF!</definedName>
    <definedName name="NarrThreshold_Perc">#REF!</definedName>
    <definedName name="New">#REF!</definedName>
    <definedName name="NewAccountCheck">#REF!</definedName>
    <definedName name="NewLob">#REF!</definedName>
    <definedName name="NewOnlyOrg">#N/A</definedName>
    <definedName name="NewSource">#REF!</definedName>
    <definedName name="nn">#REF!</definedName>
    <definedName name="NO">#REF!</definedName>
    <definedName name="NONRECAP">#REF!</definedName>
    <definedName name="NOTES" localSheetId="4">#REF!</definedName>
    <definedName name="NOTES" localSheetId="3">#REF!</definedName>
    <definedName name="NOTES">#REF!</definedName>
    <definedName name="NR" localSheetId="4">#REF!</definedName>
    <definedName name="NR">#REF!</definedName>
    <definedName name="number">#REF!</definedName>
    <definedName name="NvsASD">"V2008-12-31"</definedName>
    <definedName name="NvsAutoDrillOk">"VN"</definedName>
    <definedName name="NvsElapsedTime">0.000729166669771075</definedName>
    <definedName name="NvsEndTime">39896.5868402778</definedName>
    <definedName name="NvsEndTime2">39823.1371643519</definedName>
    <definedName name="NvsEndTime3">39918.4137268519</definedName>
    <definedName name="NvsEndTime4">39825.0263078704</definedName>
    <definedName name="NvsEndTime5">39822.9425347222</definedName>
    <definedName name="NvsInstanceHook" localSheetId="4">rank</definedName>
    <definedName name="NvsInstanceHook">rank</definedName>
    <definedName name="NvsInstanceHook1" localSheetId="4">rank</definedName>
    <definedName name="NvsInstanceHook1">rank</definedName>
    <definedName name="NvsInstLang">"VENG"</definedName>
    <definedName name="NvsInstSpec">"%,FBUSINESS_UNIT,V01815"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"V1950-01-01"</definedName>
    <definedName name="NvsPanelSetid">"VWASTE"</definedName>
    <definedName name="NvsReqBU">"V01815"</definedName>
    <definedName name="NvsReqBUOnly">"VY"</definedName>
    <definedName name="NvsTransLed">"VN"</definedName>
    <definedName name="NvsTreeASD">"V2008-12-31"</definedName>
    <definedName name="NvsValTbl.ACCOUNT">"GL_ACCOUNT_TBL"</definedName>
    <definedName name="NvsValTbl.ACCOUNT_SUM">"ZGL_SACCT_VW"</definedName>
    <definedName name="NvsValTbl.ASSET_CLASS">"ASSET_CLASS_TBL"</definedName>
    <definedName name="NvsValTbl.BUSINESS_UNIT">"BUS_UNIT_TBL_GL"</definedName>
    <definedName name="NvsValTbl.CURRENCY_CD">"CURRENCY_CD_TBL"</definedName>
    <definedName name="NvsValTbl.DEPTID">"DEPT_TBL"</definedName>
    <definedName name="NvsValTbl.OPERATING_UNIT">"OPER_UNIT_TBL"</definedName>
    <definedName name="NvsValTbl.PRODUCT">"PRODUCT_TBL"</definedName>
    <definedName name="observations">#REF!</definedName>
    <definedName name="OfficerSalary">#N/A</definedName>
    <definedName name="OffsetAcctBil">#REF!</definedName>
    <definedName name="OffsetAcctPmt">#REF!</definedName>
    <definedName name="Operations">#REF!</definedName>
    <definedName name="OPR">#REF!</definedName>
    <definedName name="Org11_13">#N/A</definedName>
    <definedName name="Org7_10">#N/A</definedName>
    <definedName name="ORIG2GALWT_">#REF!</definedName>
    <definedName name="ORIG2OH">#REF!</definedName>
    <definedName name="OthCanTons">#REF!</definedName>
    <definedName name="OthComYd">#REF!</definedName>
    <definedName name="OthCustCnt">#REF!</definedName>
    <definedName name="OthMultiYd">#REF!</definedName>
    <definedName name="OthXtraYds">#REF!</definedName>
    <definedName name="outliercut">#REF!</definedName>
    <definedName name="p" localSheetId="3">#REF!</definedName>
    <definedName name="p">#REF!</definedName>
    <definedName name="PAGE_1" localSheetId="4">#REF!</definedName>
    <definedName name="PAGE_1" localSheetId="3">#REF!</definedName>
    <definedName name="PAGE_1">#REF!</definedName>
    <definedName name="Page10">#REF!</definedName>
    <definedName name="Page10a">#REF!</definedName>
    <definedName name="page11">#REF!</definedName>
    <definedName name="page12">#REF!</definedName>
    <definedName name="Page16">#REF!</definedName>
    <definedName name="Page17">#REF!</definedName>
    <definedName name="Page18">#REF!</definedName>
    <definedName name="Page20">#REF!</definedName>
    <definedName name="page7">#REF!</definedName>
    <definedName name="Page7a">#REF!</definedName>
    <definedName name="pBatchID" localSheetId="3">#REF!</definedName>
    <definedName name="pBatchID">#REF!</definedName>
    <definedName name="pBillArea" localSheetId="3">#REF!</definedName>
    <definedName name="pBillArea">#REF!</definedName>
    <definedName name="pBillCycle" localSheetId="3">#REF!</definedName>
    <definedName name="pBillCycle">#REF!</definedName>
    <definedName name="pCategory" localSheetId="3">#REF!</definedName>
    <definedName name="pCategory">#REF!</definedName>
    <definedName name="pCompany" localSheetId="3">#REF!</definedName>
    <definedName name="pCompany">#REF!</definedName>
    <definedName name="pCustomerNumber" localSheetId="3">#REF!</definedName>
    <definedName name="pCustomerNumber">#REF!</definedName>
    <definedName name="pDatabase" localSheetId="3">#REF!</definedName>
    <definedName name="pDatabase">#REF!</definedName>
    <definedName name="PED">#REF!</definedName>
    <definedName name="PendingStatus">#REF!</definedName>
    <definedName name="pEndPostDate" localSheetId="3">#REF!</definedName>
    <definedName name="pEndPostDate">#REF!</definedName>
    <definedName name="PER">#REF!</definedName>
    <definedName name="Period" localSheetId="3">#REF!</definedName>
    <definedName name="Period">#REF!</definedName>
    <definedName name="PFREVB4">#REF!</definedName>
    <definedName name="PLANT1">#REF!</definedName>
    <definedName name="PLANT2">#REF!</definedName>
    <definedName name="PLANTAFTER">#REF!</definedName>
    <definedName name="PLANTAFTER01">'[10]13Mo Average Pl'!$A$1:$I$45</definedName>
    <definedName name="pMonth" localSheetId="3">#REF!</definedName>
    <definedName name="pMonth">#REF!</definedName>
    <definedName name="POApprPend">#REF!</definedName>
    <definedName name="POBudUnbud">#REF!</definedName>
    <definedName name="pOnlyShowLastTranx" localSheetId="3">#REF!</definedName>
    <definedName name="pOnlyShowLastTranx">#REF!</definedName>
    <definedName name="POSeqNum">#REF!</definedName>
    <definedName name="Posting">#REF!</definedName>
    <definedName name="POTruckSubTypeLookup">#REF!</definedName>
    <definedName name="ppemeasurement">#REF!</definedName>
    <definedName name="Prepare">#REF!</definedName>
    <definedName name="primtbl">#REF!</definedName>
    <definedName name="_xlnm.Print_Area" localSheetId="4">'DF Schedule'!$A$1:$R$134</definedName>
    <definedName name="_xlnm.Print_Area" localSheetId="3">'Jefferson Reg Price Out'!$B$1:$AH$175</definedName>
    <definedName name="_xlnm.Print_Area" localSheetId="2">'Proposed Rates'!$A$1:$D$109</definedName>
    <definedName name="_xlnm.Print_Area" localSheetId="1">'Staff Calcs '!$A$1:$U$91</definedName>
    <definedName name="_xlnm.Print_Area">#REF!</definedName>
    <definedName name="Print_Area_MI" localSheetId="4">#REF!</definedName>
    <definedName name="Print_Area_MI" localSheetId="3">#REF!</definedName>
    <definedName name="Print_Area_MI">#REF!</definedName>
    <definedName name="Print_Area_MIc">#REF!</definedName>
    <definedName name="Print_Area1" localSheetId="4">#REF!</definedName>
    <definedName name="Print_Area1" localSheetId="3">#REF!</definedName>
    <definedName name="Print_Area1">#REF!</definedName>
    <definedName name="Print_Area11">#REF!</definedName>
    <definedName name="Print_Area2" localSheetId="4">#REF!</definedName>
    <definedName name="Print_Area2" localSheetId="3">#REF!</definedName>
    <definedName name="Print_Area2">#REF!</definedName>
    <definedName name="Print_Area3" localSheetId="4">#REF!</definedName>
    <definedName name="Print_Area3" localSheetId="3">#REF!</definedName>
    <definedName name="Print_Area3">#REF!</definedName>
    <definedName name="Print_Area5" localSheetId="4">#REF!</definedName>
    <definedName name="Print_Area5" localSheetId="3">#REF!</definedName>
    <definedName name="Print_Area5">#REF!</definedName>
    <definedName name="_xlnm.Print_Titles" localSheetId="3">'Jefferson Reg Price Out'!$C:$C</definedName>
    <definedName name="_xlnm.Print_Titles" localSheetId="2">'Proposed Rates'!$1:$6</definedName>
    <definedName name="_xlnm.Print_Titles" localSheetId="1">'Staff Calcs '!$A:$D,'Staff Calcs '!$1:$6</definedName>
    <definedName name="_xlnm.Print_Titles">#REF!</definedName>
    <definedName name="Print_Titles_MI">#REF!</definedName>
    <definedName name="Print1" localSheetId="4">#REF!</definedName>
    <definedName name="Print1" localSheetId="3">#REF!</definedName>
    <definedName name="Print1">#REF!</definedName>
    <definedName name="Print2" localSheetId="4">#REF!</definedName>
    <definedName name="Print2" localSheetId="3">#REF!</definedName>
    <definedName name="Print2">#REF!</definedName>
    <definedName name="Print5" localSheetId="4">#REF!</definedName>
    <definedName name="Print5" localSheetId="3">#REF!</definedName>
    <definedName name="Print5">#REF!</definedName>
    <definedName name="Prnit_Range">#REF!</definedName>
    <definedName name="ProRev">#REF!</definedName>
    <definedName name="ProRev_com">#REF!</definedName>
    <definedName name="ProRev_mfr">#REF!</definedName>
    <definedName name="ProRev_ro">#REF!</definedName>
    <definedName name="ProRev_rr">#REF!</definedName>
    <definedName name="ProRev_yw">#REF!</definedName>
    <definedName name="pServer" localSheetId="3">#REF!</definedName>
    <definedName name="pServer">#REF!</definedName>
    <definedName name="pServiceCode" localSheetId="3">#REF!</definedName>
    <definedName name="pServiceCode">#REF!</definedName>
    <definedName name="pShowAllUnposted" localSheetId="3">#REF!</definedName>
    <definedName name="pShowAllUnposted">#REF!</definedName>
    <definedName name="pShowCustomerDetail" localSheetId="3">#REF!</definedName>
    <definedName name="pShowCustomerDetail">#REF!</definedName>
    <definedName name="pSortOption" localSheetId="3">#REF!</definedName>
    <definedName name="pSortOption">#REF!</definedName>
    <definedName name="pStartPostDate" localSheetId="3">#REF!</definedName>
    <definedName name="pStartPostDate">#REF!</definedName>
    <definedName name="pTransType" localSheetId="3">#REF!</definedName>
    <definedName name="pTransType">#REF!</definedName>
    <definedName name="PYear">#REF!</definedName>
    <definedName name="QtrValue">#REF!</definedName>
    <definedName name="Quarter_Budget">#REF!</definedName>
    <definedName name="Quarter_Month">#REF!</definedName>
    <definedName name="qzqzqz10">#REF!</definedName>
    <definedName name="qzqzqz11">#REF!</definedName>
    <definedName name="qzqzqz12">#REF!</definedName>
    <definedName name="qzqzqz13">#REF!</definedName>
    <definedName name="qzqzqz14">#REF!</definedName>
    <definedName name="qzqzqz15">#REF!</definedName>
    <definedName name="qzqzqz16">#REF!</definedName>
    <definedName name="qzqzqz17">#REF!</definedName>
    <definedName name="qzqzqz18">#REF!</definedName>
    <definedName name="qzqzqz19">#REF!</definedName>
    <definedName name="qzqzqz20">#REF!</definedName>
    <definedName name="qzqzqz21">#REF!</definedName>
    <definedName name="qzqzqz22">#REF!</definedName>
    <definedName name="qzqzqz23">#REF!</definedName>
    <definedName name="qzqzqz24">#REF!</definedName>
    <definedName name="qzqzqz25">#REF!</definedName>
    <definedName name="qzqzqz26">#REF!</definedName>
    <definedName name="qzqzqz27">#REF!</definedName>
    <definedName name="qzqzqz28">#REF!</definedName>
    <definedName name="qzqzqz29">#REF!</definedName>
    <definedName name="qzqzqz30">#REF!</definedName>
    <definedName name="qzqzqz31">#REF!</definedName>
    <definedName name="qzqzqz32">#REF!</definedName>
    <definedName name="qzqzqz6">#REF!</definedName>
    <definedName name="qzqzqz7">#REF!</definedName>
    <definedName name="qzqzqz8">#REF!</definedName>
    <definedName name="qzqzqz9">#REF!</definedName>
    <definedName name="range">#REF!</definedName>
    <definedName name="Range1">#REF!</definedName>
    <definedName name="RBPROFORMAS">#REF!</definedName>
    <definedName name="RBU">#REF!</definedName>
    <definedName name="RCW_81.04.080">#N/A</definedName>
    <definedName name="RECAP">#REF!</definedName>
    <definedName name="RECAP2">#REF!</definedName>
    <definedName name="ReconMonth">#REF!</definedName>
    <definedName name="_xlnm.Recorder">#REF!</definedName>
    <definedName name="RecyDisposal">#N/A</definedName>
    <definedName name="Reg_Cust_Billed_Percent">#REF!</definedName>
    <definedName name="Reg_Cust_Percent">#REF!</definedName>
    <definedName name="Reg_Drive_Percent">#REF!</definedName>
    <definedName name="Reg_Haul_Rev_Percent">#REF!</definedName>
    <definedName name="Reg_Lab_Percent">#REF!</definedName>
    <definedName name="Reg_Steel_Cont_Percent">#REF!</definedName>
    <definedName name="Region">#REF!</definedName>
    <definedName name="RegionSignOffReq">#REF!</definedName>
    <definedName name="RegionSignOffStatus">#REF!</definedName>
    <definedName name="RegulatedIS">#REF!</definedName>
    <definedName name="RelatedSalary">#N/A</definedName>
    <definedName name="report_type" localSheetId="4">#REF!</definedName>
    <definedName name="report_type">#REF!</definedName>
    <definedName name="ReportFormula">#REF!</definedName>
    <definedName name="Reporting_Jurisdiction">#REF!</definedName>
    <definedName name="ReportNames" localSheetId="4">#REF!</definedName>
    <definedName name="ReportNames">#REF!</definedName>
    <definedName name="ReportType">#REF!</definedName>
    <definedName name="ReportVersion" localSheetId="4">#REF!</definedName>
    <definedName name="ReportVersion">#REF!</definedName>
    <definedName name="residential">#REF!</definedName>
    <definedName name="ReslStaffPriceOut">#REF!</definedName>
    <definedName name="RetainedEarnings" localSheetId="3">#REF!</definedName>
    <definedName name="RetainedEarnings">#REF!</definedName>
    <definedName name="RevCust" localSheetId="4">#REF!</definedName>
    <definedName name="RevCust" localSheetId="3">#REF!</definedName>
    <definedName name="RevCust">#REF!</definedName>
    <definedName name="RevCustomer" localSheetId="4">#REF!</definedName>
    <definedName name="RevCustomer">#REF!</definedName>
    <definedName name="REVDETAIL">#REF!</definedName>
    <definedName name="Revenue">#REF!</definedName>
    <definedName name="RevenuePF1">#REF!</definedName>
    <definedName name="Reverse">#REF!</definedName>
    <definedName name="ReviewByMe">#REF!</definedName>
    <definedName name="REVMAT">#REF!</definedName>
    <definedName name="RID">#REF!</definedName>
    <definedName name="rngBodyText">#REF!</definedName>
    <definedName name="RngBottomRight">#REF!</definedName>
    <definedName name="rngColDelChars">#REF!</definedName>
    <definedName name="rngColumnDelete">#REF!</definedName>
    <definedName name="rngCreateLog">#REF!</definedName>
    <definedName name="rngDeleteColumns">#REF!</definedName>
    <definedName name="rngDeleteRows">#REF!</definedName>
    <definedName name="rngEmail">#REF!</definedName>
    <definedName name="rngFileDir">#REF!</definedName>
    <definedName name="rngFileFormat">#REF!</definedName>
    <definedName name="rngFileName">#REF!</definedName>
    <definedName name="rngFilePassword">#REF!</definedName>
    <definedName name="rngPassword">#REF!</definedName>
    <definedName name="rngPasswordProtect">#REF!</definedName>
    <definedName name="rngPrint">#REF!</definedName>
    <definedName name="rngRetainFormulas">#REF!</definedName>
    <definedName name="rngSaveFile">#REF!</definedName>
    <definedName name="rngSourceTab">#REF!</definedName>
    <definedName name="rngSubjectLine">#REF!</definedName>
    <definedName name="rngTabName">#REF!</definedName>
    <definedName name="rngTopLeft">#REF!</definedName>
    <definedName name="ROCE">#REF!,#REF!</definedName>
    <definedName name="rolloff1">#REF!</definedName>
    <definedName name="rolloff2">#REF!</definedName>
    <definedName name="rolloff3">#REF!</definedName>
    <definedName name="rolloff4">#REF!</definedName>
    <definedName name="rolloff5">#REF!</definedName>
    <definedName name="ROW_SUPRESS">#REF!</definedName>
    <definedName name="rowgroup" localSheetId="4">#REF!</definedName>
    <definedName name="rowgroup">#REF!</definedName>
    <definedName name="rowsegment" localSheetId="4">#REF!</definedName>
    <definedName name="rowsegment">#REF!</definedName>
    <definedName name="RptEmailAddress">#REF!</definedName>
    <definedName name="rtr">#REF!</definedName>
    <definedName name="RTT">#REF!</definedName>
    <definedName name="sale">#REF!</definedName>
    <definedName name="SALES_TAX_RETURN">#REF!</definedName>
    <definedName name="Sbst">#REF!</definedName>
    <definedName name="SCN">#REF!</definedName>
    <definedName name="seffasfasdfsd">#REF!</definedName>
    <definedName name="SEPARATE">#REF!</definedName>
    <definedName name="Separation">#REF!</definedName>
    <definedName name="Sequential_Group" localSheetId="4">#REF!</definedName>
    <definedName name="Sequential_Group">#REF!</definedName>
    <definedName name="Sequential_Segment" localSheetId="4">#REF!</definedName>
    <definedName name="Sequential_Segment">#REF!</definedName>
    <definedName name="Sequential_sort" localSheetId="4">#REF!</definedName>
    <definedName name="Sequential_sort">#REF!</definedName>
    <definedName name="Setting_DeprFactor">#REF!</definedName>
    <definedName name="Setting_LFDeplUnitAcct">#REF!</definedName>
    <definedName name="Setting_LFUnitCost">#REF!</definedName>
    <definedName name="Setting_LFUnitCostNY">#REF!</definedName>
    <definedName name="Setting_LFUnitRow">#REF!</definedName>
    <definedName name="SFD">#REF!</definedName>
    <definedName name="SFD_BU">#REF!</definedName>
    <definedName name="SFD_DEPTID">#REF!</definedName>
    <definedName name="SFD_OP">#REF!</definedName>
    <definedName name="SFD_PROD">#REF!</definedName>
    <definedName name="SFD_PROJ">#REF!</definedName>
    <definedName name="sfdbusunit">#REF!</definedName>
    <definedName name="SFV">#REF!</definedName>
    <definedName name="SFV_BU">#REF!</definedName>
    <definedName name="SFV_CUR">#REF!</definedName>
    <definedName name="SFV_CUR1">#REF!</definedName>
    <definedName name="SFV_CUR5">#REF!</definedName>
    <definedName name="SFV_DEPTID">#REF!</definedName>
    <definedName name="SFV_OP">#REF!</definedName>
    <definedName name="SFV_PROD">#REF!</definedName>
    <definedName name="SFV_PROJ">#REF!</definedName>
    <definedName name="ShowHundreds">#REF!</definedName>
    <definedName name="ShowSaved">#REF!</definedName>
    <definedName name="SIC_Table">#REF!</definedName>
    <definedName name="sics">#REF!</definedName>
    <definedName name="slope">#REF!</definedName>
    <definedName name="SLOPE1">#REF!</definedName>
    <definedName name="sort">#REF!</definedName>
    <definedName name="Sort1">#REF!</definedName>
    <definedName name="sortcol" localSheetId="4">#REF!</definedName>
    <definedName name="sortcol" localSheetId="3">#REF!</definedName>
    <definedName name="sortcol">#REF!</definedName>
    <definedName name="Source">#REF!</definedName>
    <definedName name="SPWS_WBID">"115966228744984"</definedName>
    <definedName name="sSRCDate" localSheetId="3">#REF!</definedName>
    <definedName name="sSRCDate">#REF!</definedName>
    <definedName name="start">#REF!</definedName>
    <definedName name="StartOfEntry">#REF!</definedName>
    <definedName name="StartPoint">#REF!</definedName>
    <definedName name="Stop">#REF!</definedName>
    <definedName name="SubSystems">#REF!</definedName>
    <definedName name="SubtypeToTruckType">[12]TruckCenterReference!$C$29:$D$79</definedName>
    <definedName name="SUMM">#REF!</definedName>
    <definedName name="SUMMARY">#REF!</definedName>
    <definedName name="Summary_DistrictName">#REF!</definedName>
    <definedName name="Summary_DistrictNo">#REF!</definedName>
    <definedName name="SUMMARY01">'[10]13Mo Average Pl'!$E$1:$J$45</definedName>
    <definedName name="SUMMARY1">#REF!</definedName>
    <definedName name="Supplemental_filter" localSheetId="4">#REF!</definedName>
    <definedName name="Supplemental_filter">#REF!</definedName>
    <definedName name="SWDisposal">#N/A</definedName>
    <definedName name="Syst">#REF!</definedName>
    <definedName name="System">#REF!</definedName>
    <definedName name="System_1">#REF!</definedName>
    <definedName name="Systems">#REF!</definedName>
    <definedName name="Table_SIC">#REF!</definedName>
    <definedName name="TargetMonths">#REF!</definedName>
    <definedName name="TemplateEnd" localSheetId="3">#REF!</definedName>
    <definedName name="TemplateEnd">#REF!</definedName>
    <definedName name="TemplateStart" localSheetId="3">#REF!</definedName>
    <definedName name="TemplateStart">#REF!</definedName>
    <definedName name="test">#REF!</definedName>
    <definedName name="TheTable" localSheetId="4">#REF!</definedName>
    <definedName name="TheTable" localSheetId="3">#REF!</definedName>
    <definedName name="TheTable">#REF!</definedName>
    <definedName name="TheTableOLD" localSheetId="4">#REF!</definedName>
    <definedName name="TheTableOLD" localSheetId="3">#REF!</definedName>
    <definedName name="TheTableOLD">#REF!</definedName>
    <definedName name="Thousands1">#REF!</definedName>
    <definedName name="Thousands2">#REF!</definedName>
    <definedName name="Thousands3">#REF!</definedName>
    <definedName name="Thousands4">#REF!</definedName>
    <definedName name="timeseries" localSheetId="4">#REF!</definedName>
    <definedName name="timeseries">#REF!</definedName>
    <definedName name="Title2">#REF!</definedName>
    <definedName name="ToMonth">#REF!</definedName>
    <definedName name="Tons">#REF!</definedName>
    <definedName name="TOP">#REF!</definedName>
    <definedName name="TOT">#REF!</definedName>
    <definedName name="Total_Comm">#REF!</definedName>
    <definedName name="Total_DB">#REF!</definedName>
    <definedName name="Total_Interest">#REF!</definedName>
    <definedName name="Total_Resi">#REF!</definedName>
    <definedName name="Totalcapacity">[13]Capacity!$M$22</definedName>
    <definedName name="TotalYards">#REF!</definedName>
    <definedName name="TOTCONT">#REF!</definedName>
    <definedName name="TOTCONTCONT">#REF!</definedName>
    <definedName name="TOTCONTCUST">#REF!</definedName>
    <definedName name="TOTCONTDH">#REF!</definedName>
    <definedName name="TOTCONTREV">#REF!</definedName>
    <definedName name="TOTCONTTH">#REF!</definedName>
    <definedName name="TOTCRECCONT">#REF!</definedName>
    <definedName name="TOTCRECCUST">'[14]Master IS'!#REF!</definedName>
    <definedName name="TOTCRECDH">'[14]Master IS'!#REF!</definedName>
    <definedName name="TOTCRECREV">'[14]Master IS'!#REF!</definedName>
    <definedName name="TOTCRECTDEP">'[14]Master IS'!#REF!</definedName>
    <definedName name="TOTCRECTH">#REF!</definedName>
    <definedName name="TOTCRECTV">'[14]Master IS'!#REF!</definedName>
    <definedName name="TOTCUST">'[14]Master IS'!#REF!</definedName>
    <definedName name="TOTDBCONT">'[14]Master IS'!#REF!</definedName>
    <definedName name="TOTDBCUST">'[14]Master IS'!#REF!</definedName>
    <definedName name="TOTDBDH">'[14]Master IS'!#REF!</definedName>
    <definedName name="TOTDBREV">'[14]Master IS'!#REF!</definedName>
    <definedName name="TOTDBTDEP">'[14]Master IS'!#REF!</definedName>
    <definedName name="TOTDBTH">'[14]Master IS'!#REF!</definedName>
    <definedName name="TOTDBTV">'[14]Master IS'!#REF!</definedName>
    <definedName name="TOTDEBCONT">'[14]Master IS'!#REF!</definedName>
    <definedName name="TOTDEBCUST">'[14]Master IS'!#REF!</definedName>
    <definedName name="TOTDEBDH">'[14]Master IS'!#REF!</definedName>
    <definedName name="TOTDEBREV">'[14]Master IS'!#REF!</definedName>
    <definedName name="TOTDEBTH">#REF!</definedName>
    <definedName name="TOTDH">'[14]Master IS'!#REF!</definedName>
    <definedName name="TOTFELCONT">'[14]Master IS'!#REF!</definedName>
    <definedName name="TOTFELCUST">'[14]Master IS'!#REF!</definedName>
    <definedName name="TOTFELDH">'[14]Master IS'!#REF!</definedName>
    <definedName name="TOTFELREV">'[14]Master IS'!#REF!</definedName>
    <definedName name="TOTFELTDEP">'[14]Master IS'!#REF!</definedName>
    <definedName name="TOTFELTH">'[14]Master IS'!#REF!</definedName>
    <definedName name="TOTFELTV">'[14]Master IS'!#REF!</definedName>
    <definedName name="TOTRESCONT">'[14]Master IS'!#REF!</definedName>
    <definedName name="TOTRESCUST">'[14]Master IS'!#REF!</definedName>
    <definedName name="TOTRESDH">'[14]Master IS'!#REF!</definedName>
    <definedName name="TOTRESRCONT">'[14]Master IS'!#REF!</definedName>
    <definedName name="TOTRESRCUST">'[14]Master IS'!#REF!</definedName>
    <definedName name="TOTRESRDH">'[14]Master IS'!#REF!</definedName>
    <definedName name="TOTRESREV">'[14]Master IS'!#REF!</definedName>
    <definedName name="TOTRESRREV">'[14]Master IS'!#REF!</definedName>
    <definedName name="TOTRESRTDEP">'[14]Master IS'!#REF!</definedName>
    <definedName name="TOTRESRTH">'[14]Master IS'!#REF!</definedName>
    <definedName name="TOTRESRTV">'[14]Master IS'!#REF!</definedName>
    <definedName name="TOTRESTDEP">'[14]Master IS'!#REF!</definedName>
    <definedName name="TOTRESTH">'[14]Master IS'!#REF!</definedName>
    <definedName name="TOTRESTV">'[14]Master IS'!#REF!</definedName>
    <definedName name="TOTREV">'[14]Master IS'!#REF!</definedName>
    <definedName name="TOTTDEP">'[14]Master IS'!#REF!</definedName>
    <definedName name="TOTTH">'[14]Master IS'!#REF!</definedName>
    <definedName name="TOTTV">'[14]Master IS'!#REF!</definedName>
    <definedName name="TOTUNREGCONT">#REF!</definedName>
    <definedName name="TOTUNREGCUST">#REF!</definedName>
    <definedName name="TOTUNREGDH">#REF!</definedName>
    <definedName name="TOTUNREGREV">#REF!</definedName>
    <definedName name="TOTUNREGTH">#REF!</definedName>
    <definedName name="Transactions" localSheetId="3">#REF!</definedName>
    <definedName name="Transactions">#REF!</definedName>
    <definedName name="TYPE">#REF!</definedName>
    <definedName name="TypeSelection">#REF!</definedName>
    <definedName name="UnformattedIS">#REF!</definedName>
    <definedName name="UNID">#REF!</definedName>
    <definedName name="UnregulatedIS">#REF!</definedName>
    <definedName name="UserTestMode">#REF!</definedName>
    <definedName name="ValidFormats">#REF!</definedName>
    <definedName name="variable">#REF!</definedName>
    <definedName name="Variables">#REF!</definedName>
    <definedName name="VarianceStatus">#REF!</definedName>
    <definedName name="VarianceTolerance">#REF!</definedName>
    <definedName name="VendorCode">#REF!</definedName>
    <definedName name="VendorName">#REF!</definedName>
    <definedName name="Version">#REF!</definedName>
    <definedName name="Waste_Connections__Inc.">#REF!</definedName>
    <definedName name="Waste_Management__Inc.">#REF!</definedName>
    <definedName name="WksInYr">#REF!</definedName>
    <definedName name="WM">#REF!</definedName>
    <definedName name="wrn.PrintReview." localSheetId="4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.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2" localSheetId="4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2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PDXAM" localSheetId="4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PDXAM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nPg1_Pg11." localSheetId="4" hidden="1">{"Page1",#N/A,TRUE,"SUMM";"Page2",#N/A,TRUE,"Rev";"Page3",#N/A,TRUE,"Dir_Costs";"Page4",#N/A,TRUE,"G and A Costs";"Page5",#N/A,TRUE,"Itemize";"Page6",#N/A,TRUE,"Cust_Count1";"Page7",#N/A,TRUE,"Cust_Count2";"Page8",#N/A,TRUE,"Rev_Breakdown";"Page9",#N/A,TRUE,"Truck Hours";"Page10",#N/A,TRUE,"Labor Hours";"Page11",#N/A,TRUE,"Container Breakdown"}</definedName>
    <definedName name="wrn.PrnPg1_Pg11." hidden="1">{"Page1",#N/A,TRUE,"SUMM";"Page2",#N/A,TRUE,"Rev";"Page3",#N/A,TRUE,"Dir_Costs";"Page4",#N/A,TRUE,"G and A Costs";"Page5",#N/A,TRUE,"Itemize";"Page6",#N/A,TRUE,"Cust_Count1";"Page7",#N/A,TRUE,"Cust_Count2";"Page8",#N/A,TRUE,"Rev_Breakdown";"Page9",#N/A,TRUE,"Truck Hours";"Page10",#N/A,TRUE,"Labor Hours";"Page11",#N/A,TRUE,"Container Breakdown"}</definedName>
    <definedName name="wrn.test." localSheetId="4" hidden="1">{"Page1",#N/A,TRUE,"SUMM";"Page2",#N/A,TRUE,"Rev";"Page3",#N/A,TRUE,"Dir_Costs"}</definedName>
    <definedName name="wrn.test." hidden="1">{"Page1",#N/A,TRUE,"SUMM";"Page2",#N/A,TRUE,"Rev";"Page3",#N/A,TRUE,"Dir_Costs"}</definedName>
    <definedName name="WTable" localSheetId="4">#REF!</definedName>
    <definedName name="WTable" localSheetId="3">#REF!</definedName>
    <definedName name="WTable">#REF!</definedName>
    <definedName name="WTableOld" localSheetId="4">#REF!</definedName>
    <definedName name="WTableOld" localSheetId="3">#REF!</definedName>
    <definedName name="WTableOld">#REF!</definedName>
    <definedName name="ww" localSheetId="4">#REF!</definedName>
    <definedName name="ww">#REF!</definedName>
    <definedName name="x" localSheetId="4">rank</definedName>
    <definedName name="x">rank</definedName>
    <definedName name="xperiod" localSheetId="4">#REF!</definedName>
    <definedName name="xperiod">#REF!</definedName>
    <definedName name="xtabin" localSheetId="3">#REF!</definedName>
    <definedName name="xtabin">#REF!</definedName>
    <definedName name="xx" localSheetId="4">#REF!</definedName>
    <definedName name="xx" localSheetId="3">#REF!</definedName>
    <definedName name="xx">#REF!</definedName>
    <definedName name="xxx" localSheetId="4">#REF!</definedName>
    <definedName name="xxx">#REF!</definedName>
    <definedName name="xxxx" localSheetId="4">#REF!</definedName>
    <definedName name="xxxx">#REF!</definedName>
    <definedName name="y_inter1">#REF!</definedName>
    <definedName name="y_inter2">#REF!</definedName>
    <definedName name="y_inter3">#REF!</definedName>
    <definedName name="y_inter4">#REF!</definedName>
    <definedName name="Year">#REF!</definedName>
    <definedName name="Year_of_Review">#REF!</definedName>
    <definedName name="YEAR4">#REF!</definedName>
    <definedName name="yearlycf">#REF!</definedName>
    <definedName name="yearlypl">#REF!</definedName>
    <definedName name="YearMonth">#REF!</definedName>
    <definedName name="YearMonth_1">#REF!</definedName>
    <definedName name="YearMonthDate">#REF!</definedName>
    <definedName name="YearMonthDate2">#REF!</definedName>
    <definedName name="YearMonthDate3">#REF!</definedName>
    <definedName name="YearMonthDate4">#REF!</definedName>
    <definedName name="YearMonthDate5">#REF!</definedName>
    <definedName name="years">#REF!</definedName>
    <definedName name="yrCur">#REF!</definedName>
    <definedName name="yrNext">#REF!</definedName>
    <definedName name="YTD">'[1]95 Plt Mtr (Adj)'!$A$164:$AM$184</definedName>
    <definedName name="ytd_95">'[1]95 Rsrv Mtr (UnAdj)'!$A$192:$AM$262</definedName>
    <definedName name="YWMedWasteDisp">#N/A</definedName>
    <definedName name="yy">#REF!</definedName>
    <definedName name="Z_156AD3D1_5094_4CD1_83C8_30E58A5AFCB6_.wvu.PrintArea" localSheetId="4" hidden="1">'DF Schedule'!$A$1:$O$116</definedName>
    <definedName name="Z_591FF4D1_4D4D_4220_B124_BC7A16E8B120_.wvu.PrintArea" localSheetId="4" hidden="1">'DF Schedule'!$A$1:$O$116</definedName>
    <definedName name="Zero_Format">#REF!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75" i="7" l="1"/>
  <c r="S78" i="7" s="1"/>
  <c r="N79" i="7"/>
  <c r="N80" i="7"/>
  <c r="N78" i="7"/>
  <c r="H80" i="7"/>
  <c r="H79" i="7"/>
  <c r="H78" i="7"/>
  <c r="F80" i="7"/>
  <c r="G80" i="7" s="1"/>
  <c r="F79" i="7"/>
  <c r="G79" i="7" s="1"/>
  <c r="F78" i="7"/>
  <c r="G78" i="7" s="1"/>
  <c r="I78" i="7" l="1"/>
  <c r="I80" i="7"/>
  <c r="I79" i="7"/>
  <c r="N82" i="7" l="1"/>
  <c r="H82" i="7"/>
  <c r="F47" i="7"/>
  <c r="N47" i="7"/>
  <c r="H47" i="7"/>
  <c r="N59" i="7"/>
  <c r="H59" i="7"/>
  <c r="F59" i="7"/>
  <c r="N58" i="7"/>
  <c r="N57" i="7"/>
  <c r="F57" i="7"/>
  <c r="F58" i="7"/>
  <c r="H58" i="7"/>
  <c r="H57" i="7"/>
  <c r="N41" i="7"/>
  <c r="N43" i="7"/>
  <c r="H43" i="7"/>
  <c r="F43" i="7"/>
  <c r="N50" i="7"/>
  <c r="H50" i="7"/>
  <c r="F50" i="7"/>
  <c r="N36" i="7"/>
  <c r="H36" i="7"/>
  <c r="F36" i="7"/>
  <c r="N53" i="7"/>
  <c r="N52" i="7"/>
  <c r="N51" i="7"/>
  <c r="H52" i="7"/>
  <c r="H51" i="7"/>
  <c r="H53" i="7"/>
  <c r="F51" i="7"/>
  <c r="F53" i="7"/>
  <c r="F52" i="7"/>
  <c r="N32" i="7"/>
  <c r="H32" i="7"/>
  <c r="F32" i="7"/>
  <c r="N55" i="7"/>
  <c r="N54" i="7"/>
  <c r="H55" i="7"/>
  <c r="H54" i="7"/>
  <c r="F55" i="7"/>
  <c r="F54" i="7"/>
  <c r="N35" i="7"/>
  <c r="H35" i="7"/>
  <c r="F35" i="7"/>
  <c r="AR103" i="14"/>
  <c r="N60" i="7"/>
  <c r="F39" i="7"/>
  <c r="F42" i="7"/>
  <c r="F41" i="7"/>
  <c r="F34" i="7"/>
  <c r="F33" i="7" l="1"/>
  <c r="F46" i="7"/>
  <c r="F45" i="7"/>
  <c r="F38" i="7"/>
  <c r="F31" i="7"/>
  <c r="F48" i="7"/>
  <c r="F49" i="7"/>
  <c r="F56" i="7"/>
  <c r="F62" i="7"/>
  <c r="F61" i="7"/>
  <c r="F60" i="7"/>
  <c r="F44" i="7"/>
  <c r="F37" i="7"/>
  <c r="F30" i="7"/>
  <c r="H60" i="7"/>
  <c r="AR105" i="14"/>
  <c r="N69" i="7"/>
  <c r="N70" i="7"/>
  <c r="H70" i="7"/>
  <c r="H69" i="7"/>
  <c r="F70" i="7"/>
  <c r="G70" i="7" s="1"/>
  <c r="N18" i="7"/>
  <c r="H18" i="7"/>
  <c r="F18" i="7"/>
  <c r="N22" i="7"/>
  <c r="H22" i="7"/>
  <c r="F22" i="7"/>
  <c r="H12" i="7"/>
  <c r="F12" i="7"/>
  <c r="N21" i="7"/>
  <c r="H21" i="7"/>
  <c r="F21" i="7"/>
  <c r="H17" i="7"/>
  <c r="F17" i="7"/>
  <c r="H25" i="7"/>
  <c r="H26" i="7"/>
  <c r="H27" i="7"/>
  <c r="N26" i="7"/>
  <c r="N27" i="7"/>
  <c r="N25" i="7"/>
  <c r="F27" i="7"/>
  <c r="F26" i="7"/>
  <c r="F25" i="7"/>
  <c r="F23" i="7"/>
  <c r="H20" i="7"/>
  <c r="N20" i="7"/>
  <c r="N13" i="7"/>
  <c r="H13" i="7"/>
  <c r="F13" i="7"/>
  <c r="F20" i="7"/>
  <c r="E82" i="7"/>
  <c r="E81" i="7"/>
  <c r="E77" i="7"/>
  <c r="E76" i="7"/>
  <c r="E75" i="7"/>
  <c r="E74" i="7"/>
  <c r="E73" i="7"/>
  <c r="E72" i="7"/>
  <c r="E71" i="7"/>
  <c r="E70" i="7"/>
  <c r="E69" i="7"/>
  <c r="E68" i="7"/>
  <c r="E88" i="7"/>
  <c r="M105" i="15"/>
  <c r="L105" i="15"/>
  <c r="K105" i="15"/>
  <c r="J105" i="15"/>
  <c r="I105" i="15"/>
  <c r="H105" i="15"/>
  <c r="G105" i="15"/>
  <c r="F105" i="15"/>
  <c r="E105" i="15"/>
  <c r="D105" i="15"/>
  <c r="C105" i="15"/>
  <c r="N105" i="15" s="1"/>
  <c r="B105" i="15"/>
  <c r="N104" i="15"/>
  <c r="N103" i="15"/>
  <c r="N97" i="15"/>
  <c r="M95" i="15"/>
  <c r="L95" i="15"/>
  <c r="K95" i="15"/>
  <c r="J95" i="15"/>
  <c r="I95" i="15"/>
  <c r="H95" i="15"/>
  <c r="G95" i="15"/>
  <c r="F95" i="15"/>
  <c r="E95" i="15"/>
  <c r="N95" i="15" s="1"/>
  <c r="D95" i="15"/>
  <c r="C95" i="15"/>
  <c r="B95" i="15"/>
  <c r="N94" i="15"/>
  <c r="N93" i="15"/>
  <c r="N91" i="15"/>
  <c r="N89" i="15"/>
  <c r="N88" i="15"/>
  <c r="N87" i="15"/>
  <c r="N81" i="15"/>
  <c r="Q37" i="15" s="1"/>
  <c r="N79" i="15"/>
  <c r="N78" i="15"/>
  <c r="N77" i="15"/>
  <c r="N73" i="15"/>
  <c r="N71" i="15"/>
  <c r="N70" i="15"/>
  <c r="N69" i="15"/>
  <c r="M55" i="15"/>
  <c r="L55" i="15"/>
  <c r="K55" i="15"/>
  <c r="J55" i="15"/>
  <c r="I55" i="15"/>
  <c r="H55" i="15"/>
  <c r="G55" i="15"/>
  <c r="F55" i="15"/>
  <c r="E55" i="15"/>
  <c r="D55" i="15"/>
  <c r="C55" i="15"/>
  <c r="B55" i="15"/>
  <c r="L54" i="15"/>
  <c r="L56" i="15" s="1"/>
  <c r="L65" i="15" s="1"/>
  <c r="I54" i="15"/>
  <c r="I56" i="15" s="1"/>
  <c r="I65" i="15" s="1"/>
  <c r="D54" i="15"/>
  <c r="D56" i="15" s="1"/>
  <c r="D65" i="15" s="1"/>
  <c r="N50" i="15"/>
  <c r="C49" i="15"/>
  <c r="B49" i="15"/>
  <c r="B48" i="15"/>
  <c r="B47" i="15"/>
  <c r="C45" i="15"/>
  <c r="B45" i="15"/>
  <c r="C44" i="15"/>
  <c r="C47" i="15" s="1"/>
  <c r="N43" i="15"/>
  <c r="N42" i="15"/>
  <c r="Q41" i="15"/>
  <c r="N41" i="15"/>
  <c r="M38" i="15"/>
  <c r="L38" i="15"/>
  <c r="K38" i="15"/>
  <c r="J38" i="15"/>
  <c r="I38" i="15"/>
  <c r="H38" i="15"/>
  <c r="G38" i="15"/>
  <c r="F38" i="15"/>
  <c r="E38" i="15"/>
  <c r="D38" i="15"/>
  <c r="C38" i="15"/>
  <c r="B38" i="15"/>
  <c r="N38" i="15" s="1"/>
  <c r="M37" i="15"/>
  <c r="L37" i="15"/>
  <c r="K37" i="15"/>
  <c r="J37" i="15"/>
  <c r="I37" i="15"/>
  <c r="H37" i="15"/>
  <c r="G37" i="15"/>
  <c r="F37" i="15"/>
  <c r="E37" i="15"/>
  <c r="D37" i="15"/>
  <c r="C37" i="15"/>
  <c r="B37" i="15"/>
  <c r="N37" i="15" s="1"/>
  <c r="M36" i="15"/>
  <c r="L36" i="15"/>
  <c r="K36" i="15"/>
  <c r="J36" i="15"/>
  <c r="I36" i="15"/>
  <c r="H36" i="15"/>
  <c r="G36" i="15"/>
  <c r="F36" i="15"/>
  <c r="E36" i="15"/>
  <c r="D36" i="15"/>
  <c r="C36" i="15"/>
  <c r="C51" i="15" s="1"/>
  <c r="B36" i="15"/>
  <c r="N36" i="15" s="1"/>
  <c r="N39" i="15" s="1"/>
  <c r="N34" i="15"/>
  <c r="N33" i="15"/>
  <c r="M25" i="15"/>
  <c r="L25" i="15"/>
  <c r="K25" i="15"/>
  <c r="J25" i="15"/>
  <c r="I25" i="15"/>
  <c r="H25" i="15"/>
  <c r="G25" i="15"/>
  <c r="F25" i="15"/>
  <c r="E25" i="15"/>
  <c r="N25" i="15" s="1"/>
  <c r="D25" i="15"/>
  <c r="C25" i="15"/>
  <c r="B25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N24" i="15" s="1"/>
  <c r="M23" i="15"/>
  <c r="L23" i="15"/>
  <c r="K23" i="15"/>
  <c r="J23" i="15"/>
  <c r="I23" i="15"/>
  <c r="H23" i="15"/>
  <c r="G23" i="15"/>
  <c r="F23" i="15"/>
  <c r="E23" i="15"/>
  <c r="D23" i="15"/>
  <c r="C23" i="15"/>
  <c r="B23" i="15"/>
  <c r="N23" i="15" s="1"/>
  <c r="M21" i="15"/>
  <c r="L21" i="15"/>
  <c r="K21" i="15"/>
  <c r="J21" i="15"/>
  <c r="I21" i="15"/>
  <c r="H21" i="15"/>
  <c r="G21" i="15"/>
  <c r="F21" i="15"/>
  <c r="E21" i="15"/>
  <c r="D21" i="15"/>
  <c r="C21" i="15"/>
  <c r="C58" i="15" s="1"/>
  <c r="B21" i="15"/>
  <c r="B58" i="15" s="1"/>
  <c r="N19" i="15"/>
  <c r="N18" i="15"/>
  <c r="N17" i="15"/>
  <c r="M14" i="15"/>
  <c r="L14" i="15"/>
  <c r="K14" i="15"/>
  <c r="J14" i="15"/>
  <c r="I14" i="15"/>
  <c r="H14" i="15"/>
  <c r="G14" i="15"/>
  <c r="F14" i="15"/>
  <c r="E14" i="15"/>
  <c r="N14" i="15" s="1"/>
  <c r="D14" i="15"/>
  <c r="C14" i="15"/>
  <c r="B14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N13" i="15" s="1"/>
  <c r="M12" i="15"/>
  <c r="M27" i="15" s="1"/>
  <c r="L12" i="15"/>
  <c r="L27" i="15" s="1"/>
  <c r="K12" i="15"/>
  <c r="K27" i="15" s="1"/>
  <c r="J12" i="15"/>
  <c r="J27" i="15" s="1"/>
  <c r="I12" i="15"/>
  <c r="I27" i="15" s="1"/>
  <c r="H12" i="15"/>
  <c r="H27" i="15" s="1"/>
  <c r="G12" i="15"/>
  <c r="G54" i="15" s="1"/>
  <c r="G56" i="15" s="1"/>
  <c r="G65" i="15" s="1"/>
  <c r="F12" i="15"/>
  <c r="F27" i="15" s="1"/>
  <c r="E12" i="15"/>
  <c r="E27" i="15" s="1"/>
  <c r="D12" i="15"/>
  <c r="D27" i="15" s="1"/>
  <c r="C12" i="15"/>
  <c r="C27" i="15" s="1"/>
  <c r="C62" i="15" s="1"/>
  <c r="B12" i="15"/>
  <c r="N12" i="15" s="1"/>
  <c r="N10" i="15"/>
  <c r="N9" i="15"/>
  <c r="D8" i="15"/>
  <c r="C8" i="15"/>
  <c r="C7" i="15"/>
  <c r="B7" i="15"/>
  <c r="R171" i="14"/>
  <c r="Q171" i="14"/>
  <c r="P171" i="14"/>
  <c r="O171" i="14"/>
  <c r="N171" i="14"/>
  <c r="M171" i="14"/>
  <c r="L171" i="14"/>
  <c r="K171" i="14"/>
  <c r="J171" i="14"/>
  <c r="I171" i="14"/>
  <c r="H171" i="14"/>
  <c r="G171" i="14"/>
  <c r="S170" i="14"/>
  <c r="S169" i="14"/>
  <c r="S168" i="14"/>
  <c r="A168" i="14"/>
  <c r="R162" i="14"/>
  <c r="Q162" i="14"/>
  <c r="P162" i="14"/>
  <c r="O162" i="14"/>
  <c r="N162" i="14"/>
  <c r="M162" i="14"/>
  <c r="L162" i="14"/>
  <c r="K162" i="14"/>
  <c r="J162" i="14"/>
  <c r="I162" i="14"/>
  <c r="H162" i="14"/>
  <c r="G162" i="14"/>
  <c r="S160" i="14"/>
  <c r="A160" i="14"/>
  <c r="R157" i="14"/>
  <c r="Q157" i="14"/>
  <c r="P157" i="14"/>
  <c r="O157" i="14"/>
  <c r="N157" i="14"/>
  <c r="M157" i="14"/>
  <c r="L157" i="14"/>
  <c r="K157" i="14"/>
  <c r="J157" i="14"/>
  <c r="I157" i="14"/>
  <c r="H157" i="14"/>
  <c r="G157" i="14"/>
  <c r="S157" i="14" s="1"/>
  <c r="S153" i="14"/>
  <c r="A153" i="14"/>
  <c r="AO150" i="14"/>
  <c r="AM150" i="14"/>
  <c r="R150" i="14"/>
  <c r="Q150" i="14"/>
  <c r="P150" i="14"/>
  <c r="O150" i="14"/>
  <c r="N150" i="14"/>
  <c r="M150" i="14"/>
  <c r="L150" i="14"/>
  <c r="K150" i="14"/>
  <c r="J150" i="14"/>
  <c r="I150" i="14"/>
  <c r="H150" i="14"/>
  <c r="G150" i="14"/>
  <c r="S150" i="14" s="1"/>
  <c r="AG148" i="14"/>
  <c r="AF148" i="14"/>
  <c r="AE148" i="14"/>
  <c r="AD148" i="14"/>
  <c r="AC148" i="14"/>
  <c r="AB148" i="14"/>
  <c r="AA148" i="14"/>
  <c r="Z148" i="14"/>
  <c r="Y148" i="14"/>
  <c r="X148" i="14"/>
  <c r="W148" i="14"/>
  <c r="V148" i="14"/>
  <c r="S148" i="14"/>
  <c r="A148" i="14"/>
  <c r="AG147" i="14"/>
  <c r="AF147" i="14"/>
  <c r="AE147" i="14"/>
  <c r="AD147" i="14"/>
  <c r="AC147" i="14"/>
  <c r="AB147" i="14"/>
  <c r="AA147" i="14"/>
  <c r="Z147" i="14"/>
  <c r="Y147" i="14"/>
  <c r="X147" i="14"/>
  <c r="W147" i="14"/>
  <c r="V147" i="14"/>
  <c r="S147" i="14"/>
  <c r="A147" i="14"/>
  <c r="AG146" i="14"/>
  <c r="AF146" i="14"/>
  <c r="AE146" i="14"/>
  <c r="AD146" i="14"/>
  <c r="AC146" i="14"/>
  <c r="AB146" i="14"/>
  <c r="AA146" i="14"/>
  <c r="Z146" i="14"/>
  <c r="Y146" i="14"/>
  <c r="X146" i="14"/>
  <c r="W146" i="14"/>
  <c r="V146" i="14"/>
  <c r="AH146" i="14" s="1"/>
  <c r="S146" i="14"/>
  <c r="A146" i="14"/>
  <c r="AG145" i="14"/>
  <c r="AF145" i="14"/>
  <c r="AE145" i="14"/>
  <c r="AD145" i="14"/>
  <c r="AC145" i="14"/>
  <c r="AB145" i="14"/>
  <c r="AA145" i="14"/>
  <c r="Z145" i="14"/>
  <c r="Y145" i="14"/>
  <c r="X145" i="14"/>
  <c r="W145" i="14"/>
  <c r="V145" i="14"/>
  <c r="S145" i="14"/>
  <c r="A145" i="14"/>
  <c r="AG144" i="14"/>
  <c r="AF144" i="14"/>
  <c r="AE144" i="14"/>
  <c r="AD144" i="14"/>
  <c r="AC144" i="14"/>
  <c r="AB144" i="14"/>
  <c r="AA144" i="14"/>
  <c r="Z144" i="14"/>
  <c r="AH144" i="14" s="1"/>
  <c r="AQ144" i="14" s="1"/>
  <c r="Y144" i="14"/>
  <c r="X144" i="14"/>
  <c r="W144" i="14"/>
  <c r="V144" i="14"/>
  <c r="S144" i="14"/>
  <c r="A144" i="14"/>
  <c r="AG143" i="14"/>
  <c r="AF143" i="14"/>
  <c r="AE143" i="14"/>
  <c r="AD143" i="14"/>
  <c r="AC143" i="14"/>
  <c r="AB143" i="14"/>
  <c r="AA143" i="14"/>
  <c r="Z143" i="14"/>
  <c r="Y143" i="14"/>
  <c r="X143" i="14"/>
  <c r="W143" i="14"/>
  <c r="V143" i="14"/>
  <c r="S143" i="14"/>
  <c r="A143" i="14"/>
  <c r="AG142" i="14"/>
  <c r="AF142" i="14"/>
  <c r="AE142" i="14"/>
  <c r="AD142" i="14"/>
  <c r="AC142" i="14"/>
  <c r="AB142" i="14"/>
  <c r="AA142" i="14"/>
  <c r="Z142" i="14"/>
  <c r="Y142" i="14"/>
  <c r="X142" i="14"/>
  <c r="W142" i="14"/>
  <c r="V142" i="14"/>
  <c r="S142" i="14"/>
  <c r="A142" i="14"/>
  <c r="AG141" i="14"/>
  <c r="AF141" i="14"/>
  <c r="AE141" i="14"/>
  <c r="AD141" i="14"/>
  <c r="AC141" i="14"/>
  <c r="AB141" i="14"/>
  <c r="AA141" i="14"/>
  <c r="Z141" i="14"/>
  <c r="Y141" i="14"/>
  <c r="X141" i="14"/>
  <c r="W141" i="14"/>
  <c r="V141" i="14"/>
  <c r="S141" i="14"/>
  <c r="A141" i="14"/>
  <c r="AG140" i="14"/>
  <c r="AF140" i="14"/>
  <c r="AE140" i="14"/>
  <c r="AD140" i="14"/>
  <c r="AC140" i="14"/>
  <c r="AB140" i="14"/>
  <c r="AA140" i="14"/>
  <c r="Z140" i="14"/>
  <c r="Y140" i="14"/>
  <c r="X140" i="14"/>
  <c r="W140" i="14"/>
  <c r="V140" i="14"/>
  <c r="S140" i="14"/>
  <c r="A140" i="14"/>
  <c r="AG139" i="14"/>
  <c r="AF139" i="14"/>
  <c r="AE139" i="14"/>
  <c r="AD139" i="14"/>
  <c r="AC139" i="14"/>
  <c r="AB139" i="14"/>
  <c r="AA139" i="14"/>
  <c r="Z139" i="14"/>
  <c r="Y139" i="14"/>
  <c r="X139" i="14"/>
  <c r="W139" i="14"/>
  <c r="V139" i="14"/>
  <c r="S139" i="14"/>
  <c r="A139" i="14"/>
  <c r="AG138" i="14"/>
  <c r="AF138" i="14"/>
  <c r="AE138" i="14"/>
  <c r="AD138" i="14"/>
  <c r="AC138" i="14"/>
  <c r="AB138" i="14"/>
  <c r="AA138" i="14"/>
  <c r="Z138" i="14"/>
  <c r="Y138" i="14"/>
  <c r="X138" i="14"/>
  <c r="W138" i="14"/>
  <c r="V138" i="14"/>
  <c r="S138" i="14"/>
  <c r="A138" i="14"/>
  <c r="AG137" i="14"/>
  <c r="AF137" i="14"/>
  <c r="AE137" i="14"/>
  <c r="AD137" i="14"/>
  <c r="AC137" i="14"/>
  <c r="AB137" i="14"/>
  <c r="AA137" i="14"/>
  <c r="Z137" i="14"/>
  <c r="Y137" i="14"/>
  <c r="X137" i="14"/>
  <c r="W137" i="14"/>
  <c r="V137" i="14"/>
  <c r="S137" i="14"/>
  <c r="A137" i="14"/>
  <c r="AG136" i="14"/>
  <c r="AF136" i="14"/>
  <c r="AE136" i="14"/>
  <c r="AD136" i="14"/>
  <c r="AC136" i="14"/>
  <c r="AB136" i="14"/>
  <c r="AA136" i="14"/>
  <c r="Z136" i="14"/>
  <c r="Y136" i="14"/>
  <c r="X136" i="14"/>
  <c r="W136" i="14"/>
  <c r="V136" i="14"/>
  <c r="S136" i="14"/>
  <c r="A136" i="14"/>
  <c r="AG135" i="14"/>
  <c r="AF135" i="14"/>
  <c r="AE135" i="14"/>
  <c r="AD135" i="14"/>
  <c r="AC135" i="14"/>
  <c r="AB135" i="14"/>
  <c r="AA135" i="14"/>
  <c r="Z135" i="14"/>
  <c r="Y135" i="14"/>
  <c r="X135" i="14"/>
  <c r="W135" i="14"/>
  <c r="V135" i="14"/>
  <c r="S135" i="14"/>
  <c r="A135" i="14"/>
  <c r="AG134" i="14"/>
  <c r="AF134" i="14"/>
  <c r="AE134" i="14"/>
  <c r="AD134" i="14"/>
  <c r="AC134" i="14"/>
  <c r="AB134" i="14"/>
  <c r="AA134" i="14"/>
  <c r="Z134" i="14"/>
  <c r="Y134" i="14"/>
  <c r="X134" i="14"/>
  <c r="W134" i="14"/>
  <c r="V134" i="14"/>
  <c r="S134" i="14"/>
  <c r="A134" i="14"/>
  <c r="AG133" i="14"/>
  <c r="AF133" i="14"/>
  <c r="AE133" i="14"/>
  <c r="AD133" i="14"/>
  <c r="AC133" i="14"/>
  <c r="AB133" i="14"/>
  <c r="AA133" i="14"/>
  <c r="Z133" i="14"/>
  <c r="Y133" i="14"/>
  <c r="X133" i="14"/>
  <c r="W133" i="14"/>
  <c r="V133" i="14"/>
  <c r="S133" i="14"/>
  <c r="A133" i="14"/>
  <c r="AG132" i="14"/>
  <c r="AF132" i="14"/>
  <c r="AE132" i="14"/>
  <c r="AD132" i="14"/>
  <c r="AC132" i="14"/>
  <c r="AB132" i="14"/>
  <c r="AA132" i="14"/>
  <c r="Z132" i="14"/>
  <c r="Z150" i="14" s="1"/>
  <c r="Y132" i="14"/>
  <c r="X132" i="14"/>
  <c r="W132" i="14"/>
  <c r="V132" i="14"/>
  <c r="S132" i="14"/>
  <c r="A132" i="14"/>
  <c r="AG131" i="14"/>
  <c r="AF131" i="14"/>
  <c r="AE131" i="14"/>
  <c r="AD131" i="14"/>
  <c r="AC131" i="14"/>
  <c r="AB131" i="14"/>
  <c r="AA131" i="14"/>
  <c r="Z131" i="14"/>
  <c r="Y131" i="14"/>
  <c r="X131" i="14"/>
  <c r="W131" i="14"/>
  <c r="V131" i="14"/>
  <c r="S131" i="14"/>
  <c r="A131" i="14"/>
  <c r="AQ125" i="14"/>
  <c r="R125" i="14"/>
  <c r="Q125" i="14"/>
  <c r="P125" i="14"/>
  <c r="O125" i="14"/>
  <c r="N125" i="14"/>
  <c r="M125" i="14"/>
  <c r="L125" i="14"/>
  <c r="K125" i="14"/>
  <c r="J125" i="14"/>
  <c r="I125" i="14"/>
  <c r="H125" i="14"/>
  <c r="G125" i="14"/>
  <c r="AG123" i="14"/>
  <c r="AF123" i="14"/>
  <c r="AE123" i="14"/>
  <c r="AD123" i="14"/>
  <c r="AC123" i="14"/>
  <c r="AB123" i="14"/>
  <c r="AA123" i="14"/>
  <c r="Z123" i="14"/>
  <c r="Y123" i="14"/>
  <c r="X123" i="14"/>
  <c r="W123" i="14"/>
  <c r="V123" i="14"/>
  <c r="S123" i="14"/>
  <c r="A123" i="14"/>
  <c r="AG122" i="14"/>
  <c r="AF122" i="14"/>
  <c r="AE122" i="14"/>
  <c r="AD122" i="14"/>
  <c r="AC122" i="14"/>
  <c r="AB122" i="14"/>
  <c r="AA122" i="14"/>
  <c r="Z122" i="14"/>
  <c r="Y122" i="14"/>
  <c r="X122" i="14"/>
  <c r="W122" i="14"/>
  <c r="V122" i="14"/>
  <c r="S122" i="14"/>
  <c r="A122" i="14"/>
  <c r="AG121" i="14"/>
  <c r="AF121" i="14"/>
  <c r="AE121" i="14"/>
  <c r="AD121" i="14"/>
  <c r="AC121" i="14"/>
  <c r="AB121" i="14"/>
  <c r="AA121" i="14"/>
  <c r="Z121" i="14"/>
  <c r="Y121" i="14"/>
  <c r="X121" i="14"/>
  <c r="W121" i="14"/>
  <c r="V121" i="14"/>
  <c r="S121" i="14"/>
  <c r="A121" i="14"/>
  <c r="AG120" i="14"/>
  <c r="AF120" i="14"/>
  <c r="AE120" i="14"/>
  <c r="AD120" i="14"/>
  <c r="AC120" i="14"/>
  <c r="AB120" i="14"/>
  <c r="AA120" i="14"/>
  <c r="Z120" i="14"/>
  <c r="Y120" i="14"/>
  <c r="X120" i="14"/>
  <c r="W120" i="14"/>
  <c r="V120" i="14"/>
  <c r="S120" i="14"/>
  <c r="A120" i="14"/>
  <c r="AG119" i="14"/>
  <c r="AF119" i="14"/>
  <c r="AE119" i="14"/>
  <c r="AD119" i="14"/>
  <c r="AC119" i="14"/>
  <c r="AB119" i="14"/>
  <c r="AA119" i="14"/>
  <c r="Z119" i="14"/>
  <c r="Y119" i="14"/>
  <c r="X119" i="14"/>
  <c r="W119" i="14"/>
  <c r="V119" i="14"/>
  <c r="S119" i="14"/>
  <c r="A119" i="14"/>
  <c r="AG118" i="14"/>
  <c r="AF118" i="14"/>
  <c r="AE118" i="14"/>
  <c r="AD118" i="14"/>
  <c r="AC118" i="14"/>
  <c r="AB118" i="14"/>
  <c r="AA118" i="14"/>
  <c r="Z118" i="14"/>
  <c r="Y118" i="14"/>
  <c r="X118" i="14"/>
  <c r="W118" i="14"/>
  <c r="V118" i="14"/>
  <c r="S118" i="14"/>
  <c r="A118" i="14"/>
  <c r="AG117" i="14"/>
  <c r="AD117" i="14"/>
  <c r="Y117" i="14"/>
  <c r="V117" i="14"/>
  <c r="S117" i="14"/>
  <c r="D117" i="14"/>
  <c r="AC117" i="14" s="1"/>
  <c r="A117" i="14"/>
  <c r="AG116" i="14"/>
  <c r="AF116" i="14"/>
  <c r="AE116" i="14"/>
  <c r="AD116" i="14"/>
  <c r="AC116" i="14"/>
  <c r="AB116" i="14"/>
  <c r="AA116" i="14"/>
  <c r="Z116" i="14"/>
  <c r="Y116" i="14"/>
  <c r="X116" i="14"/>
  <c r="W116" i="14"/>
  <c r="V116" i="14"/>
  <c r="S116" i="14"/>
  <c r="A116" i="14"/>
  <c r="AG115" i="14"/>
  <c r="AF115" i="14"/>
  <c r="AE115" i="14"/>
  <c r="AD115" i="14"/>
  <c r="AC115" i="14"/>
  <c r="AB115" i="14"/>
  <c r="AA115" i="14"/>
  <c r="Z115" i="14"/>
  <c r="Y115" i="14"/>
  <c r="X115" i="14"/>
  <c r="W115" i="14"/>
  <c r="V115" i="14"/>
  <c r="S115" i="14"/>
  <c r="A115" i="14"/>
  <c r="AG114" i="14"/>
  <c r="AF114" i="14"/>
  <c r="AE114" i="14"/>
  <c r="AD114" i="14"/>
  <c r="AC114" i="14"/>
  <c r="AB114" i="14"/>
  <c r="AA114" i="14"/>
  <c r="Z114" i="14"/>
  <c r="Y114" i="14"/>
  <c r="X114" i="14"/>
  <c r="W114" i="14"/>
  <c r="V114" i="14"/>
  <c r="S114" i="14"/>
  <c r="A114" i="14"/>
  <c r="AG113" i="14"/>
  <c r="AF113" i="14"/>
  <c r="AE113" i="14"/>
  <c r="AD113" i="14"/>
  <c r="AC113" i="14"/>
  <c r="AB113" i="14"/>
  <c r="AA113" i="14"/>
  <c r="Z113" i="14"/>
  <c r="Y113" i="14"/>
  <c r="X113" i="14"/>
  <c r="W113" i="14"/>
  <c r="V113" i="14"/>
  <c r="S113" i="14"/>
  <c r="A113" i="14"/>
  <c r="AG112" i="14"/>
  <c r="AF112" i="14"/>
  <c r="AE112" i="14"/>
  <c r="AD112" i="14"/>
  <c r="AC112" i="14"/>
  <c r="AB112" i="14"/>
  <c r="AA112" i="14"/>
  <c r="Z112" i="14"/>
  <c r="Y112" i="14"/>
  <c r="X112" i="14"/>
  <c r="W112" i="14"/>
  <c r="V112" i="14"/>
  <c r="S112" i="14"/>
  <c r="A112" i="14"/>
  <c r="AG111" i="14"/>
  <c r="AF111" i="14"/>
  <c r="AE111" i="14"/>
  <c r="AD111" i="14"/>
  <c r="AC111" i="14"/>
  <c r="AB111" i="14"/>
  <c r="AA111" i="14"/>
  <c r="Z111" i="14"/>
  <c r="Y111" i="14"/>
  <c r="X111" i="14"/>
  <c r="W111" i="14"/>
  <c r="V111" i="14"/>
  <c r="S111" i="14"/>
  <c r="A111" i="14"/>
  <c r="AG110" i="14"/>
  <c r="AF110" i="14"/>
  <c r="AE110" i="14"/>
  <c r="AD110" i="14"/>
  <c r="AC110" i="14"/>
  <c r="AB110" i="14"/>
  <c r="AA110" i="14"/>
  <c r="Z110" i="14"/>
  <c r="Y110" i="14"/>
  <c r="X110" i="14"/>
  <c r="W110" i="14"/>
  <c r="V110" i="14"/>
  <c r="S110" i="14"/>
  <c r="A110" i="14"/>
  <c r="AG109" i="14"/>
  <c r="AF109" i="14"/>
  <c r="AE109" i="14"/>
  <c r="AD109" i="14"/>
  <c r="AC109" i="14"/>
  <c r="AB109" i="14"/>
  <c r="AA109" i="14"/>
  <c r="Z109" i="14"/>
  <c r="Y109" i="14"/>
  <c r="X109" i="14"/>
  <c r="W109" i="14"/>
  <c r="V109" i="14"/>
  <c r="S109" i="14"/>
  <c r="A109" i="14"/>
  <c r="AG108" i="14"/>
  <c r="AF108" i="14"/>
  <c r="AE108" i="14"/>
  <c r="AD108" i="14"/>
  <c r="AC108" i="14"/>
  <c r="AB108" i="14"/>
  <c r="AA108" i="14"/>
  <c r="Z108" i="14"/>
  <c r="Y108" i="14"/>
  <c r="X108" i="14"/>
  <c r="W108" i="14"/>
  <c r="V108" i="14"/>
  <c r="S108" i="14"/>
  <c r="A108" i="14"/>
  <c r="AC107" i="14"/>
  <c r="V107" i="14"/>
  <c r="S107" i="14"/>
  <c r="D107" i="14"/>
  <c r="AD107" i="14" s="1"/>
  <c r="A107" i="14"/>
  <c r="AG106" i="14"/>
  <c r="AF106" i="14"/>
  <c r="AE106" i="14"/>
  <c r="AD106" i="14"/>
  <c r="AC106" i="14"/>
  <c r="AB106" i="14"/>
  <c r="AA106" i="14"/>
  <c r="Z106" i="14"/>
  <c r="Y106" i="14"/>
  <c r="X106" i="14"/>
  <c r="W106" i="14"/>
  <c r="V106" i="14"/>
  <c r="S106" i="14"/>
  <c r="A106" i="14"/>
  <c r="AG105" i="14"/>
  <c r="AF105" i="14"/>
  <c r="AE105" i="14"/>
  <c r="AD105" i="14"/>
  <c r="AC105" i="14"/>
  <c r="AB105" i="14"/>
  <c r="AA105" i="14"/>
  <c r="Z105" i="14"/>
  <c r="Y105" i="14"/>
  <c r="X105" i="14"/>
  <c r="W105" i="14"/>
  <c r="V105" i="14"/>
  <c r="S105" i="14"/>
  <c r="A105" i="14"/>
  <c r="S104" i="14"/>
  <c r="D104" i="14"/>
  <c r="AC104" i="14" s="1"/>
  <c r="A104" i="14"/>
  <c r="AG103" i="14"/>
  <c r="AF103" i="14"/>
  <c r="AE103" i="14"/>
  <c r="AD103" i="14"/>
  <c r="AC103" i="14"/>
  <c r="AB103" i="14"/>
  <c r="AA103" i="14"/>
  <c r="Z103" i="14"/>
  <c r="Y103" i="14"/>
  <c r="X103" i="14"/>
  <c r="W103" i="14"/>
  <c r="V103" i="14"/>
  <c r="S103" i="14"/>
  <c r="A103" i="14"/>
  <c r="AG102" i="14"/>
  <c r="AF102" i="14"/>
  <c r="AE102" i="14"/>
  <c r="AD102" i="14"/>
  <c r="AC102" i="14"/>
  <c r="AB102" i="14"/>
  <c r="AA102" i="14"/>
  <c r="Z102" i="14"/>
  <c r="Y102" i="14"/>
  <c r="X102" i="14"/>
  <c r="W102" i="14"/>
  <c r="V102" i="14"/>
  <c r="S102" i="14"/>
  <c r="A102" i="14"/>
  <c r="AG101" i="14"/>
  <c r="AF101" i="14"/>
  <c r="AE101" i="14"/>
  <c r="AD101" i="14"/>
  <c r="AC101" i="14"/>
  <c r="AB101" i="14"/>
  <c r="AA101" i="14"/>
  <c r="Z101" i="14"/>
  <c r="Y101" i="14"/>
  <c r="X101" i="14"/>
  <c r="W101" i="14"/>
  <c r="V101" i="14"/>
  <c r="S101" i="14"/>
  <c r="A101" i="14"/>
  <c r="AG100" i="14"/>
  <c r="AF100" i="14"/>
  <c r="AE100" i="14"/>
  <c r="AD100" i="14"/>
  <c r="AC100" i="14"/>
  <c r="AB100" i="14"/>
  <c r="AA100" i="14"/>
  <c r="Z100" i="14"/>
  <c r="Y100" i="14"/>
  <c r="X100" i="14"/>
  <c r="W100" i="14"/>
  <c r="V100" i="14"/>
  <c r="S100" i="14"/>
  <c r="A100" i="14"/>
  <c r="AG99" i="14"/>
  <c r="AF99" i="14"/>
  <c r="AE99" i="14"/>
  <c r="AD99" i="14"/>
  <c r="AC99" i="14"/>
  <c r="AB99" i="14"/>
  <c r="AA99" i="14"/>
  <c r="Z99" i="14"/>
  <c r="Y99" i="14"/>
  <c r="X99" i="14"/>
  <c r="W99" i="14"/>
  <c r="V99" i="14"/>
  <c r="S99" i="14"/>
  <c r="A99" i="14"/>
  <c r="AG98" i="14"/>
  <c r="AF98" i="14"/>
  <c r="AE98" i="14"/>
  <c r="AD98" i="14"/>
  <c r="AC98" i="14"/>
  <c r="AB98" i="14"/>
  <c r="AA98" i="14"/>
  <c r="Z98" i="14"/>
  <c r="Y98" i="14"/>
  <c r="X98" i="14"/>
  <c r="W98" i="14"/>
  <c r="V98" i="14"/>
  <c r="S98" i="14"/>
  <c r="A98" i="14"/>
  <c r="AG97" i="14"/>
  <c r="AF97" i="14"/>
  <c r="AE97" i="14"/>
  <c r="AD97" i="14"/>
  <c r="AC97" i="14"/>
  <c r="AB97" i="14"/>
  <c r="AA97" i="14"/>
  <c r="Z97" i="14"/>
  <c r="Y97" i="14"/>
  <c r="X97" i="14"/>
  <c r="W97" i="14"/>
  <c r="V97" i="14"/>
  <c r="S97" i="14"/>
  <c r="A97" i="14"/>
  <c r="AG96" i="14"/>
  <c r="AF96" i="14"/>
  <c r="AE96" i="14"/>
  <c r="AD96" i="14"/>
  <c r="AC96" i="14"/>
  <c r="AB96" i="14"/>
  <c r="AA96" i="14"/>
  <c r="Z96" i="14"/>
  <c r="Y96" i="14"/>
  <c r="X96" i="14"/>
  <c r="W96" i="14"/>
  <c r="V96" i="14"/>
  <c r="S96" i="14"/>
  <c r="A96" i="14"/>
  <c r="AG95" i="14"/>
  <c r="AF95" i="14"/>
  <c r="AE95" i="14"/>
  <c r="AD95" i="14"/>
  <c r="AC95" i="14"/>
  <c r="AB95" i="14"/>
  <c r="AA95" i="14"/>
  <c r="Z95" i="14"/>
  <c r="Y95" i="14"/>
  <c r="X95" i="14"/>
  <c r="W95" i="14"/>
  <c r="V95" i="14"/>
  <c r="S95" i="14"/>
  <c r="A95" i="14"/>
  <c r="AG94" i="14"/>
  <c r="AF94" i="14"/>
  <c r="AE94" i="14"/>
  <c r="AD94" i="14"/>
  <c r="AC94" i="14"/>
  <c r="AB94" i="14"/>
  <c r="AA94" i="14"/>
  <c r="Z94" i="14"/>
  <c r="Y94" i="14"/>
  <c r="X94" i="14"/>
  <c r="W94" i="14"/>
  <c r="V94" i="14"/>
  <c r="S94" i="14"/>
  <c r="A94" i="14"/>
  <c r="AG93" i="14"/>
  <c r="AF93" i="14"/>
  <c r="AE93" i="14"/>
  <c r="AD93" i="14"/>
  <c r="AC93" i="14"/>
  <c r="AB93" i="14"/>
  <c r="AA93" i="14"/>
  <c r="Z93" i="14"/>
  <c r="Y93" i="14"/>
  <c r="X93" i="14"/>
  <c r="W93" i="14"/>
  <c r="V93" i="14"/>
  <c r="S93" i="14"/>
  <c r="A93" i="14"/>
  <c r="AG92" i="14"/>
  <c r="AF92" i="14"/>
  <c r="AE92" i="14"/>
  <c r="AD92" i="14"/>
  <c r="AC92" i="14"/>
  <c r="AB92" i="14"/>
  <c r="AA92" i="14"/>
  <c r="Z92" i="14"/>
  <c r="Y92" i="14"/>
  <c r="X92" i="14"/>
  <c r="W92" i="14"/>
  <c r="V92" i="14"/>
  <c r="S92" i="14"/>
  <c r="A92" i="14"/>
  <c r="AG91" i="14"/>
  <c r="AF91" i="14"/>
  <c r="AE91" i="14"/>
  <c r="AD91" i="14"/>
  <c r="AC91" i="14"/>
  <c r="AB91" i="14"/>
  <c r="AA91" i="14"/>
  <c r="Z91" i="14"/>
  <c r="Y91" i="14"/>
  <c r="X91" i="14"/>
  <c r="W91" i="14"/>
  <c r="V91" i="14"/>
  <c r="S91" i="14"/>
  <c r="A91" i="14"/>
  <c r="AG90" i="14"/>
  <c r="AF90" i="14"/>
  <c r="AE90" i="14"/>
  <c r="AD90" i="14"/>
  <c r="AC90" i="14"/>
  <c r="AB90" i="14"/>
  <c r="AA90" i="14"/>
  <c r="Z90" i="14"/>
  <c r="Y90" i="14"/>
  <c r="AH90" i="14" s="1"/>
  <c r="X90" i="14"/>
  <c r="W90" i="14"/>
  <c r="V90" i="14"/>
  <c r="S90" i="14"/>
  <c r="A90" i="14"/>
  <c r="AG89" i="14"/>
  <c r="AF89" i="14"/>
  <c r="AE89" i="14"/>
  <c r="AD89" i="14"/>
  <c r="AC89" i="14"/>
  <c r="AB89" i="14"/>
  <c r="AA89" i="14"/>
  <c r="Z89" i="14"/>
  <c r="Y89" i="14"/>
  <c r="X89" i="14"/>
  <c r="W89" i="14"/>
  <c r="V89" i="14"/>
  <c r="S89" i="14"/>
  <c r="A89" i="14"/>
  <c r="AG88" i="14"/>
  <c r="AF88" i="14"/>
  <c r="AE88" i="14"/>
  <c r="AD88" i="14"/>
  <c r="AC88" i="14"/>
  <c r="AB88" i="14"/>
  <c r="AA88" i="14"/>
  <c r="Z88" i="14"/>
  <c r="Y88" i="14"/>
  <c r="X88" i="14"/>
  <c r="W88" i="14"/>
  <c r="V88" i="14"/>
  <c r="S88" i="14"/>
  <c r="A88" i="14"/>
  <c r="AG87" i="14"/>
  <c r="AF87" i="14"/>
  <c r="AE87" i="14"/>
  <c r="AD87" i="14"/>
  <c r="AC87" i="14"/>
  <c r="AB87" i="14"/>
  <c r="AA87" i="14"/>
  <c r="Z87" i="14"/>
  <c r="Y87" i="14"/>
  <c r="X87" i="14"/>
  <c r="W87" i="14"/>
  <c r="V87" i="14"/>
  <c r="S87" i="14"/>
  <c r="A87" i="14"/>
  <c r="AG86" i="14"/>
  <c r="AF86" i="14"/>
  <c r="AE86" i="14"/>
  <c r="AD86" i="14"/>
  <c r="AC86" i="14"/>
  <c r="AB86" i="14"/>
  <c r="AA86" i="14"/>
  <c r="Z86" i="14"/>
  <c r="Y86" i="14"/>
  <c r="X86" i="14"/>
  <c r="W86" i="14"/>
  <c r="V86" i="14"/>
  <c r="S86" i="14"/>
  <c r="A86" i="14"/>
  <c r="AG85" i="14"/>
  <c r="AF85" i="14"/>
  <c r="AE85" i="14"/>
  <c r="AD85" i="14"/>
  <c r="AC85" i="14"/>
  <c r="AB85" i="14"/>
  <c r="AA85" i="14"/>
  <c r="Z85" i="14"/>
  <c r="Y85" i="14"/>
  <c r="X85" i="14"/>
  <c r="W85" i="14"/>
  <c r="V85" i="14"/>
  <c r="S85" i="14"/>
  <c r="A85" i="14"/>
  <c r="AG84" i="14"/>
  <c r="AF84" i="14"/>
  <c r="AE84" i="14"/>
  <c r="AD84" i="14"/>
  <c r="AC84" i="14"/>
  <c r="AB84" i="14"/>
  <c r="AA84" i="14"/>
  <c r="Z84" i="14"/>
  <c r="Y84" i="14"/>
  <c r="X84" i="14"/>
  <c r="W84" i="14"/>
  <c r="V84" i="14"/>
  <c r="S84" i="14"/>
  <c r="A84" i="14"/>
  <c r="AG83" i="14"/>
  <c r="AF83" i="14"/>
  <c r="AE83" i="14"/>
  <c r="AD83" i="14"/>
  <c r="AC83" i="14"/>
  <c r="AB83" i="14"/>
  <c r="AA83" i="14"/>
  <c r="Z83" i="14"/>
  <c r="Y83" i="14"/>
  <c r="X83" i="14"/>
  <c r="W83" i="14"/>
  <c r="V83" i="14"/>
  <c r="S83" i="14"/>
  <c r="A83" i="14"/>
  <c r="AG82" i="14"/>
  <c r="AF82" i="14"/>
  <c r="AE82" i="14"/>
  <c r="AD82" i="14"/>
  <c r="AC82" i="14"/>
  <c r="AB82" i="14"/>
  <c r="AA82" i="14"/>
  <c r="Z82" i="14"/>
  <c r="Y82" i="14"/>
  <c r="X82" i="14"/>
  <c r="W82" i="14"/>
  <c r="V82" i="14"/>
  <c r="S82" i="14"/>
  <c r="A82" i="14"/>
  <c r="AG81" i="14"/>
  <c r="AF81" i="14"/>
  <c r="AE81" i="14"/>
  <c r="AD81" i="14"/>
  <c r="AC81" i="14"/>
  <c r="AB81" i="14"/>
  <c r="AA81" i="14"/>
  <c r="Z81" i="14"/>
  <c r="Y81" i="14"/>
  <c r="X81" i="14"/>
  <c r="W81" i="14"/>
  <c r="V81" i="14"/>
  <c r="S81" i="14"/>
  <c r="A81" i="14"/>
  <c r="AG80" i="14"/>
  <c r="AF80" i="14"/>
  <c r="AE80" i="14"/>
  <c r="AD80" i="14"/>
  <c r="AC80" i="14"/>
  <c r="AB80" i="14"/>
  <c r="AA80" i="14"/>
  <c r="Z80" i="14"/>
  <c r="Y80" i="14"/>
  <c r="X80" i="14"/>
  <c r="W80" i="14"/>
  <c r="V80" i="14"/>
  <c r="S80" i="14"/>
  <c r="A80" i="14"/>
  <c r="AG79" i="14"/>
  <c r="AF79" i="14"/>
  <c r="AE79" i="14"/>
  <c r="AD79" i="14"/>
  <c r="AC79" i="14"/>
  <c r="AB79" i="14"/>
  <c r="AA79" i="14"/>
  <c r="Z79" i="14"/>
  <c r="Y79" i="14"/>
  <c r="X79" i="14"/>
  <c r="W79" i="14"/>
  <c r="V79" i="14"/>
  <c r="S79" i="14"/>
  <c r="A79" i="14"/>
  <c r="AG78" i="14"/>
  <c r="AF78" i="14"/>
  <c r="AE78" i="14"/>
  <c r="AD78" i="14"/>
  <c r="AC78" i="14"/>
  <c r="AB78" i="14"/>
  <c r="AA78" i="14"/>
  <c r="Z78" i="14"/>
  <c r="Y78" i="14"/>
  <c r="X78" i="14"/>
  <c r="W78" i="14"/>
  <c r="V78" i="14"/>
  <c r="S78" i="14"/>
  <c r="A78" i="14"/>
  <c r="AG77" i="14"/>
  <c r="AF77" i="14"/>
  <c r="AE77" i="14"/>
  <c r="AD77" i="14"/>
  <c r="AC77" i="14"/>
  <c r="AB77" i="14"/>
  <c r="AA77" i="14"/>
  <c r="Z77" i="14"/>
  <c r="Y77" i="14"/>
  <c r="X77" i="14"/>
  <c r="W77" i="14"/>
  <c r="V77" i="14"/>
  <c r="S77" i="14"/>
  <c r="A77" i="14"/>
  <c r="AG76" i="14"/>
  <c r="AF76" i="14"/>
  <c r="AE76" i="14"/>
  <c r="AD76" i="14"/>
  <c r="AC76" i="14"/>
  <c r="AB76" i="14"/>
  <c r="AA76" i="14"/>
  <c r="Z76" i="14"/>
  <c r="Y76" i="14"/>
  <c r="X76" i="14"/>
  <c r="W76" i="14"/>
  <c r="V76" i="14"/>
  <c r="S76" i="14"/>
  <c r="A76" i="14"/>
  <c r="AG75" i="14"/>
  <c r="AF75" i="14"/>
  <c r="AE75" i="14"/>
  <c r="AD75" i="14"/>
  <c r="AC75" i="14"/>
  <c r="AB75" i="14"/>
  <c r="AA75" i="14"/>
  <c r="Z75" i="14"/>
  <c r="Y75" i="14"/>
  <c r="X75" i="14"/>
  <c r="W75" i="14"/>
  <c r="V75" i="14"/>
  <c r="S75" i="14"/>
  <c r="A75" i="14"/>
  <c r="AG74" i="14"/>
  <c r="AF74" i="14"/>
  <c r="AE74" i="14"/>
  <c r="AD74" i="14"/>
  <c r="AC74" i="14"/>
  <c r="AB74" i="14"/>
  <c r="AA74" i="14"/>
  <c r="Z74" i="14"/>
  <c r="Y74" i="14"/>
  <c r="X74" i="14"/>
  <c r="W74" i="14"/>
  <c r="V74" i="14"/>
  <c r="S74" i="14"/>
  <c r="A74" i="14"/>
  <c r="AG73" i="14"/>
  <c r="AF73" i="14"/>
  <c r="AE73" i="14"/>
  <c r="AD73" i="14"/>
  <c r="AC73" i="14"/>
  <c r="AB73" i="14"/>
  <c r="AA73" i="14"/>
  <c r="Z73" i="14"/>
  <c r="Y73" i="14"/>
  <c r="X73" i="14"/>
  <c r="W73" i="14"/>
  <c r="V73" i="14"/>
  <c r="S73" i="14"/>
  <c r="A73" i="14"/>
  <c r="AG72" i="14"/>
  <c r="AF72" i="14"/>
  <c r="AE72" i="14"/>
  <c r="AD72" i="14"/>
  <c r="AC72" i="14"/>
  <c r="AB72" i="14"/>
  <c r="AA72" i="14"/>
  <c r="Z72" i="14"/>
  <c r="Y72" i="14"/>
  <c r="X72" i="14"/>
  <c r="W72" i="14"/>
  <c r="V72" i="14"/>
  <c r="S72" i="14"/>
  <c r="A72" i="14"/>
  <c r="AG71" i="14"/>
  <c r="AF71" i="14"/>
  <c r="AE71" i="14"/>
  <c r="AD71" i="14"/>
  <c r="AC71" i="14"/>
  <c r="AB71" i="14"/>
  <c r="AA71" i="14"/>
  <c r="Z71" i="14"/>
  <c r="Y71" i="14"/>
  <c r="X71" i="14"/>
  <c r="W71" i="14"/>
  <c r="V71" i="14"/>
  <c r="S71" i="14"/>
  <c r="A71" i="14"/>
  <c r="AG70" i="14"/>
  <c r="AF70" i="14"/>
  <c r="AE70" i="14"/>
  <c r="AD70" i="14"/>
  <c r="AC70" i="14"/>
  <c r="AB70" i="14"/>
  <c r="AA70" i="14"/>
  <c r="Z70" i="14"/>
  <c r="Y70" i="14"/>
  <c r="X70" i="14"/>
  <c r="W70" i="14"/>
  <c r="V70" i="14"/>
  <c r="S70" i="14"/>
  <c r="A70" i="14"/>
  <c r="AG69" i="14"/>
  <c r="AF69" i="14"/>
  <c r="AE69" i="14"/>
  <c r="AD69" i="14"/>
  <c r="AC69" i="14"/>
  <c r="AB69" i="14"/>
  <c r="AA69" i="14"/>
  <c r="Z69" i="14"/>
  <c r="Y69" i="14"/>
  <c r="X69" i="14"/>
  <c r="AH69" i="14" s="1"/>
  <c r="AO69" i="14" s="1"/>
  <c r="W69" i="14"/>
  <c r="V69" i="14"/>
  <c r="S69" i="14"/>
  <c r="A69" i="14"/>
  <c r="AG68" i="14"/>
  <c r="AF68" i="14"/>
  <c r="AE68" i="14"/>
  <c r="AD68" i="14"/>
  <c r="AC68" i="14"/>
  <c r="AB68" i="14"/>
  <c r="AA68" i="14"/>
  <c r="Z68" i="14"/>
  <c r="Y68" i="14"/>
  <c r="X68" i="14"/>
  <c r="W68" i="14"/>
  <c r="V68" i="14"/>
  <c r="S68" i="14"/>
  <c r="A68" i="14"/>
  <c r="AG67" i="14"/>
  <c r="AF67" i="14"/>
  <c r="AE67" i="14"/>
  <c r="AD67" i="14"/>
  <c r="AC67" i="14"/>
  <c r="AB67" i="14"/>
  <c r="AA67" i="14"/>
  <c r="Z67" i="14"/>
  <c r="Y67" i="14"/>
  <c r="X67" i="14"/>
  <c r="W67" i="14"/>
  <c r="V67" i="14"/>
  <c r="S67" i="14"/>
  <c r="A67" i="14"/>
  <c r="AG66" i="14"/>
  <c r="AF66" i="14"/>
  <c r="AE66" i="14"/>
  <c r="AD66" i="14"/>
  <c r="AC66" i="14"/>
  <c r="AB66" i="14"/>
  <c r="AA66" i="14"/>
  <c r="Z66" i="14"/>
  <c r="AH66" i="14" s="1"/>
  <c r="Y66" i="14"/>
  <c r="X66" i="14"/>
  <c r="W66" i="14"/>
  <c r="V66" i="14"/>
  <c r="S66" i="14"/>
  <c r="A66" i="14"/>
  <c r="AG65" i="14"/>
  <c r="AF65" i="14"/>
  <c r="AE65" i="14"/>
  <c r="AD65" i="14"/>
  <c r="AC65" i="14"/>
  <c r="AB65" i="14"/>
  <c r="AA65" i="14"/>
  <c r="Z65" i="14"/>
  <c r="Y65" i="14"/>
  <c r="X65" i="14"/>
  <c r="W65" i="14"/>
  <c r="V65" i="14"/>
  <c r="S65" i="14"/>
  <c r="A65" i="14"/>
  <c r="AG64" i="14"/>
  <c r="AF64" i="14"/>
  <c r="AE64" i="14"/>
  <c r="AD64" i="14"/>
  <c r="AC64" i="14"/>
  <c r="AB64" i="14"/>
  <c r="AA64" i="14"/>
  <c r="Z64" i="14"/>
  <c r="Y64" i="14"/>
  <c r="X64" i="14"/>
  <c r="W64" i="14"/>
  <c r="V64" i="14"/>
  <c r="S64" i="14"/>
  <c r="A64" i="14"/>
  <c r="AG63" i="14"/>
  <c r="AF63" i="14"/>
  <c r="AE63" i="14"/>
  <c r="AD63" i="14"/>
  <c r="AC63" i="14"/>
  <c r="AB63" i="14"/>
  <c r="AA63" i="14"/>
  <c r="Z63" i="14"/>
  <c r="Y63" i="14"/>
  <c r="X63" i="14"/>
  <c r="W63" i="14"/>
  <c r="V63" i="14"/>
  <c r="S63" i="14"/>
  <c r="A63" i="14"/>
  <c r="AG62" i="14"/>
  <c r="AF62" i="14"/>
  <c r="AE62" i="14"/>
  <c r="AD62" i="14"/>
  <c r="AC62" i="14"/>
  <c r="AB62" i="14"/>
  <c r="AA62" i="14"/>
  <c r="Z62" i="14"/>
  <c r="AH62" i="14" s="1"/>
  <c r="Y62" i="14"/>
  <c r="X62" i="14"/>
  <c r="W62" i="14"/>
  <c r="V62" i="14"/>
  <c r="S62" i="14"/>
  <c r="A62" i="14"/>
  <c r="I61" i="14"/>
  <c r="H61" i="14"/>
  <c r="I58" i="14"/>
  <c r="H58" i="14"/>
  <c r="I57" i="14"/>
  <c r="H57" i="14"/>
  <c r="AQ56" i="14"/>
  <c r="AO56" i="14"/>
  <c r="AD56" i="14"/>
  <c r="R56" i="14"/>
  <c r="Q56" i="14"/>
  <c r="P56" i="14"/>
  <c r="O56" i="14"/>
  <c r="N56" i="14"/>
  <c r="M56" i="14"/>
  <c r="L56" i="14"/>
  <c r="K56" i="14"/>
  <c r="J56" i="14"/>
  <c r="I56" i="14"/>
  <c r="H56" i="14"/>
  <c r="G56" i="14"/>
  <c r="AG54" i="14"/>
  <c r="AF54" i="14"/>
  <c r="AE54" i="14"/>
  <c r="AD54" i="14"/>
  <c r="AC54" i="14"/>
  <c r="AB54" i="14"/>
  <c r="AA54" i="14"/>
  <c r="Z54" i="14"/>
  <c r="Y54" i="14"/>
  <c r="X54" i="14"/>
  <c r="W54" i="14"/>
  <c r="W56" i="14" s="1"/>
  <c r="V54" i="14"/>
  <c r="S54" i="14"/>
  <c r="A54" i="14"/>
  <c r="AG53" i="14"/>
  <c r="AG56" i="14" s="1"/>
  <c r="AF53" i="14"/>
  <c r="AF56" i="14" s="1"/>
  <c r="AE53" i="14"/>
  <c r="AE56" i="14" s="1"/>
  <c r="AD53" i="14"/>
  <c r="AC53" i="14"/>
  <c r="AC56" i="14" s="1"/>
  <c r="AB53" i="14"/>
  <c r="AB56" i="14" s="1"/>
  <c r="AA53" i="14"/>
  <c r="AA56" i="14" s="1"/>
  <c r="Z53" i="14"/>
  <c r="Y53" i="14"/>
  <c r="Y56" i="14" s="1"/>
  <c r="X53" i="14"/>
  <c r="X56" i="14" s="1"/>
  <c r="W53" i="14"/>
  <c r="V53" i="14"/>
  <c r="V56" i="14" s="1"/>
  <c r="S53" i="14"/>
  <c r="A53" i="14"/>
  <c r="I52" i="14"/>
  <c r="H52" i="14"/>
  <c r="I51" i="14"/>
  <c r="H51" i="14"/>
  <c r="AQ50" i="14"/>
  <c r="AO50" i="14"/>
  <c r="R50" i="14"/>
  <c r="Q50" i="14"/>
  <c r="P50" i="14"/>
  <c r="O50" i="14"/>
  <c r="N50" i="14"/>
  <c r="M50" i="14"/>
  <c r="L50" i="14"/>
  <c r="K50" i="14"/>
  <c r="J50" i="14"/>
  <c r="I50" i="14"/>
  <c r="H50" i="14"/>
  <c r="G50" i="14"/>
  <c r="AG48" i="14"/>
  <c r="AF48" i="14"/>
  <c r="AE48" i="14"/>
  <c r="AD48" i="14"/>
  <c r="AC48" i="14"/>
  <c r="AB48" i="14"/>
  <c r="AA48" i="14"/>
  <c r="Z48" i="14"/>
  <c r="Y48" i="14"/>
  <c r="X48" i="14"/>
  <c r="W48" i="14"/>
  <c r="V48" i="14"/>
  <c r="S48" i="14"/>
  <c r="A48" i="14"/>
  <c r="AG47" i="14"/>
  <c r="AF47" i="14"/>
  <c r="AE47" i="14"/>
  <c r="AD47" i="14"/>
  <c r="AC47" i="14"/>
  <c r="AB47" i="14"/>
  <c r="AA47" i="14"/>
  <c r="Z47" i="14"/>
  <c r="Y47" i="14"/>
  <c r="X47" i="14"/>
  <c r="W47" i="14"/>
  <c r="V47" i="14"/>
  <c r="S47" i="14"/>
  <c r="A47" i="14"/>
  <c r="AG46" i="14"/>
  <c r="AF46" i="14"/>
  <c r="AE46" i="14"/>
  <c r="AD46" i="14"/>
  <c r="AC46" i="14"/>
  <c r="AB46" i="14"/>
  <c r="AA46" i="14"/>
  <c r="Z46" i="14"/>
  <c r="Y46" i="14"/>
  <c r="X46" i="14"/>
  <c r="W46" i="14"/>
  <c r="V46" i="14"/>
  <c r="S46" i="14"/>
  <c r="A46" i="14"/>
  <c r="AG45" i="14"/>
  <c r="AF45" i="14"/>
  <c r="AE45" i="14"/>
  <c r="AD45" i="14"/>
  <c r="AC45" i="14"/>
  <c r="AB45" i="14"/>
  <c r="AA45" i="14"/>
  <c r="Z45" i="14"/>
  <c r="Y45" i="14"/>
  <c r="X45" i="14"/>
  <c r="W45" i="14"/>
  <c r="V45" i="14"/>
  <c r="S45" i="14"/>
  <c r="A45" i="14"/>
  <c r="AG44" i="14"/>
  <c r="AF44" i="14"/>
  <c r="AE44" i="14"/>
  <c r="AD44" i="14"/>
  <c r="AC44" i="14"/>
  <c r="AB44" i="14"/>
  <c r="AA44" i="14"/>
  <c r="Z44" i="14"/>
  <c r="Y44" i="14"/>
  <c r="X44" i="14"/>
  <c r="W44" i="14"/>
  <c r="V44" i="14"/>
  <c r="S44" i="14"/>
  <c r="A44" i="14"/>
  <c r="AG43" i="14"/>
  <c r="AF43" i="14"/>
  <c r="AE43" i="14"/>
  <c r="AD43" i="14"/>
  <c r="AC43" i="14"/>
  <c r="AB43" i="14"/>
  <c r="AA43" i="14"/>
  <c r="Z43" i="14"/>
  <c r="Y43" i="14"/>
  <c r="X43" i="14"/>
  <c r="W43" i="14"/>
  <c r="V43" i="14"/>
  <c r="S43" i="14"/>
  <c r="A43" i="14"/>
  <c r="AG42" i="14"/>
  <c r="AF42" i="14"/>
  <c r="AE42" i="14"/>
  <c r="AD42" i="14"/>
  <c r="AC42" i="14"/>
  <c r="AB42" i="14"/>
  <c r="AA42" i="14"/>
  <c r="Z42" i="14"/>
  <c r="Y42" i="14"/>
  <c r="X42" i="14"/>
  <c r="W42" i="14"/>
  <c r="V42" i="14"/>
  <c r="S42" i="14"/>
  <c r="A42" i="14"/>
  <c r="AG41" i="14"/>
  <c r="AF41" i="14"/>
  <c r="AE41" i="14"/>
  <c r="AD41" i="14"/>
  <c r="AC41" i="14"/>
  <c r="AB41" i="14"/>
  <c r="AA41" i="14"/>
  <c r="Z41" i="14"/>
  <c r="AH41" i="14" s="1"/>
  <c r="E26" i="7" s="1"/>
  <c r="Y41" i="14"/>
  <c r="X41" i="14"/>
  <c r="W41" i="14"/>
  <c r="V41" i="14"/>
  <c r="S41" i="14"/>
  <c r="A41" i="14"/>
  <c r="AG40" i="14"/>
  <c r="AF40" i="14"/>
  <c r="AE40" i="14"/>
  <c r="AD40" i="14"/>
  <c r="AC40" i="14"/>
  <c r="AB40" i="14"/>
  <c r="AA40" i="14"/>
  <c r="Z40" i="14"/>
  <c r="Y40" i="14"/>
  <c r="X40" i="14"/>
  <c r="W40" i="14"/>
  <c r="V40" i="14"/>
  <c r="S40" i="14"/>
  <c r="A40" i="14"/>
  <c r="AG39" i="14"/>
  <c r="AF39" i="14"/>
  <c r="AE39" i="14"/>
  <c r="AD39" i="14"/>
  <c r="AC39" i="14"/>
  <c r="AB39" i="14"/>
  <c r="AA39" i="14"/>
  <c r="Z39" i="14"/>
  <c r="Y39" i="14"/>
  <c r="X39" i="14"/>
  <c r="W39" i="14"/>
  <c r="V39" i="14"/>
  <c r="S39" i="14"/>
  <c r="A39" i="14"/>
  <c r="AG38" i="14"/>
  <c r="AF38" i="14"/>
  <c r="AE38" i="14"/>
  <c r="AD38" i="14"/>
  <c r="AC38" i="14"/>
  <c r="AB38" i="14"/>
  <c r="AA38" i="14"/>
  <c r="Z38" i="14"/>
  <c r="Y38" i="14"/>
  <c r="X38" i="14"/>
  <c r="W38" i="14"/>
  <c r="V38" i="14"/>
  <c r="S38" i="14"/>
  <c r="A38" i="14"/>
  <c r="AG37" i="14"/>
  <c r="AF37" i="14"/>
  <c r="AE37" i="14"/>
  <c r="AD37" i="14"/>
  <c r="AC37" i="14"/>
  <c r="AB37" i="14"/>
  <c r="AA37" i="14"/>
  <c r="Z37" i="14"/>
  <c r="Y37" i="14"/>
  <c r="X37" i="14"/>
  <c r="W37" i="14"/>
  <c r="V37" i="14"/>
  <c r="S37" i="14"/>
  <c r="A37" i="14"/>
  <c r="AG36" i="14"/>
  <c r="AF36" i="14"/>
  <c r="AE36" i="14"/>
  <c r="AD36" i="14"/>
  <c r="AC36" i="14"/>
  <c r="AB36" i="14"/>
  <c r="AA36" i="14"/>
  <c r="Z36" i="14"/>
  <c r="Y36" i="14"/>
  <c r="X36" i="14"/>
  <c r="W36" i="14"/>
  <c r="V36" i="14"/>
  <c r="S36" i="14"/>
  <c r="A36" i="14"/>
  <c r="AG35" i="14"/>
  <c r="AF35" i="14"/>
  <c r="AE35" i="14"/>
  <c r="AD35" i="14"/>
  <c r="AC35" i="14"/>
  <c r="AB35" i="14"/>
  <c r="AA35" i="14"/>
  <c r="Z35" i="14"/>
  <c r="Y35" i="14"/>
  <c r="X35" i="14"/>
  <c r="W35" i="14"/>
  <c r="V35" i="14"/>
  <c r="S35" i="14"/>
  <c r="A35" i="14"/>
  <c r="AG34" i="14"/>
  <c r="AF34" i="14"/>
  <c r="AE34" i="14"/>
  <c r="AD34" i="14"/>
  <c r="AC34" i="14"/>
  <c r="AB34" i="14"/>
  <c r="AA34" i="14"/>
  <c r="Z34" i="14"/>
  <c r="Y34" i="14"/>
  <c r="X34" i="14"/>
  <c r="W34" i="14"/>
  <c r="V34" i="14"/>
  <c r="S34" i="14"/>
  <c r="A34" i="14"/>
  <c r="AG33" i="14"/>
  <c r="AF33" i="14"/>
  <c r="AE33" i="14"/>
  <c r="AD33" i="14"/>
  <c r="AC33" i="14"/>
  <c r="AB33" i="14"/>
  <c r="AA33" i="14"/>
  <c r="Z33" i="14"/>
  <c r="Y33" i="14"/>
  <c r="X33" i="14"/>
  <c r="W33" i="14"/>
  <c r="V33" i="14"/>
  <c r="S33" i="14"/>
  <c r="A33" i="14"/>
  <c r="AG32" i="14"/>
  <c r="AF32" i="14"/>
  <c r="AE32" i="14"/>
  <c r="AD32" i="14"/>
  <c r="AC32" i="14"/>
  <c r="AB32" i="14"/>
  <c r="AA32" i="14"/>
  <c r="Z32" i="14"/>
  <c r="Y32" i="14"/>
  <c r="X32" i="14"/>
  <c r="W32" i="14"/>
  <c r="V32" i="14"/>
  <c r="S32" i="14"/>
  <c r="A32" i="14"/>
  <c r="AG31" i="14"/>
  <c r="AF31" i="14"/>
  <c r="AE31" i="14"/>
  <c r="AD31" i="14"/>
  <c r="AC31" i="14"/>
  <c r="AB31" i="14"/>
  <c r="AA31" i="14"/>
  <c r="Z31" i="14"/>
  <c r="Y31" i="14"/>
  <c r="X31" i="14"/>
  <c r="W31" i="14"/>
  <c r="V31" i="14"/>
  <c r="S31" i="14"/>
  <c r="A31" i="14"/>
  <c r="AG30" i="14"/>
  <c r="AF30" i="14"/>
  <c r="AE30" i="14"/>
  <c r="AD30" i="14"/>
  <c r="AC30" i="14"/>
  <c r="AB30" i="14"/>
  <c r="AA30" i="14"/>
  <c r="Z30" i="14"/>
  <c r="Y30" i="14"/>
  <c r="X30" i="14"/>
  <c r="W30" i="14"/>
  <c r="V30" i="14"/>
  <c r="S30" i="14"/>
  <c r="A30" i="14"/>
  <c r="AG29" i="14"/>
  <c r="AF29" i="14"/>
  <c r="AE29" i="14"/>
  <c r="AD29" i="14"/>
  <c r="AC29" i="14"/>
  <c r="AB29" i="14"/>
  <c r="AA29" i="14"/>
  <c r="Z29" i="14"/>
  <c r="Y29" i="14"/>
  <c r="X29" i="14"/>
  <c r="W29" i="14"/>
  <c r="V29" i="14"/>
  <c r="S29" i="14"/>
  <c r="A29" i="14"/>
  <c r="AG28" i="14"/>
  <c r="AF28" i="14"/>
  <c r="AE28" i="14"/>
  <c r="AD28" i="14"/>
  <c r="AC28" i="14"/>
  <c r="AB28" i="14"/>
  <c r="AA28" i="14"/>
  <c r="Z28" i="14"/>
  <c r="Y28" i="14"/>
  <c r="X28" i="14"/>
  <c r="W28" i="14"/>
  <c r="V28" i="14"/>
  <c r="S28" i="14"/>
  <c r="A28" i="14"/>
  <c r="AG27" i="14"/>
  <c r="AF27" i="14"/>
  <c r="AE27" i="14"/>
  <c r="AD27" i="14"/>
  <c r="AC27" i="14"/>
  <c r="AB27" i="14"/>
  <c r="AA27" i="14"/>
  <c r="Z27" i="14"/>
  <c r="Y27" i="14"/>
  <c r="X27" i="14"/>
  <c r="W27" i="14"/>
  <c r="V27" i="14"/>
  <c r="S27" i="14"/>
  <c r="A27" i="14"/>
  <c r="AG26" i="14"/>
  <c r="AF26" i="14"/>
  <c r="AE26" i="14"/>
  <c r="AD26" i="14"/>
  <c r="AC26" i="14"/>
  <c r="AB26" i="14"/>
  <c r="AA26" i="14"/>
  <c r="Z26" i="14"/>
  <c r="Y26" i="14"/>
  <c r="X26" i="14"/>
  <c r="W26" i="14"/>
  <c r="V26" i="14"/>
  <c r="S26" i="14"/>
  <c r="A26" i="14"/>
  <c r="AG25" i="14"/>
  <c r="AF25" i="14"/>
  <c r="AE25" i="14"/>
  <c r="AD25" i="14"/>
  <c r="AC25" i="14"/>
  <c r="AB25" i="14"/>
  <c r="AA25" i="14"/>
  <c r="Z25" i="14"/>
  <c r="Y25" i="14"/>
  <c r="X25" i="14"/>
  <c r="W25" i="14"/>
  <c r="V25" i="14"/>
  <c r="S25" i="14"/>
  <c r="A25" i="14"/>
  <c r="AG24" i="14"/>
  <c r="AF24" i="14"/>
  <c r="AE24" i="14"/>
  <c r="AD24" i="14"/>
  <c r="AC24" i="14"/>
  <c r="AB24" i="14"/>
  <c r="AA24" i="14"/>
  <c r="Z24" i="14"/>
  <c r="Y24" i="14"/>
  <c r="X24" i="14"/>
  <c r="W24" i="14"/>
  <c r="V24" i="14"/>
  <c r="AH24" i="14" s="1"/>
  <c r="S24" i="14"/>
  <c r="A24" i="14"/>
  <c r="AG23" i="14"/>
  <c r="AF23" i="14"/>
  <c r="AE23" i="14"/>
  <c r="AD23" i="14"/>
  <c r="AC23" i="14"/>
  <c r="AB23" i="14"/>
  <c r="AA23" i="14"/>
  <c r="Z23" i="14"/>
  <c r="Y23" i="14"/>
  <c r="X23" i="14"/>
  <c r="W23" i="14"/>
  <c r="V23" i="14"/>
  <c r="S23" i="14"/>
  <c r="A23" i="14"/>
  <c r="AG22" i="14"/>
  <c r="AF22" i="14"/>
  <c r="AE22" i="14"/>
  <c r="AD22" i="14"/>
  <c r="AC22" i="14"/>
  <c r="AB22" i="14"/>
  <c r="AA22" i="14"/>
  <c r="Z22" i="14"/>
  <c r="Y22" i="14"/>
  <c r="X22" i="14"/>
  <c r="W22" i="14"/>
  <c r="V22" i="14"/>
  <c r="S22" i="14"/>
  <c r="A22" i="14"/>
  <c r="AG21" i="14"/>
  <c r="AF21" i="14"/>
  <c r="AE21" i="14"/>
  <c r="AD21" i="14"/>
  <c r="AC21" i="14"/>
  <c r="AB21" i="14"/>
  <c r="AA21" i="14"/>
  <c r="Z21" i="14"/>
  <c r="Y21" i="14"/>
  <c r="X21" i="14"/>
  <c r="W21" i="14"/>
  <c r="V21" i="14"/>
  <c r="S21" i="14"/>
  <c r="A21" i="14"/>
  <c r="AG20" i="14"/>
  <c r="AF20" i="14"/>
  <c r="AE20" i="14"/>
  <c r="AD20" i="14"/>
  <c r="AC20" i="14"/>
  <c r="AB20" i="14"/>
  <c r="AA20" i="14"/>
  <c r="Z20" i="14"/>
  <c r="Y20" i="14"/>
  <c r="X20" i="14"/>
  <c r="W20" i="14"/>
  <c r="V20" i="14"/>
  <c r="S20" i="14"/>
  <c r="A20" i="14"/>
  <c r="AG19" i="14"/>
  <c r="AF19" i="14"/>
  <c r="AE19" i="14"/>
  <c r="AD19" i="14"/>
  <c r="AC19" i="14"/>
  <c r="AB19" i="14"/>
  <c r="AA19" i="14"/>
  <c r="Z19" i="14"/>
  <c r="Y19" i="14"/>
  <c r="X19" i="14"/>
  <c r="W19" i="14"/>
  <c r="V19" i="14"/>
  <c r="S19" i="14"/>
  <c r="A19" i="14"/>
  <c r="AG18" i="14"/>
  <c r="AF18" i="14"/>
  <c r="AE18" i="14"/>
  <c r="AD18" i="14"/>
  <c r="AC18" i="14"/>
  <c r="AB18" i="14"/>
  <c r="AA18" i="14"/>
  <c r="Z18" i="14"/>
  <c r="Y18" i="14"/>
  <c r="X18" i="14"/>
  <c r="W18" i="14"/>
  <c r="V18" i="14"/>
  <c r="S18" i="14"/>
  <c r="A18" i="14"/>
  <c r="AG17" i="14"/>
  <c r="AF17" i="14"/>
  <c r="AE17" i="14"/>
  <c r="AD17" i="14"/>
  <c r="AC17" i="14"/>
  <c r="AB17" i="14"/>
  <c r="AA17" i="14"/>
  <c r="Z17" i="14"/>
  <c r="Y17" i="14"/>
  <c r="X17" i="14"/>
  <c r="W17" i="14"/>
  <c r="V17" i="14"/>
  <c r="S17" i="14"/>
  <c r="A17" i="14"/>
  <c r="AG16" i="14"/>
  <c r="AF16" i="14"/>
  <c r="AE16" i="14"/>
  <c r="AD16" i="14"/>
  <c r="AC16" i="14"/>
  <c r="AB16" i="14"/>
  <c r="AA16" i="14"/>
  <c r="Z16" i="14"/>
  <c r="Y16" i="14"/>
  <c r="X16" i="14"/>
  <c r="W16" i="14"/>
  <c r="V16" i="14"/>
  <c r="S16" i="14"/>
  <c r="A16" i="14"/>
  <c r="AG15" i="14"/>
  <c r="AF15" i="14"/>
  <c r="AE15" i="14"/>
  <c r="AD15" i="14"/>
  <c r="AC15" i="14"/>
  <c r="AB15" i="14"/>
  <c r="AA15" i="14"/>
  <c r="Z15" i="14"/>
  <c r="Y15" i="14"/>
  <c r="X15" i="14"/>
  <c r="W15" i="14"/>
  <c r="V15" i="14"/>
  <c r="S15" i="14"/>
  <c r="A15" i="14"/>
  <c r="AG14" i="14"/>
  <c r="AF14" i="14"/>
  <c r="AE14" i="14"/>
  <c r="AD14" i="14"/>
  <c r="AC14" i="14"/>
  <c r="AB14" i="14"/>
  <c r="AA14" i="14"/>
  <c r="Z14" i="14"/>
  <c r="Y14" i="14"/>
  <c r="X14" i="14"/>
  <c r="W14" i="14"/>
  <c r="V14" i="14"/>
  <c r="S14" i="14"/>
  <c r="A14" i="14"/>
  <c r="AG13" i="14"/>
  <c r="AF13" i="14"/>
  <c r="AE13" i="14"/>
  <c r="AD13" i="14"/>
  <c r="AC13" i="14"/>
  <c r="AB13" i="14"/>
  <c r="AA13" i="14"/>
  <c r="Z13" i="14"/>
  <c r="Y13" i="14"/>
  <c r="X13" i="14"/>
  <c r="W13" i="14"/>
  <c r="V13" i="14"/>
  <c r="S13" i="14"/>
  <c r="A13" i="14"/>
  <c r="R5" i="14"/>
  <c r="AG5" i="14" s="1"/>
  <c r="Q5" i="14"/>
  <c r="AF5" i="14" s="1"/>
  <c r="P5" i="14"/>
  <c r="AE5" i="14" s="1"/>
  <c r="O5" i="14"/>
  <c r="AD5" i="14" s="1"/>
  <c r="N5" i="14"/>
  <c r="AC5" i="14" s="1"/>
  <c r="M5" i="14"/>
  <c r="AB5" i="14" s="1"/>
  <c r="L5" i="14"/>
  <c r="AA5" i="14" s="1"/>
  <c r="K5" i="14"/>
  <c r="Z5" i="14" s="1"/>
  <c r="J5" i="14"/>
  <c r="Y5" i="14" s="1"/>
  <c r="I5" i="14"/>
  <c r="X5" i="14" s="1"/>
  <c r="H5" i="14"/>
  <c r="W5" i="14" s="1"/>
  <c r="G5" i="14"/>
  <c r="V5" i="14" s="1"/>
  <c r="B4" i="14"/>
  <c r="B74" i="15"/>
  <c r="B115" i="15"/>
  <c r="B82" i="15"/>
  <c r="B63" i="15"/>
  <c r="B98" i="15"/>
  <c r="B59" i="15"/>
  <c r="C115" i="15"/>
  <c r="Y50" i="14" l="1"/>
  <c r="AH76" i="14"/>
  <c r="AH80" i="14"/>
  <c r="AH84" i="14"/>
  <c r="E56" i="7" s="1"/>
  <c r="AI84" i="14" s="1"/>
  <c r="AJ84" i="14" s="1"/>
  <c r="AH87" i="14"/>
  <c r="AH103" i="14"/>
  <c r="E60" i="7" s="1"/>
  <c r="AI103" i="14" s="1"/>
  <c r="AJ103" i="14" s="1"/>
  <c r="AE104" i="14"/>
  <c r="AH120" i="14"/>
  <c r="E62" i="7" s="1"/>
  <c r="AI120" i="14" s="1"/>
  <c r="AJ120" i="14" s="1"/>
  <c r="AH34" i="14"/>
  <c r="AH40" i="14"/>
  <c r="E25" i="7" s="1"/>
  <c r="AI40" i="14" s="1"/>
  <c r="AJ40" i="14" s="1"/>
  <c r="AB50" i="14"/>
  <c r="AH46" i="14"/>
  <c r="AH63" i="14"/>
  <c r="AH73" i="14"/>
  <c r="AH99" i="14"/>
  <c r="AA107" i="14"/>
  <c r="AH113" i="14"/>
  <c r="Z117" i="14"/>
  <c r="X150" i="14"/>
  <c r="AF150" i="14"/>
  <c r="AH135" i="14"/>
  <c r="AH137" i="14"/>
  <c r="AH139" i="14"/>
  <c r="AH141" i="14"/>
  <c r="AQ141" i="14" s="1"/>
  <c r="AQ150" i="14" s="1"/>
  <c r="AQ173" i="14" s="1"/>
  <c r="AH143" i="14"/>
  <c r="AQ143" i="14" s="1"/>
  <c r="AH147" i="14"/>
  <c r="AA50" i="14"/>
  <c r="AH71" i="14"/>
  <c r="AH118" i="14"/>
  <c r="AH15" i="14"/>
  <c r="AH16" i="14"/>
  <c r="AH17" i="14"/>
  <c r="AH20" i="14"/>
  <c r="AH29" i="14"/>
  <c r="AH37" i="14"/>
  <c r="AH74" i="14"/>
  <c r="AH79" i="14"/>
  <c r="E50" i="7" s="1"/>
  <c r="AH83" i="14"/>
  <c r="AH91" i="14"/>
  <c r="AB107" i="14"/>
  <c r="AH108" i="14"/>
  <c r="AO108" i="14" s="1"/>
  <c r="AC125" i="14"/>
  <c r="AA117" i="14"/>
  <c r="Y150" i="14"/>
  <c r="AG150" i="14"/>
  <c r="S162" i="14"/>
  <c r="AH18" i="14"/>
  <c r="AG50" i="14"/>
  <c r="N173" i="14"/>
  <c r="AH102" i="14"/>
  <c r="AH106" i="14"/>
  <c r="AA125" i="14"/>
  <c r="AF117" i="14"/>
  <c r="S125" i="14"/>
  <c r="E37" i="7"/>
  <c r="AI86" i="14" s="1"/>
  <c r="AJ86" i="14" s="1"/>
  <c r="AO66" i="14"/>
  <c r="AH39" i="14"/>
  <c r="AH44" i="14"/>
  <c r="O173" i="14"/>
  <c r="Z56" i="14"/>
  <c r="V104" i="14"/>
  <c r="AB125" i="14"/>
  <c r="AH109" i="14"/>
  <c r="AO109" i="14" s="1"/>
  <c r="AH114" i="14"/>
  <c r="AH47" i="14"/>
  <c r="H173" i="14"/>
  <c r="P173" i="14"/>
  <c r="AH75" i="14"/>
  <c r="AH93" i="14"/>
  <c r="W104" i="14"/>
  <c r="AH119" i="14"/>
  <c r="AC150" i="14"/>
  <c r="W150" i="14"/>
  <c r="AE150" i="14"/>
  <c r="S171" i="14"/>
  <c r="AH148" i="14"/>
  <c r="AQ148" i="14" s="1"/>
  <c r="AH22" i="14"/>
  <c r="E28" i="7" s="1"/>
  <c r="AI22" i="14" s="1"/>
  <c r="AJ22" i="14" s="1"/>
  <c r="AH36" i="14"/>
  <c r="AH38" i="14"/>
  <c r="AH77" i="14"/>
  <c r="AH100" i="14"/>
  <c r="AD125" i="14"/>
  <c r="AH111" i="14"/>
  <c r="AH134" i="14"/>
  <c r="AH138" i="14"/>
  <c r="AH142" i="14"/>
  <c r="AQ142" i="14" s="1"/>
  <c r="AH13" i="14"/>
  <c r="AH19" i="14"/>
  <c r="AH14" i="14"/>
  <c r="AH31" i="14"/>
  <c r="Z50" i="14"/>
  <c r="I173" i="14"/>
  <c r="Q173" i="14"/>
  <c r="S56" i="14"/>
  <c r="AH68" i="14"/>
  <c r="AH96" i="14"/>
  <c r="AO96" i="14" s="1"/>
  <c r="AD104" i="14"/>
  <c r="AH105" i="14"/>
  <c r="X117" i="14"/>
  <c r="AD150" i="14"/>
  <c r="AH136" i="14"/>
  <c r="AH140" i="14"/>
  <c r="G25" i="7"/>
  <c r="I25" i="7" s="1"/>
  <c r="G56" i="7"/>
  <c r="G62" i="7"/>
  <c r="G60" i="7"/>
  <c r="I60" i="7" s="1"/>
  <c r="Q26" i="7"/>
  <c r="AI41" i="14"/>
  <c r="AJ41" i="14" s="1"/>
  <c r="Q25" i="7"/>
  <c r="G26" i="7"/>
  <c r="I26" i="7" s="1"/>
  <c r="C112" i="15"/>
  <c r="C114" i="15" s="1"/>
  <c r="C116" i="15" s="1"/>
  <c r="B99" i="15"/>
  <c r="B83" i="15"/>
  <c r="B112" i="15"/>
  <c r="B75" i="15"/>
  <c r="Q18" i="15"/>
  <c r="Q35" i="15"/>
  <c r="B60" i="15"/>
  <c r="N15" i="15"/>
  <c r="E8" i="15"/>
  <c r="N21" i="15"/>
  <c r="N26" i="15" s="1"/>
  <c r="G27" i="15"/>
  <c r="H54" i="15"/>
  <c r="H56" i="15" s="1"/>
  <c r="H65" i="15" s="1"/>
  <c r="B54" i="15"/>
  <c r="J54" i="15"/>
  <c r="J56" i="15" s="1"/>
  <c r="J65" i="15" s="1"/>
  <c r="B27" i="15"/>
  <c r="C48" i="15"/>
  <c r="C54" i="15"/>
  <c r="C56" i="15" s="1"/>
  <c r="C65" i="15" s="1"/>
  <c r="K54" i="15"/>
  <c r="K56" i="15" s="1"/>
  <c r="K65" i="15" s="1"/>
  <c r="N55" i="15"/>
  <c r="D7" i="15"/>
  <c r="B51" i="15"/>
  <c r="E54" i="15"/>
  <c r="E56" i="15" s="1"/>
  <c r="E65" i="15" s="1"/>
  <c r="M54" i="15"/>
  <c r="M56" i="15" s="1"/>
  <c r="M65" i="15" s="1"/>
  <c r="D44" i="15"/>
  <c r="F54" i="15"/>
  <c r="F56" i="15" s="1"/>
  <c r="F65" i="15" s="1"/>
  <c r="AK124" i="14"/>
  <c r="AM103" i="14"/>
  <c r="AH53" i="14"/>
  <c r="AC50" i="14"/>
  <c r="S50" i="14"/>
  <c r="G173" i="14"/>
  <c r="AH78" i="14"/>
  <c r="E43" i="7" s="1"/>
  <c r="AH82" i="14"/>
  <c r="E57" i="7" s="1"/>
  <c r="AH86" i="14"/>
  <c r="AO86" i="14" s="1"/>
  <c r="AH112" i="14"/>
  <c r="AO112" i="14" s="1"/>
  <c r="W125" i="14"/>
  <c r="AE125" i="14"/>
  <c r="AH23" i="14"/>
  <c r="AH35" i="14"/>
  <c r="AH42" i="14"/>
  <c r="E27" i="7" s="1"/>
  <c r="AI42" i="14" s="1"/>
  <c r="AJ42" i="14" s="1"/>
  <c r="V50" i="14"/>
  <c r="AD50" i="14"/>
  <c r="AH65" i="14"/>
  <c r="AH85" i="14"/>
  <c r="AH89" i="14"/>
  <c r="AH116" i="14"/>
  <c r="X125" i="14"/>
  <c r="AF125" i="14"/>
  <c r="AH28" i="14"/>
  <c r="AH32" i="14"/>
  <c r="AH45" i="14"/>
  <c r="AH64" i="14"/>
  <c r="AH81" i="14"/>
  <c r="E36" i="7" s="1"/>
  <c r="AH88" i="14"/>
  <c r="E41" i="7" s="1"/>
  <c r="AI88" i="14" s="1"/>
  <c r="AJ88" i="14" s="1"/>
  <c r="AH92" i="14"/>
  <c r="AO92" i="14" s="1"/>
  <c r="AB104" i="14"/>
  <c r="AG107" i="14"/>
  <c r="Y107" i="14"/>
  <c r="AF107" i="14"/>
  <c r="X107" i="14"/>
  <c r="AE107" i="14"/>
  <c r="W107" i="14"/>
  <c r="Z107" i="14"/>
  <c r="AH115" i="14"/>
  <c r="Y125" i="14"/>
  <c r="AG125" i="14"/>
  <c r="AA150" i="14"/>
  <c r="W50" i="14"/>
  <c r="AH26" i="14"/>
  <c r="X50" i="14"/>
  <c r="AF50" i="14"/>
  <c r="J173" i="14"/>
  <c r="R173" i="14"/>
  <c r="AH54" i="14"/>
  <c r="AM54" i="14" s="1"/>
  <c r="AH67" i="14"/>
  <c r="AH95" i="14"/>
  <c r="Z125" i="14"/>
  <c r="AH122" i="14"/>
  <c r="E34" i="7" s="1"/>
  <c r="AI122" i="14" s="1"/>
  <c r="AJ122" i="14" s="1"/>
  <c r="V125" i="14"/>
  <c r="AB150" i="14"/>
  <c r="AE50" i="14"/>
  <c r="AH48" i="14"/>
  <c r="E23" i="7" s="1"/>
  <c r="AI48" i="14" s="1"/>
  <c r="AJ48" i="14" s="1"/>
  <c r="K173" i="14"/>
  <c r="AH70" i="14"/>
  <c r="AH94" i="14"/>
  <c r="AH98" i="14"/>
  <c r="E48" i="7" s="1"/>
  <c r="AI98" i="14" s="1"/>
  <c r="AJ98" i="14" s="1"/>
  <c r="AH145" i="14"/>
  <c r="AH27" i="14"/>
  <c r="AH25" i="14"/>
  <c r="AH33" i="14"/>
  <c r="AH43" i="14"/>
  <c r="L173" i="14"/>
  <c r="AH97" i="14"/>
  <c r="AO97" i="14" s="1"/>
  <c r="AH101" i="14"/>
  <c r="V150" i="14"/>
  <c r="AH132" i="14"/>
  <c r="AH21" i="14"/>
  <c r="E24" i="7" s="1"/>
  <c r="AI21" i="14" s="1"/>
  <c r="AJ21" i="14" s="1"/>
  <c r="AH30" i="14"/>
  <c r="M173" i="14"/>
  <c r="AH72" i="14"/>
  <c r="Z104" i="14"/>
  <c r="AG104" i="14"/>
  <c r="Y104" i="14"/>
  <c r="AF104" i="14"/>
  <c r="X104" i="14"/>
  <c r="AA104" i="14"/>
  <c r="AH110" i="14"/>
  <c r="AO110" i="14" s="1"/>
  <c r="AH123" i="14"/>
  <c r="AH131" i="14"/>
  <c r="W117" i="14"/>
  <c r="AE117" i="14"/>
  <c r="AB117" i="14"/>
  <c r="D63" i="15"/>
  <c r="C74" i="15"/>
  <c r="D59" i="15"/>
  <c r="D115" i="15"/>
  <c r="D74" i="15"/>
  <c r="C63" i="15"/>
  <c r="C98" i="15"/>
  <c r="C82" i="15"/>
  <c r="D98" i="15"/>
  <c r="D82" i="15"/>
  <c r="C59" i="15"/>
  <c r="G43" i="7" l="1"/>
  <c r="AI78" i="14"/>
  <c r="AJ78" i="14" s="1"/>
  <c r="Q27" i="7"/>
  <c r="AO68" i="14"/>
  <c r="E55" i="7"/>
  <c r="AM13" i="14"/>
  <c r="AH51" i="14"/>
  <c r="E7" i="7"/>
  <c r="AM17" i="14"/>
  <c r="E10" i="7"/>
  <c r="AI17" i="14" s="1"/>
  <c r="AJ17" i="14" s="1"/>
  <c r="AM18" i="14"/>
  <c r="E13" i="7"/>
  <c r="AM16" i="14"/>
  <c r="E9" i="7"/>
  <c r="AI16" i="14" s="1"/>
  <c r="AJ16" i="14" s="1"/>
  <c r="AO94" i="14"/>
  <c r="E35" i="7"/>
  <c r="AH107" i="14"/>
  <c r="AO93" i="14"/>
  <c r="E31" i="7"/>
  <c r="AO83" i="14"/>
  <c r="E58" i="7"/>
  <c r="AM15" i="14"/>
  <c r="E8" i="7"/>
  <c r="AI15" i="14" s="1"/>
  <c r="AJ15" i="14" s="1"/>
  <c r="AO73" i="14"/>
  <c r="AO125" i="14" s="1"/>
  <c r="E33" i="7"/>
  <c r="S173" i="14"/>
  <c r="AO70" i="14"/>
  <c r="E39" i="7"/>
  <c r="AM26" i="14"/>
  <c r="E11" i="7"/>
  <c r="AI26" i="14" s="1"/>
  <c r="AJ26" i="14" s="1"/>
  <c r="G41" i="7"/>
  <c r="G37" i="7"/>
  <c r="AO75" i="14"/>
  <c r="E51" i="7"/>
  <c r="G50" i="7"/>
  <c r="AI79" i="14"/>
  <c r="AJ79" i="14" s="1"/>
  <c r="AO87" i="14"/>
  <c r="E38" i="7"/>
  <c r="AO72" i="14"/>
  <c r="E30" i="7"/>
  <c r="AO71" i="14"/>
  <c r="E32" i="7"/>
  <c r="AO91" i="14"/>
  <c r="E42" i="7"/>
  <c r="G36" i="7"/>
  <c r="AI81" i="14"/>
  <c r="AJ81" i="14" s="1"/>
  <c r="AH50" i="14"/>
  <c r="E19" i="7"/>
  <c r="AI43" i="14" s="1"/>
  <c r="AJ43" i="14" s="1"/>
  <c r="G27" i="7"/>
  <c r="I27" i="7" s="1"/>
  <c r="AO111" i="14"/>
  <c r="E47" i="7"/>
  <c r="AO74" i="14"/>
  <c r="E45" i="7"/>
  <c r="AM30" i="14"/>
  <c r="E17" i="7"/>
  <c r="AM33" i="14"/>
  <c r="E18" i="7"/>
  <c r="AO67" i="14"/>
  <c r="E54" i="7"/>
  <c r="AO65" i="14"/>
  <c r="E44" i="7"/>
  <c r="AH126" i="14"/>
  <c r="G48" i="7"/>
  <c r="AM105" i="14"/>
  <c r="AM125" i="14" s="1"/>
  <c r="E59" i="7"/>
  <c r="AM31" i="14"/>
  <c r="E21" i="7"/>
  <c r="AM106" i="14"/>
  <c r="E61" i="7"/>
  <c r="AO115" i="14"/>
  <c r="E40" i="7"/>
  <c r="AI115" i="14" s="1"/>
  <c r="AJ115" i="14" s="1"/>
  <c r="AH104" i="14"/>
  <c r="AM32" i="14"/>
  <c r="E12" i="7"/>
  <c r="G34" i="7"/>
  <c r="AM14" i="14"/>
  <c r="E14" i="7"/>
  <c r="AI14" i="14" s="1"/>
  <c r="AJ14" i="14" s="1"/>
  <c r="AO100" i="14"/>
  <c r="E49" i="7"/>
  <c r="AM29" i="14"/>
  <c r="E16" i="7"/>
  <c r="AI29" i="14" s="1"/>
  <c r="AJ29" i="14" s="1"/>
  <c r="AO76" i="14"/>
  <c r="E52" i="7"/>
  <c r="AH150" i="14"/>
  <c r="AM27" i="14"/>
  <c r="E15" i="7"/>
  <c r="AI27" i="14" s="1"/>
  <c r="AJ27" i="14" s="1"/>
  <c r="AM28" i="14"/>
  <c r="E20" i="7"/>
  <c r="AI82" i="14"/>
  <c r="AJ82" i="14" s="1"/>
  <c r="G57" i="7"/>
  <c r="AI69" i="14"/>
  <c r="AJ69" i="14" s="1"/>
  <c r="AO77" i="14"/>
  <c r="E53" i="7"/>
  <c r="E46" i="7"/>
  <c r="AM34" i="14"/>
  <c r="E22" i="7"/>
  <c r="Q60" i="7"/>
  <c r="C60" i="15"/>
  <c r="D83" i="15"/>
  <c r="D99" i="15"/>
  <c r="C83" i="15"/>
  <c r="C99" i="15"/>
  <c r="C64" i="15"/>
  <c r="D75" i="15"/>
  <c r="D112" i="15"/>
  <c r="D114" i="15" s="1"/>
  <c r="D116" i="15" s="1"/>
  <c r="C75" i="15"/>
  <c r="B114" i="15"/>
  <c r="E7" i="15"/>
  <c r="F8" i="15"/>
  <c r="D47" i="15"/>
  <c r="E44" i="15"/>
  <c r="D48" i="15"/>
  <c r="D45" i="15"/>
  <c r="D49" i="15"/>
  <c r="N54" i="15"/>
  <c r="B56" i="15"/>
  <c r="N27" i="15"/>
  <c r="B62" i="15"/>
  <c r="AM43" i="14"/>
  <c r="AH56" i="14"/>
  <c r="AM53" i="14"/>
  <c r="AM56" i="14" s="1"/>
  <c r="AH117" i="14"/>
  <c r="AO122" i="14"/>
  <c r="AH125" i="14"/>
  <c r="AH162" i="14" s="1"/>
  <c r="E74" i="15"/>
  <c r="E115" i="15"/>
  <c r="E59" i="15"/>
  <c r="E82" i="15"/>
  <c r="E63" i="15"/>
  <c r="E98" i="15"/>
  <c r="AI30" i="14" l="1"/>
  <c r="AJ30" i="14" s="1"/>
  <c r="G17" i="7"/>
  <c r="I17" i="7" s="1"/>
  <c r="AI92" i="14"/>
  <c r="AJ92" i="14" s="1"/>
  <c r="E63" i="7"/>
  <c r="G30" i="7"/>
  <c r="AI72" i="14"/>
  <c r="AJ72" i="14" s="1"/>
  <c r="AI112" i="14"/>
  <c r="AJ112" i="14" s="1"/>
  <c r="AI66" i="14"/>
  <c r="AJ66" i="14" s="1"/>
  <c r="G46" i="7"/>
  <c r="AI87" i="14"/>
  <c r="AJ87" i="14" s="1"/>
  <c r="G38" i="7"/>
  <c r="AI100" i="14"/>
  <c r="AJ100" i="14" s="1"/>
  <c r="G49" i="7"/>
  <c r="AI106" i="14"/>
  <c r="AJ106" i="14" s="1"/>
  <c r="G61" i="7"/>
  <c r="AI96" i="14"/>
  <c r="AJ96" i="14" s="1"/>
  <c r="G44" i="7"/>
  <c r="AI65" i="14"/>
  <c r="AJ65" i="14" s="1"/>
  <c r="AI97" i="14"/>
  <c r="AJ97" i="14" s="1"/>
  <c r="AI74" i="14"/>
  <c r="AJ74" i="14" s="1"/>
  <c r="G45" i="7"/>
  <c r="I36" i="7"/>
  <c r="Q36" i="7"/>
  <c r="AI83" i="14"/>
  <c r="AJ83" i="14" s="1"/>
  <c r="G58" i="7"/>
  <c r="G55" i="7"/>
  <c r="AI68" i="14"/>
  <c r="AJ68" i="14" s="1"/>
  <c r="AI76" i="14"/>
  <c r="AJ76" i="14" s="1"/>
  <c r="G52" i="7"/>
  <c r="AI91" i="14"/>
  <c r="AJ91" i="14" s="1"/>
  <c r="G42" i="7"/>
  <c r="AI108" i="14"/>
  <c r="AJ108" i="14" s="1"/>
  <c r="G39" i="7"/>
  <c r="AI70" i="14"/>
  <c r="AJ70" i="14" s="1"/>
  <c r="Q13" i="7"/>
  <c r="G13" i="7"/>
  <c r="I13" i="7" s="1"/>
  <c r="AI18" i="14"/>
  <c r="AJ18" i="14" s="1"/>
  <c r="AI13" i="14"/>
  <c r="AJ13" i="14" s="1"/>
  <c r="E29" i="7"/>
  <c r="G53" i="7"/>
  <c r="AI77" i="14"/>
  <c r="AJ77" i="14" s="1"/>
  <c r="I57" i="7"/>
  <c r="Q57" i="7"/>
  <c r="G21" i="7"/>
  <c r="I21" i="7" s="1"/>
  <c r="Q21" i="7"/>
  <c r="AI31" i="14"/>
  <c r="AJ31" i="14" s="1"/>
  <c r="AI67" i="14"/>
  <c r="AJ67" i="14" s="1"/>
  <c r="G54" i="7"/>
  <c r="AI111" i="14"/>
  <c r="AJ111" i="14" s="1"/>
  <c r="G47" i="7"/>
  <c r="I50" i="7"/>
  <c r="Q50" i="7"/>
  <c r="AI93" i="14"/>
  <c r="AJ93" i="14" s="1"/>
  <c r="G31" i="7"/>
  <c r="AI32" i="14"/>
  <c r="AJ32" i="14" s="1"/>
  <c r="G12" i="7"/>
  <c r="I12" i="7" s="1"/>
  <c r="AI71" i="14"/>
  <c r="AJ71" i="14" s="1"/>
  <c r="G32" i="7"/>
  <c r="AI109" i="14"/>
  <c r="AJ109" i="14" s="1"/>
  <c r="AI75" i="14"/>
  <c r="AJ75" i="14" s="1"/>
  <c r="G51" i="7"/>
  <c r="AI94" i="14"/>
  <c r="AJ94" i="14" s="1"/>
  <c r="G35" i="7"/>
  <c r="AM50" i="14"/>
  <c r="AM173" i="14" s="1"/>
  <c r="Q22" i="7"/>
  <c r="AI34" i="14"/>
  <c r="AJ34" i="14" s="1"/>
  <c r="G22" i="7"/>
  <c r="I22" i="7" s="1"/>
  <c r="AI28" i="14"/>
  <c r="AJ28" i="14" s="1"/>
  <c r="Q20" i="7"/>
  <c r="G20" i="7"/>
  <c r="I20" i="7" s="1"/>
  <c r="G59" i="7"/>
  <c r="AI105" i="14"/>
  <c r="AJ105" i="14" s="1"/>
  <c r="AI33" i="14"/>
  <c r="AJ33" i="14" s="1"/>
  <c r="G18" i="7"/>
  <c r="I18" i="7" s="1"/>
  <c r="Q18" i="7"/>
  <c r="AI110" i="14"/>
  <c r="AJ110" i="14" s="1"/>
  <c r="G33" i="7"/>
  <c r="AI73" i="14"/>
  <c r="AJ73" i="14" s="1"/>
  <c r="I43" i="7"/>
  <c r="Q43" i="7"/>
  <c r="E99" i="15"/>
  <c r="E83" i="15"/>
  <c r="E112" i="15"/>
  <c r="E75" i="15"/>
  <c r="E48" i="15"/>
  <c r="E45" i="15"/>
  <c r="E49" i="15"/>
  <c r="E47" i="15"/>
  <c r="F44" i="15"/>
  <c r="B65" i="15"/>
  <c r="N56" i="15"/>
  <c r="B116" i="15"/>
  <c r="F7" i="15"/>
  <c r="G8" i="15"/>
  <c r="D58" i="15"/>
  <c r="D51" i="15"/>
  <c r="B64" i="15"/>
  <c r="AK125" i="14"/>
  <c r="AO173" i="14"/>
  <c r="F74" i="15"/>
  <c r="F115" i="15"/>
  <c r="F59" i="15"/>
  <c r="F82" i="15"/>
  <c r="F63" i="15"/>
  <c r="F98" i="15"/>
  <c r="Q59" i="7" l="1"/>
  <c r="I59" i="7"/>
  <c r="Q35" i="7"/>
  <c r="I35" i="7"/>
  <c r="I51" i="7"/>
  <c r="Q51" i="7"/>
  <c r="Q54" i="7"/>
  <c r="I54" i="7"/>
  <c r="Q53" i="7"/>
  <c r="I53" i="7"/>
  <c r="Q52" i="7"/>
  <c r="I52" i="7"/>
  <c r="I32" i="7"/>
  <c r="Q32" i="7"/>
  <c r="Q47" i="7"/>
  <c r="I47" i="7"/>
  <c r="I55" i="7"/>
  <c r="Q55" i="7"/>
  <c r="AJ126" i="14"/>
  <c r="Q58" i="7"/>
  <c r="I58" i="7"/>
  <c r="F99" i="15"/>
  <c r="F83" i="15"/>
  <c r="F112" i="15"/>
  <c r="F114" i="15" s="1"/>
  <c r="F116" i="15" s="1"/>
  <c r="F75" i="15"/>
  <c r="D60" i="15"/>
  <c r="J49" i="15"/>
  <c r="G48" i="15"/>
  <c r="L47" i="15"/>
  <c r="I49" i="15"/>
  <c r="F48" i="15"/>
  <c r="K47" i="15"/>
  <c r="H49" i="15"/>
  <c r="M48" i="15"/>
  <c r="N48" i="15" s="1"/>
  <c r="J47" i="15"/>
  <c r="G49" i="15"/>
  <c r="L48" i="15"/>
  <c r="I47" i="15"/>
  <c r="F45" i="15"/>
  <c r="F49" i="15"/>
  <c r="K48" i="15"/>
  <c r="H47" i="15"/>
  <c r="M49" i="15"/>
  <c r="J48" i="15"/>
  <c r="G47" i="15"/>
  <c r="L49" i="15"/>
  <c r="I48" i="15"/>
  <c r="F47" i="15"/>
  <c r="G44" i="15"/>
  <c r="K49" i="15"/>
  <c r="H48" i="15"/>
  <c r="M47" i="15"/>
  <c r="N47" i="15" s="1"/>
  <c r="E58" i="15"/>
  <c r="E60" i="15" s="1"/>
  <c r="E51" i="15"/>
  <c r="E62" i="15" s="1"/>
  <c r="E64" i="15" s="1"/>
  <c r="H8" i="15"/>
  <c r="G7" i="15"/>
  <c r="E114" i="15"/>
  <c r="D62" i="15"/>
  <c r="G74" i="15"/>
  <c r="G115" i="15"/>
  <c r="G82" i="15"/>
  <c r="G63" i="15"/>
  <c r="G59" i="15"/>
  <c r="G98" i="15"/>
  <c r="G99" i="15" l="1"/>
  <c r="G83" i="15"/>
  <c r="G112" i="15"/>
  <c r="G114" i="15" s="1"/>
  <c r="G116" i="15" s="1"/>
  <c r="G75" i="15"/>
  <c r="Q36" i="15"/>
  <c r="Q19" i="15"/>
  <c r="I8" i="15"/>
  <c r="H7" i="15"/>
  <c r="E116" i="15"/>
  <c r="G45" i="15"/>
  <c r="H44" i="15"/>
  <c r="N49" i="15"/>
  <c r="F51" i="15"/>
  <c r="F58" i="15"/>
  <c r="F60" i="15" s="1"/>
  <c r="D64" i="15"/>
  <c r="H63" i="15"/>
  <c r="H98" i="15"/>
  <c r="H82" i="15"/>
  <c r="H74" i="15"/>
  <c r="H115" i="15"/>
  <c r="H59" i="15"/>
  <c r="H112" i="15" l="1"/>
  <c r="H114" i="15" s="1"/>
  <c r="H116" i="15" s="1"/>
  <c r="H75" i="15"/>
  <c r="H83" i="15"/>
  <c r="H99" i="15"/>
  <c r="H45" i="15"/>
  <c r="I44" i="15"/>
  <c r="G58" i="15"/>
  <c r="G60" i="15" s="1"/>
  <c r="G51" i="15"/>
  <c r="G62" i="15" s="1"/>
  <c r="G64" i="15" s="1"/>
  <c r="F62" i="15"/>
  <c r="Q38" i="15"/>
  <c r="Q39" i="15" s="1"/>
  <c r="Q43" i="15" s="1"/>
  <c r="R43" i="15" s="1"/>
  <c r="Q20" i="15"/>
  <c r="J8" i="15"/>
  <c r="I7" i="15"/>
  <c r="I74" i="15"/>
  <c r="I115" i="15"/>
  <c r="I59" i="15"/>
  <c r="I98" i="15"/>
  <c r="I82" i="15"/>
  <c r="I63" i="15"/>
  <c r="I83" i="15" l="1"/>
  <c r="I99" i="15"/>
  <c r="I112" i="15"/>
  <c r="I114" i="15" s="1"/>
  <c r="I75" i="15"/>
  <c r="I45" i="15"/>
  <c r="J44" i="15"/>
  <c r="H58" i="15"/>
  <c r="H51" i="15"/>
  <c r="H62" i="15" s="1"/>
  <c r="H64" i="15" s="1"/>
  <c r="K8" i="15"/>
  <c r="J7" i="15"/>
  <c r="F64" i="15"/>
  <c r="Q21" i="15"/>
  <c r="J63" i="15"/>
  <c r="J98" i="15"/>
  <c r="J59" i="15"/>
  <c r="J82" i="15"/>
  <c r="J74" i="15"/>
  <c r="J115" i="15"/>
  <c r="J112" i="15" l="1"/>
  <c r="J114" i="15" s="1"/>
  <c r="J116" i="15" s="1"/>
  <c r="J75" i="15"/>
  <c r="J83" i="15"/>
  <c r="J99" i="15"/>
  <c r="L8" i="15"/>
  <c r="K7" i="15"/>
  <c r="H60" i="15"/>
  <c r="K44" i="15"/>
  <c r="J45" i="15"/>
  <c r="I51" i="15"/>
  <c r="I62" i="15" s="1"/>
  <c r="I64" i="15" s="1"/>
  <c r="I58" i="15"/>
  <c r="I60" i="15" s="1"/>
  <c r="R18" i="15"/>
  <c r="R19" i="15"/>
  <c r="I116" i="15"/>
  <c r="R20" i="15"/>
  <c r="K63" i="15"/>
  <c r="K98" i="15"/>
  <c r="K74" i="15"/>
  <c r="K115" i="15"/>
  <c r="K59" i="15"/>
  <c r="K82" i="15"/>
  <c r="K83" i="15" l="1"/>
  <c r="K112" i="15"/>
  <c r="K114" i="15" s="1"/>
  <c r="K75" i="15"/>
  <c r="K99" i="15"/>
  <c r="L44" i="15"/>
  <c r="K45" i="15"/>
  <c r="L7" i="15"/>
  <c r="M8" i="15"/>
  <c r="J51" i="15"/>
  <c r="J62" i="15" s="1"/>
  <c r="J58" i="15"/>
  <c r="J60" i="15" s="1"/>
  <c r="L98" i="15"/>
  <c r="L63" i="15"/>
  <c r="L74" i="15"/>
  <c r="L59" i="15"/>
  <c r="L115" i="15"/>
  <c r="L82" i="15"/>
  <c r="L83" i="15" l="1"/>
  <c r="L112" i="15"/>
  <c r="L114" i="15" s="1"/>
  <c r="L116" i="15" s="1"/>
  <c r="L75" i="15"/>
  <c r="L99" i="15"/>
  <c r="J64" i="15"/>
  <c r="K58" i="15"/>
  <c r="K60" i="15" s="1"/>
  <c r="K51" i="15"/>
  <c r="K62" i="15" s="1"/>
  <c r="K64" i="15" s="1"/>
  <c r="M44" i="15"/>
  <c r="M45" i="15" s="1"/>
  <c r="L45" i="15"/>
  <c r="K116" i="15"/>
  <c r="M7" i="15"/>
  <c r="M59" i="15"/>
  <c r="M115" i="15"/>
  <c r="M82" i="15"/>
  <c r="M63" i="15"/>
  <c r="M98" i="15"/>
  <c r="M74" i="15"/>
  <c r="M75" i="15" l="1"/>
  <c r="N75" i="15" s="1"/>
  <c r="N74" i="15"/>
  <c r="M99" i="15"/>
  <c r="N99" i="15" s="1"/>
  <c r="N98" i="15"/>
  <c r="N63" i="15"/>
  <c r="M83" i="15"/>
  <c r="N83" i="15" s="1"/>
  <c r="N82" i="15"/>
  <c r="M112" i="15"/>
  <c r="N115" i="15"/>
  <c r="N59" i="15"/>
  <c r="L58" i="15"/>
  <c r="L60" i="15" s="1"/>
  <c r="L51" i="15"/>
  <c r="L62" i="15" s="1"/>
  <c r="L64" i="15" s="1"/>
  <c r="M58" i="15"/>
  <c r="M51" i="15"/>
  <c r="N45" i="15"/>
  <c r="M114" i="15" l="1"/>
  <c r="N112" i="15"/>
  <c r="M62" i="15"/>
  <c r="N51" i="15"/>
  <c r="M60" i="15"/>
  <c r="N60" i="15" s="1"/>
  <c r="N58" i="15"/>
  <c r="Q22" i="15" s="1"/>
  <c r="M116" i="15" l="1"/>
  <c r="N114" i="15"/>
  <c r="N116" i="15" s="1"/>
  <c r="M64" i="15"/>
  <c r="N64" i="15" s="1"/>
  <c r="N62" i="15"/>
  <c r="C63" i="4" l="1"/>
  <c r="C62" i="4"/>
  <c r="G56" i="4" l="1"/>
  <c r="N81" i="7" l="1"/>
  <c r="N77" i="7"/>
  <c r="N76" i="7"/>
  <c r="N75" i="7"/>
  <c r="N74" i="7"/>
  <c r="N73" i="7"/>
  <c r="N72" i="7"/>
  <c r="N71" i="7"/>
  <c r="N68" i="7"/>
  <c r="N62" i="7" l="1"/>
  <c r="N61" i="7"/>
  <c r="N56" i="7"/>
  <c r="N49" i="7"/>
  <c r="N48" i="7"/>
  <c r="N46" i="7"/>
  <c r="N45" i="7"/>
  <c r="N44" i="7"/>
  <c r="N42" i="7"/>
  <c r="N39" i="7"/>
  <c r="N38" i="7"/>
  <c r="N37" i="7"/>
  <c r="N34" i="7"/>
  <c r="N33" i="7"/>
  <c r="N31" i="7"/>
  <c r="N30" i="7"/>
  <c r="N28" i="7"/>
  <c r="N24" i="7"/>
  <c r="N23" i="7"/>
  <c r="N19" i="7"/>
  <c r="N16" i="7"/>
  <c r="N17" i="7" s="1"/>
  <c r="Q17" i="7" s="1"/>
  <c r="N15" i="7"/>
  <c r="N14" i="7"/>
  <c r="N11" i="7"/>
  <c r="N12" i="7" s="1"/>
  <c r="Q12" i="7" s="1"/>
  <c r="N10" i="7"/>
  <c r="N8" i="7"/>
  <c r="N9" i="7"/>
  <c r="N7" i="7"/>
  <c r="H72" i="7" l="1"/>
  <c r="G72" i="7"/>
  <c r="I72" i="7" l="1"/>
  <c r="AI126" i="14" l="1"/>
  <c r="H45" i="7"/>
  <c r="H38" i="7"/>
  <c r="H31" i="7"/>
  <c r="G63" i="7" l="1"/>
  <c r="Q61" i="7" l="1"/>
  <c r="AI51" i="14"/>
  <c r="Q24" i="7"/>
  <c r="Q28" i="7"/>
  <c r="Q23" i="7"/>
  <c r="H77" i="7"/>
  <c r="G77" i="7"/>
  <c r="H76" i="7"/>
  <c r="H75" i="7"/>
  <c r="H74" i="7"/>
  <c r="H73" i="7"/>
  <c r="H81" i="7"/>
  <c r="H71" i="7"/>
  <c r="G73" i="7"/>
  <c r="G74" i="7"/>
  <c r="G81" i="7"/>
  <c r="G75" i="7"/>
  <c r="G76" i="7"/>
  <c r="H62" i="7"/>
  <c r="H61" i="7"/>
  <c r="H56" i="7"/>
  <c r="H46" i="7"/>
  <c r="H48" i="7"/>
  <c r="H49" i="7"/>
  <c r="H44" i="7"/>
  <c r="H39" i="7"/>
  <c r="H41" i="7"/>
  <c r="H42" i="7"/>
  <c r="H37" i="7"/>
  <c r="H34" i="7"/>
  <c r="H33" i="7"/>
  <c r="H30" i="7"/>
  <c r="H28" i="7"/>
  <c r="H24" i="7"/>
  <c r="H23" i="7"/>
  <c r="H19" i="7"/>
  <c r="H16" i="7"/>
  <c r="H15" i="7"/>
  <c r="H11" i="7"/>
  <c r="H10" i="7"/>
  <c r="I81" i="7" l="1"/>
  <c r="I73" i="7"/>
  <c r="I74" i="7"/>
  <c r="I75" i="7"/>
  <c r="I76" i="7"/>
  <c r="I77" i="7"/>
  <c r="E64" i="7"/>
  <c r="I70" i="7"/>
  <c r="Q31" i="7"/>
  <c r="Q33" i="7"/>
  <c r="Q34" i="7"/>
  <c r="Q37" i="7"/>
  <c r="Q38" i="7"/>
  <c r="Q39" i="7"/>
  <c r="Q41" i="7"/>
  <c r="Q42" i="7"/>
  <c r="Q44" i="7"/>
  <c r="Q45" i="7"/>
  <c r="Q46" i="7"/>
  <c r="Q48" i="7"/>
  <c r="Q49" i="7"/>
  <c r="Q56" i="7"/>
  <c r="Q62" i="7"/>
  <c r="Q30" i="7"/>
  <c r="I62" i="7"/>
  <c r="I61" i="7"/>
  <c r="Q9" i="7"/>
  <c r="Q10" i="7"/>
  <c r="Q11" i="7"/>
  <c r="Q14" i="7"/>
  <c r="Q15" i="7"/>
  <c r="Q16" i="7"/>
  <c r="Q19" i="7"/>
  <c r="H14" i="7"/>
  <c r="H7" i="7"/>
  <c r="I23" i="7"/>
  <c r="I24" i="7"/>
  <c r="I28" i="7"/>
  <c r="B63" i="4"/>
  <c r="Q63" i="7" l="1"/>
  <c r="H68" i="7" l="1"/>
  <c r="H9" i="7"/>
  <c r="H8" i="7"/>
  <c r="G71" i="7" l="1"/>
  <c r="I71" i="7" s="1"/>
  <c r="Q8" i="7"/>
  <c r="I37" i="7"/>
  <c r="I38" i="7"/>
  <c r="I56" i="7"/>
  <c r="B8" i="4" l="1"/>
  <c r="B9" i="4"/>
  <c r="B10" i="4"/>
  <c r="B11" i="4"/>
  <c r="I31" i="7" l="1"/>
  <c r="I34" i="7"/>
  <c r="D10" i="4"/>
  <c r="C9" i="4"/>
  <c r="E9" i="4"/>
  <c r="G9" i="4"/>
  <c r="F10" i="4"/>
  <c r="C10" i="4"/>
  <c r="D9" i="4"/>
  <c r="F9" i="4"/>
  <c r="H9" i="4"/>
  <c r="C11" i="4"/>
  <c r="H11" i="4"/>
  <c r="E10" i="4"/>
  <c r="G10" i="4"/>
  <c r="H10" i="4"/>
  <c r="C8" i="4"/>
  <c r="D8" i="4"/>
  <c r="E8" i="4"/>
  <c r="F8" i="4"/>
  <c r="G8" i="4"/>
  <c r="H8" i="4"/>
  <c r="G11" i="4" l="1"/>
  <c r="F11" i="4"/>
  <c r="E11" i="4"/>
  <c r="D11" i="4"/>
  <c r="E89" i="7" l="1"/>
  <c r="Q7" i="7"/>
  <c r="B58" i="4" l="1"/>
  <c r="C57" i="4"/>
  <c r="C56" i="4"/>
  <c r="B14" i="4"/>
  <c r="B13" i="4"/>
  <c r="B12" i="4"/>
  <c r="T78" i="7" l="1"/>
  <c r="D58" i="4"/>
  <c r="F82" i="7"/>
  <c r="G82" i="7" s="1"/>
  <c r="I82" i="7" s="1"/>
  <c r="B61" i="4"/>
  <c r="C45" i="13"/>
  <c r="D45" i="13" s="1"/>
  <c r="F10" i="7"/>
  <c r="G10" i="7" s="1"/>
  <c r="I10" i="7" s="1"/>
  <c r="F19" i="7"/>
  <c r="G19" i="7" s="1"/>
  <c r="I19" i="7" s="1"/>
  <c r="F15" i="7"/>
  <c r="G15" i="7" s="1"/>
  <c r="I15" i="7" s="1"/>
  <c r="F14" i="7"/>
  <c r="G14" i="7" s="1"/>
  <c r="I14" i="7" s="1"/>
  <c r="F16" i="7"/>
  <c r="G16" i="7" s="1"/>
  <c r="I16" i="7" s="1"/>
  <c r="F69" i="7"/>
  <c r="G69" i="7" s="1"/>
  <c r="I69" i="7" s="1"/>
  <c r="I33" i="7"/>
  <c r="F9" i="7"/>
  <c r="G9" i="7" s="1"/>
  <c r="I9" i="7" s="1"/>
  <c r="F68" i="7"/>
  <c r="G68" i="7" s="1"/>
  <c r="I68" i="7" s="1"/>
  <c r="F11" i="7"/>
  <c r="G11" i="7" s="1"/>
  <c r="I11" i="7" s="1"/>
  <c r="F7" i="7"/>
  <c r="G7" i="7" s="1"/>
  <c r="F8" i="7"/>
  <c r="G8" i="7" s="1"/>
  <c r="I8" i="7" s="1"/>
  <c r="H13" i="4"/>
  <c r="G13" i="4"/>
  <c r="F13" i="4"/>
  <c r="E13" i="4"/>
  <c r="D13" i="4"/>
  <c r="C13" i="4"/>
  <c r="H12" i="4"/>
  <c r="C12" i="4"/>
  <c r="G12" i="4"/>
  <c r="F12" i="4"/>
  <c r="E12" i="4"/>
  <c r="D12" i="4"/>
  <c r="H14" i="4"/>
  <c r="G14" i="4"/>
  <c r="F14" i="4"/>
  <c r="E14" i="4"/>
  <c r="D14" i="4"/>
  <c r="C14" i="4"/>
  <c r="G59" i="4"/>
  <c r="G61" i="4" s="1"/>
  <c r="C58" i="4"/>
  <c r="G29" i="7" l="1"/>
  <c r="I7" i="7"/>
  <c r="I29" i="7" s="1"/>
  <c r="I45" i="7"/>
  <c r="I41" i="7"/>
  <c r="I30" i="7"/>
  <c r="I39" i="7"/>
  <c r="I46" i="7"/>
  <c r="I44" i="7"/>
  <c r="B62" i="4"/>
  <c r="B64" i="4" s="1"/>
  <c r="I42" i="7" l="1"/>
  <c r="I49" i="7"/>
  <c r="I48" i="7"/>
  <c r="G64" i="7"/>
  <c r="I63" i="7" l="1"/>
  <c r="I64" i="7" s="1"/>
  <c r="E91" i="7" s="1"/>
  <c r="E90" i="7"/>
  <c r="J78" i="7" l="1"/>
  <c r="K78" i="7" s="1"/>
  <c r="L78" i="7" s="1"/>
  <c r="J80" i="7"/>
  <c r="K80" i="7" s="1"/>
  <c r="L80" i="7" s="1"/>
  <c r="M80" i="7" s="1"/>
  <c r="J79" i="7"/>
  <c r="K79" i="7" s="1"/>
  <c r="L79" i="7" s="1"/>
  <c r="M79" i="7" s="1"/>
  <c r="J75" i="7"/>
  <c r="J59" i="7"/>
  <c r="K59" i="7" s="1"/>
  <c r="L59" i="7" s="1"/>
  <c r="M59" i="7" s="1"/>
  <c r="J47" i="7"/>
  <c r="K47" i="7" s="1"/>
  <c r="L47" i="7" s="1"/>
  <c r="M47" i="7" s="1"/>
  <c r="O47" i="7" s="1"/>
  <c r="J43" i="7"/>
  <c r="K43" i="7" s="1"/>
  <c r="L43" i="7" s="1"/>
  <c r="M43" i="7" s="1"/>
  <c r="O43" i="7" s="1"/>
  <c r="J58" i="7"/>
  <c r="K58" i="7" s="1"/>
  <c r="L58" i="7" s="1"/>
  <c r="M58" i="7" s="1"/>
  <c r="J57" i="7"/>
  <c r="K57" i="7" s="1"/>
  <c r="L57" i="7" s="1"/>
  <c r="M57" i="7" s="1"/>
  <c r="J36" i="7"/>
  <c r="K36" i="7" s="1"/>
  <c r="L36" i="7" s="1"/>
  <c r="M36" i="7" s="1"/>
  <c r="O36" i="7" s="1"/>
  <c r="J50" i="7"/>
  <c r="K50" i="7" s="1"/>
  <c r="L50" i="7" s="1"/>
  <c r="M50" i="7" s="1"/>
  <c r="J32" i="7"/>
  <c r="K32" i="7" s="1"/>
  <c r="L32" i="7" s="1"/>
  <c r="M32" i="7" s="1"/>
  <c r="O32" i="7" s="1"/>
  <c r="J52" i="7"/>
  <c r="K52" i="7" s="1"/>
  <c r="L52" i="7" s="1"/>
  <c r="M52" i="7" s="1"/>
  <c r="O52" i="7" s="1"/>
  <c r="J53" i="7"/>
  <c r="K53" i="7" s="1"/>
  <c r="L53" i="7" s="1"/>
  <c r="M53" i="7" s="1"/>
  <c r="O53" i="7" s="1"/>
  <c r="J51" i="7"/>
  <c r="K51" i="7" s="1"/>
  <c r="L51" i="7" s="1"/>
  <c r="M51" i="7" s="1"/>
  <c r="J54" i="7"/>
  <c r="K54" i="7" s="1"/>
  <c r="L54" i="7" s="1"/>
  <c r="M54" i="7" s="1"/>
  <c r="J55" i="7"/>
  <c r="K55" i="7" s="1"/>
  <c r="L55" i="7" s="1"/>
  <c r="M55" i="7" s="1"/>
  <c r="J60" i="7"/>
  <c r="K60" i="7" s="1"/>
  <c r="L60" i="7" s="1"/>
  <c r="M60" i="7" s="1"/>
  <c r="J35" i="7"/>
  <c r="K35" i="7" s="1"/>
  <c r="L35" i="7" s="1"/>
  <c r="M35" i="7" s="1"/>
  <c r="O35" i="7" s="1"/>
  <c r="J22" i="7"/>
  <c r="K22" i="7" s="1"/>
  <c r="L22" i="7" s="1"/>
  <c r="M22" i="7" s="1"/>
  <c r="C27" i="13" s="1"/>
  <c r="J18" i="7"/>
  <c r="K18" i="7" s="1"/>
  <c r="L18" i="7" s="1"/>
  <c r="M18" i="7" s="1"/>
  <c r="J12" i="7"/>
  <c r="K12" i="7" s="1"/>
  <c r="L12" i="7" s="1"/>
  <c r="M12" i="7" s="1"/>
  <c r="O12" i="7" s="1"/>
  <c r="J17" i="7"/>
  <c r="K17" i="7" s="1"/>
  <c r="L17" i="7" s="1"/>
  <c r="M17" i="7" s="1"/>
  <c r="O17" i="7" s="1"/>
  <c r="T17" i="7" s="1"/>
  <c r="J21" i="7"/>
  <c r="K21" i="7" s="1"/>
  <c r="L21" i="7" s="1"/>
  <c r="M21" i="7" s="1"/>
  <c r="J27" i="7"/>
  <c r="K27" i="7" s="1"/>
  <c r="L27" i="7" s="1"/>
  <c r="J25" i="7"/>
  <c r="K25" i="7" s="1"/>
  <c r="L25" i="7" s="1"/>
  <c r="J26" i="7"/>
  <c r="K26" i="7" s="1"/>
  <c r="L26" i="7" s="1"/>
  <c r="J20" i="7"/>
  <c r="K20" i="7" s="1"/>
  <c r="L20" i="7" s="1"/>
  <c r="M20" i="7" s="1"/>
  <c r="C25" i="13" s="1"/>
  <c r="J13" i="7"/>
  <c r="K13" i="7" s="1"/>
  <c r="L13" i="7" s="1"/>
  <c r="M13" i="7" s="1"/>
  <c r="J72" i="7"/>
  <c r="K72" i="7" s="1"/>
  <c r="L72" i="7" s="1"/>
  <c r="M72" i="7" s="1"/>
  <c r="J82" i="7"/>
  <c r="K82" i="7" s="1"/>
  <c r="L82" i="7" s="1"/>
  <c r="M82" i="7" s="1"/>
  <c r="J77" i="7"/>
  <c r="K77" i="7" s="1"/>
  <c r="L77" i="7" s="1"/>
  <c r="J74" i="7"/>
  <c r="K74" i="7" s="1"/>
  <c r="L74" i="7" s="1"/>
  <c r="J73" i="7"/>
  <c r="K73" i="7" s="1"/>
  <c r="L73" i="7" s="1"/>
  <c r="J81" i="7"/>
  <c r="K81" i="7" s="1"/>
  <c r="L81" i="7" s="1"/>
  <c r="K75" i="7"/>
  <c r="L75" i="7" s="1"/>
  <c r="J76" i="7"/>
  <c r="K76" i="7" s="1"/>
  <c r="L76" i="7" s="1"/>
  <c r="J7" i="7"/>
  <c r="K7" i="7" s="1"/>
  <c r="J70" i="7"/>
  <c r="K70" i="7" s="1"/>
  <c r="L70" i="7" s="1"/>
  <c r="J61" i="7"/>
  <c r="K61" i="7" s="1"/>
  <c r="L61" i="7" s="1"/>
  <c r="M61" i="7" s="1"/>
  <c r="J62" i="7"/>
  <c r="K62" i="7" s="1"/>
  <c r="L62" i="7" s="1"/>
  <c r="M62" i="7" s="1"/>
  <c r="J9" i="7"/>
  <c r="K9" i="7" s="1"/>
  <c r="L9" i="7" s="1"/>
  <c r="J11" i="7"/>
  <c r="K11" i="7" s="1"/>
  <c r="L11" i="7" s="1"/>
  <c r="J16" i="7"/>
  <c r="K16" i="7" s="1"/>
  <c r="L16" i="7" s="1"/>
  <c r="J24" i="7"/>
  <c r="K24" i="7" s="1"/>
  <c r="L24" i="7" s="1"/>
  <c r="J8" i="7"/>
  <c r="K8" i="7" s="1"/>
  <c r="L8" i="7" s="1"/>
  <c r="J10" i="7"/>
  <c r="K10" i="7" s="1"/>
  <c r="L10" i="7" s="1"/>
  <c r="J14" i="7"/>
  <c r="K14" i="7" s="1"/>
  <c r="L14" i="7" s="1"/>
  <c r="M14" i="7" s="1"/>
  <c r="C20" i="13" s="1"/>
  <c r="J15" i="7"/>
  <c r="K15" i="7" s="1"/>
  <c r="L15" i="7" s="1"/>
  <c r="J19" i="7"/>
  <c r="K19" i="7" s="1"/>
  <c r="L19" i="7" s="1"/>
  <c r="M19" i="7" s="1"/>
  <c r="J23" i="7"/>
  <c r="K23" i="7" s="1"/>
  <c r="L23" i="7" s="1"/>
  <c r="J28" i="7"/>
  <c r="K28" i="7" s="1"/>
  <c r="L28" i="7" s="1"/>
  <c r="J68" i="7"/>
  <c r="K68" i="7" s="1"/>
  <c r="J69" i="7"/>
  <c r="K69" i="7" s="1"/>
  <c r="J71" i="7"/>
  <c r="K71" i="7" s="1"/>
  <c r="J30" i="7"/>
  <c r="J31" i="7"/>
  <c r="K31" i="7" s="1"/>
  <c r="J37" i="7"/>
  <c r="K37" i="7" s="1"/>
  <c r="J34" i="7"/>
  <c r="K34" i="7" s="1"/>
  <c r="J46" i="7"/>
  <c r="K46" i="7" s="1"/>
  <c r="J42" i="7"/>
  <c r="K42" i="7" s="1"/>
  <c r="J56" i="7"/>
  <c r="K56" i="7" s="1"/>
  <c r="J41" i="7"/>
  <c r="K41" i="7" s="1"/>
  <c r="J49" i="7"/>
  <c r="K49" i="7" s="1"/>
  <c r="J45" i="7"/>
  <c r="K45" i="7" s="1"/>
  <c r="J33" i="7"/>
  <c r="K33" i="7" s="1"/>
  <c r="J39" i="7"/>
  <c r="K39" i="7" s="1"/>
  <c r="J48" i="7"/>
  <c r="K48" i="7" s="1"/>
  <c r="J44" i="7"/>
  <c r="K44" i="7" s="1"/>
  <c r="J38" i="7"/>
  <c r="K38" i="7" s="1"/>
  <c r="C78" i="13" l="1"/>
  <c r="C87" i="13"/>
  <c r="C79" i="13"/>
  <c r="C93" i="13"/>
  <c r="O57" i="7"/>
  <c r="T57" i="7" s="1"/>
  <c r="O59" i="7"/>
  <c r="T59" i="7" s="1"/>
  <c r="O79" i="7"/>
  <c r="C95" i="13"/>
  <c r="O80" i="7"/>
  <c r="C96" i="13"/>
  <c r="M78" i="7"/>
  <c r="C94" i="13" s="1"/>
  <c r="C108" i="13"/>
  <c r="C90" i="13"/>
  <c r="C56" i="13"/>
  <c r="C72" i="13"/>
  <c r="T47" i="7"/>
  <c r="O58" i="7"/>
  <c r="T58" i="7" s="1"/>
  <c r="C99" i="13"/>
  <c r="T43" i="7"/>
  <c r="C55" i="13"/>
  <c r="O50" i="7"/>
  <c r="C57" i="13"/>
  <c r="T36" i="7"/>
  <c r="O51" i="7"/>
  <c r="C51" i="13"/>
  <c r="T32" i="7"/>
  <c r="T53" i="7"/>
  <c r="T52" i="7"/>
  <c r="O55" i="7"/>
  <c r="C53" i="13"/>
  <c r="O54" i="7"/>
  <c r="C52" i="13"/>
  <c r="O60" i="7"/>
  <c r="T35" i="7"/>
  <c r="O18" i="7"/>
  <c r="T18" i="7" s="1"/>
  <c r="C23" i="13"/>
  <c r="O22" i="7"/>
  <c r="T12" i="7"/>
  <c r="O21" i="7"/>
  <c r="C26" i="13"/>
  <c r="O13" i="7"/>
  <c r="T13" i="7" s="1"/>
  <c r="C19" i="13"/>
  <c r="O20" i="7"/>
  <c r="C24" i="13"/>
  <c r="D24" i="13" s="1"/>
  <c r="C106" i="13"/>
  <c r="C83" i="13"/>
  <c r="D83" i="13" s="1"/>
  <c r="P62" i="7" s="1"/>
  <c r="R62" i="7" s="1"/>
  <c r="S62" i="7" s="1"/>
  <c r="C86" i="13"/>
  <c r="C75" i="13"/>
  <c r="C76" i="13" s="1"/>
  <c r="O72" i="7"/>
  <c r="C91" i="13"/>
  <c r="D91" i="13" s="1"/>
  <c r="P81" i="7" s="1"/>
  <c r="O82" i="7"/>
  <c r="D20" i="13"/>
  <c r="O19" i="7"/>
  <c r="T19" i="7" s="1"/>
  <c r="O62" i="7"/>
  <c r="T62" i="7" s="1"/>
  <c r="O61" i="7"/>
  <c r="T61" i="7" s="1"/>
  <c r="M70" i="7"/>
  <c r="M76" i="7"/>
  <c r="O76" i="7" s="1"/>
  <c r="M81" i="7"/>
  <c r="M73" i="7"/>
  <c r="O73" i="7" s="1"/>
  <c r="M77" i="7"/>
  <c r="O77" i="7" s="1"/>
  <c r="M75" i="7"/>
  <c r="M74" i="7"/>
  <c r="M28" i="7"/>
  <c r="O14" i="7"/>
  <c r="M24" i="7"/>
  <c r="C30" i="13" s="1"/>
  <c r="M16" i="7"/>
  <c r="M11" i="7"/>
  <c r="M9" i="7"/>
  <c r="M23" i="7"/>
  <c r="M15" i="7"/>
  <c r="M10" i="7"/>
  <c r="M8" i="7"/>
  <c r="K30" i="7"/>
  <c r="L30" i="7" s="1"/>
  <c r="M30" i="7" s="1"/>
  <c r="C48" i="13" s="1"/>
  <c r="J63" i="7"/>
  <c r="J29" i="7"/>
  <c r="L69" i="7"/>
  <c r="L71" i="7"/>
  <c r="L68" i="7"/>
  <c r="L7" i="7"/>
  <c r="L38" i="7"/>
  <c r="M38" i="7" s="1"/>
  <c r="L48" i="7"/>
  <c r="M48" i="7" s="1"/>
  <c r="L33" i="7"/>
  <c r="M33" i="7" s="1"/>
  <c r="L49" i="7"/>
  <c r="M49" i="7" s="1"/>
  <c r="L41" i="7"/>
  <c r="M41" i="7" s="1"/>
  <c r="L42" i="7"/>
  <c r="M42" i="7" s="1"/>
  <c r="L46" i="7"/>
  <c r="M46" i="7" s="1"/>
  <c r="L37" i="7"/>
  <c r="M37" i="7" s="1"/>
  <c r="C49" i="13" s="1"/>
  <c r="L31" i="7"/>
  <c r="M31" i="7" s="1"/>
  <c r="L44" i="7"/>
  <c r="M44" i="7" s="1"/>
  <c r="C50" i="13" s="1"/>
  <c r="L39" i="7"/>
  <c r="M39" i="7" s="1"/>
  <c r="L45" i="7"/>
  <c r="M45" i="7" s="1"/>
  <c r="L56" i="7"/>
  <c r="M56" i="7" s="1"/>
  <c r="C37" i="13" s="1"/>
  <c r="C68" i="13" s="1"/>
  <c r="D68" i="13" s="1"/>
  <c r="L34" i="7"/>
  <c r="M34" i="7" s="1"/>
  <c r="O74" i="7" l="1"/>
  <c r="C85" i="13"/>
  <c r="O78" i="7"/>
  <c r="T50" i="7"/>
  <c r="T51" i="7"/>
  <c r="T60" i="7"/>
  <c r="T54" i="7"/>
  <c r="T55" i="7"/>
  <c r="O70" i="7"/>
  <c r="C15" i="13"/>
  <c r="D15" i="13" s="1"/>
  <c r="T22" i="7"/>
  <c r="T21" i="7"/>
  <c r="M27" i="7"/>
  <c r="O27" i="7" s="1"/>
  <c r="T27" i="7" s="1"/>
  <c r="M26" i="7"/>
  <c r="O26" i="7" s="1"/>
  <c r="T26" i="7" s="1"/>
  <c r="M25" i="7"/>
  <c r="O25" i="7" s="1"/>
  <c r="T25" i="7" s="1"/>
  <c r="T20" i="7"/>
  <c r="P19" i="7"/>
  <c r="C81" i="13"/>
  <c r="D81" i="13" s="1"/>
  <c r="C39" i="13"/>
  <c r="D39" i="13" s="1"/>
  <c r="C104" i="13"/>
  <c r="D104" i="13" s="1"/>
  <c r="C38" i="13"/>
  <c r="D38" i="13" s="1"/>
  <c r="C42" i="13"/>
  <c r="D42" i="13" s="1"/>
  <c r="C64" i="13"/>
  <c r="D64" i="13" s="1"/>
  <c r="C21" i="13"/>
  <c r="D21" i="13" s="1"/>
  <c r="P15" i="7" s="1"/>
  <c r="R15" i="7" s="1"/>
  <c r="S15" i="7" s="1"/>
  <c r="C22" i="13"/>
  <c r="D22" i="13" s="1"/>
  <c r="P16" i="7" s="1"/>
  <c r="C8" i="13"/>
  <c r="D8" i="13" s="1"/>
  <c r="P28" i="7" s="1"/>
  <c r="R28" i="7" s="1"/>
  <c r="S28" i="7" s="1"/>
  <c r="D52" i="13"/>
  <c r="P53" i="7" s="1"/>
  <c r="C59" i="13"/>
  <c r="D59" i="13" s="1"/>
  <c r="C34" i="13"/>
  <c r="D34" i="13" s="1"/>
  <c r="C31" i="13"/>
  <c r="C32" i="13" s="1"/>
  <c r="C33" i="13" s="1"/>
  <c r="D33" i="13" s="1"/>
  <c r="D53" i="13"/>
  <c r="C60" i="13"/>
  <c r="D60" i="13" s="1"/>
  <c r="C62" i="13"/>
  <c r="C12" i="13"/>
  <c r="D12" i="13" s="1"/>
  <c r="P8" i="7" s="1"/>
  <c r="R8" i="7" s="1"/>
  <c r="S8" i="7" s="1"/>
  <c r="C13" i="13"/>
  <c r="D13" i="13" s="1"/>
  <c r="P9" i="7" s="1"/>
  <c r="R9" i="7" s="1"/>
  <c r="S9" i="7" s="1"/>
  <c r="D51" i="13"/>
  <c r="C58" i="13"/>
  <c r="D58" i="13" s="1"/>
  <c r="D90" i="13"/>
  <c r="P82" i="7" s="1"/>
  <c r="C63" i="13"/>
  <c r="C17" i="13"/>
  <c r="D17" i="13" s="1"/>
  <c r="C18" i="13"/>
  <c r="D18" i="13" s="1"/>
  <c r="P11" i="7" s="1"/>
  <c r="P14" i="7"/>
  <c r="O75" i="7"/>
  <c r="D76" i="13"/>
  <c r="P75" i="7" s="1"/>
  <c r="D96" i="13"/>
  <c r="P80" i="7" s="1"/>
  <c r="C102" i="13"/>
  <c r="D102" i="13" s="1"/>
  <c r="D85" i="13"/>
  <c r="D94" i="13"/>
  <c r="P78" i="7" s="1"/>
  <c r="C100" i="13"/>
  <c r="D100" i="13" s="1"/>
  <c r="D87" i="13"/>
  <c r="D78" i="13"/>
  <c r="D79" i="13"/>
  <c r="P77" i="7" s="1"/>
  <c r="D86" i="13"/>
  <c r="D75" i="13"/>
  <c r="O81" i="7"/>
  <c r="D95" i="13"/>
  <c r="P79" i="7" s="1"/>
  <c r="C101" i="13"/>
  <c r="D101" i="13" s="1"/>
  <c r="D93" i="13"/>
  <c r="D99" i="13"/>
  <c r="D50" i="13"/>
  <c r="P47" i="7" s="1"/>
  <c r="D25" i="13"/>
  <c r="P20" i="7" s="1"/>
  <c r="D49" i="13"/>
  <c r="P41" i="7" s="1"/>
  <c r="D48" i="13"/>
  <c r="D23" i="13"/>
  <c r="P18" i="7" s="1"/>
  <c r="D37" i="13"/>
  <c r="D26" i="13"/>
  <c r="D30" i="13"/>
  <c r="D27" i="13"/>
  <c r="P22" i="7" s="1"/>
  <c r="R22" i="7" s="1"/>
  <c r="O8" i="7"/>
  <c r="O28" i="7"/>
  <c r="T28" i="7" s="1"/>
  <c r="O23" i="7"/>
  <c r="T23" i="7" s="1"/>
  <c r="O37" i="7"/>
  <c r="O46" i="7"/>
  <c r="O11" i="7"/>
  <c r="O41" i="7"/>
  <c r="T41" i="7" s="1"/>
  <c r="O49" i="7"/>
  <c r="O34" i="7"/>
  <c r="T34" i="7" s="1"/>
  <c r="O15" i="7"/>
  <c r="T15" i="7" s="1"/>
  <c r="O48" i="7"/>
  <c r="T48" i="7" s="1"/>
  <c r="O38" i="7"/>
  <c r="T38" i="7" s="1"/>
  <c r="O9" i="7"/>
  <c r="O16" i="7"/>
  <c r="O39" i="7"/>
  <c r="O44" i="7"/>
  <c r="T44" i="7" s="1"/>
  <c r="O10" i="7"/>
  <c r="O33" i="7"/>
  <c r="O31" i="7"/>
  <c r="T31" i="7" s="1"/>
  <c r="O30" i="7"/>
  <c r="T30" i="7" s="1"/>
  <c r="O56" i="7"/>
  <c r="T56" i="7" s="1"/>
  <c r="O45" i="7"/>
  <c r="O42" i="7"/>
  <c r="T42" i="7" s="1"/>
  <c r="O24" i="7"/>
  <c r="T24" i="7" s="1"/>
  <c r="M68" i="7"/>
  <c r="O68" i="7" s="1"/>
  <c r="M69" i="7"/>
  <c r="M71" i="7"/>
  <c r="O71" i="7" s="1"/>
  <c r="T14" i="7"/>
  <c r="M7" i="7"/>
  <c r="O7" i="7" s="1"/>
  <c r="U62" i="7"/>
  <c r="J64" i="7"/>
  <c r="R47" i="7" l="1"/>
  <c r="P58" i="7"/>
  <c r="P57" i="7"/>
  <c r="P72" i="7"/>
  <c r="P52" i="7"/>
  <c r="R52" i="7" s="1"/>
  <c r="P51" i="7"/>
  <c r="R51" i="7" s="1"/>
  <c r="R53" i="7"/>
  <c r="P35" i="7"/>
  <c r="P32" i="7"/>
  <c r="P56" i="7"/>
  <c r="R56" i="7" s="1"/>
  <c r="P55" i="7"/>
  <c r="P54" i="7"/>
  <c r="R54" i="7" s="1"/>
  <c r="P76" i="7"/>
  <c r="P60" i="7"/>
  <c r="R60" i="7" s="1"/>
  <c r="U60" i="7" s="1"/>
  <c r="O69" i="7"/>
  <c r="C14" i="13"/>
  <c r="D14" i="13" s="1"/>
  <c r="P70" i="7"/>
  <c r="U22" i="7"/>
  <c r="S22" i="7"/>
  <c r="R11" i="7"/>
  <c r="S11" i="7" s="1"/>
  <c r="P12" i="7"/>
  <c r="P21" i="7"/>
  <c r="R21" i="7" s="1"/>
  <c r="R16" i="7"/>
  <c r="S16" i="7" s="1"/>
  <c r="P17" i="7"/>
  <c r="P23" i="7"/>
  <c r="R23" i="7" s="1"/>
  <c r="S23" i="7" s="1"/>
  <c r="P27" i="7"/>
  <c r="P26" i="7"/>
  <c r="R26" i="7" s="1"/>
  <c r="P25" i="7"/>
  <c r="R25" i="7" s="1"/>
  <c r="P24" i="7"/>
  <c r="R24" i="7" s="1"/>
  <c r="S24" i="7" s="1"/>
  <c r="P10" i="7"/>
  <c r="R10" i="7" s="1"/>
  <c r="S10" i="7" s="1"/>
  <c r="R19" i="7"/>
  <c r="S19" i="7" s="1"/>
  <c r="R20" i="7"/>
  <c r="C65" i="13"/>
  <c r="D65" i="13" s="1"/>
  <c r="C66" i="13"/>
  <c r="D66" i="13" s="1"/>
  <c r="C11" i="13"/>
  <c r="D11" i="13" s="1"/>
  <c r="P7" i="7" s="1"/>
  <c r="R7" i="7" s="1"/>
  <c r="D31" i="13"/>
  <c r="D32" i="13"/>
  <c r="P61" i="7"/>
  <c r="R61" i="7" s="1"/>
  <c r="S61" i="7" s="1"/>
  <c r="P49" i="7"/>
  <c r="R49" i="7" s="1"/>
  <c r="S49" i="7" s="1"/>
  <c r="R14" i="7"/>
  <c r="S14" i="7" s="1"/>
  <c r="P30" i="7"/>
  <c r="R30" i="7" s="1"/>
  <c r="S30" i="7" s="1"/>
  <c r="P31" i="7"/>
  <c r="R31" i="7" s="1"/>
  <c r="S31" i="7" s="1"/>
  <c r="P33" i="7"/>
  <c r="R33" i="7" s="1"/>
  <c r="S33" i="7" s="1"/>
  <c r="P37" i="7"/>
  <c r="R37" i="7" s="1"/>
  <c r="S37" i="7" s="1"/>
  <c r="P38" i="7"/>
  <c r="R38" i="7" s="1"/>
  <c r="S38" i="7" s="1"/>
  <c r="P39" i="7"/>
  <c r="R39" i="7" s="1"/>
  <c r="S39" i="7" s="1"/>
  <c r="P45" i="7"/>
  <c r="R45" i="7" s="1"/>
  <c r="S45" i="7" s="1"/>
  <c r="P44" i="7"/>
  <c r="R44" i="7" s="1"/>
  <c r="S44" i="7" s="1"/>
  <c r="P46" i="7"/>
  <c r="R46" i="7" s="1"/>
  <c r="S46" i="7" s="1"/>
  <c r="D108" i="13"/>
  <c r="D106" i="13"/>
  <c r="C73" i="13"/>
  <c r="D73" i="13" s="1"/>
  <c r="P74" i="7" s="1"/>
  <c r="D72" i="13"/>
  <c r="D55" i="13"/>
  <c r="P36" i="7" s="1"/>
  <c r="R36" i="7" s="1"/>
  <c r="D62" i="13"/>
  <c r="D56" i="13"/>
  <c r="P43" i="7" s="1"/>
  <c r="D63" i="13"/>
  <c r="D57" i="13"/>
  <c r="P50" i="7" s="1"/>
  <c r="T11" i="7"/>
  <c r="U15" i="7"/>
  <c r="T16" i="7"/>
  <c r="T8" i="7"/>
  <c r="U8" i="7" s="1"/>
  <c r="T9" i="7"/>
  <c r="U9" i="7" s="1"/>
  <c r="D19" i="13"/>
  <c r="T10" i="7"/>
  <c r="C16" i="13"/>
  <c r="D16" i="13" s="1"/>
  <c r="P68" i="7" s="1"/>
  <c r="U28" i="7"/>
  <c r="T37" i="7"/>
  <c r="T33" i="7"/>
  <c r="T49" i="7"/>
  <c r="T46" i="7"/>
  <c r="T45" i="7"/>
  <c r="T39" i="7"/>
  <c r="S47" i="7" l="1"/>
  <c r="U47" i="7"/>
  <c r="P73" i="7"/>
  <c r="P59" i="7"/>
  <c r="R59" i="7" s="1"/>
  <c r="R57" i="7"/>
  <c r="R58" i="7"/>
  <c r="R50" i="7"/>
  <c r="U36" i="7"/>
  <c r="S36" i="7"/>
  <c r="R35" i="7"/>
  <c r="S35" i="7" s="1"/>
  <c r="S52" i="7"/>
  <c r="U52" i="7"/>
  <c r="U51" i="7"/>
  <c r="S51" i="7"/>
  <c r="U53" i="7"/>
  <c r="S53" i="7"/>
  <c r="R32" i="7"/>
  <c r="U32" i="7" s="1"/>
  <c r="R55" i="7"/>
  <c r="U55" i="7" s="1"/>
  <c r="S56" i="7"/>
  <c r="U56" i="7"/>
  <c r="S54" i="7"/>
  <c r="U54" i="7"/>
  <c r="S60" i="7"/>
  <c r="P69" i="7"/>
  <c r="R17" i="7"/>
  <c r="S17" i="7" s="1"/>
  <c r="R18" i="7"/>
  <c r="R12" i="7"/>
  <c r="S12" i="7" s="1"/>
  <c r="Q29" i="7"/>
  <c r="Q64" i="7" s="1"/>
  <c r="U11" i="7"/>
  <c r="S21" i="7"/>
  <c r="U21" i="7"/>
  <c r="U16" i="7"/>
  <c r="U23" i="7"/>
  <c r="U24" i="7"/>
  <c r="R27" i="7"/>
  <c r="S27" i="7" s="1"/>
  <c r="S25" i="7"/>
  <c r="U25" i="7"/>
  <c r="P13" i="7"/>
  <c r="R13" i="7" s="1"/>
  <c r="S13" i="7" s="1"/>
  <c r="U26" i="7"/>
  <c r="S26" i="7"/>
  <c r="U10" i="7"/>
  <c r="U19" i="7"/>
  <c r="U20" i="7"/>
  <c r="S20" i="7"/>
  <c r="U49" i="7"/>
  <c r="U14" i="7"/>
  <c r="U61" i="7"/>
  <c r="U39" i="7"/>
  <c r="U46" i="7"/>
  <c r="P42" i="7"/>
  <c r="P34" i="7"/>
  <c r="R34" i="7" s="1"/>
  <c r="S34" i="7" s="1"/>
  <c r="P48" i="7"/>
  <c r="R48" i="7" s="1"/>
  <c r="S48" i="7" s="1"/>
  <c r="P71" i="7"/>
  <c r="U38" i="7"/>
  <c r="U44" i="7"/>
  <c r="U31" i="7"/>
  <c r="U30" i="7"/>
  <c r="U45" i="7"/>
  <c r="U37" i="7"/>
  <c r="U33" i="7"/>
  <c r="S7" i="7"/>
  <c r="T7" i="7"/>
  <c r="T29" i="7" s="1"/>
  <c r="T63" i="7"/>
  <c r="S59" i="7" l="1"/>
  <c r="U59" i="7"/>
  <c r="S58" i="7"/>
  <c r="U58" i="7"/>
  <c r="U57" i="7"/>
  <c r="S57" i="7"/>
  <c r="R42" i="7"/>
  <c r="S42" i="7" s="1"/>
  <c r="R43" i="7"/>
  <c r="U35" i="7"/>
  <c r="U50" i="7"/>
  <c r="S50" i="7"/>
  <c r="S32" i="7"/>
  <c r="S55" i="7"/>
  <c r="U17" i="7"/>
  <c r="U12" i="7"/>
  <c r="R29" i="7"/>
  <c r="U18" i="7"/>
  <c r="S18" i="7"/>
  <c r="U27" i="7"/>
  <c r="U13" i="7"/>
  <c r="R41" i="7"/>
  <c r="U41" i="7" s="1"/>
  <c r="U34" i="7"/>
  <c r="U48" i="7"/>
  <c r="U7" i="7"/>
  <c r="T64" i="7"/>
  <c r="S29" i="7" l="1"/>
  <c r="S71" i="7" s="1"/>
  <c r="T71" i="7" s="1"/>
  <c r="U42" i="7"/>
  <c r="U43" i="7"/>
  <c r="S43" i="7"/>
  <c r="U29" i="7"/>
  <c r="R63" i="7"/>
  <c r="R64" i="7" s="1"/>
  <c r="S41" i="7"/>
  <c r="S63" i="7" s="1"/>
  <c r="U63" i="7" l="1"/>
  <c r="U64" i="7" s="1"/>
  <c r="S64" i="7" l="1"/>
  <c r="S66" i="7" s="1"/>
  <c r="S72" i="7"/>
  <c r="B69" i="4" l="1"/>
  <c r="B70" i="4" s="1"/>
  <c r="S67" i="7"/>
  <c r="S68" i="7" s="1"/>
  <c r="T72" i="7"/>
  <c r="S73" i="7"/>
  <c r="S80" i="7" s="1"/>
</calcChain>
</file>

<file path=xl/sharedStrings.xml><?xml version="1.0" encoding="utf-8"?>
<sst xmlns="http://schemas.openxmlformats.org/spreadsheetml/2006/main" count="770" uniqueCount="546">
  <si>
    <t>Monthly Frequency</t>
  </si>
  <si>
    <t>Annual PU's</t>
  </si>
  <si>
    <t>Gross Up</t>
  </si>
  <si>
    <t>Totals</t>
  </si>
  <si>
    <t>Increase per ton</t>
  </si>
  <si>
    <t>Total Pick Ups</t>
  </si>
  <si>
    <t>Per Ton</t>
  </si>
  <si>
    <t>Per Pound</t>
  </si>
  <si>
    <t xml:space="preserve">Current Rate </t>
  </si>
  <si>
    <t>Increase</t>
  </si>
  <si>
    <t>Meeks Weights</t>
  </si>
  <si>
    <t>Adjustment factor</t>
  </si>
  <si>
    <t>Collected Revenue Excess/(Deficiency)</t>
  </si>
  <si>
    <t>Residential</t>
  </si>
  <si>
    <t>Commercial</t>
  </si>
  <si>
    <t>Tariff Page</t>
  </si>
  <si>
    <t>Total</t>
  </si>
  <si>
    <t>Scheduled Service</t>
  </si>
  <si>
    <t>Monthly Factor</t>
  </si>
  <si>
    <t>Lbs. per ton</t>
  </si>
  <si>
    <t>Yds. Per ton</t>
  </si>
  <si>
    <t>Weekly Pickup (WG)</t>
  </si>
  <si>
    <t>Monthly (MG)</t>
  </si>
  <si>
    <t>Every Other Week (EOWG)</t>
  </si>
  <si>
    <t>Tons Collected</t>
  </si>
  <si>
    <t>Grossed Up Increase per ton</t>
  </si>
  <si>
    <t>Gross Up Factors</t>
  </si>
  <si>
    <t>B&amp;O tax</t>
  </si>
  <si>
    <t>WUTC fees</t>
  </si>
  <si>
    <t>Factor</t>
  </si>
  <si>
    <t>Disposal Fee Revenue Increase</t>
  </si>
  <si>
    <t>Extras</t>
  </si>
  <si>
    <t>Total Tonnage</t>
  </si>
  <si>
    <t>Total Pounds</t>
  </si>
  <si>
    <t>Calculated Annual Pounds</t>
  </si>
  <si>
    <t>Adjusted Annual Pounds</t>
  </si>
  <si>
    <t>Staff Calculated Rate</t>
  </si>
  <si>
    <t>Company Proposed Tariff</t>
  </si>
  <si>
    <t>Company Proposed Revenue</t>
  </si>
  <si>
    <t>Company Current Tariff</t>
  </si>
  <si>
    <t>Company Current Revenue</t>
  </si>
  <si>
    <t>Staff Calculated Revenue</t>
  </si>
  <si>
    <t>Monthly Customers</t>
  </si>
  <si>
    <t xml:space="preserve"> Company Over/(Under) collecting</t>
  </si>
  <si>
    <t>Tariff Rate Increase</t>
  </si>
  <si>
    <t>Company Increased Revenue</t>
  </si>
  <si>
    <t>1 unit</t>
  </si>
  <si>
    <t>2 units</t>
  </si>
  <si>
    <t>3 units</t>
  </si>
  <si>
    <t>n/a</t>
  </si>
  <si>
    <t>4 units</t>
  </si>
  <si>
    <t>5 units</t>
  </si>
  <si>
    <t>6 units</t>
  </si>
  <si>
    <t>Bad Debts</t>
  </si>
  <si>
    <t>Res'l</t>
  </si>
  <si>
    <t>7 unit</t>
  </si>
  <si>
    <t>5 Times per Week</t>
  </si>
  <si>
    <t>3 Times per Week</t>
  </si>
  <si>
    <t>2 Times per Week</t>
  </si>
  <si>
    <t>Pickups:</t>
  </si>
  <si>
    <t>1 can</t>
  </si>
  <si>
    <t>2 cans</t>
  </si>
  <si>
    <t>3 cans</t>
  </si>
  <si>
    <t>4 cans</t>
  </si>
  <si>
    <t>5 cans</t>
  </si>
  <si>
    <t>6 cans</t>
  </si>
  <si>
    <t>Supercan 60</t>
  </si>
  <si>
    <t>Supercan 90</t>
  </si>
  <si>
    <t>Once a month</t>
  </si>
  <si>
    <t>Com'l</t>
  </si>
  <si>
    <t>Cans</t>
  </si>
  <si>
    <t>1 yd container</t>
  </si>
  <si>
    <t>1.5 yd container</t>
  </si>
  <si>
    <t>2 yd container</t>
  </si>
  <si>
    <t>3 yd container</t>
  </si>
  <si>
    <t>4 yd container</t>
  </si>
  <si>
    <t>6 yd container</t>
  </si>
  <si>
    <t>8 yd container</t>
  </si>
  <si>
    <t>3 yd packer/compactor</t>
  </si>
  <si>
    <t>2 yd packer/compactor</t>
  </si>
  <si>
    <t>4 yd packer/compactor</t>
  </si>
  <si>
    <t>5 yd packer/compactor</t>
  </si>
  <si>
    <t>6 yd packer/compactor</t>
  </si>
  <si>
    <t>Yards</t>
  </si>
  <si>
    <t>Pounds per Pickup</t>
  </si>
  <si>
    <t>20 gal minican</t>
  </si>
  <si>
    <t>*</t>
  </si>
  <si>
    <t>Revenue</t>
  </si>
  <si>
    <t>Customers</t>
  </si>
  <si>
    <t>Res'l &amp; Com'l</t>
  </si>
  <si>
    <t>Revenue Inc from Co Proposed Rates</t>
  </si>
  <si>
    <t>Company Proposed Rates</t>
  </si>
  <si>
    <t>Adjustment Factor Calculation</t>
  </si>
  <si>
    <t>4 Times per Week</t>
  </si>
  <si>
    <t>1 yd packer/compactor</t>
  </si>
  <si>
    <t>1.5 yd packer/compactor</t>
  </si>
  <si>
    <t>8 yd packer/compactor</t>
  </si>
  <si>
    <t>No Current Customers</t>
  </si>
  <si>
    <t>Service Code</t>
  </si>
  <si>
    <t>Service Code Description</t>
  </si>
  <si>
    <t>* not on meeks - calculated by staff</t>
  </si>
  <si>
    <t>6 yd container (2)</t>
  </si>
  <si>
    <t>4 yd container (2)</t>
  </si>
  <si>
    <t>3 yd container (2)</t>
  </si>
  <si>
    <t>1.5 yd container (2)</t>
  </si>
  <si>
    <t>Jefferson County</t>
  </si>
  <si>
    <t>Transfer Station</t>
  </si>
  <si>
    <t>1-32 GAL CAN-WEEKLY SVC</t>
  </si>
  <si>
    <t>2-32 GAL CANS-WEEKLY SVC</t>
  </si>
  <si>
    <t>3-32 GAL CANS-WEEKLY SVC</t>
  </si>
  <si>
    <t>1-35 GAL CART WEEKLY SVC</t>
  </si>
  <si>
    <t>1-60 GAL CART WEEKLY SVC</t>
  </si>
  <si>
    <t>1-32 GAL CAN-EOW SVC</t>
  </si>
  <si>
    <t>1-35 GAL CART EOW SVC</t>
  </si>
  <si>
    <t>1-60GAL CART EOW SVC</t>
  </si>
  <si>
    <t>1-32 GAL CAN-MONTHLY SVC</t>
  </si>
  <si>
    <t>EXTRA CAN/BAGS</t>
  </si>
  <si>
    <t>OVERFILL/OVERWEIGHT CHG</t>
  </si>
  <si>
    <t>1YD CONT 1xWEEKLY SVC</t>
  </si>
  <si>
    <t>1.5YD CONT 1xWEEKLY SVC</t>
  </si>
  <si>
    <t>2YD CONT 1xWEEKLY SVC</t>
  </si>
  <si>
    <t>2YD CONT 2xWEEKLY SVC</t>
  </si>
  <si>
    <t>1YD CONT EOW SVC</t>
  </si>
  <si>
    <t>1.5YD CONT EOW SVC</t>
  </si>
  <si>
    <t>2YD CONT EOW SVC</t>
  </si>
  <si>
    <t>1YD TEMP CONT PU</t>
  </si>
  <si>
    <t>1.5YD CONTAINER EXTRA PU</t>
  </si>
  <si>
    <t>1.5YD TEMP CONTAINER PU</t>
  </si>
  <si>
    <t>2YD CONTAINER EXTRA PU</t>
  </si>
  <si>
    <t>2YD TEMP CONTAINER PU</t>
  </si>
  <si>
    <t>1-32 GAL CAN WEEKLY SVC</t>
  </si>
  <si>
    <t>1-60 GAL CART CMML WKLY</t>
  </si>
  <si>
    <t>20RW1</t>
  </si>
  <si>
    <t>32RW1</t>
  </si>
  <si>
    <t>32RW2</t>
  </si>
  <si>
    <t>60 Gal</t>
  </si>
  <si>
    <t>35RW1</t>
  </si>
  <si>
    <t>60RW1</t>
  </si>
  <si>
    <t>32RE1</t>
  </si>
  <si>
    <t>35RE1</t>
  </si>
  <si>
    <t>60RE1</t>
  </si>
  <si>
    <t>32RM1</t>
  </si>
  <si>
    <t>EXTRAR</t>
  </si>
  <si>
    <t>OFOWR</t>
  </si>
  <si>
    <t>CARRYRE</t>
  </si>
  <si>
    <t>CARRYOUT PER CAN-EOW</t>
  </si>
  <si>
    <t>CARRYRW</t>
  </si>
  <si>
    <t>CARRYOUT PER CAN-WKLY</t>
  </si>
  <si>
    <t>DRVNRE2</t>
  </si>
  <si>
    <t>DRVNRW1</t>
  </si>
  <si>
    <t>DRVNRE1</t>
  </si>
  <si>
    <t>RCARRYOUT OVER 25</t>
  </si>
  <si>
    <t>RESI CARRYOUT FEE 25+ FT</t>
  </si>
  <si>
    <t>RCARRYOUT 5-25</t>
  </si>
  <si>
    <t>RESI CARRYOUT FEE 5-25 FT</t>
  </si>
  <si>
    <t>TRIPRCANS</t>
  </si>
  <si>
    <t>RETURN TRIP CHARGE - CANS</t>
  </si>
  <si>
    <t>RESTART</t>
  </si>
  <si>
    <t>SERVICE RESTART FEE</t>
  </si>
  <si>
    <t>R1YD1W</t>
  </si>
  <si>
    <t>R1.5YD1W</t>
  </si>
  <si>
    <t>R2YD1W</t>
  </si>
  <si>
    <t>R2YD2W</t>
  </si>
  <si>
    <t>R1YDEOW</t>
  </si>
  <si>
    <t>R1.5YDEOW</t>
  </si>
  <si>
    <t>R2YDEOW</t>
  </si>
  <si>
    <t>R1YDTPU</t>
  </si>
  <si>
    <t>R1.5YDEX</t>
  </si>
  <si>
    <t>R1.5YDTPU</t>
  </si>
  <si>
    <t>R2YDEX</t>
  </si>
  <si>
    <t>R2YDTPU</t>
  </si>
  <si>
    <t>60CW1</t>
  </si>
  <si>
    <t>CEXYD</t>
  </si>
  <si>
    <t>CMML EXTRA YARDAGE</t>
  </si>
  <si>
    <t>R1YDRENTT</t>
  </si>
  <si>
    <t>1YD TEMP CONT RENT</t>
  </si>
  <si>
    <t>R1.5YDRENTTD</t>
  </si>
  <si>
    <t>R2YDRENTTD</t>
  </si>
  <si>
    <t>2 YD TEMP CONT RENT DAILY</t>
  </si>
  <si>
    <t>R2YDRENTM</t>
  </si>
  <si>
    <t>2YD CONTAINER RENT-MTHLY</t>
  </si>
  <si>
    <t>CGATE</t>
  </si>
  <si>
    <t>GATE CHARGE</t>
  </si>
  <si>
    <t>CLOCKEOW</t>
  </si>
  <si>
    <t>LOCK CHARGE - CONT EOW</t>
  </si>
  <si>
    <t>CLOCKWKLY</t>
  </si>
  <si>
    <t>LOCK CHARGE-CONTAINER WKL</t>
  </si>
  <si>
    <t>RDELTO8</t>
  </si>
  <si>
    <t>REDELIVERY FEE UP TO 8YDS</t>
  </si>
  <si>
    <t>4-32 GAL CANS-WEEKLY SVC</t>
  </si>
  <si>
    <t>35 gallon Can</t>
  </si>
  <si>
    <t>provided by wcon</t>
  </si>
  <si>
    <t>R1YD2W</t>
  </si>
  <si>
    <t>1YD CONT 2xWEEKLY SVC</t>
  </si>
  <si>
    <t>R1.5YD2W</t>
  </si>
  <si>
    <t>1.5YD CONT 2xWEEKLY SVC</t>
  </si>
  <si>
    <t>CEX</t>
  </si>
  <si>
    <t>EXTRA CANS</t>
  </si>
  <si>
    <t>R1.5YDRENTM</t>
  </si>
  <si>
    <t>1.5YD CONTAINER RENT-MTH</t>
  </si>
  <si>
    <t>CTRIP</t>
  </si>
  <si>
    <t>RETURN TRIP CHARGE - CONT</t>
  </si>
  <si>
    <t>1YD CONTAINER Special PU</t>
  </si>
  <si>
    <t>21A</t>
  </si>
  <si>
    <t>32 gal can Temp</t>
  </si>
  <si>
    <t xml:space="preserve">35 gal can </t>
  </si>
  <si>
    <t>35 gal can Temp</t>
  </si>
  <si>
    <t>60 gal can Temp</t>
  </si>
  <si>
    <t>28,32,35 &amp; 36</t>
  </si>
  <si>
    <t>35.5 &amp; 36</t>
  </si>
  <si>
    <t>2 Yard</t>
  </si>
  <si>
    <t>3 Yard</t>
  </si>
  <si>
    <t>4 Yard</t>
  </si>
  <si>
    <t>6  Yard</t>
  </si>
  <si>
    <t>Murrey's Disposal Co. Inc. G-09</t>
  </si>
  <si>
    <t>Item 55, Pg. 16</t>
  </si>
  <si>
    <t>Oversized Container</t>
  </si>
  <si>
    <t>Item 100, Pg. 21</t>
  </si>
  <si>
    <t>Mini Can</t>
  </si>
  <si>
    <t>1 Can Weekly</t>
  </si>
  <si>
    <t>2 Can Weekly</t>
  </si>
  <si>
    <t>3 Can Weekly</t>
  </si>
  <si>
    <t>4 Can Weekly</t>
  </si>
  <si>
    <t>5 Can Weekly</t>
  </si>
  <si>
    <t>35 Gal Weekly</t>
  </si>
  <si>
    <t>60 Gal Weekly</t>
  </si>
  <si>
    <t>96 Gal Weekly</t>
  </si>
  <si>
    <t>1 Can EOW</t>
  </si>
  <si>
    <t>35 Gal EOW</t>
  </si>
  <si>
    <t>60 Gal EOW</t>
  </si>
  <si>
    <t>96 Gal EOW</t>
  </si>
  <si>
    <t>1 Can Monthly</t>
  </si>
  <si>
    <t>35 Gal Monthly</t>
  </si>
  <si>
    <t>60 Gal Monthly</t>
  </si>
  <si>
    <t>96 Gal Monthly</t>
  </si>
  <si>
    <t>Item 100, Pg. 21A</t>
  </si>
  <si>
    <t>32 Gal Extra</t>
  </si>
  <si>
    <t>Mini-Can Extra</t>
  </si>
  <si>
    <t>35 Gal Extra</t>
  </si>
  <si>
    <t>60 Gal Extra</t>
  </si>
  <si>
    <t>On-Call</t>
  </si>
  <si>
    <t>Item 150, Pg. 28</t>
  </si>
  <si>
    <t>Loose Material 1-4yd</t>
  </si>
  <si>
    <t>Loose Material per Yard</t>
  </si>
  <si>
    <t>Loose Material Min Charge</t>
  </si>
  <si>
    <t>Item 207, Pg. 32</t>
  </si>
  <si>
    <t>Overfilled Container</t>
  </si>
  <si>
    <t>Item 230, Pg. 34</t>
  </si>
  <si>
    <t>Item 240, Pg. 35</t>
  </si>
  <si>
    <t>1 Yard</t>
  </si>
  <si>
    <t>1.5 Yard</t>
  </si>
  <si>
    <t>6 Yard</t>
  </si>
  <si>
    <t>1 Yard - Special</t>
  </si>
  <si>
    <t>1.5 Yard - Special</t>
  </si>
  <si>
    <t>2 Yard - Special</t>
  </si>
  <si>
    <t>6 Yard - Special</t>
  </si>
  <si>
    <t>1 Yard - Temp</t>
  </si>
  <si>
    <t>1.5 Yard - Temp</t>
  </si>
  <si>
    <t>2 Yard - Temp</t>
  </si>
  <si>
    <t>Item 240, Pg 35.5</t>
  </si>
  <si>
    <t>35 Gal</t>
  </si>
  <si>
    <t>35 Gal - Temp</t>
  </si>
  <si>
    <t>60 Gal - Temp</t>
  </si>
  <si>
    <t>96 Gal</t>
  </si>
  <si>
    <t>96 Gal - Temp</t>
  </si>
  <si>
    <t>Extra Yard</t>
  </si>
  <si>
    <t>Additional Unit</t>
  </si>
  <si>
    <t>35 Gal - Minimum</t>
  </si>
  <si>
    <t>60 Gal - Minimum</t>
  </si>
  <si>
    <t>96 Gal - Minimum</t>
  </si>
  <si>
    <t>Item 245, Pg. 36</t>
  </si>
  <si>
    <t>32 Gal</t>
  </si>
  <si>
    <t>32 Gal - Temp</t>
  </si>
  <si>
    <t>Over-filled Container</t>
  </si>
  <si>
    <t>Extra Unit</t>
  </si>
  <si>
    <t>32 Gal - Minimum</t>
  </si>
  <si>
    <t>5 Can  Weekly-SVC</t>
  </si>
  <si>
    <t xml:space="preserve">6 Yard </t>
  </si>
  <si>
    <t xml:space="preserve">96 gal Can Temp </t>
  </si>
  <si>
    <t>3 Yard - Temp</t>
  </si>
  <si>
    <t>4 Yard - Temp</t>
  </si>
  <si>
    <t xml:space="preserve">3 Yard - Special </t>
  </si>
  <si>
    <t>4 Yard -Special</t>
  </si>
  <si>
    <t>Item 245, Pg. 36, Special/Temp</t>
  </si>
  <si>
    <t>96 gal Can</t>
  </si>
  <si>
    <t>Revenue Increase:</t>
  </si>
  <si>
    <t>Roll-off Tons</t>
  </si>
  <si>
    <t>For tonnage verification see -</t>
  </si>
  <si>
    <t>Current Tariff Rate</t>
  </si>
  <si>
    <t>Proposed Increase</t>
  </si>
  <si>
    <t>dba Olympic Disposal</t>
  </si>
  <si>
    <t>Jefferson Dump Fee Calc References</t>
  </si>
  <si>
    <t>Jefferson Dump Fee Calculation</t>
  </si>
  <si>
    <t>Proposed Jefferson Rates Effective</t>
  </si>
  <si>
    <t>Note from Heather Garland:  The entire schedule below was taken from the audit in TG-132228.  Only the cells highlighted in green were updated for the change in the DF effective 9-4-2023.</t>
  </si>
  <si>
    <t>New Rate per ton 9/1/23</t>
  </si>
  <si>
    <t>Murrey's Disposal Co., Inc. G-9</t>
  </si>
  <si>
    <t>Jefferson Regulated Price Out</t>
  </si>
  <si>
    <t>Cart</t>
  </si>
  <si>
    <t>Container</t>
  </si>
  <si>
    <t>Drop Box</t>
  </si>
  <si>
    <t>Tariff Rate</t>
  </si>
  <si>
    <t>Tariff</t>
  </si>
  <si>
    <t>Average</t>
  </si>
  <si>
    <t>Quantity</t>
  </si>
  <si>
    <t>Count</t>
  </si>
  <si>
    <t>Difference</t>
  </si>
  <si>
    <t>Monthly Rate</t>
  </si>
  <si>
    <t>Page</t>
  </si>
  <si>
    <t>Customer</t>
  </si>
  <si>
    <t>RESIDENTIAL SERVICES</t>
  </si>
  <si>
    <t>RESIDENTIAL GARBAGE</t>
  </si>
  <si>
    <t>1-20 GAL CART WEEKLY SVC</t>
  </si>
  <si>
    <t>Mill Haul</t>
  </si>
  <si>
    <t>96RW1</t>
  </si>
  <si>
    <t>1-96 GAL CART WEEKLY SVC</t>
  </si>
  <si>
    <t>RDELCART</t>
  </si>
  <si>
    <t>RE-DELIVERY FEE-CART</t>
  </si>
  <si>
    <t>35RM1</t>
  </si>
  <si>
    <t>1-35 GAL MONTHLY</t>
  </si>
  <si>
    <t>60RE2</t>
  </si>
  <si>
    <t>2-60 GAL CARTS EOW SVC</t>
  </si>
  <si>
    <t>60RM1</t>
  </si>
  <si>
    <t>1-60 GAL CART MONTHLY SVC</t>
  </si>
  <si>
    <t>60RW2</t>
  </si>
  <si>
    <t>2-60 GAL CARTS WEEKLY SVC</t>
  </si>
  <si>
    <t>96RE1</t>
  </si>
  <si>
    <t>1-96 GAL EOW</t>
  </si>
  <si>
    <t>96RM1</t>
  </si>
  <si>
    <t>1-96 GAL MONTHLY</t>
  </si>
  <si>
    <t>DRIVE IN UP TO 250-EOW</t>
  </si>
  <si>
    <t>DRIVE IN OVER 250-EOW</t>
  </si>
  <si>
    <t>DRIVE IN UP TO 250</t>
  </si>
  <si>
    <t>SP35-RES</t>
  </si>
  <si>
    <t>SPECIAL PICKUP 35GL RES</t>
  </si>
  <si>
    <t>SP60-RES</t>
  </si>
  <si>
    <t>SPECIAL PICKUP 60GL RES</t>
  </si>
  <si>
    <t>SP96-RES</t>
  </si>
  <si>
    <t>SPECIAL PICKUP 96GL RES</t>
  </si>
  <si>
    <t>RGATE</t>
  </si>
  <si>
    <t>RESI GATE CHARGE</t>
  </si>
  <si>
    <t>ROLLE-RESI</t>
  </si>
  <si>
    <t>ROLLOUT RESI EOW UP TO 25</t>
  </si>
  <si>
    <t>ROLLM-RESI</t>
  </si>
  <si>
    <t>ROLLOUT RESI MTHLY UP TO 25 FT</t>
  </si>
  <si>
    <t>ROLLW-RESI</t>
  </si>
  <si>
    <t>Rollout 25ft/can per pick up</t>
  </si>
  <si>
    <t>OC-RES</t>
  </si>
  <si>
    <t>ON CALL SERVICE - RES</t>
  </si>
  <si>
    <t>TOTAL RESIDENTIAL GARBAGE</t>
  </si>
  <si>
    <t>RESIDENTIAL RECYCLING</t>
  </si>
  <si>
    <t>recyonlypre</t>
  </si>
  <si>
    <t>RECYCLE SERVICE ONLY</t>
  </si>
  <si>
    <t>Recy</t>
  </si>
  <si>
    <t>recyrpre</t>
  </si>
  <si>
    <t>RECYCLE PROGRAM WITH MSW</t>
  </si>
  <si>
    <t>TOTAL RESIDENTIAL RECYCLING</t>
  </si>
  <si>
    <t>COMMERCIAL SERVICES</t>
  </si>
  <si>
    <t>COMMERCIAL GARBAGE</t>
  </si>
  <si>
    <t>CTIME</t>
  </si>
  <si>
    <t>COMMERCIAL TIME CHARGE</t>
  </si>
  <si>
    <t>DEL1.5TEMP-COM</t>
  </si>
  <si>
    <t>DELIVERY FEE 1.5YD TEMP</t>
  </si>
  <si>
    <t>DEL2TEMP-COM</t>
  </si>
  <si>
    <t>DELIVERY FEE 2YD TEMP</t>
  </si>
  <si>
    <t>F2YD1W</t>
  </si>
  <si>
    <t>2YD</t>
  </si>
  <si>
    <t>F2YDEOW</t>
  </si>
  <si>
    <t>F4YD1W</t>
  </si>
  <si>
    <t>4YD CONT 1X WEEKLY SVC</t>
  </si>
  <si>
    <t>4YD</t>
  </si>
  <si>
    <t>F6YD1W</t>
  </si>
  <si>
    <t>6YD CONT 1X WEEKLY SVC</t>
  </si>
  <si>
    <t>6YD</t>
  </si>
  <si>
    <t>F1.5YD1W</t>
  </si>
  <si>
    <t>1.5YD</t>
  </si>
  <si>
    <t>F1.5YDEOW</t>
  </si>
  <si>
    <t>F1YD1M</t>
  </si>
  <si>
    <t>1YD CONT 1X MONTH SVC</t>
  </si>
  <si>
    <t>1YD</t>
  </si>
  <si>
    <t>F1YD1W</t>
  </si>
  <si>
    <t>F1YDEOW</t>
  </si>
  <si>
    <t>F2YD2W</t>
  </si>
  <si>
    <t>F3YD1W</t>
  </si>
  <si>
    <t>3YD CONT 1X WEEKLY SVC</t>
  </si>
  <si>
    <t>3YD</t>
  </si>
  <si>
    <t>F3YDEOW</t>
  </si>
  <si>
    <t>3YD CONT EOW SVC</t>
  </si>
  <si>
    <t>F4YDEOW</t>
  </si>
  <si>
    <t>4YD CONT EOW SVC</t>
  </si>
  <si>
    <t>SP1.5-COM</t>
  </si>
  <si>
    <t>SPECIAL PICKUP 1.5YD</t>
  </si>
  <si>
    <t>SP2-COM</t>
  </si>
  <si>
    <t>SPECIAL PICKUP 2YD</t>
  </si>
  <si>
    <t>DEL1TEMP-COM</t>
  </si>
  <si>
    <t>DELIVERY FEE 1YD TEMP</t>
  </si>
  <si>
    <t>SP1-COM</t>
  </si>
  <si>
    <t>SPECIAL PICKUP 1YD</t>
  </si>
  <si>
    <t>F2YDEXCO</t>
  </si>
  <si>
    <t>CUST OWN 2YD EXTRA PU</t>
  </si>
  <si>
    <t>F2YD1WCO</t>
  </si>
  <si>
    <t>CUST OWN 2YD 1X WK</t>
  </si>
  <si>
    <t>1.5 YD TEMP CONT RENT DAI</t>
  </si>
  <si>
    <t>R1YDEX</t>
  </si>
  <si>
    <t>1YD CONTAINER EXTRA PU</t>
  </si>
  <si>
    <t>R1YDRENTM</t>
  </si>
  <si>
    <t>1YD CONTAINER RENT-MTHLY</t>
  </si>
  <si>
    <t>96CW1</t>
  </si>
  <si>
    <t>1-96 GL CART WEEKLY SVC</t>
  </si>
  <si>
    <t>35CW1</t>
  </si>
  <si>
    <t>1-35 GAL CAN WEEKLY SVC</t>
  </si>
  <si>
    <t>CGATEEOW</t>
  </si>
  <si>
    <t>GATE CHARGE EOW</t>
  </si>
  <si>
    <t>R1YD1M</t>
  </si>
  <si>
    <t>R2YD1M</t>
  </si>
  <si>
    <t>2YD CONT 1X MONTH SVC</t>
  </si>
  <si>
    <t>R1.5YD1M</t>
  </si>
  <si>
    <t>1.5YD CONT 1X MONTH SVC</t>
  </si>
  <si>
    <t>R1YDRENTTD</t>
  </si>
  <si>
    <t>1YD TEMP CONT RENT DAILY</t>
  </si>
  <si>
    <t>ROLLOUTOC</t>
  </si>
  <si>
    <t>ROLL OUT</t>
  </si>
  <si>
    <t>ADDTLPACK25</t>
  </si>
  <si>
    <t>OVER 25FT ROLLOUT FOR CONTAINERS</t>
  </si>
  <si>
    <t>RDELOVER8</t>
  </si>
  <si>
    <t>REDELIVERY FEE OVER 8YDS</t>
  </si>
  <si>
    <t>ADDTLPACKA25</t>
  </si>
  <si>
    <t>OVER 25FT ROLLOUT FOR AUTO CARTS</t>
  </si>
  <si>
    <t>Carts</t>
  </si>
  <si>
    <t>TOTAL COMMERCIAL GARBAGE</t>
  </si>
  <si>
    <t>Containers</t>
  </si>
  <si>
    <t>DROP BOX SERVICES</t>
  </si>
  <si>
    <t>DROP BOX HAULS/RENTAL</t>
  </si>
  <si>
    <t>CONNECTFEE</t>
  </si>
  <si>
    <t>CONNECT/DISCONNECT</t>
  </si>
  <si>
    <t>CPHAUL15</t>
  </si>
  <si>
    <t>15YD COMPACTOR-HAUL</t>
  </si>
  <si>
    <t>CPHAUL30</t>
  </si>
  <si>
    <t>30YD COMPACTOR-HAUL</t>
  </si>
  <si>
    <t>RODEL</t>
  </si>
  <si>
    <t>ROLL OFF-DELIVERY</t>
  </si>
  <si>
    <t>ROHAUL20</t>
  </si>
  <si>
    <t>20YD ROLL OFF-HAUL</t>
  </si>
  <si>
    <t>ROHAUL20T</t>
  </si>
  <si>
    <t>20YD ROLL OFF TEMP HAUL</t>
  </si>
  <si>
    <t>ROHAUL30</t>
  </si>
  <si>
    <t>30YD ROLL OFF-HAUL</t>
  </si>
  <si>
    <t>ROHAUL30T</t>
  </si>
  <si>
    <t>30YD ROLL OFF TEMP HAUL</t>
  </si>
  <si>
    <t>ROMILE</t>
  </si>
  <si>
    <t>ROLL OFF-MILEAGE</t>
  </si>
  <si>
    <t>RORELOCATE</t>
  </si>
  <si>
    <t>ROLL OFF RELOCATE</t>
  </si>
  <si>
    <t>RORENT20D</t>
  </si>
  <si>
    <t>20YD ROLL OFF-DAILY RENT</t>
  </si>
  <si>
    <t>20YD-RO</t>
  </si>
  <si>
    <t>RORENT20M</t>
  </si>
  <si>
    <t>20YD ROLL OFF-MNTHLY RENT</t>
  </si>
  <si>
    <t>RORENT30D</t>
  </si>
  <si>
    <t>30YD ROLL OFF-DAILY RENT</t>
  </si>
  <si>
    <t>30YD-RO</t>
  </si>
  <si>
    <t>RORENT30M</t>
  </si>
  <si>
    <t>30YD ROLL OFF-MNTHLY RENT</t>
  </si>
  <si>
    <t>ROWAIT</t>
  </si>
  <si>
    <t>TIME/STANDBY CHARGE</t>
  </si>
  <si>
    <t>ROHAUL30CO</t>
  </si>
  <si>
    <t>30YD CUST OWNED R/O HAUL</t>
  </si>
  <si>
    <t>ROHAUL40</t>
  </si>
  <si>
    <t>40YD ROLL OFF-HAUL</t>
  </si>
  <si>
    <t>RORENT40M</t>
  </si>
  <si>
    <t>40YD ROLL OFF-MNTHLY RENT</t>
  </si>
  <si>
    <t>40YD-RO</t>
  </si>
  <si>
    <t>PASSTHROUGH DISPOSAL</t>
  </si>
  <si>
    <t>DISP</t>
  </si>
  <si>
    <t>DISPOSAL FEE PER TON</t>
  </si>
  <si>
    <t>TOTAL PASSTHROUGH DISPOSAL</t>
  </si>
  <si>
    <t>Service Charges</t>
  </si>
  <si>
    <t>FINCHG</t>
  </si>
  <si>
    <t>LATE FEE</t>
  </si>
  <si>
    <t>TOTAL SERVICE CHARGES</t>
  </si>
  <si>
    <t>Total Customers</t>
  </si>
  <si>
    <t>ROWKND</t>
  </si>
  <si>
    <t>WEEKEND/HOLIDAY RO SVC</t>
  </si>
  <si>
    <t>ROLL OFF HAUL (MILL)</t>
  </si>
  <si>
    <t>ROMILL - W</t>
  </si>
  <si>
    <t/>
  </si>
  <si>
    <t>ROMILL-C</t>
  </si>
  <si>
    <t>TOTAL REVENUE</t>
  </si>
  <si>
    <t>District 2112: Olympic Disposal</t>
  </si>
  <si>
    <t>Dump Fee Schedule</t>
  </si>
  <si>
    <t>Clallam County:</t>
  </si>
  <si>
    <t xml:space="preserve"> </t>
  </si>
  <si>
    <t>Pass Thru</t>
  </si>
  <si>
    <t>TOTALS</t>
  </si>
  <si>
    <t>UTC Tons</t>
  </si>
  <si>
    <t>Non-UTC Tons</t>
  </si>
  <si>
    <t>Rate p/Ton</t>
  </si>
  <si>
    <t>Expense</t>
  </si>
  <si>
    <t>UTC Expense</t>
  </si>
  <si>
    <t>Non-UTC Expense</t>
  </si>
  <si>
    <t>Route Garbage</t>
  </si>
  <si>
    <t>Route Disposal:</t>
  </si>
  <si>
    <t>UTC Resi Tons</t>
  </si>
  <si>
    <t>Regulated</t>
  </si>
  <si>
    <t>UTC Comm Tons</t>
  </si>
  <si>
    <t>Clallam</t>
  </si>
  <si>
    <t xml:space="preserve">  Jefferson</t>
  </si>
  <si>
    <t>Non-Regulated</t>
  </si>
  <si>
    <t>UTC Resi Expense</t>
  </si>
  <si>
    <t>UTC Comm Expense</t>
  </si>
  <si>
    <t>Total Dump Fee</t>
  </si>
  <si>
    <t>Jefferson County:</t>
  </si>
  <si>
    <t>Disposal Landfill Totals</t>
  </si>
  <si>
    <t>Mill Hauls</t>
  </si>
  <si>
    <t>GL</t>
  </si>
  <si>
    <t>Adj</t>
  </si>
  <si>
    <t>General Ledger</t>
  </si>
  <si>
    <t>Route</t>
  </si>
  <si>
    <t xml:space="preserve"> Difference</t>
  </si>
  <si>
    <t>Mill Volumes sent to 3rd Party Landfill (Cowlitz):</t>
  </si>
  <si>
    <t>PTP GL Tons</t>
  </si>
  <si>
    <t>PTP Disp Log Tons</t>
  </si>
  <si>
    <t>Tonnage Variance</t>
  </si>
  <si>
    <t>Mill Expense</t>
  </si>
  <si>
    <t>General Ledger (40101)</t>
  </si>
  <si>
    <t>MCK GL Tons</t>
  </si>
  <si>
    <t>MCK Disp Log Tons</t>
  </si>
  <si>
    <t>MCK Mill Expense</t>
  </si>
  <si>
    <t>Mill Volumes sent to IC Landfill (Wasco):</t>
  </si>
  <si>
    <t>PTP Mill Expense (40109)</t>
  </si>
  <si>
    <t>MCK Mill Expense (40109)</t>
  </si>
  <si>
    <t>General Ledger (40109)</t>
  </si>
  <si>
    <t>Total Mill Haul Disposal GL $VAR</t>
  </si>
  <si>
    <t>Tons via WW</t>
  </si>
  <si>
    <t>Tons based on GL Exp</t>
  </si>
  <si>
    <t>Other Disposal GL 40122</t>
  </si>
  <si>
    <t>Glass Disposal</t>
  </si>
  <si>
    <t>Tonnage</t>
  </si>
  <si>
    <t>Price per Ton</t>
  </si>
  <si>
    <t>Total Per Gl</t>
  </si>
  <si>
    <t>New 1/1/2025 Rate</t>
  </si>
  <si>
    <t>Effective 9-1-2025</t>
  </si>
  <si>
    <t>TG-230778</t>
  </si>
  <si>
    <t>Note from Brian Vandenburg. Customer Counts and disposal were taken from and audited in TG-230778</t>
  </si>
  <si>
    <t>Resi DF Count</t>
  </si>
  <si>
    <t>DF 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</si>
</sst>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_);_(&quot;$&quot;* \(#,##0.000\);_(&quot;$&quot;* &quot;-&quot;??_);_(@_)"/>
    <numFmt numFmtId="166" formatCode="_(* #,##0_);_(* \(#,##0\);_(* &quot;-&quot;??_);_(@_)"/>
    <numFmt numFmtId="167" formatCode="_(* #,##0.000000_);_(* \(#,##0.000000\);_(* &quot;-&quot;??_);_(@_)"/>
    <numFmt numFmtId="168" formatCode="0.0000%"/>
    <numFmt numFmtId="169" formatCode="_(&quot;$&quot;* #,##0.000000_);_(&quot;$&quot;* \(#,##0.000000\);_(&quot;$&quot;* &quot;-&quot;??_);_(@_)"/>
    <numFmt numFmtId="170" formatCode="0.000000"/>
    <numFmt numFmtId="171" formatCode="0.0%"/>
    <numFmt numFmtId="173" formatCode="#,##0.0000_);\(#,##0.0000\)"/>
    <numFmt numFmtId="174" formatCode="&quot;$&quot;#,##0.00"/>
    <numFmt numFmtId="175" formatCode="#,##0.0"/>
    <numFmt numFmtId="176" formatCode="&quot;$&quot;#,##0"/>
    <numFmt numFmtId="177" formatCode="_(&quot;$&quot;* #,##0.00000_);_(&quot;$&quot;* \(#,##0.00000\);_(&quot;$&quot;* &quot;-&quot;??_);_(@_)"/>
    <numFmt numFmtId="178" formatCode="_(* #,##0.0_);_(* \(#,##0.0\);_(* &quot;-&quot;??_);_(@_)"/>
    <numFmt numFmtId="179" formatCode="&quot;$&quot;#,##0.0000_);\(&quot;$&quot;#,##0.0000\)"/>
    <numFmt numFmtId="180" formatCode="_(&quot;$&quot;* #,##0.0000_);_(&quot;$&quot;* \(#,##0.0000\);_(&quot;$&quot;* &quot;-&quot;??_);_(@_)"/>
  </numFmts>
  <fonts count="7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8"/>
      <color indexed="56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sz val="10"/>
      <color indexed="1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12"/>
      <name val="Helv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1"/>
      <color indexed="51"/>
      <name val="Calibri"/>
      <family val="2"/>
    </font>
    <font>
      <sz val="12"/>
      <name val="Courier"/>
      <family val="3"/>
    </font>
    <font>
      <sz val="9"/>
      <color indexed="8"/>
      <name val="Arial"/>
      <family val="2"/>
    </font>
    <font>
      <b/>
      <sz val="10"/>
      <color indexed="12"/>
      <name val="Arial"/>
      <family val="2"/>
    </font>
    <font>
      <b/>
      <sz val="15"/>
      <color indexed="61"/>
      <name val="Calibri"/>
      <family val="2"/>
    </font>
    <font>
      <b/>
      <sz val="13"/>
      <color indexed="61"/>
      <name val="Calibri"/>
      <family val="2"/>
    </font>
    <font>
      <b/>
      <sz val="11"/>
      <color indexed="61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11"/>
      <color indexed="61"/>
      <name val="Calibri"/>
      <family val="2"/>
    </font>
    <font>
      <sz val="11"/>
      <color indexed="51"/>
      <name val="Calibri"/>
      <family val="2"/>
    </font>
    <font>
      <sz val="11"/>
      <color indexed="59"/>
      <name val="Calibri"/>
      <family val="2"/>
    </font>
    <font>
      <i/>
      <sz val="10"/>
      <color indexed="10"/>
      <name val="Arial"/>
      <family val="2"/>
    </font>
    <font>
      <b/>
      <sz val="18"/>
      <color indexed="61"/>
      <name val="Cambria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b/>
      <sz val="11"/>
      <color indexed="52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 MT"/>
    </font>
    <font>
      <b/>
      <u/>
      <sz val="1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indexed="8"/>
      <name val="Calibri"/>
      <family val="2"/>
    </font>
    <font>
      <sz val="10"/>
      <color rgb="FFFF000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48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63"/>
      </patternFill>
    </fill>
    <fill>
      <patternFill patternType="solid">
        <fgColor indexed="45"/>
        <bgColor indexed="64"/>
      </patternFill>
    </fill>
    <fill>
      <patternFill patternType="solid">
        <fgColor indexed="65"/>
        <bgColor indexed="10"/>
      </patternFill>
    </fill>
    <fill>
      <patternFill patternType="gray125">
        <fgColor indexed="10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31"/>
      </patternFill>
    </fill>
    <fill>
      <patternFill patternType="solid">
        <fgColor indexed="30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0.39997558519241921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 style="medium">
        <color indexed="64"/>
      </top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rgb="FFFF0000"/>
      </left>
      <right/>
      <top/>
      <bottom style="medium">
        <color auto="1"/>
      </bottom>
      <diagonal/>
    </border>
    <border>
      <left style="thick">
        <color rgb="FFFF0000"/>
      </left>
      <right/>
      <top/>
      <bottom style="thin">
        <color indexed="64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</borders>
  <cellStyleXfs count="38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5" fillId="0" borderId="0" applyNumberFormat="0" applyFont="0" applyFill="0" applyBorder="0">
      <alignment horizontal="left" indent="4"/>
      <protection locked="0"/>
    </xf>
    <xf numFmtId="0" fontId="6" fillId="0" borderId="0" applyNumberFormat="0" applyFont="0" applyFill="0" applyBorder="0" applyAlignment="0" applyProtection="0">
      <alignment horizontal="left"/>
    </xf>
    <xf numFmtId="15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0" fontId="7" fillId="0" borderId="2">
      <alignment horizontal="center"/>
    </xf>
    <xf numFmtId="3" fontId="6" fillId="0" borderId="0" applyFont="0" applyFill="0" applyBorder="0" applyAlignment="0" applyProtection="0"/>
    <xf numFmtId="0" fontId="6" fillId="2" borderId="0" applyNumberFormat="0" applyFont="0" applyBorder="0" applyAlignment="0" applyProtection="0"/>
    <xf numFmtId="166" fontId="4" fillId="3" borderId="0" applyFont="0" applyFill="0" applyBorder="0" applyAlignment="0" applyProtection="0">
      <alignment wrapText="1"/>
    </xf>
    <xf numFmtId="0" fontId="13" fillId="0" borderId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0" borderId="0" applyNumberFormat="0" applyBorder="0" applyAlignment="0" applyProtection="0"/>
    <xf numFmtId="0" fontId="8" fillId="9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14" fillId="9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7" borderId="0" applyNumberFormat="0" applyBorder="0" applyAlignment="0" applyProtection="0"/>
    <xf numFmtId="0" fontId="14" fillId="15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0" borderId="0" applyNumberFormat="0" applyBorder="0" applyAlignment="0" applyProtection="0"/>
    <xf numFmtId="0" fontId="14" fillId="9" borderId="0" applyNumberFormat="0" applyBorder="0" applyAlignment="0" applyProtection="0"/>
    <xf numFmtId="0" fontId="14" fillId="13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16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7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8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4" fillId="13" borderId="0" applyNumberFormat="0" applyBorder="0" applyAlignment="0" applyProtection="0"/>
    <xf numFmtId="0" fontId="14" fillId="17" borderId="0" applyNumberFormat="0" applyBorder="0" applyAlignment="0" applyProtection="0"/>
    <xf numFmtId="0" fontId="14" fillId="20" borderId="0" applyNumberFormat="0" applyBorder="0" applyAlignment="0" applyProtection="0"/>
    <xf numFmtId="41" fontId="2" fillId="0" borderId="0"/>
    <xf numFmtId="41" fontId="2" fillId="0" borderId="0"/>
    <xf numFmtId="41" fontId="2" fillId="0" borderId="0"/>
    <xf numFmtId="41" fontId="2" fillId="0" borderId="0"/>
    <xf numFmtId="0" fontId="15" fillId="21" borderId="0" applyNumberFormat="0" applyBorder="0" applyAlignment="0" applyProtection="0"/>
    <xf numFmtId="0" fontId="15" fillId="12" borderId="0" applyNumberFormat="0" applyBorder="0" applyAlignment="0" applyProtection="0"/>
    <xf numFmtId="3" fontId="2" fillId="0" borderId="0"/>
    <xf numFmtId="3" fontId="2" fillId="0" borderId="0"/>
    <xf numFmtId="3" fontId="2" fillId="0" borderId="0"/>
    <xf numFmtId="3" fontId="2" fillId="0" borderId="0"/>
    <xf numFmtId="0" fontId="16" fillId="22" borderId="4" applyNumberFormat="0" applyAlignment="0" applyProtection="0"/>
    <xf numFmtId="0" fontId="32" fillId="22" borderId="4" applyNumberFormat="0" applyAlignment="0" applyProtection="0"/>
    <xf numFmtId="0" fontId="17" fillId="23" borderId="5" applyNumberFormat="0" applyAlignment="0" applyProtection="0"/>
    <xf numFmtId="0" fontId="17" fillId="24" borderId="6" applyNumberFormat="0" applyAlignment="0" applyProtection="0"/>
    <xf numFmtId="0" fontId="2" fillId="25" borderId="0">
      <alignment horizontal="center"/>
    </xf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18" fillId="0" borderId="0"/>
    <xf numFmtId="0" fontId="33" fillId="0" borderId="0"/>
    <xf numFmtId="0" fontId="33" fillId="0" borderId="0"/>
    <xf numFmtId="0" fontId="34" fillId="26" borderId="1" applyAlignment="0">
      <alignment horizontal="right"/>
      <protection locked="0"/>
    </xf>
    <xf numFmtId="44" fontId="13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5" fillId="27" borderId="0">
      <alignment horizontal="right"/>
      <protection locked="0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2" fontId="35" fillId="27" borderId="0">
      <alignment horizontal="right"/>
      <protection locked="0"/>
    </xf>
    <xf numFmtId="0" fontId="21" fillId="9" borderId="0" applyNumberFormat="0" applyBorder="0" applyAlignment="0" applyProtection="0"/>
    <xf numFmtId="0" fontId="21" fillId="28" borderId="0" applyNumberFormat="0" applyBorder="0" applyAlignment="0" applyProtection="0"/>
    <xf numFmtId="0" fontId="22" fillId="0" borderId="7" applyNumberFormat="0" applyFill="0" applyAlignment="0" applyProtection="0"/>
    <xf numFmtId="0" fontId="36" fillId="0" borderId="8" applyNumberFormat="0" applyFill="0" applyAlignment="0" applyProtection="0"/>
    <xf numFmtId="0" fontId="23" fillId="0" borderId="9" applyNumberFormat="0" applyFill="0" applyAlignment="0" applyProtection="0"/>
    <xf numFmtId="0" fontId="37" fillId="0" borderId="10" applyNumberFormat="0" applyFill="0" applyAlignment="0" applyProtection="0"/>
    <xf numFmtId="0" fontId="24" fillId="0" borderId="11" applyNumberFormat="0" applyFill="0" applyAlignment="0" applyProtection="0"/>
    <xf numFmtId="0" fontId="38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25" fillId="11" borderId="4" applyNumberFormat="0" applyAlignment="0" applyProtection="0"/>
    <xf numFmtId="0" fontId="41" fillId="11" borderId="4" applyNumberFormat="0" applyAlignment="0" applyProtection="0"/>
    <xf numFmtId="3" fontId="10" fillId="29" borderId="0">
      <protection locked="0"/>
    </xf>
    <xf numFmtId="4" fontId="10" fillId="29" borderId="0">
      <protection locked="0"/>
    </xf>
    <xf numFmtId="0" fontId="26" fillId="0" borderId="13" applyNumberFormat="0" applyFill="0" applyAlignment="0" applyProtection="0"/>
    <xf numFmtId="0" fontId="42" fillId="0" borderId="14" applyNumberFormat="0" applyFill="0" applyAlignment="0" applyProtection="0"/>
    <xf numFmtId="0" fontId="27" fillId="11" borderId="0" applyNumberFormat="0" applyBorder="0" applyAlignment="0" applyProtection="0"/>
    <xf numFmtId="0" fontId="43" fillId="11" borderId="0" applyNumberFormat="0" applyBorder="0" applyAlignment="0" applyProtection="0"/>
    <xf numFmtId="43" fontId="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18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2" fillId="0" borderId="0"/>
    <xf numFmtId="0" fontId="28" fillId="8" borderId="15" applyNumberFormat="0" applyFont="0" applyAlignment="0" applyProtection="0"/>
    <xf numFmtId="0" fontId="18" fillId="8" borderId="15" applyNumberFormat="0" applyFont="0" applyAlignment="0" applyProtection="0"/>
    <xf numFmtId="171" fontId="44" fillId="0" borderId="0" applyNumberFormat="0"/>
    <xf numFmtId="0" fontId="29" fillId="22" borderId="16" applyNumberFormat="0" applyAlignment="0" applyProtection="0"/>
    <xf numFmtId="0" fontId="24" fillId="22" borderId="17" applyNumberFormat="0" applyAlignment="0" applyProtection="0"/>
    <xf numFmtId="9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 applyNumberFormat="0" applyBorder="0" applyAlignment="0"/>
    <xf numFmtId="0" fontId="30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18" applyNumberFormat="0" applyFill="0" applyAlignment="0" applyProtection="0"/>
    <xf numFmtId="0" fontId="31" fillId="0" borderId="19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8" fillId="10" borderId="0" applyNumberFormat="0" applyBorder="0" applyAlignment="0" applyProtection="0"/>
    <xf numFmtId="0" fontId="8" fillId="32" borderId="0" applyNumberFormat="0" applyBorder="0" applyAlignment="0" applyProtection="0"/>
    <xf numFmtId="0" fontId="8" fillId="10" borderId="0" applyNumberFormat="0" applyBorder="0" applyAlignment="0" applyProtection="0"/>
    <xf numFmtId="0" fontId="8" fillId="21" borderId="0" applyNumberFormat="0" applyBorder="0" applyAlignment="0" applyProtection="0"/>
    <xf numFmtId="0" fontId="8" fillId="5" borderId="0" applyNumberFormat="0" applyBorder="0" applyAlignment="0" applyProtection="0"/>
    <xf numFmtId="0" fontId="8" fillId="21" borderId="0" applyNumberFormat="0" applyBorder="0" applyAlignment="0" applyProtection="0"/>
    <xf numFmtId="0" fontId="8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36" borderId="0" applyNumberFormat="0" applyBorder="0" applyAlignment="0" applyProtection="0"/>
    <xf numFmtId="0" fontId="14" fillId="37" borderId="0" applyNumberFormat="0" applyBorder="0" applyAlignment="0" applyProtection="0"/>
    <xf numFmtId="0" fontId="14" fillId="14" borderId="0" applyNumberFormat="0" applyBorder="0" applyAlignment="0" applyProtection="0"/>
    <xf numFmtId="0" fontId="49" fillId="22" borderId="4" applyNumberFormat="0" applyAlignment="0" applyProtection="0"/>
    <xf numFmtId="0" fontId="49" fillId="10" borderId="4" applyNumberFormat="0" applyAlignment="0" applyProtection="0"/>
    <xf numFmtId="43" fontId="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8" fillId="0" borderId="0" applyFont="0" applyFill="0" applyBorder="0" applyAlignment="0" applyProtection="0"/>
    <xf numFmtId="14" fontId="2" fillId="0" borderId="0"/>
    <xf numFmtId="1" fontId="2" fillId="0" borderId="0">
      <alignment horizontal="center"/>
    </xf>
    <xf numFmtId="0" fontId="22" fillId="0" borderId="27" applyNumberFormat="0" applyFill="0" applyAlignment="0" applyProtection="0"/>
    <xf numFmtId="0" fontId="51" fillId="0" borderId="28" applyNumberFormat="0" applyFill="0" applyAlignment="0" applyProtection="0"/>
    <xf numFmtId="0" fontId="23" fillId="0" borderId="10" applyNumberFormat="0" applyFill="0" applyAlignment="0" applyProtection="0"/>
    <xf numFmtId="0" fontId="52" fillId="0" borderId="10" applyNumberFormat="0" applyFill="0" applyAlignment="0" applyProtection="0"/>
    <xf numFmtId="0" fontId="24" fillId="0" borderId="29" applyNumberFormat="0" applyFill="0" applyAlignment="0" applyProtection="0"/>
    <xf numFmtId="0" fontId="53" fillId="0" borderId="30" applyNumberFormat="0" applyFill="0" applyAlignment="0" applyProtection="0"/>
    <xf numFmtId="0" fontId="54" fillId="0" borderId="31" applyNumberFormat="0" applyFill="0" applyAlignment="0" applyProtection="0"/>
    <xf numFmtId="0" fontId="55" fillId="11" borderId="0" applyNumberFormat="0" applyBorder="0" applyAlignment="0" applyProtection="0"/>
    <xf numFmtId="0" fontId="1" fillId="0" borderId="0"/>
    <xf numFmtId="0" fontId="8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8" fillId="0" borderId="0"/>
    <xf numFmtId="0" fontId="8" fillId="0" borderId="0"/>
    <xf numFmtId="0" fontId="8" fillId="8" borderId="15" applyNumberFormat="0" applyFont="0" applyAlignment="0" applyProtection="0"/>
    <xf numFmtId="0" fontId="50" fillId="8" borderId="15" applyNumberFormat="0" applyFont="0" applyAlignment="0" applyProtection="0"/>
    <xf numFmtId="9" fontId="5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37" fontId="57" fillId="0" borderId="0"/>
    <xf numFmtId="0" fontId="31" fillId="0" borderId="32" applyNumberFormat="0" applyFill="0" applyAlignment="0" applyProtection="0"/>
    <xf numFmtId="0" fontId="31" fillId="0" borderId="33" applyNumberFormat="0" applyFill="0" applyAlignment="0" applyProtection="0"/>
    <xf numFmtId="0" fontId="2" fillId="0" borderId="0"/>
    <xf numFmtId="0" fontId="2" fillId="0" borderId="0"/>
    <xf numFmtId="0" fontId="46" fillId="0" borderId="0"/>
    <xf numFmtId="9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" fillId="0" borderId="0"/>
  </cellStyleXfs>
  <cellXfs count="356">
    <xf numFmtId="0" fontId="0" fillId="0" borderId="0" xfId="0"/>
    <xf numFmtId="43" fontId="0" fillId="0" borderId="0" xfId="1" applyFont="1"/>
    <xf numFmtId="10" fontId="0" fillId="0" borderId="0" xfId="3" applyNumberFormat="1" applyFont="1" applyBorder="1"/>
    <xf numFmtId="43" fontId="0" fillId="0" borderId="0" xfId="1" applyFont="1" applyFill="1" applyBorder="1"/>
    <xf numFmtId="43" fontId="0" fillId="0" borderId="0" xfId="1" applyFont="1" applyBorder="1"/>
    <xf numFmtId="44" fontId="3" fillId="0" borderId="0" xfId="0" applyNumberFormat="1" applyFont="1"/>
    <xf numFmtId="10" fontId="0" fillId="0" borderId="0" xfId="3" applyNumberFormat="1" applyFont="1" applyBorder="1" applyAlignment="1">
      <alignment horizontal="right"/>
    </xf>
    <xf numFmtId="166" fontId="0" fillId="0" borderId="0" xfId="1" applyNumberFormat="1" applyFont="1" applyBorder="1" applyAlignment="1">
      <alignment horizontal="right"/>
    </xf>
    <xf numFmtId="167" fontId="0" fillId="0" borderId="0" xfId="1" applyNumberFormat="1" applyFont="1"/>
    <xf numFmtId="167" fontId="0" fillId="0" borderId="0" xfId="1" applyNumberFormat="1" applyFont="1" applyBorder="1"/>
    <xf numFmtId="167" fontId="0" fillId="0" borderId="1" xfId="1" applyNumberFormat="1" applyFont="1" applyBorder="1"/>
    <xf numFmtId="0" fontId="3" fillId="0" borderId="0" xfId="0" applyFont="1" applyAlignment="1">
      <alignment horizontal="center"/>
    </xf>
    <xf numFmtId="43" fontId="0" fillId="0" borderId="0" xfId="1" applyFont="1" applyBorder="1" applyAlignment="1">
      <alignment horizontal="right"/>
    </xf>
    <xf numFmtId="166" fontId="0" fillId="0" borderId="1" xfId="1" applyNumberFormat="1" applyFont="1" applyBorder="1"/>
    <xf numFmtId="0" fontId="9" fillId="0" borderId="0" xfId="0" applyFont="1"/>
    <xf numFmtId="0" fontId="9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right" wrapText="1"/>
    </xf>
    <xf numFmtId="43" fontId="0" fillId="0" borderId="0" xfId="0" applyNumberFormat="1"/>
    <xf numFmtId="0" fontId="0" fillId="0" borderId="0" xfId="0" applyAlignment="1">
      <alignment horizontal="left"/>
    </xf>
    <xf numFmtId="44" fontId="0" fillId="0" borderId="0" xfId="0" applyNumberFormat="1"/>
    <xf numFmtId="0" fontId="0" fillId="0" borderId="1" xfId="0" applyBorder="1" applyAlignment="1">
      <alignment horizontal="center"/>
    </xf>
    <xf numFmtId="43" fontId="0" fillId="0" borderId="0" xfId="0" applyNumberFormat="1" applyAlignment="1">
      <alignment horizontal="center"/>
    </xf>
    <xf numFmtId="168" fontId="0" fillId="0" borderId="0" xfId="0" applyNumberFormat="1"/>
    <xf numFmtId="0" fontId="0" fillId="0" borderId="0" xfId="0" applyAlignment="1">
      <alignment horizontal="center" vertical="center"/>
    </xf>
    <xf numFmtId="170" fontId="0" fillId="0" borderId="0" xfId="0" applyNumberFormat="1"/>
    <xf numFmtId="0" fontId="0" fillId="4" borderId="1" xfId="0" applyFill="1" applyBorder="1" applyAlignment="1">
      <alignment horizontal="center"/>
    </xf>
    <xf numFmtId="0" fontId="3" fillId="4" borderId="1" xfId="0" applyFont="1" applyFill="1" applyBorder="1"/>
    <xf numFmtId="0" fontId="0" fillId="4" borderId="1" xfId="0" applyFill="1" applyBorder="1" applyAlignment="1">
      <alignment vertical="center" textRotation="90"/>
    </xf>
    <xf numFmtId="166" fontId="3" fillId="0" borderId="1" xfId="1" applyNumberFormat="1" applyFont="1" applyBorder="1" applyAlignment="1">
      <alignment horizontal="center"/>
    </xf>
    <xf numFmtId="0" fontId="3" fillId="0" borderId="0" xfId="0" applyFont="1"/>
    <xf numFmtId="166" fontId="0" fillId="0" borderId="0" xfId="1" applyNumberFormat="1" applyFont="1"/>
    <xf numFmtId="0" fontId="0" fillId="0" borderId="0" xfId="0" applyAlignment="1">
      <alignment horizontal="left" indent="1"/>
    </xf>
    <xf numFmtId="43" fontId="0" fillId="0" borderId="0" xfId="1" applyFont="1" applyAlignment="1">
      <alignment horizontal="center"/>
    </xf>
    <xf numFmtId="166" fontId="0" fillId="0" borderId="0" xfId="1" applyNumberFormat="1" applyFont="1" applyBorder="1"/>
    <xf numFmtId="0" fontId="0" fillId="0" borderId="0" xfId="0" applyAlignment="1">
      <alignment horizontal="right"/>
    </xf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vertical="center" textRotation="90"/>
    </xf>
    <xf numFmtId="0" fontId="12" fillId="0" borderId="0" xfId="4" applyFont="1" applyAlignment="1">
      <alignment horizontal="left"/>
    </xf>
    <xf numFmtId="166" fontId="3" fillId="0" borderId="0" xfId="1" applyNumberFormat="1" applyFont="1" applyBorder="1" applyAlignment="1">
      <alignment horizontal="right"/>
    </xf>
    <xf numFmtId="0" fontId="9" fillId="0" borderId="0" xfId="274" applyFont="1" applyAlignment="1">
      <alignment horizontal="left"/>
    </xf>
    <xf numFmtId="44" fontId="0" fillId="0" borderId="0" xfId="2" applyFont="1" applyFill="1" applyBorder="1"/>
    <xf numFmtId="166" fontId="0" fillId="0" borderId="0" xfId="1" applyNumberFormat="1" applyFont="1" applyFill="1" applyBorder="1"/>
    <xf numFmtId="44" fontId="3" fillId="4" borderId="1" xfId="2" applyFont="1" applyFill="1" applyBorder="1"/>
    <xf numFmtId="44" fontId="0" fillId="4" borderId="1" xfId="2" applyFont="1" applyFill="1" applyBorder="1"/>
    <xf numFmtId="44" fontId="3" fillId="0" borderId="0" xfId="2" applyFont="1" applyBorder="1" applyAlignment="1">
      <alignment horizontal="right"/>
    </xf>
    <xf numFmtId="0" fontId="0" fillId="30" borderId="0" xfId="0" applyFill="1"/>
    <xf numFmtId="0" fontId="0" fillId="30" borderId="0" xfId="0" applyFill="1" applyAlignment="1">
      <alignment horizontal="center"/>
    </xf>
    <xf numFmtId="0" fontId="0" fillId="30" borderId="0" xfId="0" applyFill="1" applyAlignment="1">
      <alignment horizontal="right"/>
    </xf>
    <xf numFmtId="166" fontId="0" fillId="30" borderId="0" xfId="1" applyNumberFormat="1" applyFont="1" applyFill="1" applyBorder="1"/>
    <xf numFmtId="0" fontId="3" fillId="30" borderId="0" xfId="0" applyFont="1" applyFill="1"/>
    <xf numFmtId="43" fontId="0" fillId="0" borderId="1" xfId="1" applyFont="1" applyBorder="1" applyAlignment="1">
      <alignment horizontal="right"/>
    </xf>
    <xf numFmtId="0" fontId="3" fillId="4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/>
    </xf>
    <xf numFmtId="0" fontId="11" fillId="0" borderId="0" xfId="274" applyFont="1" applyAlignment="1">
      <alignment horizontal="left"/>
    </xf>
    <xf numFmtId="0" fontId="11" fillId="0" borderId="0" xfId="278" applyFont="1"/>
    <xf numFmtId="0" fontId="9" fillId="0" borderId="0" xfId="4" applyFont="1" applyAlignment="1">
      <alignment horizontal="left"/>
    </xf>
    <xf numFmtId="44" fontId="0" fillId="0" borderId="1" xfId="2" applyFont="1" applyBorder="1"/>
    <xf numFmtId="0" fontId="11" fillId="0" borderId="0" xfId="271" applyFont="1"/>
    <xf numFmtId="43" fontId="0" fillId="0" borderId="1" xfId="1" applyFont="1" applyBorder="1"/>
    <xf numFmtId="44" fontId="0" fillId="0" borderId="0" xfId="2" applyFont="1" applyBorder="1"/>
    <xf numFmtId="44" fontId="0" fillId="0" borderId="1" xfId="2" applyFont="1" applyFill="1" applyBorder="1"/>
    <xf numFmtId="0" fontId="11" fillId="0" borderId="1" xfId="274" applyFont="1" applyBorder="1" applyAlignment="1">
      <alignment horizontal="left"/>
    </xf>
    <xf numFmtId="166" fontId="0" fillId="0" borderId="1" xfId="1" applyNumberFormat="1" applyFont="1" applyFill="1" applyBorder="1"/>
    <xf numFmtId="0" fontId="3" fillId="0" borderId="21" xfId="0" applyFont="1" applyBorder="1"/>
    <xf numFmtId="0" fontId="0" fillId="4" borderId="26" xfId="0" applyFill="1" applyBorder="1" applyAlignment="1">
      <alignment horizontal="center"/>
    </xf>
    <xf numFmtId="0" fontId="0" fillId="0" borderId="22" xfId="0" applyBorder="1"/>
    <xf numFmtId="44" fontId="0" fillId="0" borderId="23" xfId="2" applyFont="1" applyBorder="1"/>
    <xf numFmtId="10" fontId="0" fillId="0" borderId="0" xfId="0" applyNumberFormat="1"/>
    <xf numFmtId="173" fontId="0" fillId="0" borderId="0" xfId="0" applyNumberFormat="1"/>
    <xf numFmtId="42" fontId="0" fillId="0" borderId="0" xfId="0" applyNumberFormat="1"/>
    <xf numFmtId="42" fontId="3" fillId="0" borderId="0" xfId="0" applyNumberFormat="1" applyFont="1"/>
    <xf numFmtId="0" fontId="0" fillId="0" borderId="24" xfId="0" applyBorder="1"/>
    <xf numFmtId="4" fontId="0" fillId="0" borderId="0" xfId="0" applyNumberFormat="1"/>
    <xf numFmtId="166" fontId="0" fillId="0" borderId="0" xfId="1" applyNumberFormat="1" applyFont="1" applyFill="1" applyBorder="1" applyAlignment="1">
      <alignment horizontal="center" wrapText="1"/>
    </xf>
    <xf numFmtId="166" fontId="0" fillId="0" borderId="0" xfId="1" applyNumberFormat="1" applyFont="1" applyFill="1" applyBorder="1" applyAlignment="1">
      <alignment horizontal="right"/>
    </xf>
    <xf numFmtId="166" fontId="11" fillId="0" borderId="0" xfId="1" applyNumberFormat="1" applyFont="1" applyFill="1" applyBorder="1"/>
    <xf numFmtId="0" fontId="12" fillId="4" borderId="1" xfId="4" applyFont="1" applyFill="1" applyBorder="1" applyAlignment="1">
      <alignment horizontal="left"/>
    </xf>
    <xf numFmtId="3" fontId="3" fillId="4" borderId="1" xfId="0" applyNumberFormat="1" applyFont="1" applyFill="1" applyBorder="1" applyAlignment="1">
      <alignment horizontal="right"/>
    </xf>
    <xf numFmtId="43" fontId="0" fillId="4" borderId="1" xfId="1" applyFont="1" applyFill="1" applyBorder="1"/>
    <xf numFmtId="166" fontId="3" fillId="4" borderId="1" xfId="0" applyNumberFormat="1" applyFont="1" applyFill="1" applyBorder="1"/>
    <xf numFmtId="43" fontId="0" fillId="4" borderId="1" xfId="0" applyNumberFormat="1" applyFill="1" applyBorder="1"/>
    <xf numFmtId="3" fontId="3" fillId="4" borderId="1" xfId="0" applyNumberFormat="1" applyFont="1" applyFill="1" applyBorder="1"/>
    <xf numFmtId="166" fontId="3" fillId="4" borderId="1" xfId="1" applyNumberFormat="1" applyFont="1" applyFill="1" applyBorder="1"/>
    <xf numFmtId="44" fontId="0" fillId="31" borderId="0" xfId="2" applyFont="1" applyFill="1" applyBorder="1"/>
    <xf numFmtId="165" fontId="0" fillId="31" borderId="0" xfId="2" applyNumberFormat="1" applyFont="1" applyFill="1" applyBorder="1"/>
    <xf numFmtId="44" fontId="0" fillId="31" borderId="3" xfId="2" applyFont="1" applyFill="1" applyBorder="1"/>
    <xf numFmtId="169" fontId="0" fillId="31" borderId="3" xfId="2" applyNumberFormat="1" applyFont="1" applyFill="1" applyBorder="1"/>
    <xf numFmtId="44" fontId="0" fillId="0" borderId="25" xfId="2" applyFont="1" applyBorder="1"/>
    <xf numFmtId="166" fontId="3" fillId="4" borderId="1" xfId="1" applyNumberFormat="1" applyFont="1" applyFill="1" applyBorder="1" applyAlignment="1">
      <alignment horizontal="center" wrapText="1"/>
    </xf>
    <xf numFmtId="0" fontId="48" fillId="4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/>
    </xf>
    <xf numFmtId="4" fontId="0" fillId="0" borderId="0" xfId="1" applyNumberFormat="1" applyFont="1" applyFill="1" applyBorder="1"/>
    <xf numFmtId="14" fontId="3" fillId="0" borderId="0" xfId="0" applyNumberFormat="1" applyFont="1" applyAlignment="1">
      <alignment horizontal="left"/>
    </xf>
    <xf numFmtId="4" fontId="3" fillId="0" borderId="0" xfId="1" applyNumberFormat="1" applyFont="1" applyFill="1" applyBorder="1" applyAlignment="1">
      <alignment horizontal="center"/>
    </xf>
    <xf numFmtId="4" fontId="3" fillId="0" borderId="0" xfId="1" applyNumberFormat="1" applyFont="1" applyFill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2" fontId="0" fillId="0" borderId="0" xfId="0" applyNumberFormat="1"/>
    <xf numFmtId="43" fontId="64" fillId="0" borderId="0" xfId="103" applyFont="1" applyFill="1" applyAlignment="1">
      <alignment horizontal="center"/>
    </xf>
    <xf numFmtId="166" fontId="64" fillId="0" borderId="0" xfId="103" applyNumberFormat="1" applyFont="1" applyFill="1"/>
    <xf numFmtId="174" fontId="64" fillId="0" borderId="0" xfId="103" applyNumberFormat="1" applyFont="1" applyFill="1" applyAlignment="1">
      <alignment horizontal="center"/>
    </xf>
    <xf numFmtId="174" fontId="65" fillId="0" borderId="41" xfId="377" applyNumberFormat="1" applyFont="1" applyFill="1" applyBorder="1"/>
    <xf numFmtId="174" fontId="64" fillId="0" borderId="0" xfId="103" applyNumberFormat="1" applyFont="1" applyFill="1"/>
    <xf numFmtId="43" fontId="64" fillId="0" borderId="0" xfId="103" applyFont="1" applyFill="1"/>
    <xf numFmtId="166" fontId="64" fillId="0" borderId="0" xfId="103" applyNumberFormat="1" applyFont="1" applyFill="1" applyBorder="1"/>
    <xf numFmtId="166" fontId="65" fillId="0" borderId="0" xfId="103" applyNumberFormat="1" applyFont="1" applyFill="1" applyBorder="1"/>
    <xf numFmtId="166" fontId="58" fillId="0" borderId="0" xfId="103" applyNumberFormat="1" applyFont="1" applyFill="1" applyAlignment="1">
      <alignment horizontal="right" indent="1"/>
    </xf>
    <xf numFmtId="166" fontId="58" fillId="0" borderId="0" xfId="103" applyNumberFormat="1" applyFont="1" applyFill="1" applyBorder="1" applyAlignment="1">
      <alignment horizontal="right" indent="1"/>
    </xf>
    <xf numFmtId="174" fontId="64" fillId="0" borderId="0" xfId="103" applyNumberFormat="1" applyFont="1" applyFill="1" applyBorder="1"/>
    <xf numFmtId="175" fontId="64" fillId="0" borderId="0" xfId="103" applyNumberFormat="1" applyFont="1" applyFill="1" applyBorder="1"/>
    <xf numFmtId="44" fontId="65" fillId="0" borderId="41" xfId="377" applyFont="1" applyFill="1" applyBorder="1"/>
    <xf numFmtId="174" fontId="65" fillId="0" borderId="0" xfId="377" applyNumberFormat="1" applyFont="1" applyFill="1" applyBorder="1"/>
    <xf numFmtId="1" fontId="64" fillId="0" borderId="0" xfId="103" applyNumberFormat="1" applyFont="1" applyFill="1"/>
    <xf numFmtId="166" fontId="64" fillId="0" borderId="1" xfId="103" applyNumberFormat="1" applyFont="1" applyFill="1" applyBorder="1"/>
    <xf numFmtId="44" fontId="65" fillId="0" borderId="1" xfId="377" applyFont="1" applyFill="1" applyBorder="1"/>
    <xf numFmtId="0" fontId="68" fillId="29" borderId="0" xfId="17" applyFont="1" applyFill="1" applyAlignment="1">
      <alignment horizontal="centerContinuous"/>
    </xf>
    <xf numFmtId="0" fontId="68" fillId="39" borderId="0" xfId="17" applyFont="1" applyFill="1" applyAlignment="1">
      <alignment horizontal="centerContinuous"/>
    </xf>
    <xf numFmtId="0" fontId="2" fillId="39" borderId="0" xfId="17" applyFill="1" applyAlignment="1">
      <alignment horizontal="centerContinuous"/>
    </xf>
    <xf numFmtId="176" fontId="2" fillId="39" borderId="0" xfId="17" applyNumberFormat="1" applyFill="1" applyAlignment="1">
      <alignment horizontal="centerContinuous"/>
    </xf>
    <xf numFmtId="0" fontId="2" fillId="0" borderId="0" xfId="17"/>
    <xf numFmtId="10" fontId="2" fillId="0" borderId="0" xfId="379" applyNumberFormat="1" applyFont="1" applyBorder="1"/>
    <xf numFmtId="0" fontId="2" fillId="4" borderId="43" xfId="17" applyFill="1" applyBorder="1"/>
    <xf numFmtId="0" fontId="2" fillId="4" borderId="44" xfId="17" applyFill="1" applyBorder="1"/>
    <xf numFmtId="176" fontId="2" fillId="4" borderId="44" xfId="17" applyNumberFormat="1" applyFill="1" applyBorder="1"/>
    <xf numFmtId="0" fontId="0" fillId="4" borderId="44" xfId="0" applyFill="1" applyBorder="1"/>
    <xf numFmtId="10" fontId="2" fillId="4" borderId="44" xfId="379" applyNumberFormat="1" applyFont="1" applyFill="1" applyBorder="1"/>
    <xf numFmtId="10" fontId="2" fillId="4" borderId="45" xfId="379" applyNumberFormat="1" applyFont="1" applyFill="1" applyBorder="1"/>
    <xf numFmtId="0" fontId="69" fillId="4" borderId="46" xfId="17" applyFont="1" applyFill="1" applyBorder="1"/>
    <xf numFmtId="0" fontId="69" fillId="4" borderId="38" xfId="17" applyFont="1" applyFill="1" applyBorder="1"/>
    <xf numFmtId="0" fontId="2" fillId="4" borderId="38" xfId="17" applyFill="1" applyBorder="1"/>
    <xf numFmtId="177" fontId="2" fillId="4" borderId="38" xfId="17" applyNumberFormat="1" applyFill="1" applyBorder="1"/>
    <xf numFmtId="176" fontId="2" fillId="4" borderId="39" xfId="17" applyNumberFormat="1" applyFill="1" applyBorder="1"/>
    <xf numFmtId="0" fontId="0" fillId="4" borderId="0" xfId="0" applyFill="1"/>
    <xf numFmtId="0" fontId="2" fillId="4" borderId="0" xfId="17" applyFill="1"/>
    <xf numFmtId="10" fontId="2" fillId="4" borderId="0" xfId="379" applyNumberFormat="1" applyFont="1" applyFill="1" applyBorder="1"/>
    <xf numFmtId="10" fontId="2" fillId="4" borderId="47" xfId="379" applyNumberFormat="1" applyFont="1" applyFill="1" applyBorder="1"/>
    <xf numFmtId="0" fontId="2" fillId="4" borderId="48" xfId="17" applyFill="1" applyBorder="1"/>
    <xf numFmtId="0" fontId="2" fillId="4" borderId="0" xfId="17" applyFill="1" applyAlignment="1">
      <alignment horizontal="center"/>
    </xf>
    <xf numFmtId="176" fontId="2" fillId="4" borderId="23" xfId="17" applyNumberFormat="1" applyFill="1" applyBorder="1"/>
    <xf numFmtId="0" fontId="68" fillId="4" borderId="48" xfId="17" applyFont="1" applyFill="1" applyBorder="1"/>
    <xf numFmtId="17" fontId="68" fillId="4" borderId="0" xfId="17" applyNumberFormat="1" applyFont="1" applyFill="1" applyAlignment="1">
      <alignment horizontal="center"/>
    </xf>
    <xf numFmtId="176" fontId="68" fillId="4" borderId="23" xfId="17" applyNumberFormat="1" applyFont="1" applyFill="1" applyBorder="1" applyAlignment="1">
      <alignment horizontal="center"/>
    </xf>
    <xf numFmtId="9" fontId="68" fillId="4" borderId="0" xfId="17" applyNumberFormat="1" applyFont="1" applyFill="1"/>
    <xf numFmtId="10" fontId="68" fillId="4" borderId="0" xfId="379" applyNumberFormat="1" applyFont="1" applyFill="1" applyBorder="1"/>
    <xf numFmtId="10" fontId="68" fillId="4" borderId="47" xfId="379" applyNumberFormat="1" applyFont="1" applyFill="1" applyBorder="1"/>
    <xf numFmtId="0" fontId="68" fillId="0" borderId="0" xfId="17" applyFont="1"/>
    <xf numFmtId="0" fontId="2" fillId="4" borderId="48" xfId="17" applyFill="1" applyBorder="1" applyAlignment="1">
      <alignment horizontal="left"/>
    </xf>
    <xf numFmtId="37" fontId="2" fillId="4" borderId="0" xfId="17" applyNumberFormat="1" applyFill="1" applyAlignment="1">
      <alignment horizontal="center"/>
    </xf>
    <xf numFmtId="178" fontId="2" fillId="4" borderId="23" xfId="1" applyNumberFormat="1" applyFont="1" applyFill="1" applyBorder="1"/>
    <xf numFmtId="7" fontId="2" fillId="4" borderId="0" xfId="17" applyNumberFormat="1" applyFill="1" applyAlignment="1">
      <alignment horizontal="center"/>
    </xf>
    <xf numFmtId="176" fontId="68" fillId="4" borderId="0" xfId="17" applyNumberFormat="1" applyFont="1" applyFill="1"/>
    <xf numFmtId="44" fontId="2" fillId="0" borderId="0" xfId="17" applyNumberFormat="1"/>
    <xf numFmtId="7" fontId="2" fillId="4" borderId="0" xfId="103" applyNumberFormat="1" applyFont="1" applyFill="1" applyBorder="1" applyAlignment="1">
      <alignment horizontal="center"/>
    </xf>
    <xf numFmtId="176" fontId="2" fillId="4" borderId="23" xfId="377" applyNumberFormat="1" applyFont="1" applyFill="1" applyBorder="1"/>
    <xf numFmtId="43" fontId="2" fillId="4" borderId="0" xfId="103" applyFont="1" applyFill="1" applyBorder="1"/>
    <xf numFmtId="0" fontId="68" fillId="4" borderId="0" xfId="17" applyFont="1" applyFill="1"/>
    <xf numFmtId="4" fontId="2" fillId="4" borderId="0" xfId="17" applyNumberFormat="1" applyFill="1"/>
    <xf numFmtId="44" fontId="2" fillId="4" borderId="0" xfId="379" applyNumberFormat="1" applyFont="1" applyFill="1" applyBorder="1"/>
    <xf numFmtId="174" fontId="2" fillId="4" borderId="0" xfId="379" applyNumberFormat="1" applyFont="1" applyFill="1" applyBorder="1"/>
    <xf numFmtId="8" fontId="2" fillId="4" borderId="0" xfId="17" applyNumberFormat="1" applyFill="1" applyAlignment="1">
      <alignment horizontal="center"/>
    </xf>
    <xf numFmtId="174" fontId="2" fillId="4" borderId="1" xfId="379" applyNumberFormat="1" applyFont="1" applyFill="1" applyBorder="1"/>
    <xf numFmtId="174" fontId="2" fillId="4" borderId="0" xfId="103" applyNumberFormat="1" applyFont="1" applyFill="1" applyBorder="1" applyAlignment="1">
      <alignment horizontal="center"/>
    </xf>
    <xf numFmtId="0" fontId="2" fillId="4" borderId="0" xfId="17" applyFill="1" applyAlignment="1">
      <alignment horizontal="left"/>
    </xf>
    <xf numFmtId="44" fontId="2" fillId="4" borderId="0" xfId="103" applyNumberFormat="1" applyFont="1" applyFill="1" applyBorder="1"/>
    <xf numFmtId="44" fontId="2" fillId="4" borderId="0" xfId="17" applyNumberFormat="1" applyFill="1"/>
    <xf numFmtId="174" fontId="2" fillId="4" borderId="0" xfId="103" applyNumberFormat="1" applyFont="1" applyFill="1" applyBorder="1"/>
    <xf numFmtId="179" fontId="2" fillId="4" borderId="0" xfId="17" applyNumberFormat="1" applyFill="1"/>
    <xf numFmtId="166" fontId="2" fillId="4" borderId="0" xfId="1" applyNumberFormat="1" applyFont="1" applyFill="1" applyBorder="1"/>
    <xf numFmtId="174" fontId="68" fillId="4" borderId="0" xfId="103" applyNumberFormat="1" applyFont="1" applyFill="1" applyBorder="1"/>
    <xf numFmtId="176" fontId="68" fillId="4" borderId="23" xfId="103" applyNumberFormat="1" applyFont="1" applyFill="1" applyBorder="1"/>
    <xf numFmtId="1" fontId="2" fillId="4" borderId="0" xfId="17" applyNumberFormat="1" applyFill="1"/>
    <xf numFmtId="176" fontId="68" fillId="4" borderId="23" xfId="17" applyNumberFormat="1" applyFont="1" applyFill="1" applyBorder="1"/>
    <xf numFmtId="176" fontId="68" fillId="4" borderId="0" xfId="379" applyNumberFormat="1" applyFont="1" applyFill="1" applyBorder="1"/>
    <xf numFmtId="166" fontId="18" fillId="4" borderId="0" xfId="103" applyNumberFormat="1" applyFont="1" applyFill="1" applyBorder="1"/>
    <xf numFmtId="43" fontId="2" fillId="4" borderId="38" xfId="17" applyNumberFormat="1" applyFill="1" applyBorder="1"/>
    <xf numFmtId="0" fontId="18" fillId="4" borderId="0" xfId="380" applyFont="1" applyFill="1"/>
    <xf numFmtId="0" fontId="18" fillId="4" borderId="47" xfId="380" applyFont="1" applyFill="1" applyBorder="1"/>
    <xf numFmtId="176" fontId="68" fillId="4" borderId="21" xfId="17" applyNumberFormat="1" applyFont="1" applyFill="1" applyBorder="1"/>
    <xf numFmtId="164" fontId="2" fillId="4" borderId="39" xfId="2" applyNumberFormat="1" applyFont="1" applyFill="1" applyBorder="1"/>
    <xf numFmtId="176" fontId="68" fillId="4" borderId="22" xfId="17" applyNumberFormat="1" applyFont="1" applyFill="1" applyBorder="1"/>
    <xf numFmtId="164" fontId="2" fillId="4" borderId="23" xfId="2" applyNumberFormat="1" applyFont="1" applyFill="1" applyBorder="1"/>
    <xf numFmtId="174" fontId="2" fillId="4" borderId="0" xfId="17" applyNumberFormat="1" applyFill="1" applyAlignment="1">
      <alignment horizontal="center"/>
    </xf>
    <xf numFmtId="44" fontId="68" fillId="4" borderId="22" xfId="17" applyNumberFormat="1" applyFont="1" applyFill="1" applyBorder="1"/>
    <xf numFmtId="164" fontId="2" fillId="4" borderId="49" xfId="2" applyNumberFormat="1" applyFont="1" applyFill="1" applyBorder="1"/>
    <xf numFmtId="176" fontId="2" fillId="4" borderId="23" xfId="103" applyNumberFormat="1" applyFont="1" applyFill="1" applyBorder="1"/>
    <xf numFmtId="44" fontId="2" fillId="4" borderId="22" xfId="17" applyNumberFormat="1" applyFill="1" applyBorder="1"/>
    <xf numFmtId="10" fontId="2" fillId="4" borderId="23" xfId="379" applyNumberFormat="1" applyFont="1" applyFill="1" applyBorder="1"/>
    <xf numFmtId="0" fontId="2" fillId="4" borderId="22" xfId="17" applyFill="1" applyBorder="1"/>
    <xf numFmtId="176" fontId="2" fillId="4" borderId="23" xfId="379" applyNumberFormat="1" applyFont="1" applyFill="1" applyBorder="1"/>
    <xf numFmtId="0" fontId="2" fillId="4" borderId="24" xfId="17" applyFill="1" applyBorder="1"/>
    <xf numFmtId="44" fontId="2" fillId="4" borderId="25" xfId="2" applyFont="1" applyFill="1" applyBorder="1"/>
    <xf numFmtId="176" fontId="2" fillId="4" borderId="0" xfId="379" applyNumberFormat="1" applyFont="1" applyFill="1" applyBorder="1"/>
    <xf numFmtId="176" fontId="2" fillId="4" borderId="47" xfId="379" applyNumberFormat="1" applyFont="1" applyFill="1" applyBorder="1"/>
    <xf numFmtId="44" fontId="68" fillId="0" borderId="0" xfId="17" applyNumberFormat="1" applyFont="1"/>
    <xf numFmtId="174" fontId="68" fillId="4" borderId="0" xfId="17" applyNumberFormat="1" applyFont="1" applyFill="1" applyAlignment="1">
      <alignment horizontal="center"/>
    </xf>
    <xf numFmtId="176" fontId="68" fillId="4" borderId="23" xfId="377" applyNumberFormat="1" applyFont="1" applyFill="1" applyBorder="1" applyAlignment="1">
      <alignment horizontal="center"/>
    </xf>
    <xf numFmtId="43" fontId="2" fillId="4" borderId="0" xfId="17" applyNumberFormat="1" applyFill="1"/>
    <xf numFmtId="174" fontId="68" fillId="4" borderId="0" xfId="103" applyNumberFormat="1" applyFont="1" applyFill="1" applyBorder="1" applyAlignment="1">
      <alignment horizontal="center"/>
    </xf>
    <xf numFmtId="176" fontId="68" fillId="4" borderId="23" xfId="377" applyNumberFormat="1" applyFont="1" applyFill="1" applyBorder="1"/>
    <xf numFmtId="174" fontId="2" fillId="4" borderId="0" xfId="377" applyNumberFormat="1" applyFont="1" applyFill="1" applyBorder="1" applyAlignment="1">
      <alignment horizontal="center"/>
    </xf>
    <xf numFmtId="44" fontId="2" fillId="4" borderId="48" xfId="17" applyNumberFormat="1" applyFill="1" applyBorder="1"/>
    <xf numFmtId="174" fontId="68" fillId="4" borderId="0" xfId="377" applyNumberFormat="1" applyFont="1" applyFill="1" applyBorder="1" applyAlignment="1">
      <alignment horizontal="center"/>
    </xf>
    <xf numFmtId="44" fontId="68" fillId="4" borderId="0" xfId="17" applyNumberFormat="1" applyFont="1" applyFill="1"/>
    <xf numFmtId="44" fontId="2" fillId="4" borderId="0" xfId="17" applyNumberFormat="1" applyFill="1" applyAlignment="1">
      <alignment horizontal="center"/>
    </xf>
    <xf numFmtId="43" fontId="2" fillId="4" borderId="0" xfId="103" applyFont="1" applyFill="1" applyBorder="1" applyAlignment="1">
      <alignment horizontal="center"/>
    </xf>
    <xf numFmtId="0" fontId="68" fillId="4" borderId="50" xfId="17" applyFont="1" applyFill="1" applyBorder="1"/>
    <xf numFmtId="174" fontId="2" fillId="4" borderId="40" xfId="17" applyNumberFormat="1" applyFill="1" applyBorder="1" applyAlignment="1">
      <alignment horizontal="center"/>
    </xf>
    <xf numFmtId="176" fontId="2" fillId="4" borderId="25" xfId="17" applyNumberFormat="1" applyFill="1" applyBorder="1"/>
    <xf numFmtId="176" fontId="2" fillId="4" borderId="0" xfId="17" applyNumberFormat="1" applyFill="1"/>
    <xf numFmtId="0" fontId="68" fillId="4" borderId="48" xfId="0" applyFont="1" applyFill="1" applyBorder="1"/>
    <xf numFmtId="174" fontId="2" fillId="4" borderId="0" xfId="0" applyNumberFormat="1" applyFont="1" applyFill="1"/>
    <xf numFmtId="176" fontId="2" fillId="4" borderId="0" xfId="0" applyNumberFormat="1" applyFont="1" applyFill="1"/>
    <xf numFmtId="44" fontId="68" fillId="4" borderId="0" xfId="0" applyNumberFormat="1" applyFont="1" applyFill="1"/>
    <xf numFmtId="10" fontId="68" fillId="4" borderId="0" xfId="378" applyNumberFormat="1" applyFont="1" applyFill="1" applyBorder="1"/>
    <xf numFmtId="10" fontId="68" fillId="4" borderId="47" xfId="378" applyNumberFormat="1" applyFont="1" applyFill="1" applyBorder="1"/>
    <xf numFmtId="0" fontId="2" fillId="0" borderId="0" xfId="0" applyFont="1"/>
    <xf numFmtId="0" fontId="69" fillId="4" borderId="46" xfId="0" applyFont="1" applyFill="1" applyBorder="1"/>
    <xf numFmtId="0" fontId="2" fillId="4" borderId="38" xfId="0" applyFont="1" applyFill="1" applyBorder="1"/>
    <xf numFmtId="176" fontId="2" fillId="4" borderId="39" xfId="0" applyNumberFormat="1" applyFont="1" applyFill="1" applyBorder="1"/>
    <xf numFmtId="0" fontId="2" fillId="4" borderId="0" xfId="0" applyFont="1" applyFill="1"/>
    <xf numFmtId="10" fontId="2" fillId="4" borderId="0" xfId="378" applyNumberFormat="1" applyFont="1" applyFill="1" applyBorder="1"/>
    <xf numFmtId="10" fontId="2" fillId="4" borderId="47" xfId="378" applyNumberFormat="1" applyFont="1" applyFill="1" applyBorder="1"/>
    <xf numFmtId="176" fontId="2" fillId="4" borderId="23" xfId="0" applyNumberFormat="1" applyFont="1" applyFill="1" applyBorder="1"/>
    <xf numFmtId="0" fontId="2" fillId="4" borderId="48" xfId="0" applyFont="1" applyFill="1" applyBorder="1"/>
    <xf numFmtId="37" fontId="2" fillId="4" borderId="0" xfId="1" applyNumberFormat="1" applyFont="1" applyFill="1" applyBorder="1" applyAlignment="1">
      <alignment horizontal="center"/>
    </xf>
    <xf numFmtId="174" fontId="2" fillId="4" borderId="0" xfId="0" applyNumberFormat="1" applyFont="1" applyFill="1" applyAlignment="1">
      <alignment horizontal="center"/>
    </xf>
    <xf numFmtId="176" fontId="2" fillId="4" borderId="0" xfId="0" applyNumberFormat="1" applyFont="1" applyFill="1" applyAlignment="1">
      <alignment horizontal="center"/>
    </xf>
    <xf numFmtId="176" fontId="2" fillId="4" borderId="0" xfId="2" applyNumberFormat="1" applyFont="1" applyFill="1" applyBorder="1" applyAlignment="1">
      <alignment horizontal="center"/>
    </xf>
    <xf numFmtId="176" fontId="68" fillId="4" borderId="23" xfId="2" applyNumberFormat="1" applyFont="1" applyFill="1" applyBorder="1"/>
    <xf numFmtId="0" fontId="69" fillId="4" borderId="48" xfId="0" applyFont="1" applyFill="1" applyBorder="1"/>
    <xf numFmtId="0" fontId="2" fillId="4" borderId="50" xfId="0" applyFont="1" applyFill="1" applyBorder="1"/>
    <xf numFmtId="0" fontId="2" fillId="4" borderId="40" xfId="0" applyFont="1" applyFill="1" applyBorder="1"/>
    <xf numFmtId="176" fontId="2" fillId="4" borderId="25" xfId="0" applyNumberFormat="1" applyFont="1" applyFill="1" applyBorder="1"/>
    <xf numFmtId="44" fontId="2" fillId="4" borderId="38" xfId="17" applyNumberFormat="1" applyFill="1" applyBorder="1"/>
    <xf numFmtId="180" fontId="2" fillId="4" borderId="38" xfId="17" applyNumberFormat="1" applyFill="1" applyBorder="1"/>
    <xf numFmtId="169" fontId="2" fillId="4" borderId="38" xfId="17" applyNumberFormat="1" applyFill="1" applyBorder="1"/>
    <xf numFmtId="0" fontId="70" fillId="4" borderId="48" xfId="17" applyFont="1" applyFill="1" applyBorder="1"/>
    <xf numFmtId="0" fontId="70" fillId="4" borderId="0" xfId="17" applyFont="1" applyFill="1"/>
    <xf numFmtId="39" fontId="2" fillId="4" borderId="0" xfId="1" applyNumberFormat="1" applyFont="1" applyFill="1" applyBorder="1" applyAlignment="1">
      <alignment horizontal="center"/>
    </xf>
    <xf numFmtId="0" fontId="2" fillId="4" borderId="51" xfId="17" applyFill="1" applyBorder="1"/>
    <xf numFmtId="174" fontId="2" fillId="4" borderId="1" xfId="17" applyNumberFormat="1" applyFill="1" applyBorder="1" applyAlignment="1">
      <alignment horizontal="center"/>
    </xf>
    <xf numFmtId="176" fontId="2" fillId="4" borderId="49" xfId="377" applyNumberFormat="1" applyFont="1" applyFill="1" applyBorder="1"/>
    <xf numFmtId="174" fontId="2" fillId="4" borderId="1" xfId="377" applyNumberFormat="1" applyFont="1" applyFill="1" applyBorder="1" applyAlignment="1">
      <alignment horizontal="center"/>
    </xf>
    <xf numFmtId="0" fontId="2" fillId="4" borderId="50" xfId="17" applyFill="1" applyBorder="1"/>
    <xf numFmtId="0" fontId="2" fillId="4" borderId="52" xfId="17" applyFill="1" applyBorder="1"/>
    <xf numFmtId="0" fontId="2" fillId="4" borderId="53" xfId="17" applyFill="1" applyBorder="1"/>
    <xf numFmtId="176" fontId="2" fillId="4" borderId="53" xfId="17" applyNumberFormat="1" applyFill="1" applyBorder="1"/>
    <xf numFmtId="0" fontId="0" fillId="4" borderId="53" xfId="0" applyFill="1" applyBorder="1"/>
    <xf numFmtId="10" fontId="2" fillId="4" borderId="53" xfId="379" applyNumberFormat="1" applyFont="1" applyFill="1" applyBorder="1"/>
    <xf numFmtId="10" fontId="2" fillId="4" borderId="54" xfId="379" applyNumberFormat="1" applyFont="1" applyFill="1" applyBorder="1"/>
    <xf numFmtId="176" fontId="2" fillId="0" borderId="0" xfId="17" applyNumberFormat="1"/>
    <xf numFmtId="0" fontId="71" fillId="0" borderId="0" xfId="0" applyFont="1"/>
    <xf numFmtId="166" fontId="11" fillId="0" borderId="0" xfId="1" applyNumberFormat="1" applyFont="1" applyFill="1" applyBorder="1" applyAlignment="1">
      <alignment horizontal="left"/>
    </xf>
    <xf numFmtId="166" fontId="0" fillId="40" borderId="0" xfId="1" applyNumberFormat="1" applyFont="1" applyFill="1" applyBorder="1" applyAlignment="1">
      <alignment horizontal="right"/>
    </xf>
    <xf numFmtId="164" fontId="0" fillId="0" borderId="0" xfId="2" applyNumberFormat="1" applyFont="1"/>
    <xf numFmtId="164" fontId="48" fillId="0" borderId="0" xfId="2" applyNumberFormat="1" applyFont="1" applyAlignment="1">
      <alignment wrapText="1"/>
    </xf>
    <xf numFmtId="164" fontId="3" fillId="4" borderId="1" xfId="2" applyNumberFormat="1" applyFont="1" applyFill="1" applyBorder="1" applyAlignment="1">
      <alignment horizontal="center" wrapText="1"/>
    </xf>
    <xf numFmtId="164" fontId="0" fillId="0" borderId="0" xfId="2" applyNumberFormat="1" applyFont="1" applyFill="1" applyBorder="1"/>
    <xf numFmtId="164" fontId="0" fillId="4" borderId="1" xfId="2" applyNumberFormat="1" applyFont="1" applyFill="1" applyBorder="1"/>
    <xf numFmtId="164" fontId="3" fillId="4" borderId="1" xfId="2" applyNumberFormat="1" applyFont="1" applyFill="1" applyBorder="1"/>
    <xf numFmtId="164" fontId="3" fillId="0" borderId="0" xfId="2" applyNumberFormat="1" applyFont="1" applyBorder="1" applyAlignment="1">
      <alignment horizontal="right"/>
    </xf>
    <xf numFmtId="164" fontId="0" fillId="30" borderId="0" xfId="2" applyNumberFormat="1" applyFont="1" applyFill="1" applyBorder="1"/>
    <xf numFmtId="164" fontId="0" fillId="30" borderId="0" xfId="2" applyNumberFormat="1" applyFont="1" applyFill="1"/>
    <xf numFmtId="164" fontId="0" fillId="0" borderId="0" xfId="2" applyNumberFormat="1" applyFont="1" applyBorder="1"/>
    <xf numFmtId="164" fontId="0" fillId="0" borderId="1" xfId="2" applyNumberFormat="1" applyFont="1" applyFill="1" applyBorder="1"/>
    <xf numFmtId="164" fontId="0" fillId="0" borderId="1" xfId="2" applyNumberFormat="1" applyFont="1" applyBorder="1"/>
    <xf numFmtId="42" fontId="0" fillId="38" borderId="0" xfId="0" applyNumberFormat="1" applyFill="1"/>
    <xf numFmtId="9" fontId="0" fillId="0" borderId="0" xfId="3" applyFont="1"/>
    <xf numFmtId="0" fontId="0" fillId="4" borderId="0" xfId="0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48" fillId="0" borderId="0" xfId="0" applyFont="1" applyAlignment="1">
      <alignment horizontal="left" wrapText="1"/>
    </xf>
    <xf numFmtId="0" fontId="0" fillId="0" borderId="0" xfId="0" applyAlignment="1">
      <alignment horizontal="center" vertical="center" textRotation="90"/>
    </xf>
    <xf numFmtId="0" fontId="0" fillId="0" borderId="3" xfId="0" applyBorder="1" applyAlignment="1">
      <alignment horizontal="center" vertical="center" textRotation="90"/>
    </xf>
    <xf numFmtId="0" fontId="58" fillId="0" borderId="0" xfId="0" applyFont="1" applyFill="1"/>
    <xf numFmtId="0" fontId="59" fillId="0" borderId="0" xfId="0" applyFont="1" applyFill="1"/>
    <xf numFmtId="174" fontId="60" fillId="0" borderId="0" xfId="375" applyNumberFormat="1" applyFont="1" applyFill="1"/>
    <xf numFmtId="175" fontId="60" fillId="0" borderId="0" xfId="375" applyNumberFormat="1" applyFont="1" applyFill="1"/>
    <xf numFmtId="0" fontId="60" fillId="0" borderId="0" xfId="375" applyFont="1" applyFill="1"/>
    <xf numFmtId="1" fontId="58" fillId="0" borderId="0" xfId="0" applyNumberFormat="1" applyFont="1" applyFill="1"/>
    <xf numFmtId="166" fontId="58" fillId="0" borderId="0" xfId="103" applyNumberFormat="1" applyFont="1" applyFill="1"/>
    <xf numFmtId="0" fontId="0" fillId="0" borderId="0" xfId="0" applyFill="1"/>
    <xf numFmtId="0" fontId="71" fillId="0" borderId="0" xfId="0" applyFont="1" applyFill="1"/>
    <xf numFmtId="0" fontId="63" fillId="0" borderId="0" xfId="375" applyFont="1" applyFill="1"/>
    <xf numFmtId="2" fontId="60" fillId="0" borderId="0" xfId="375" applyNumberFormat="1" applyFont="1" applyFill="1"/>
    <xf numFmtId="0" fontId="61" fillId="0" borderId="34" xfId="375" applyFont="1" applyFill="1" applyBorder="1" applyAlignment="1">
      <alignment horizontal="centerContinuous"/>
    </xf>
    <xf numFmtId="0" fontId="61" fillId="0" borderId="35" xfId="375" applyFont="1" applyFill="1" applyBorder="1" applyAlignment="1">
      <alignment horizontal="centerContinuous"/>
    </xf>
    <xf numFmtId="0" fontId="64" fillId="0" borderId="0" xfId="375" applyFont="1" applyFill="1"/>
    <xf numFmtId="0" fontId="63" fillId="0" borderId="0" xfId="375" applyFont="1" applyFill="1" applyAlignment="1">
      <alignment horizontal="center" wrapText="1"/>
    </xf>
    <xf numFmtId="174" fontId="63" fillId="0" borderId="0" xfId="377" applyNumberFormat="1" applyFont="1" applyFill="1" applyAlignment="1">
      <alignment horizontal="center"/>
    </xf>
    <xf numFmtId="175" fontId="63" fillId="0" borderId="0" xfId="377" applyNumberFormat="1" applyFont="1" applyFill="1" applyAlignment="1">
      <alignment horizontal="center"/>
    </xf>
    <xf numFmtId="17" fontId="63" fillId="0" borderId="0" xfId="375" applyNumberFormat="1" applyFont="1" applyFill="1" applyAlignment="1">
      <alignment horizontal="center"/>
    </xf>
    <xf numFmtId="0" fontId="61" fillId="0" borderId="36" xfId="375" applyFont="1" applyFill="1" applyBorder="1"/>
    <xf numFmtId="0" fontId="61" fillId="0" borderId="37" xfId="375" applyFont="1" applyFill="1" applyBorder="1"/>
    <xf numFmtId="0" fontId="3" fillId="0" borderId="0" xfId="0" applyFont="1" applyFill="1"/>
    <xf numFmtId="0" fontId="65" fillId="0" borderId="0" xfId="375" applyFont="1" applyFill="1"/>
    <xf numFmtId="0" fontId="63" fillId="0" borderId="0" xfId="375" applyFont="1" applyFill="1" applyAlignment="1">
      <alignment horizontal="center"/>
    </xf>
    <xf numFmtId="174" fontId="63" fillId="0" borderId="0" xfId="377" applyNumberFormat="1" applyFont="1" applyFill="1" applyAlignment="1">
      <alignment horizontal="center" wrapText="1"/>
    </xf>
    <xf numFmtId="175" fontId="63" fillId="0" borderId="0" xfId="377" applyNumberFormat="1" applyFont="1" applyFill="1" applyAlignment="1">
      <alignment horizontal="center" wrapText="1"/>
    </xf>
    <xf numFmtId="174" fontId="58" fillId="0" borderId="0" xfId="0" applyNumberFormat="1" applyFont="1" applyFill="1"/>
    <xf numFmtId="175" fontId="58" fillId="0" borderId="0" xfId="377" applyNumberFormat="1" applyFont="1" applyFill="1" applyAlignment="1">
      <alignment horizontal="center"/>
    </xf>
    <xf numFmtId="166" fontId="60" fillId="0" borderId="0" xfId="103" applyNumberFormat="1" applyFont="1" applyFill="1"/>
    <xf numFmtId="1" fontId="60" fillId="0" borderId="0" xfId="375" applyNumberFormat="1" applyFont="1" applyFill="1"/>
    <xf numFmtId="174" fontId="64" fillId="0" borderId="0" xfId="375" applyNumberFormat="1" applyFont="1" applyFill="1"/>
    <xf numFmtId="175" fontId="64" fillId="0" borderId="0" xfId="375" applyNumberFormat="1" applyFont="1" applyFill="1"/>
    <xf numFmtId="0" fontId="65" fillId="0" borderId="0" xfId="375" applyFont="1" applyFill="1" applyAlignment="1">
      <alignment horizontal="center"/>
    </xf>
    <xf numFmtId="0" fontId="64" fillId="0" borderId="0" xfId="0" applyFont="1" applyFill="1"/>
    <xf numFmtId="1" fontId="64" fillId="0" borderId="0" xfId="375" applyNumberFormat="1" applyFont="1" applyFill="1"/>
    <xf numFmtId="0" fontId="66" fillId="0" borderId="0" xfId="375" applyFont="1" applyFill="1" applyAlignment="1">
      <alignment horizontal="left"/>
    </xf>
    <xf numFmtId="174" fontId="66" fillId="0" borderId="0" xfId="375" applyNumberFormat="1" applyFont="1" applyFill="1" applyAlignment="1">
      <alignment horizontal="left"/>
    </xf>
    <xf numFmtId="175" fontId="66" fillId="0" borderId="0" xfId="375" applyNumberFormat="1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left" indent="1"/>
    </xf>
    <xf numFmtId="0" fontId="65" fillId="0" borderId="0" xfId="375" applyFont="1" applyFill="1" applyAlignment="1">
      <alignment horizontal="left"/>
    </xf>
    <xf numFmtId="174" fontId="65" fillId="0" borderId="0" xfId="375" applyNumberFormat="1" applyFont="1" applyFill="1" applyAlignment="1">
      <alignment horizontal="left"/>
    </xf>
    <xf numFmtId="175" fontId="65" fillId="0" borderId="0" xfId="375" applyNumberFormat="1" applyFont="1" applyFill="1" applyAlignment="1">
      <alignment horizontal="left"/>
    </xf>
    <xf numFmtId="174" fontId="64" fillId="0" borderId="0" xfId="377" applyNumberFormat="1" applyFont="1" applyFill="1" applyAlignment="1">
      <alignment horizontal="right"/>
    </xf>
    <xf numFmtId="175" fontId="64" fillId="0" borderId="0" xfId="377" applyNumberFormat="1" applyFont="1" applyFill="1" applyAlignment="1">
      <alignment horizontal="center"/>
    </xf>
    <xf numFmtId="166" fontId="64" fillId="0" borderId="0" xfId="375" applyNumberFormat="1" applyFont="1" applyFill="1"/>
    <xf numFmtId="10" fontId="0" fillId="0" borderId="0" xfId="378" applyNumberFormat="1" applyFont="1" applyFill="1"/>
    <xf numFmtId="174" fontId="0" fillId="0" borderId="0" xfId="0" applyNumberFormat="1" applyFill="1"/>
    <xf numFmtId="174" fontId="64" fillId="0" borderId="0" xfId="0" applyNumberFormat="1" applyFont="1" applyFill="1"/>
    <xf numFmtId="175" fontId="64" fillId="0" borderId="0" xfId="0" applyNumberFormat="1" applyFont="1" applyFill="1"/>
    <xf numFmtId="0" fontId="2" fillId="0" borderId="0" xfId="205" applyFill="1"/>
    <xf numFmtId="174" fontId="65" fillId="0" borderId="0" xfId="375" applyNumberFormat="1" applyFont="1" applyFill="1" applyAlignment="1">
      <alignment horizontal="right"/>
    </xf>
    <xf numFmtId="175" fontId="65" fillId="0" borderId="0" xfId="375" applyNumberFormat="1" applyFont="1" applyFill="1" applyAlignment="1">
      <alignment horizontal="right"/>
    </xf>
    <xf numFmtId="166" fontId="65" fillId="0" borderId="20" xfId="103" applyNumberFormat="1" applyFont="1" applyFill="1" applyBorder="1"/>
    <xf numFmtId="174" fontId="2" fillId="0" borderId="0" xfId="205" applyNumberFormat="1" applyFill="1"/>
    <xf numFmtId="166" fontId="67" fillId="0" borderId="42" xfId="0" applyNumberFormat="1" applyFont="1" applyFill="1" applyBorder="1"/>
    <xf numFmtId="174" fontId="66" fillId="0" borderId="0" xfId="375" applyNumberFormat="1" applyFont="1" applyFill="1" applyAlignment="1">
      <alignment horizontal="center"/>
    </xf>
    <xf numFmtId="175" fontId="66" fillId="0" borderId="0" xfId="375" applyNumberFormat="1" applyFont="1" applyFill="1" applyAlignment="1">
      <alignment horizontal="center"/>
    </xf>
    <xf numFmtId="43" fontId="64" fillId="0" borderId="0" xfId="375" applyNumberFormat="1" applyFont="1" applyFill="1"/>
    <xf numFmtId="0" fontId="65" fillId="0" borderId="0" xfId="375" applyFont="1" applyFill="1" applyAlignment="1">
      <alignment horizontal="right"/>
    </xf>
    <xf numFmtId="9" fontId="64" fillId="0" borderId="0" xfId="376" applyFont="1" applyFill="1"/>
    <xf numFmtId="166" fontId="67" fillId="0" borderId="0" xfId="0" applyNumberFormat="1" applyFont="1" applyFill="1"/>
    <xf numFmtId="0" fontId="62" fillId="0" borderId="0" xfId="375" applyFont="1" applyFill="1"/>
    <xf numFmtId="43" fontId="0" fillId="0" borderId="0" xfId="0" applyNumberFormat="1" applyFill="1"/>
    <xf numFmtId="0" fontId="64" fillId="0" borderId="21" xfId="375" applyFont="1" applyFill="1" applyBorder="1"/>
    <xf numFmtId="166" fontId="64" fillId="0" borderId="39" xfId="103" applyNumberFormat="1" applyFont="1" applyFill="1" applyBorder="1"/>
    <xf numFmtId="174" fontId="64" fillId="0" borderId="0" xfId="0" applyNumberFormat="1" applyFont="1" applyFill="1" applyAlignment="1">
      <alignment vertical="top"/>
    </xf>
    <xf numFmtId="166" fontId="65" fillId="0" borderId="41" xfId="103" applyNumberFormat="1" applyFont="1" applyFill="1" applyBorder="1"/>
    <xf numFmtId="174" fontId="64" fillId="0" borderId="24" xfId="375" applyNumberFormat="1" applyFont="1" applyFill="1" applyBorder="1"/>
    <xf numFmtId="166" fontId="64" fillId="0" borderId="25" xfId="103" applyNumberFormat="1" applyFont="1" applyFill="1" applyBorder="1"/>
    <xf numFmtId="0" fontId="64" fillId="0" borderId="0" xfId="0" applyFont="1" applyFill="1" applyAlignment="1">
      <alignment vertical="top"/>
    </xf>
    <xf numFmtId="175" fontId="64" fillId="0" borderId="0" xfId="0" applyNumberFormat="1" applyFont="1" applyFill="1" applyAlignment="1">
      <alignment vertical="top"/>
    </xf>
    <xf numFmtId="0" fontId="66" fillId="0" borderId="0" xfId="375" applyFont="1" applyFill="1" applyAlignment="1">
      <alignment horizontal="center"/>
    </xf>
    <xf numFmtId="174" fontId="65" fillId="0" borderId="0" xfId="375" applyNumberFormat="1" applyFont="1" applyFill="1"/>
    <xf numFmtId="175" fontId="65" fillId="0" borderId="0" xfId="375" applyNumberFormat="1" applyFont="1" applyFill="1"/>
    <xf numFmtId="0" fontId="62" fillId="0" borderId="0" xfId="0" applyFont="1" applyFill="1"/>
    <xf numFmtId="1" fontId="64" fillId="0" borderId="0" xfId="0" applyNumberFormat="1" applyFont="1" applyFill="1"/>
    <xf numFmtId="1" fontId="64" fillId="0" borderId="20" xfId="0" applyNumberFormat="1" applyFont="1" applyFill="1" applyBorder="1"/>
    <xf numFmtId="175" fontId="58" fillId="0" borderId="0" xfId="0" applyNumberFormat="1" applyFont="1" applyFill="1"/>
    <xf numFmtId="166" fontId="64" fillId="0" borderId="0" xfId="0" applyNumberFormat="1" applyFont="1" applyFill="1"/>
    <xf numFmtId="166" fontId="64" fillId="0" borderId="1" xfId="0" applyNumberFormat="1" applyFont="1" applyFill="1" applyBorder="1"/>
    <xf numFmtId="0" fontId="0" fillId="0" borderId="0" xfId="0" applyFill="1" applyAlignment="1">
      <alignment horizontal="center"/>
    </xf>
  </cellXfs>
  <cellStyles count="381">
    <cellStyle name="20% - Accent1 2" xfId="40" xr:uid="{00000000-0005-0000-0000-000000000000}"/>
    <cellStyle name="20% - Accent1 2 2" xfId="301" xr:uid="{00000000-0005-0000-0000-000001000000}"/>
    <cellStyle name="20% - Accent1 3" xfId="39" xr:uid="{00000000-0005-0000-0000-000002000000}"/>
    <cellStyle name="20% - Accent1 3 2" xfId="302" xr:uid="{00000000-0005-0000-0000-000003000000}"/>
    <cellStyle name="20% - Accent2 2" xfId="42" xr:uid="{00000000-0005-0000-0000-000004000000}"/>
    <cellStyle name="20% - Accent2 3" xfId="41" xr:uid="{00000000-0005-0000-0000-000005000000}"/>
    <cellStyle name="20% - Accent3 2" xfId="44" xr:uid="{00000000-0005-0000-0000-000006000000}"/>
    <cellStyle name="20% - Accent3 3" xfId="43" xr:uid="{00000000-0005-0000-0000-000007000000}"/>
    <cellStyle name="20% - Accent4 2" xfId="46" xr:uid="{00000000-0005-0000-0000-000008000000}"/>
    <cellStyle name="20% - Accent4 2 2" xfId="303" xr:uid="{00000000-0005-0000-0000-000009000000}"/>
    <cellStyle name="20% - Accent4 3" xfId="45" xr:uid="{00000000-0005-0000-0000-00000A000000}"/>
    <cellStyle name="20% - Accent4 3 2" xfId="304" xr:uid="{00000000-0005-0000-0000-00000B000000}"/>
    <cellStyle name="20% - Accent5 2" xfId="48" xr:uid="{00000000-0005-0000-0000-00000C000000}"/>
    <cellStyle name="20% - Accent5 3" xfId="47" xr:uid="{00000000-0005-0000-0000-00000D000000}"/>
    <cellStyle name="20% - Accent6 2" xfId="50" xr:uid="{00000000-0005-0000-0000-00000E000000}"/>
    <cellStyle name="20% - Accent6 3" xfId="49" xr:uid="{00000000-0005-0000-0000-00000F000000}"/>
    <cellStyle name="40% - Accent1 2" xfId="52" xr:uid="{00000000-0005-0000-0000-000010000000}"/>
    <cellStyle name="40% - Accent1 3" xfId="51" xr:uid="{00000000-0005-0000-0000-000011000000}"/>
    <cellStyle name="40% - Accent1 3 2" xfId="305" xr:uid="{00000000-0005-0000-0000-000012000000}"/>
    <cellStyle name="40% - Accent2 2" xfId="54" xr:uid="{00000000-0005-0000-0000-000013000000}"/>
    <cellStyle name="40% - Accent2 3" xfId="53" xr:uid="{00000000-0005-0000-0000-000014000000}"/>
    <cellStyle name="40% - Accent3 2" xfId="56" xr:uid="{00000000-0005-0000-0000-000015000000}"/>
    <cellStyle name="40% - Accent3 3" xfId="55" xr:uid="{00000000-0005-0000-0000-000016000000}"/>
    <cellStyle name="40% - Accent4 2" xfId="58" xr:uid="{00000000-0005-0000-0000-000017000000}"/>
    <cellStyle name="40% - Accent4 3" xfId="57" xr:uid="{00000000-0005-0000-0000-000018000000}"/>
    <cellStyle name="40% - Accent4 3 2" xfId="306" xr:uid="{00000000-0005-0000-0000-000019000000}"/>
    <cellStyle name="40% - Accent5 2" xfId="60" xr:uid="{00000000-0005-0000-0000-00001A000000}"/>
    <cellStyle name="40% - Accent5 3" xfId="59" xr:uid="{00000000-0005-0000-0000-00001B000000}"/>
    <cellStyle name="40% - Accent6 2" xfId="62" xr:uid="{00000000-0005-0000-0000-00001C000000}"/>
    <cellStyle name="40% - Accent6 3" xfId="61" xr:uid="{00000000-0005-0000-0000-00001D000000}"/>
    <cellStyle name="40% - Accent6 3 2" xfId="307" xr:uid="{00000000-0005-0000-0000-00001E000000}"/>
    <cellStyle name="60% - Accent1 2" xfId="64" xr:uid="{00000000-0005-0000-0000-00001F000000}"/>
    <cellStyle name="60% - Accent1 2 2" xfId="308" xr:uid="{00000000-0005-0000-0000-000020000000}"/>
    <cellStyle name="60% - Accent1 3" xfId="63" xr:uid="{00000000-0005-0000-0000-000021000000}"/>
    <cellStyle name="60% - Accent1 3 2" xfId="309" xr:uid="{00000000-0005-0000-0000-000022000000}"/>
    <cellStyle name="60% - Accent2 2" xfId="66" xr:uid="{00000000-0005-0000-0000-000023000000}"/>
    <cellStyle name="60% - Accent2 3" xfId="65" xr:uid="{00000000-0005-0000-0000-000024000000}"/>
    <cellStyle name="60% - Accent3 2" xfId="68" xr:uid="{00000000-0005-0000-0000-000025000000}"/>
    <cellStyle name="60% - Accent3 3" xfId="67" xr:uid="{00000000-0005-0000-0000-000026000000}"/>
    <cellStyle name="60% - Accent3 3 2" xfId="310" xr:uid="{00000000-0005-0000-0000-000027000000}"/>
    <cellStyle name="60% - Accent4 2" xfId="70" xr:uid="{00000000-0005-0000-0000-000028000000}"/>
    <cellStyle name="60% - Accent4 3" xfId="69" xr:uid="{00000000-0005-0000-0000-000029000000}"/>
    <cellStyle name="60% - Accent4 3 2" xfId="311" xr:uid="{00000000-0005-0000-0000-00002A000000}"/>
    <cellStyle name="60% - Accent5 2" xfId="72" xr:uid="{00000000-0005-0000-0000-00002B000000}"/>
    <cellStyle name="60% - Accent5 2 2" xfId="312" xr:uid="{00000000-0005-0000-0000-00002C000000}"/>
    <cellStyle name="60% - Accent5 3" xfId="71" xr:uid="{00000000-0005-0000-0000-00002D000000}"/>
    <cellStyle name="60% - Accent6 2" xfId="74" xr:uid="{00000000-0005-0000-0000-00002E000000}"/>
    <cellStyle name="60% - Accent6 3" xfId="73" xr:uid="{00000000-0005-0000-0000-00002F000000}"/>
    <cellStyle name="Accent1 2" xfId="76" xr:uid="{00000000-0005-0000-0000-000030000000}"/>
    <cellStyle name="Accent1 2 2" xfId="313" xr:uid="{00000000-0005-0000-0000-000031000000}"/>
    <cellStyle name="Accent1 3" xfId="75" xr:uid="{00000000-0005-0000-0000-000032000000}"/>
    <cellStyle name="Accent1 3 2" xfId="314" xr:uid="{00000000-0005-0000-0000-000033000000}"/>
    <cellStyle name="Accent2 2" xfId="78" xr:uid="{00000000-0005-0000-0000-000034000000}"/>
    <cellStyle name="Accent2 3" xfId="77" xr:uid="{00000000-0005-0000-0000-000035000000}"/>
    <cellStyle name="Accent3 2" xfId="80" xr:uid="{00000000-0005-0000-0000-000036000000}"/>
    <cellStyle name="Accent3 2 2" xfId="315" xr:uid="{00000000-0005-0000-0000-000037000000}"/>
    <cellStyle name="Accent3 3" xfId="79" xr:uid="{00000000-0005-0000-0000-000038000000}"/>
    <cellStyle name="Accent4 2" xfId="82" xr:uid="{00000000-0005-0000-0000-000039000000}"/>
    <cellStyle name="Accent4 3" xfId="81" xr:uid="{00000000-0005-0000-0000-00003A000000}"/>
    <cellStyle name="Accent5 2" xfId="84" xr:uid="{00000000-0005-0000-0000-00003B000000}"/>
    <cellStyle name="Accent5 3" xfId="83" xr:uid="{00000000-0005-0000-0000-00003C000000}"/>
    <cellStyle name="Accent6 2" xfId="86" xr:uid="{00000000-0005-0000-0000-00003D000000}"/>
    <cellStyle name="Accent6 2 2" xfId="316" xr:uid="{00000000-0005-0000-0000-00003E000000}"/>
    <cellStyle name="Accent6 3" xfId="85" xr:uid="{00000000-0005-0000-0000-00003F000000}"/>
    <cellStyle name="Accounting" xfId="87" xr:uid="{00000000-0005-0000-0000-000040000000}"/>
    <cellStyle name="Accounting 2" xfId="88" xr:uid="{00000000-0005-0000-0000-000041000000}"/>
    <cellStyle name="Accounting 3" xfId="89" xr:uid="{00000000-0005-0000-0000-000042000000}"/>
    <cellStyle name="Accounting_2011-11" xfId="90" xr:uid="{00000000-0005-0000-0000-000043000000}"/>
    <cellStyle name="Bad 2" xfId="92" xr:uid="{00000000-0005-0000-0000-000044000000}"/>
    <cellStyle name="Bad 3" xfId="91" xr:uid="{00000000-0005-0000-0000-000045000000}"/>
    <cellStyle name="Budget" xfId="93" xr:uid="{00000000-0005-0000-0000-000046000000}"/>
    <cellStyle name="Budget 2" xfId="94" xr:uid="{00000000-0005-0000-0000-000047000000}"/>
    <cellStyle name="Budget 3" xfId="95" xr:uid="{00000000-0005-0000-0000-000048000000}"/>
    <cellStyle name="Budget_2011-11" xfId="96" xr:uid="{00000000-0005-0000-0000-000049000000}"/>
    <cellStyle name="Calculation 2" xfId="98" xr:uid="{00000000-0005-0000-0000-00004A000000}"/>
    <cellStyle name="Calculation 2 2" xfId="317" xr:uid="{00000000-0005-0000-0000-00004B000000}"/>
    <cellStyle name="Calculation 3" xfId="97" xr:uid="{00000000-0005-0000-0000-00004C000000}"/>
    <cellStyle name="Calculation 3 2" xfId="318" xr:uid="{00000000-0005-0000-0000-00004D000000}"/>
    <cellStyle name="Check Cell 2" xfId="100" xr:uid="{00000000-0005-0000-0000-00004E000000}"/>
    <cellStyle name="Check Cell 3" xfId="99" xr:uid="{00000000-0005-0000-0000-00004F000000}"/>
    <cellStyle name="combo" xfId="101" xr:uid="{00000000-0005-0000-0000-000050000000}"/>
    <cellStyle name="Comma" xfId="1" builtinId="3"/>
    <cellStyle name="Comma 10" xfId="103" xr:uid="{00000000-0005-0000-0000-000052000000}"/>
    <cellStyle name="Comma 11" xfId="104" xr:uid="{00000000-0005-0000-0000-000053000000}"/>
    <cellStyle name="Comma 12" xfId="102" xr:uid="{00000000-0005-0000-0000-000054000000}"/>
    <cellStyle name="Comma 12 2" xfId="277" xr:uid="{00000000-0005-0000-0000-000055000000}"/>
    <cellStyle name="Comma 12 3" xfId="282" xr:uid="{00000000-0005-0000-0000-000056000000}"/>
    <cellStyle name="Comma 13" xfId="283" xr:uid="{00000000-0005-0000-0000-000057000000}"/>
    <cellStyle name="Comma 14" xfId="284" xr:uid="{00000000-0005-0000-0000-000058000000}"/>
    <cellStyle name="Comma 15" xfId="285" xr:uid="{00000000-0005-0000-0000-000059000000}"/>
    <cellStyle name="Comma 16" xfId="286" xr:uid="{00000000-0005-0000-0000-00005A000000}"/>
    <cellStyle name="Comma 17" xfId="319" xr:uid="{00000000-0005-0000-0000-00005B000000}"/>
    <cellStyle name="Comma 18" xfId="320" xr:uid="{00000000-0005-0000-0000-00005C000000}"/>
    <cellStyle name="Comma 18 2" xfId="321" xr:uid="{00000000-0005-0000-0000-00005D000000}"/>
    <cellStyle name="Comma 19" xfId="322" xr:uid="{00000000-0005-0000-0000-00005E000000}"/>
    <cellStyle name="Comma 2" xfId="5" xr:uid="{00000000-0005-0000-0000-00005F000000}"/>
    <cellStyle name="Comma 2 2" xfId="6" xr:uid="{00000000-0005-0000-0000-000060000000}"/>
    <cellStyle name="Comma 2 2 2" xfId="323" xr:uid="{00000000-0005-0000-0000-000061000000}"/>
    <cellStyle name="Comma 2 3" xfId="105" xr:uid="{00000000-0005-0000-0000-000062000000}"/>
    <cellStyle name="Comma 2 4" xfId="324" xr:uid="{00000000-0005-0000-0000-000063000000}"/>
    <cellStyle name="Comma 2 5" xfId="300" xr:uid="{00000000-0005-0000-0000-000064000000}"/>
    <cellStyle name="Comma 2 6" xfId="7" xr:uid="{00000000-0005-0000-0000-000065000000}"/>
    <cellStyle name="Comma 2 6 2" xfId="8" xr:uid="{00000000-0005-0000-0000-000066000000}"/>
    <cellStyle name="Comma 3" xfId="9" xr:uid="{00000000-0005-0000-0000-000067000000}"/>
    <cellStyle name="Comma 3 2" xfId="106" xr:uid="{00000000-0005-0000-0000-000068000000}"/>
    <cellStyle name="Comma 3 2 2" xfId="107" xr:uid="{00000000-0005-0000-0000-000069000000}"/>
    <cellStyle name="Comma 3 3" xfId="287" xr:uid="{00000000-0005-0000-0000-00006A000000}"/>
    <cellStyle name="Comma 3 4" xfId="325" xr:uid="{00000000-0005-0000-0000-00006B000000}"/>
    <cellStyle name="Comma 4" xfId="108" xr:uid="{00000000-0005-0000-0000-00006C000000}"/>
    <cellStyle name="Comma 4 2" xfId="109" xr:uid="{00000000-0005-0000-0000-00006D000000}"/>
    <cellStyle name="Comma 4 2 2" xfId="288" xr:uid="{00000000-0005-0000-0000-00006E000000}"/>
    <cellStyle name="Comma 4 3" xfId="110" xr:uid="{00000000-0005-0000-0000-00006F000000}"/>
    <cellStyle name="Comma 4 3 2" xfId="289" xr:uid="{00000000-0005-0000-0000-000070000000}"/>
    <cellStyle name="Comma 4 4" xfId="290" xr:uid="{00000000-0005-0000-0000-000071000000}"/>
    <cellStyle name="Comma 4 5" xfId="111" xr:uid="{00000000-0005-0000-0000-000072000000}"/>
    <cellStyle name="Comma 4 6" xfId="280" xr:uid="{00000000-0005-0000-0000-000073000000}"/>
    <cellStyle name="Comma 5" xfId="112" xr:uid="{00000000-0005-0000-0000-000074000000}"/>
    <cellStyle name="Comma 6" xfId="113" xr:uid="{00000000-0005-0000-0000-000075000000}"/>
    <cellStyle name="Comma 6 2" xfId="326" xr:uid="{00000000-0005-0000-0000-000076000000}"/>
    <cellStyle name="Comma 7" xfId="114" xr:uid="{00000000-0005-0000-0000-000077000000}"/>
    <cellStyle name="Comma 8" xfId="115" xr:uid="{00000000-0005-0000-0000-000078000000}"/>
    <cellStyle name="Comma 9" xfId="116" xr:uid="{00000000-0005-0000-0000-000079000000}"/>
    <cellStyle name="Comma(2)" xfId="117" xr:uid="{00000000-0005-0000-0000-00007A000000}"/>
    <cellStyle name="Comma0 - Style2" xfId="118" xr:uid="{00000000-0005-0000-0000-00007B000000}"/>
    <cellStyle name="Comma1 - Style1" xfId="119" xr:uid="{00000000-0005-0000-0000-00007C000000}"/>
    <cellStyle name="Comments" xfId="120" xr:uid="{00000000-0005-0000-0000-00007D000000}"/>
    <cellStyle name="Currency" xfId="2" builtinId="4"/>
    <cellStyle name="Currency 10" xfId="327" xr:uid="{00000000-0005-0000-0000-00007F000000}"/>
    <cellStyle name="Currency 10 5" xfId="377" xr:uid="{8C52FA34-0A5F-4752-A7B0-104C7829F589}"/>
    <cellStyle name="Currency 2" xfId="10" xr:uid="{00000000-0005-0000-0000-000080000000}"/>
    <cellStyle name="Currency 2 2" xfId="11" xr:uid="{00000000-0005-0000-0000-000081000000}"/>
    <cellStyle name="Currency 2 2 2" xfId="123" xr:uid="{00000000-0005-0000-0000-000082000000}"/>
    <cellStyle name="Currency 2 3" xfId="122" xr:uid="{00000000-0005-0000-0000-000083000000}"/>
    <cellStyle name="Currency 2 3 2" xfId="328" xr:uid="{00000000-0005-0000-0000-000084000000}"/>
    <cellStyle name="Currency 2 6" xfId="12" xr:uid="{00000000-0005-0000-0000-000085000000}"/>
    <cellStyle name="Currency 2 6 2" xfId="13" xr:uid="{00000000-0005-0000-0000-000086000000}"/>
    <cellStyle name="Currency 3" xfId="14" xr:uid="{00000000-0005-0000-0000-000087000000}"/>
    <cellStyle name="Currency 3 2" xfId="125" xr:uid="{00000000-0005-0000-0000-000088000000}"/>
    <cellStyle name="Currency 3 3" xfId="124" xr:uid="{00000000-0005-0000-0000-000089000000}"/>
    <cellStyle name="Currency 3 4" xfId="291" xr:uid="{00000000-0005-0000-0000-00008A000000}"/>
    <cellStyle name="Currency 4" xfId="15" xr:uid="{00000000-0005-0000-0000-00008B000000}"/>
    <cellStyle name="Currency 4 2" xfId="16" xr:uid="{00000000-0005-0000-0000-00008C000000}"/>
    <cellStyle name="Currency 5" xfId="121" xr:uid="{00000000-0005-0000-0000-00008D000000}"/>
    <cellStyle name="Currency 5 2" xfId="276" xr:uid="{00000000-0005-0000-0000-00008E000000}"/>
    <cellStyle name="Currency 5 3" xfId="292" xr:uid="{00000000-0005-0000-0000-00008F000000}"/>
    <cellStyle name="Currency 6" xfId="293" xr:uid="{00000000-0005-0000-0000-000090000000}"/>
    <cellStyle name="Currency 7" xfId="294" xr:uid="{00000000-0005-0000-0000-000091000000}"/>
    <cellStyle name="Currency 8" xfId="329" xr:uid="{00000000-0005-0000-0000-000092000000}"/>
    <cellStyle name="Currency 9" xfId="330" xr:uid="{00000000-0005-0000-0000-000093000000}"/>
    <cellStyle name="Data Enter" xfId="126" xr:uid="{00000000-0005-0000-0000-000094000000}"/>
    <cellStyle name="date" xfId="331" xr:uid="{00000000-0005-0000-0000-000095000000}"/>
    <cellStyle name="Explanatory Text 2" xfId="128" xr:uid="{00000000-0005-0000-0000-000096000000}"/>
    <cellStyle name="Explanatory Text 3" xfId="127" xr:uid="{00000000-0005-0000-0000-000097000000}"/>
    <cellStyle name="FactSheet" xfId="129" xr:uid="{00000000-0005-0000-0000-000098000000}"/>
    <cellStyle name="fish" xfId="332" xr:uid="{00000000-0005-0000-0000-000099000000}"/>
    <cellStyle name="Good 2" xfId="131" xr:uid="{00000000-0005-0000-0000-00009A000000}"/>
    <cellStyle name="Good 3" xfId="130" xr:uid="{00000000-0005-0000-0000-00009B000000}"/>
    <cellStyle name="Heading 1 2" xfId="133" xr:uid="{00000000-0005-0000-0000-00009C000000}"/>
    <cellStyle name="Heading 1 2 2" xfId="333" xr:uid="{00000000-0005-0000-0000-00009D000000}"/>
    <cellStyle name="Heading 1 3" xfId="132" xr:uid="{00000000-0005-0000-0000-00009E000000}"/>
    <cellStyle name="Heading 1 3 2" xfId="334" xr:uid="{00000000-0005-0000-0000-00009F000000}"/>
    <cellStyle name="Heading 2 2" xfId="135" xr:uid="{00000000-0005-0000-0000-0000A0000000}"/>
    <cellStyle name="Heading 2 2 2" xfId="335" xr:uid="{00000000-0005-0000-0000-0000A1000000}"/>
    <cellStyle name="Heading 2 3" xfId="134" xr:uid="{00000000-0005-0000-0000-0000A2000000}"/>
    <cellStyle name="Heading 2 3 2" xfId="336" xr:uid="{00000000-0005-0000-0000-0000A3000000}"/>
    <cellStyle name="Heading 3 2" xfId="137" xr:uid="{00000000-0005-0000-0000-0000A4000000}"/>
    <cellStyle name="Heading 3 2 2" xfId="337" xr:uid="{00000000-0005-0000-0000-0000A5000000}"/>
    <cellStyle name="Heading 3 3" xfId="136" xr:uid="{00000000-0005-0000-0000-0000A6000000}"/>
    <cellStyle name="Heading 3 3 2" xfId="338" xr:uid="{00000000-0005-0000-0000-0000A7000000}"/>
    <cellStyle name="Heading 4 2" xfId="139" xr:uid="{00000000-0005-0000-0000-0000A8000000}"/>
    <cellStyle name="Heading 4 3" xfId="138" xr:uid="{00000000-0005-0000-0000-0000A9000000}"/>
    <cellStyle name="Hyperlink 2" xfId="140" xr:uid="{00000000-0005-0000-0000-0000AA000000}"/>
    <cellStyle name="Hyperlink 3" xfId="141" xr:uid="{00000000-0005-0000-0000-0000AB000000}"/>
    <cellStyle name="Hyperlink 3 2" xfId="295" xr:uid="{00000000-0005-0000-0000-0000AC000000}"/>
    <cellStyle name="Input 2" xfId="143" xr:uid="{00000000-0005-0000-0000-0000AD000000}"/>
    <cellStyle name="Input 3" xfId="142" xr:uid="{00000000-0005-0000-0000-0000AE000000}"/>
    <cellStyle name="input(0)" xfId="144" xr:uid="{00000000-0005-0000-0000-0000AF000000}"/>
    <cellStyle name="Input(2)" xfId="145" xr:uid="{00000000-0005-0000-0000-0000B0000000}"/>
    <cellStyle name="Linked Cell 2" xfId="147" xr:uid="{00000000-0005-0000-0000-0000B1000000}"/>
    <cellStyle name="Linked Cell 2 2" xfId="339" xr:uid="{00000000-0005-0000-0000-0000B2000000}"/>
    <cellStyle name="Linked Cell 3" xfId="146" xr:uid="{00000000-0005-0000-0000-0000B3000000}"/>
    <cellStyle name="Neutral 2" xfId="149" xr:uid="{00000000-0005-0000-0000-0000B4000000}"/>
    <cellStyle name="Neutral 2 2" xfId="340" xr:uid="{00000000-0005-0000-0000-0000B5000000}"/>
    <cellStyle name="Neutral 3" xfId="148" xr:uid="{00000000-0005-0000-0000-0000B6000000}"/>
    <cellStyle name="New_normal" xfId="150" xr:uid="{00000000-0005-0000-0000-0000B7000000}"/>
    <cellStyle name="Normal" xfId="0" builtinId="0"/>
    <cellStyle name="Normal - Style1" xfId="151" xr:uid="{00000000-0005-0000-0000-0000B9000000}"/>
    <cellStyle name="Normal - Style2" xfId="152" xr:uid="{00000000-0005-0000-0000-0000BA000000}"/>
    <cellStyle name="Normal - Style3" xfId="153" xr:uid="{00000000-0005-0000-0000-0000BB000000}"/>
    <cellStyle name="Normal - Style4" xfId="154" xr:uid="{00000000-0005-0000-0000-0000BC000000}"/>
    <cellStyle name="Normal - Style5" xfId="155" xr:uid="{00000000-0005-0000-0000-0000BD000000}"/>
    <cellStyle name="Normal 10" xfId="156" xr:uid="{00000000-0005-0000-0000-0000BE000000}"/>
    <cellStyle name="Normal 10 2" xfId="17" xr:uid="{00000000-0005-0000-0000-0000BF000000}"/>
    <cellStyle name="Normal 10 2 2" xfId="341" xr:uid="{00000000-0005-0000-0000-0000C0000000}"/>
    <cellStyle name="Normal 10 2 3" xfId="342" xr:uid="{00000000-0005-0000-0000-0000C1000000}"/>
    <cellStyle name="Normal 10_2112 DF Schedule" xfId="343" xr:uid="{00000000-0005-0000-0000-0000C2000000}"/>
    <cellStyle name="Normal 11" xfId="157" xr:uid="{00000000-0005-0000-0000-0000C3000000}"/>
    <cellStyle name="Normal 12" xfId="158" xr:uid="{00000000-0005-0000-0000-0000C4000000}"/>
    <cellStyle name="Normal 12 2" xfId="344" xr:uid="{00000000-0005-0000-0000-0000C5000000}"/>
    <cellStyle name="Normal 13" xfId="159" xr:uid="{00000000-0005-0000-0000-0000C6000000}"/>
    <cellStyle name="Normal 13 2" xfId="345" xr:uid="{00000000-0005-0000-0000-0000C7000000}"/>
    <cellStyle name="Normal 14" xfId="160" xr:uid="{00000000-0005-0000-0000-0000C8000000}"/>
    <cellStyle name="Normal 14 2" xfId="346" xr:uid="{00000000-0005-0000-0000-0000C9000000}"/>
    <cellStyle name="Normal 15" xfId="161" xr:uid="{00000000-0005-0000-0000-0000CA000000}"/>
    <cellStyle name="Normal 15 2" xfId="347" xr:uid="{00000000-0005-0000-0000-0000CB000000}"/>
    <cellStyle name="Normal 16" xfId="162" xr:uid="{00000000-0005-0000-0000-0000CC000000}"/>
    <cellStyle name="Normal 16 2" xfId="348" xr:uid="{00000000-0005-0000-0000-0000CD000000}"/>
    <cellStyle name="Normal 17" xfId="163" xr:uid="{00000000-0005-0000-0000-0000CE000000}"/>
    <cellStyle name="Normal 17 2" xfId="349" xr:uid="{00000000-0005-0000-0000-0000CF000000}"/>
    <cellStyle name="Normal 18" xfId="164" xr:uid="{00000000-0005-0000-0000-0000D0000000}"/>
    <cellStyle name="Normal 18 2" xfId="350" xr:uid="{00000000-0005-0000-0000-0000D1000000}"/>
    <cellStyle name="Normal 19" xfId="165" xr:uid="{00000000-0005-0000-0000-0000D2000000}"/>
    <cellStyle name="Normal 19 2" xfId="351" xr:uid="{00000000-0005-0000-0000-0000D3000000}"/>
    <cellStyle name="Normal 2" xfId="18" xr:uid="{00000000-0005-0000-0000-0000D4000000}"/>
    <cellStyle name="Normal 2 2" xfId="19" xr:uid="{00000000-0005-0000-0000-0000D5000000}"/>
    <cellStyle name="Normal 2 2 2" xfId="167" xr:uid="{00000000-0005-0000-0000-0000D6000000}"/>
    <cellStyle name="Normal 2 2 3" xfId="166" xr:uid="{00000000-0005-0000-0000-0000D7000000}"/>
    <cellStyle name="Normal 2 2_Actual_Fuel" xfId="168" xr:uid="{00000000-0005-0000-0000-0000D8000000}"/>
    <cellStyle name="Normal 2 3" xfId="169" xr:uid="{00000000-0005-0000-0000-0000D9000000}"/>
    <cellStyle name="Normal 2 3 2" xfId="170" xr:uid="{00000000-0005-0000-0000-0000DA000000}"/>
    <cellStyle name="Normal 2 3 3" xfId="296" xr:uid="{00000000-0005-0000-0000-0000DB000000}"/>
    <cellStyle name="Normal 2 4" xfId="297" xr:uid="{00000000-0005-0000-0000-0000DC000000}"/>
    <cellStyle name="Normal 2 5" xfId="298" xr:uid="{00000000-0005-0000-0000-0000DD000000}"/>
    <cellStyle name="Normal 2_2012-10" xfId="171" xr:uid="{00000000-0005-0000-0000-0000DE000000}"/>
    <cellStyle name="Normal 20" xfId="172" xr:uid="{00000000-0005-0000-0000-0000DF000000}"/>
    <cellStyle name="Normal 21" xfId="173" xr:uid="{00000000-0005-0000-0000-0000E0000000}"/>
    <cellStyle name="Normal 22" xfId="174" xr:uid="{00000000-0005-0000-0000-0000E1000000}"/>
    <cellStyle name="Normal 23" xfId="175" xr:uid="{00000000-0005-0000-0000-0000E2000000}"/>
    <cellStyle name="Normal 24" xfId="176" xr:uid="{00000000-0005-0000-0000-0000E3000000}"/>
    <cellStyle name="Normal 25" xfId="177" xr:uid="{00000000-0005-0000-0000-0000E4000000}"/>
    <cellStyle name="Normal 26" xfId="178" xr:uid="{00000000-0005-0000-0000-0000E5000000}"/>
    <cellStyle name="Normal 27" xfId="179" xr:uid="{00000000-0005-0000-0000-0000E6000000}"/>
    <cellStyle name="Normal 28" xfId="180" xr:uid="{00000000-0005-0000-0000-0000E7000000}"/>
    <cellStyle name="Normal 29" xfId="181" xr:uid="{00000000-0005-0000-0000-0000E8000000}"/>
    <cellStyle name="Normal 3" xfId="20" xr:uid="{00000000-0005-0000-0000-0000E9000000}"/>
    <cellStyle name="Normal 3 2" xfId="183" xr:uid="{00000000-0005-0000-0000-0000EA000000}"/>
    <cellStyle name="Normal 3 3" xfId="182" xr:uid="{00000000-0005-0000-0000-0000EB000000}"/>
    <cellStyle name="Normal 3 4" xfId="281" xr:uid="{00000000-0005-0000-0000-0000EC000000}"/>
    <cellStyle name="Normal 3_2012 PR" xfId="184" xr:uid="{00000000-0005-0000-0000-0000ED000000}"/>
    <cellStyle name="Normal 30" xfId="185" xr:uid="{00000000-0005-0000-0000-0000EE000000}"/>
    <cellStyle name="Normal 31" xfId="186" xr:uid="{00000000-0005-0000-0000-0000EF000000}"/>
    <cellStyle name="Normal 32" xfId="187" xr:uid="{00000000-0005-0000-0000-0000F0000000}"/>
    <cellStyle name="Normal 33" xfId="188" xr:uid="{00000000-0005-0000-0000-0000F1000000}"/>
    <cellStyle name="Normal 34" xfId="189" xr:uid="{00000000-0005-0000-0000-0000F2000000}"/>
    <cellStyle name="Normal 35" xfId="190" xr:uid="{00000000-0005-0000-0000-0000F3000000}"/>
    <cellStyle name="Normal 36" xfId="191" xr:uid="{00000000-0005-0000-0000-0000F4000000}"/>
    <cellStyle name="Normal 37" xfId="192" xr:uid="{00000000-0005-0000-0000-0000F5000000}"/>
    <cellStyle name="Normal 38" xfId="193" xr:uid="{00000000-0005-0000-0000-0000F6000000}"/>
    <cellStyle name="Normal 39" xfId="194" xr:uid="{00000000-0005-0000-0000-0000F7000000}"/>
    <cellStyle name="Normal 4" xfId="21" xr:uid="{00000000-0005-0000-0000-0000F8000000}"/>
    <cellStyle name="Normal 4 2" xfId="195" xr:uid="{00000000-0005-0000-0000-0000F9000000}"/>
    <cellStyle name="Normal 40" xfId="196" xr:uid="{00000000-0005-0000-0000-0000FA000000}"/>
    <cellStyle name="Normal 41" xfId="197" xr:uid="{00000000-0005-0000-0000-0000FB000000}"/>
    <cellStyle name="Normal 42" xfId="198" xr:uid="{00000000-0005-0000-0000-0000FC000000}"/>
    <cellStyle name="Normal 43" xfId="199" xr:uid="{00000000-0005-0000-0000-0000FD000000}"/>
    <cellStyle name="Normal 44" xfId="200" xr:uid="{00000000-0005-0000-0000-0000FE000000}"/>
    <cellStyle name="Normal 45" xfId="201" xr:uid="{00000000-0005-0000-0000-0000FF000000}"/>
    <cellStyle name="Normal 46" xfId="202" xr:uid="{00000000-0005-0000-0000-000000010000}"/>
    <cellStyle name="Normal 47" xfId="203" xr:uid="{00000000-0005-0000-0000-000001010000}"/>
    <cellStyle name="Normal 48" xfId="204" xr:uid="{00000000-0005-0000-0000-000002010000}"/>
    <cellStyle name="Normal 49" xfId="205" xr:uid="{00000000-0005-0000-0000-000003010000}"/>
    <cellStyle name="Normal 5" xfId="22" xr:uid="{00000000-0005-0000-0000-000004010000}"/>
    <cellStyle name="Normal 5 2" xfId="206" xr:uid="{00000000-0005-0000-0000-000005010000}"/>
    <cellStyle name="Normal 5_2112 DF Schedule" xfId="352" xr:uid="{00000000-0005-0000-0000-000006010000}"/>
    <cellStyle name="Normal 50" xfId="207" xr:uid="{00000000-0005-0000-0000-000007010000}"/>
    <cellStyle name="Normal 51" xfId="208" xr:uid="{00000000-0005-0000-0000-000008010000}"/>
    <cellStyle name="Normal 52" xfId="209" xr:uid="{00000000-0005-0000-0000-000009010000}"/>
    <cellStyle name="Normal 53" xfId="210" xr:uid="{00000000-0005-0000-0000-00000A010000}"/>
    <cellStyle name="Normal 54" xfId="211" xr:uid="{00000000-0005-0000-0000-00000B010000}"/>
    <cellStyle name="Normal 55" xfId="212" xr:uid="{00000000-0005-0000-0000-00000C010000}"/>
    <cellStyle name="Normal 56" xfId="213" xr:uid="{00000000-0005-0000-0000-00000D010000}"/>
    <cellStyle name="Normal 57" xfId="214" xr:uid="{00000000-0005-0000-0000-00000E010000}"/>
    <cellStyle name="Normal 58" xfId="215" xr:uid="{00000000-0005-0000-0000-00000F010000}"/>
    <cellStyle name="Normal 59" xfId="216" xr:uid="{00000000-0005-0000-0000-000010010000}"/>
    <cellStyle name="Normal 6" xfId="23" xr:uid="{00000000-0005-0000-0000-000011010000}"/>
    <cellStyle name="Normal 6 2" xfId="217" xr:uid="{00000000-0005-0000-0000-000012010000}"/>
    <cellStyle name="Normal 60" xfId="218" xr:uid="{00000000-0005-0000-0000-000013010000}"/>
    <cellStyle name="Normal 61" xfId="219" xr:uid="{00000000-0005-0000-0000-000014010000}"/>
    <cellStyle name="Normal 62" xfId="220" xr:uid="{00000000-0005-0000-0000-000015010000}"/>
    <cellStyle name="Normal 63" xfId="221" xr:uid="{00000000-0005-0000-0000-000016010000}"/>
    <cellStyle name="Normal 64" xfId="222" xr:uid="{00000000-0005-0000-0000-000017010000}"/>
    <cellStyle name="Normal 65" xfId="223" xr:uid="{00000000-0005-0000-0000-000018010000}"/>
    <cellStyle name="Normal 66" xfId="224" xr:uid="{00000000-0005-0000-0000-000019010000}"/>
    <cellStyle name="Normal 67" xfId="225" xr:uid="{00000000-0005-0000-0000-00001A010000}"/>
    <cellStyle name="Normal 68" xfId="226" xr:uid="{00000000-0005-0000-0000-00001B010000}"/>
    <cellStyle name="Normal 69" xfId="227" xr:uid="{00000000-0005-0000-0000-00001C010000}"/>
    <cellStyle name="Normal 7" xfId="228" xr:uid="{00000000-0005-0000-0000-00001D010000}"/>
    <cellStyle name="Normal 70" xfId="229" xr:uid="{00000000-0005-0000-0000-00001E010000}"/>
    <cellStyle name="Normal 71" xfId="230" xr:uid="{00000000-0005-0000-0000-00001F010000}"/>
    <cellStyle name="Normal 72" xfId="231" xr:uid="{00000000-0005-0000-0000-000020010000}"/>
    <cellStyle name="Normal 73" xfId="232" xr:uid="{00000000-0005-0000-0000-000021010000}"/>
    <cellStyle name="Normal 74" xfId="233" xr:uid="{00000000-0005-0000-0000-000022010000}"/>
    <cellStyle name="Normal 75" xfId="234" xr:uid="{00000000-0005-0000-0000-000023010000}"/>
    <cellStyle name="Normal 76" xfId="235" xr:uid="{00000000-0005-0000-0000-000024010000}"/>
    <cellStyle name="Normal 77" xfId="236" xr:uid="{00000000-0005-0000-0000-000025010000}"/>
    <cellStyle name="Normal 78" xfId="237" xr:uid="{00000000-0005-0000-0000-000026010000}"/>
    <cellStyle name="Normal 79" xfId="238" xr:uid="{00000000-0005-0000-0000-000027010000}"/>
    <cellStyle name="Normal 8" xfId="239" xr:uid="{00000000-0005-0000-0000-000028010000}"/>
    <cellStyle name="Normal 80" xfId="240" xr:uid="{00000000-0005-0000-0000-000029010000}"/>
    <cellStyle name="Normal 81" xfId="241" xr:uid="{00000000-0005-0000-0000-00002A010000}"/>
    <cellStyle name="Normal 82" xfId="242" xr:uid="{00000000-0005-0000-0000-00002B010000}"/>
    <cellStyle name="Normal 83" xfId="243" xr:uid="{00000000-0005-0000-0000-00002C010000}"/>
    <cellStyle name="Normal 84" xfId="38" xr:uid="{00000000-0005-0000-0000-00002D010000}"/>
    <cellStyle name="Normal 84 2" xfId="278" xr:uid="{00000000-0005-0000-0000-00002E010000}"/>
    <cellStyle name="Normal 84 3" xfId="353" xr:uid="{00000000-0005-0000-0000-00002F010000}"/>
    <cellStyle name="Normal 85" xfId="252" xr:uid="{00000000-0005-0000-0000-000030010000}"/>
    <cellStyle name="Normal 85 2" xfId="354" xr:uid="{00000000-0005-0000-0000-000031010000}"/>
    <cellStyle name="Normal 86" xfId="270" xr:uid="{00000000-0005-0000-0000-000032010000}"/>
    <cellStyle name="Normal 87" xfId="271" xr:uid="{00000000-0005-0000-0000-000033010000}"/>
    <cellStyle name="Normal 88" xfId="272" xr:uid="{00000000-0005-0000-0000-000034010000}"/>
    <cellStyle name="Normal 89" xfId="273" xr:uid="{00000000-0005-0000-0000-000035010000}"/>
    <cellStyle name="Normal 9" xfId="244" xr:uid="{00000000-0005-0000-0000-000036010000}"/>
    <cellStyle name="Normal 90" xfId="274" xr:uid="{00000000-0005-0000-0000-000037010000}"/>
    <cellStyle name="Normal 91" xfId="279" xr:uid="{00000000-0005-0000-0000-000038010000}"/>
    <cellStyle name="Normal 92" xfId="299" xr:uid="{00000000-0005-0000-0000-000039010000}"/>
    <cellStyle name="Normal 93" xfId="373" xr:uid="{00000000-0005-0000-0000-00003A010000}"/>
    <cellStyle name="Normal 94" xfId="374" xr:uid="{00000000-0005-0000-0000-00003B010000}"/>
    <cellStyle name="Normal_Price out" xfId="4" xr:uid="{00000000-0005-0000-0000-00003C010000}"/>
    <cellStyle name="Normal_Regulated Price Out 9-6-2011 Final HL" xfId="375" xr:uid="{45EDD9D9-E4F6-40E3-AD6C-BC7B8AC1BB6E}"/>
    <cellStyle name="Normal_Thurston DF Schedule" xfId="380" xr:uid="{DC85969B-D94E-46FE-B232-72E8483BA9E8}"/>
    <cellStyle name="Note 2" xfId="246" xr:uid="{00000000-0005-0000-0000-00003D010000}"/>
    <cellStyle name="Note 2 2" xfId="355" xr:uid="{00000000-0005-0000-0000-00003E010000}"/>
    <cellStyle name="Note 3" xfId="245" xr:uid="{00000000-0005-0000-0000-00003F010000}"/>
    <cellStyle name="Note 3 2" xfId="356" xr:uid="{00000000-0005-0000-0000-000040010000}"/>
    <cellStyle name="Notes" xfId="247" xr:uid="{00000000-0005-0000-0000-000041010000}"/>
    <cellStyle name="Output 2" xfId="249" xr:uid="{00000000-0005-0000-0000-000042010000}"/>
    <cellStyle name="Output 3" xfId="248" xr:uid="{00000000-0005-0000-0000-000043010000}"/>
    <cellStyle name="Percent" xfId="3" builtinId="5"/>
    <cellStyle name="Percent 11" xfId="376" xr:uid="{DC6290DE-8A5C-44DA-8979-6C4610FCB4DA}"/>
    <cellStyle name="Percent 17" xfId="379" xr:uid="{A6695F9C-CCB5-4F29-B576-FA5D5BFADE0F}"/>
    <cellStyle name="Percent 2" xfId="24" xr:uid="{00000000-0005-0000-0000-000045010000}"/>
    <cellStyle name="Percent 2 2" xfId="25" xr:uid="{00000000-0005-0000-0000-000046010000}"/>
    <cellStyle name="Percent 2 2 2" xfId="251" xr:uid="{00000000-0005-0000-0000-000047010000}"/>
    <cellStyle name="Percent 2 3" xfId="357" xr:uid="{00000000-0005-0000-0000-000048010000}"/>
    <cellStyle name="Percent 2 6" xfId="26" xr:uid="{00000000-0005-0000-0000-000049010000}"/>
    <cellStyle name="Percent 3" xfId="27" xr:uid="{00000000-0005-0000-0000-00004A010000}"/>
    <cellStyle name="Percent 3 2" xfId="28" xr:uid="{00000000-0005-0000-0000-00004B010000}"/>
    <cellStyle name="Percent 4" xfId="29" xr:uid="{00000000-0005-0000-0000-00004C010000}"/>
    <cellStyle name="Percent 4 2" xfId="358" xr:uid="{00000000-0005-0000-0000-00004D010000}"/>
    <cellStyle name="Percent 4 3" xfId="359" xr:uid="{00000000-0005-0000-0000-00004E010000}"/>
    <cellStyle name="Percent 5" xfId="253" xr:uid="{00000000-0005-0000-0000-00004F010000}"/>
    <cellStyle name="Percent 6" xfId="254" xr:uid="{00000000-0005-0000-0000-000050010000}"/>
    <cellStyle name="Percent 7" xfId="250" xr:uid="{00000000-0005-0000-0000-000051010000}"/>
    <cellStyle name="Percent 7 2" xfId="275" xr:uid="{00000000-0005-0000-0000-000052010000}"/>
    <cellStyle name="Percent 7 3" xfId="360" xr:uid="{00000000-0005-0000-0000-000053010000}"/>
    <cellStyle name="Percent 8" xfId="361" xr:uid="{00000000-0005-0000-0000-000054010000}"/>
    <cellStyle name="Percent 9" xfId="378" xr:uid="{733D75FA-FF80-4E8C-8183-9CD06C71B192}"/>
    <cellStyle name="Percent(1)" xfId="255" xr:uid="{00000000-0005-0000-0000-000055010000}"/>
    <cellStyle name="Percent(2)" xfId="256" xr:uid="{00000000-0005-0000-0000-000056010000}"/>
    <cellStyle name="PRM" xfId="257" xr:uid="{00000000-0005-0000-0000-000057010000}"/>
    <cellStyle name="PRM 2" xfId="258" xr:uid="{00000000-0005-0000-0000-000058010000}"/>
    <cellStyle name="PRM 3" xfId="259" xr:uid="{00000000-0005-0000-0000-000059010000}"/>
    <cellStyle name="PRM_2011-11" xfId="260" xr:uid="{00000000-0005-0000-0000-00005A010000}"/>
    <cellStyle name="PS_Comma" xfId="30" xr:uid="{00000000-0005-0000-0000-00005B010000}"/>
    <cellStyle name="PSChar" xfId="31" xr:uid="{00000000-0005-0000-0000-00005C010000}"/>
    <cellStyle name="PSDate" xfId="32" xr:uid="{00000000-0005-0000-0000-00005D010000}"/>
    <cellStyle name="PSDec" xfId="33" xr:uid="{00000000-0005-0000-0000-00005E010000}"/>
    <cellStyle name="PSHeading" xfId="34" xr:uid="{00000000-0005-0000-0000-00005F010000}"/>
    <cellStyle name="PSInt" xfId="35" xr:uid="{00000000-0005-0000-0000-000060010000}"/>
    <cellStyle name="PSSpacer" xfId="36" xr:uid="{00000000-0005-0000-0000-000061010000}"/>
    <cellStyle name="STYL0 - Style1" xfId="362" xr:uid="{00000000-0005-0000-0000-000062010000}"/>
    <cellStyle name="STYL1 - Style2" xfId="363" xr:uid="{00000000-0005-0000-0000-000063010000}"/>
    <cellStyle name="STYL2 - Style3" xfId="364" xr:uid="{00000000-0005-0000-0000-000064010000}"/>
    <cellStyle name="STYL3 - Style4" xfId="365" xr:uid="{00000000-0005-0000-0000-000065010000}"/>
    <cellStyle name="STYL4 - Style5" xfId="366" xr:uid="{00000000-0005-0000-0000-000066010000}"/>
    <cellStyle name="STYL5 - Style6" xfId="367" xr:uid="{00000000-0005-0000-0000-000067010000}"/>
    <cellStyle name="STYL6 - Style7" xfId="368" xr:uid="{00000000-0005-0000-0000-000068010000}"/>
    <cellStyle name="STYL7 - Style8" xfId="369" xr:uid="{00000000-0005-0000-0000-000069010000}"/>
    <cellStyle name="Style 1" xfId="261" xr:uid="{00000000-0005-0000-0000-00006A010000}"/>
    <cellStyle name="Style 1 2" xfId="262" xr:uid="{00000000-0005-0000-0000-00006B010000}"/>
    <cellStyle name="STYLE1" xfId="263" xr:uid="{00000000-0005-0000-0000-00006C010000}"/>
    <cellStyle name="sub heading" xfId="370" xr:uid="{00000000-0005-0000-0000-00006D010000}"/>
    <cellStyle name="Title 2" xfId="265" xr:uid="{00000000-0005-0000-0000-00006E010000}"/>
    <cellStyle name="Title 3" xfId="264" xr:uid="{00000000-0005-0000-0000-00006F010000}"/>
    <cellStyle name="Total 2" xfId="267" xr:uid="{00000000-0005-0000-0000-000070010000}"/>
    <cellStyle name="Total 2 2" xfId="371" xr:uid="{00000000-0005-0000-0000-000071010000}"/>
    <cellStyle name="Total 3" xfId="266" xr:uid="{00000000-0005-0000-0000-000072010000}"/>
    <cellStyle name="Total 3 2" xfId="372" xr:uid="{00000000-0005-0000-0000-000073010000}"/>
    <cellStyle name="Warning Text 2" xfId="269" xr:uid="{00000000-0005-0000-0000-000074010000}"/>
    <cellStyle name="Warning Text 3" xfId="268" xr:uid="{00000000-0005-0000-0000-000075010000}"/>
    <cellStyle name="WM_STANDARD" xfId="37" xr:uid="{00000000-0005-0000-0000-000076010000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4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LT_SCH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chelle\michellec\My%20Documents\United%20Utilities\Revenue%20Requirements\United\e-mail%20to%20Bonni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serFiles\EugeneL\POLogAccrualReport_v2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vandenburg\AppData\Local\Interject\FileCache\Capital%20-%20Budget%20Input%20v1.5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_server\new%20share\windows\TEMP\Denver%20AWI%201.xls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microsoft.com/office/2019/04/relationships/externalLinkLongPath" Target="file:///\\wcnx.org\Western%20Region\2000%20Western%20Region%20Office\WUTC\WUTC-Olympic%202112\General%20Rate%20Filing\2023\Suspension\Compliance%20Filing\JW-7C%20230778-GRC-Murrys%20Olympic-Staff%20Wkbk-10-16-2023-Company%20Offer%20(C)%20-%20Revised%20Bench.xlsx?AC216F82" TargetMode="External"/><Relationship Id="rId1" Type="http://schemas.openxmlformats.org/officeDocument/2006/relationships/externalLinkPath" Target="file:///\\AC216F82\JW-7C%20230778-GRC-Murrys%20Olympic-Staff%20Wkbk-10-16-2023-Company%20Offer%20(C)%20-%20Revised%20Bench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2000%20Western%20Region%20Office/WUTC/WUTC-Olympic%202112/Dump%20Fee/DF%20Jefferson%20Co%209-1-2023/Jefferson%20DF%20Calc%209-1-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_db5_srv\SRC\User\REPORTS\STANDARD%20REPORTS\CUSTOM%20REPORTS\PL_ProjReviewV9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aronB\Local%20Settings\Temporary%20Internet%20Files\Content.Outlook\0NK9C84Y\AKWaste%2004%202012%20Invoic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udyca\My%20Documents\Tax_Templat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2000%20Western%20Region%20Office/WUTC/WIP%20Files/LeMay%20Companies/2024/Lewis/General%20Rate%20Filing/.Lewis%20GRC%20Pro%20forma%2012.31.202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racy\Tracy%20Docs\WINDOWS\DESKTOP\My%20Briefcase\PLT_ACTY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2000%20Western%20Region%20Office/WUTC/WIP%20Files/LeMay%20Companies/2024/Lewis/General%20Rate%20Filing/Disposal%20Breakdown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kts02\Clients\clients\H&amp;UClientFiles\Resource%20Tracy\APES%20I\2007%20Annual%20Reports%20-%20APES\Workpapers\Trial%20Balance%202007%20CAM%20R-5-Annual%20Repro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2000%20Western%20Region%20Office/ControllerDir/AaronB/Alaska/RCA/2023/General%20Rate%20Filing/2453/2453%20COSS%20Working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5 Plt Mtr (Adj)"/>
      <sheetName val="95 Rsrv Mtr (UnAdj)"/>
      <sheetName val="94 Rsrv Mtr (UnAdj)"/>
      <sheetName val="CWIP (Adj)"/>
      <sheetName val="95 IP Rtrmts Tested"/>
      <sheetName val="95 OP Rtrmts Tested"/>
      <sheetName val="95 Plt Mtr (UnAdj)"/>
      <sheetName val="95 Rsrv Mtr (Adj)"/>
      <sheetName val="CWIP (UnAdj)"/>
    </sheetNames>
    <sheetDataSet>
      <sheetData sheetId="0">
        <row r="1">
          <cell r="A1" t="str">
            <v>Anchorage Telephone Utility</v>
          </cell>
        </row>
        <row r="2">
          <cell r="A2" t="str">
            <v>Plant Account Master Schedule</v>
          </cell>
        </row>
        <row r="3">
          <cell r="A3" t="str">
            <v>Year Ending December 31, 1995</v>
          </cell>
        </row>
        <row r="4">
          <cell r="A4" t="str">
            <v>(This schedule has been tied to the G/L Sum 95 YTD report)</v>
          </cell>
        </row>
        <row r="6">
          <cell r="A6" t="str">
            <v>Description</v>
          </cell>
          <cell r="B6" t="str">
            <v>Land</v>
          </cell>
          <cell r="C6" t="str">
            <v>Passenger</v>
          </cell>
          <cell r="D6" t="str">
            <v>Light Trucks</v>
          </cell>
          <cell r="E6" t="str">
            <v>Trucks</v>
          </cell>
          <cell r="F6" t="str">
            <v>Spec. Prpse</v>
          </cell>
          <cell r="G6" t="str">
            <v>Gar. Wk</v>
          </cell>
          <cell r="H6" t="str">
            <v>Other</v>
          </cell>
          <cell r="I6" t="str">
            <v>Small Value</v>
          </cell>
          <cell r="J6" t="str">
            <v>Buildings</v>
          </cell>
          <cell r="K6" t="str">
            <v>Furniture</v>
          </cell>
          <cell r="L6" t="str">
            <v>Small Value</v>
          </cell>
          <cell r="M6" t="str">
            <v>Off. Supp</v>
          </cell>
          <cell r="N6" t="str">
            <v>Co.Comm</v>
          </cell>
          <cell r="O6" t="str">
            <v>Co.Comm</v>
          </cell>
          <cell r="P6" t="str">
            <v>Co.Comm</v>
          </cell>
          <cell r="Q6" t="str">
            <v>Co.Comm</v>
          </cell>
          <cell r="R6" t="str">
            <v>Co.Comm</v>
          </cell>
          <cell r="S6" t="str">
            <v>Small Value</v>
          </cell>
          <cell r="T6" t="str">
            <v>Gen Prps</v>
          </cell>
          <cell r="U6" t="str">
            <v>Digital</v>
          </cell>
          <cell r="V6" t="str">
            <v>Small Value</v>
          </cell>
          <cell r="W6" t="str">
            <v>Operator</v>
          </cell>
          <cell r="X6" t="str">
            <v>Radio</v>
          </cell>
          <cell r="Y6" t="str">
            <v>Circuit</v>
          </cell>
          <cell r="Z6" t="str">
            <v>Payphone</v>
          </cell>
          <cell r="AA6" t="str">
            <v>Poles</v>
          </cell>
          <cell r="AB6" t="str">
            <v>Aerial</v>
          </cell>
          <cell r="AC6" t="str">
            <v>Aerial</v>
          </cell>
          <cell r="AD6" t="str">
            <v>Undrgrnd</v>
          </cell>
          <cell r="AE6" t="str">
            <v>Undrgrnd</v>
          </cell>
          <cell r="AF6" t="str">
            <v>Buried</v>
          </cell>
          <cell r="AG6" t="str">
            <v>Buried</v>
          </cell>
          <cell r="AH6" t="str">
            <v>Intrabldg</v>
          </cell>
          <cell r="AI6" t="str">
            <v>Intrabldg</v>
          </cell>
          <cell r="AJ6" t="str">
            <v>Aerial</v>
          </cell>
          <cell r="AK6" t="str">
            <v>Conduit</v>
          </cell>
          <cell r="AL6" t="str">
            <v>Leasehold</v>
          </cell>
          <cell r="AM6" t="str">
            <v>TOTAL</v>
          </cell>
        </row>
        <row r="7">
          <cell r="C7" t="str">
            <v>Cars</v>
          </cell>
          <cell r="F7" t="str">
            <v>Vehicles</v>
          </cell>
          <cell r="G7" t="str">
            <v>Eqpt</v>
          </cell>
          <cell r="H7" t="str">
            <v>Wk Eqpt</v>
          </cell>
          <cell r="I7" t="str">
            <v>Items</v>
          </cell>
          <cell r="L7" t="str">
            <v>Items</v>
          </cell>
          <cell r="M7" t="str">
            <v>Eqpt</v>
          </cell>
          <cell r="N7" t="str">
            <v>Data Eqpt</v>
          </cell>
          <cell r="O7" t="str">
            <v>PBX Eqpt</v>
          </cell>
          <cell r="P7" t="str">
            <v>St.App. Eqpt</v>
          </cell>
          <cell r="Q7" t="str">
            <v>Radio Eqpt</v>
          </cell>
          <cell r="R7" t="str">
            <v>Codex Eqpt</v>
          </cell>
          <cell r="S7" t="str">
            <v>Items</v>
          </cell>
          <cell r="T7" t="str">
            <v>Computer</v>
          </cell>
          <cell r="U7" t="str">
            <v>Switch</v>
          </cell>
          <cell r="V7" t="str">
            <v>Items</v>
          </cell>
          <cell r="W7" t="str">
            <v>System</v>
          </cell>
          <cell r="X7" t="str">
            <v>System</v>
          </cell>
          <cell r="Y7" t="str">
            <v>Eqpt</v>
          </cell>
          <cell r="AB7" t="str">
            <v>Cable</v>
          </cell>
          <cell r="AC7" t="str">
            <v>Cable</v>
          </cell>
          <cell r="AD7" t="str">
            <v>cable</v>
          </cell>
          <cell r="AE7" t="str">
            <v>cable</v>
          </cell>
          <cell r="AF7" t="str">
            <v>Cable</v>
          </cell>
          <cell r="AG7" t="str">
            <v>Cable</v>
          </cell>
          <cell r="AH7" t="str">
            <v>Cable</v>
          </cell>
          <cell r="AI7" t="str">
            <v>Cable</v>
          </cell>
          <cell r="AJ7" t="str">
            <v>Wire</v>
          </cell>
          <cell r="AK7" t="str">
            <v>Sys</v>
          </cell>
          <cell r="AL7" t="str">
            <v>Improvements</v>
          </cell>
        </row>
        <row r="8">
          <cell r="A8" t="str">
            <v>Account</v>
          </cell>
          <cell r="B8" t="str">
            <v>2111</v>
          </cell>
          <cell r="C8" t="str">
            <v>2112-100</v>
          </cell>
          <cell r="D8" t="str">
            <v>2112-200</v>
          </cell>
          <cell r="E8" t="str">
            <v>2112-300</v>
          </cell>
          <cell r="F8" t="str">
            <v>2114</v>
          </cell>
          <cell r="G8" t="str">
            <v>2115</v>
          </cell>
          <cell r="H8" t="str">
            <v>2116</v>
          </cell>
          <cell r="I8" t="str">
            <v>2116-600</v>
          </cell>
          <cell r="J8" t="str">
            <v>2121</v>
          </cell>
          <cell r="K8" t="str">
            <v>2122</v>
          </cell>
          <cell r="L8" t="str">
            <v>2122-600</v>
          </cell>
          <cell r="M8" t="str">
            <v>2123-100</v>
          </cell>
          <cell r="N8" t="str">
            <v>2123-210</v>
          </cell>
          <cell r="O8" t="str">
            <v>2123-220</v>
          </cell>
          <cell r="P8" t="str">
            <v>2123-230</v>
          </cell>
          <cell r="Q8" t="str">
            <v>2123-240</v>
          </cell>
          <cell r="R8" t="str">
            <v>2123-250</v>
          </cell>
          <cell r="S8" t="str">
            <v>2123-600</v>
          </cell>
          <cell r="T8" t="str">
            <v>2124</v>
          </cell>
          <cell r="U8" t="str">
            <v>2212</v>
          </cell>
          <cell r="V8" t="str">
            <v>2212-600</v>
          </cell>
          <cell r="W8" t="str">
            <v>2220</v>
          </cell>
          <cell r="X8" t="str">
            <v>2231</v>
          </cell>
          <cell r="Y8" t="str">
            <v>2232</v>
          </cell>
          <cell r="Z8" t="str">
            <v>2351</v>
          </cell>
          <cell r="AA8" t="str">
            <v>2411</v>
          </cell>
          <cell r="AB8" t="str">
            <v>2421-300</v>
          </cell>
          <cell r="AC8" t="str">
            <v>2421-400</v>
          </cell>
          <cell r="AD8" t="str">
            <v>2422-300</v>
          </cell>
          <cell r="AE8" t="str">
            <v>2422-400</v>
          </cell>
          <cell r="AF8" t="str">
            <v>2423-300</v>
          </cell>
          <cell r="AG8" t="str">
            <v>2423-400</v>
          </cell>
          <cell r="AH8" t="str">
            <v>2426-300</v>
          </cell>
          <cell r="AI8" t="str">
            <v>2426-400</v>
          </cell>
          <cell r="AJ8" t="str">
            <v>2431</v>
          </cell>
          <cell r="AK8" t="str">
            <v>2441</v>
          </cell>
          <cell r="AL8" t="str">
            <v>2682</v>
          </cell>
        </row>
        <row r="10">
          <cell r="A10" t="str">
            <v>Beginning Balance 1995</v>
          </cell>
          <cell r="B10">
            <v>5035284</v>
          </cell>
          <cell r="C10">
            <v>873881</v>
          </cell>
          <cell r="D10">
            <v>2179229</v>
          </cell>
          <cell r="E10">
            <v>1508182</v>
          </cell>
          <cell r="F10">
            <v>26257</v>
          </cell>
          <cell r="G10">
            <v>183770</v>
          </cell>
          <cell r="H10">
            <v>2857927</v>
          </cell>
          <cell r="I10">
            <v>132479</v>
          </cell>
          <cell r="J10">
            <v>42882483</v>
          </cell>
          <cell r="K10">
            <v>1423455</v>
          </cell>
          <cell r="L10">
            <v>520243</v>
          </cell>
          <cell r="M10">
            <v>887631</v>
          </cell>
          <cell r="N10">
            <v>423430</v>
          </cell>
          <cell r="O10">
            <v>0</v>
          </cell>
          <cell r="P10">
            <v>1168224</v>
          </cell>
          <cell r="Q10">
            <v>276642</v>
          </cell>
          <cell r="R10">
            <v>153185</v>
          </cell>
          <cell r="S10">
            <v>44681</v>
          </cell>
          <cell r="T10">
            <v>11055013</v>
          </cell>
          <cell r="U10">
            <v>83756318</v>
          </cell>
          <cell r="V10">
            <v>415223</v>
          </cell>
          <cell r="W10">
            <v>3616016</v>
          </cell>
          <cell r="X10">
            <v>596204</v>
          </cell>
          <cell r="Y10">
            <v>25262238</v>
          </cell>
          <cell r="Z10">
            <v>3435151</v>
          </cell>
          <cell r="AA10">
            <v>1625473</v>
          </cell>
          <cell r="AB10">
            <v>365104</v>
          </cell>
          <cell r="AC10">
            <v>27200396</v>
          </cell>
          <cell r="AD10">
            <v>2953508</v>
          </cell>
          <cell r="AE10">
            <v>22836078</v>
          </cell>
          <cell r="AF10">
            <v>2222425</v>
          </cell>
          <cell r="AG10">
            <v>68682190</v>
          </cell>
          <cell r="AH10">
            <v>212675</v>
          </cell>
          <cell r="AI10">
            <v>2271179</v>
          </cell>
          <cell r="AJ10">
            <v>91204</v>
          </cell>
          <cell r="AK10">
            <v>13862746</v>
          </cell>
          <cell r="AL10">
            <v>33988</v>
          </cell>
          <cell r="AM10">
            <v>331070112</v>
          </cell>
        </row>
        <row r="11">
          <cell r="A11" t="str">
            <v xml:space="preserve">  Plus:  Prior Year Work Order Adj.</v>
          </cell>
          <cell r="U11">
            <v>812328</v>
          </cell>
          <cell r="Y11">
            <v>353650</v>
          </cell>
          <cell r="AA11">
            <v>0</v>
          </cell>
          <cell r="AC11">
            <v>-41523</v>
          </cell>
          <cell r="AD11">
            <v>104648</v>
          </cell>
          <cell r="AE11">
            <v>-59633</v>
          </cell>
          <cell r="AF11">
            <v>0</v>
          </cell>
          <cell r="AG11">
            <v>61587</v>
          </cell>
          <cell r="AH11">
            <v>0</v>
          </cell>
          <cell r="AI11">
            <v>904</v>
          </cell>
          <cell r="AK11">
            <v>141225</v>
          </cell>
        </row>
        <row r="12">
          <cell r="A12" t="str">
            <v>Adjusted Beginning Balance 1995</v>
          </cell>
          <cell r="B12">
            <v>5035284</v>
          </cell>
          <cell r="C12">
            <v>873881</v>
          </cell>
          <cell r="D12">
            <v>2179229</v>
          </cell>
          <cell r="E12">
            <v>1508182</v>
          </cell>
          <cell r="F12">
            <v>26257</v>
          </cell>
          <cell r="G12">
            <v>183770</v>
          </cell>
          <cell r="H12">
            <v>2857927</v>
          </cell>
          <cell r="I12">
            <v>132479</v>
          </cell>
          <cell r="J12">
            <v>42882483</v>
          </cell>
          <cell r="K12">
            <v>1423455</v>
          </cell>
          <cell r="L12">
            <v>520243</v>
          </cell>
          <cell r="M12">
            <v>887631</v>
          </cell>
          <cell r="N12">
            <v>423430</v>
          </cell>
          <cell r="O12">
            <v>0</v>
          </cell>
          <cell r="P12">
            <v>1168224</v>
          </cell>
          <cell r="Q12">
            <v>276642</v>
          </cell>
          <cell r="R12">
            <v>153185</v>
          </cell>
          <cell r="S12">
            <v>44681</v>
          </cell>
          <cell r="T12">
            <v>11055013</v>
          </cell>
          <cell r="U12">
            <v>84568646</v>
          </cell>
          <cell r="V12">
            <v>415223</v>
          </cell>
          <cell r="W12">
            <v>3616016</v>
          </cell>
          <cell r="X12">
            <v>596204</v>
          </cell>
          <cell r="Y12">
            <v>25615888</v>
          </cell>
          <cell r="Z12">
            <v>3435151</v>
          </cell>
          <cell r="AA12">
            <v>1625473</v>
          </cell>
          <cell r="AB12">
            <v>365104</v>
          </cell>
          <cell r="AC12">
            <v>27158873</v>
          </cell>
          <cell r="AD12">
            <v>3058156</v>
          </cell>
          <cell r="AE12">
            <v>22776445</v>
          </cell>
          <cell r="AF12">
            <v>2222425</v>
          </cell>
          <cell r="AG12">
            <v>68743777</v>
          </cell>
          <cell r="AH12">
            <v>212675</v>
          </cell>
          <cell r="AI12">
            <v>2272083</v>
          </cell>
          <cell r="AJ12">
            <v>91204</v>
          </cell>
          <cell r="AK12">
            <v>14003971</v>
          </cell>
          <cell r="AL12">
            <v>33988</v>
          </cell>
          <cell r="AM12">
            <v>332443298</v>
          </cell>
        </row>
        <row r="13">
          <cell r="A13" t="str">
            <v xml:space="preserve">January </v>
          </cell>
        </row>
        <row r="14">
          <cell r="A14" t="str">
            <v xml:space="preserve">   Additions</v>
          </cell>
          <cell r="AM14">
            <v>0</v>
          </cell>
        </row>
        <row r="16">
          <cell r="A16" t="str">
            <v xml:space="preserve">   Retirements</v>
          </cell>
          <cell r="AM16">
            <v>0</v>
          </cell>
        </row>
        <row r="18">
          <cell r="A18" t="str">
            <v xml:space="preserve">   Adjustments</v>
          </cell>
          <cell r="AM18">
            <v>0</v>
          </cell>
        </row>
        <row r="20">
          <cell r="A20" t="str">
            <v xml:space="preserve">   Work Order/Retirement Adjustments</v>
          </cell>
          <cell r="U20">
            <v>55027</v>
          </cell>
          <cell r="Y20">
            <v>148216</v>
          </cell>
          <cell r="AA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K20">
            <v>39098</v>
          </cell>
          <cell r="AM20">
            <v>242341</v>
          </cell>
        </row>
        <row r="21">
          <cell r="A21" t="str">
            <v>January Balance</v>
          </cell>
          <cell r="B21">
            <v>5035284</v>
          </cell>
          <cell r="C21">
            <v>873881</v>
          </cell>
          <cell r="D21">
            <v>2179229</v>
          </cell>
          <cell r="E21">
            <v>1508182</v>
          </cell>
          <cell r="F21">
            <v>26257</v>
          </cell>
          <cell r="G21">
            <v>183770</v>
          </cell>
          <cell r="H21">
            <v>2857927</v>
          </cell>
          <cell r="I21">
            <v>132479</v>
          </cell>
          <cell r="J21">
            <v>42882483</v>
          </cell>
          <cell r="K21">
            <v>1423455</v>
          </cell>
          <cell r="L21">
            <v>520243</v>
          </cell>
          <cell r="M21">
            <v>887631</v>
          </cell>
          <cell r="N21">
            <v>423430</v>
          </cell>
          <cell r="O21">
            <v>0</v>
          </cell>
          <cell r="P21">
            <v>1168224</v>
          </cell>
          <cell r="Q21">
            <v>276642</v>
          </cell>
          <cell r="R21">
            <v>153185</v>
          </cell>
          <cell r="S21">
            <v>44681</v>
          </cell>
          <cell r="T21">
            <v>11055013</v>
          </cell>
          <cell r="U21">
            <v>84623673</v>
          </cell>
          <cell r="V21">
            <v>415223</v>
          </cell>
          <cell r="W21">
            <v>3616016</v>
          </cell>
          <cell r="X21">
            <v>596204</v>
          </cell>
          <cell r="Y21">
            <v>25764104</v>
          </cell>
          <cell r="Z21">
            <v>3435151</v>
          </cell>
          <cell r="AA21">
            <v>1625473</v>
          </cell>
          <cell r="AB21">
            <v>365104</v>
          </cell>
          <cell r="AC21">
            <v>27158873</v>
          </cell>
          <cell r="AD21">
            <v>3058156</v>
          </cell>
          <cell r="AE21">
            <v>22776445</v>
          </cell>
          <cell r="AF21">
            <v>2222425</v>
          </cell>
          <cell r="AG21">
            <v>68743777</v>
          </cell>
          <cell r="AH21">
            <v>212675</v>
          </cell>
          <cell r="AI21">
            <v>2272083</v>
          </cell>
          <cell r="AJ21">
            <v>91204</v>
          </cell>
          <cell r="AK21">
            <v>14043069</v>
          </cell>
          <cell r="AL21">
            <v>33988</v>
          </cell>
          <cell r="AM21">
            <v>332685639</v>
          </cell>
        </row>
        <row r="23">
          <cell r="A23" t="str">
            <v>February</v>
          </cell>
        </row>
        <row r="24">
          <cell r="A24" t="str">
            <v xml:space="preserve">   Additions</v>
          </cell>
          <cell r="AM24">
            <v>0</v>
          </cell>
        </row>
        <row r="26">
          <cell r="A26" t="str">
            <v xml:space="preserve">   Retirements</v>
          </cell>
          <cell r="AM26">
            <v>0</v>
          </cell>
        </row>
        <row r="28">
          <cell r="A28" t="str">
            <v xml:space="preserve">   Adjustments</v>
          </cell>
          <cell r="AM28">
            <v>0</v>
          </cell>
        </row>
        <row r="30">
          <cell r="A30" t="str">
            <v xml:space="preserve">   Work Order/Retirement Adjustments</v>
          </cell>
          <cell r="U30">
            <v>0</v>
          </cell>
          <cell r="Y30">
            <v>143690</v>
          </cell>
          <cell r="AA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K30">
            <v>0</v>
          </cell>
          <cell r="AM30">
            <v>143690</v>
          </cell>
        </row>
        <row r="31">
          <cell r="A31" t="str">
            <v>February Balance</v>
          </cell>
          <cell r="B31">
            <v>5035284</v>
          </cell>
          <cell r="C31">
            <v>873881</v>
          </cell>
          <cell r="D31">
            <v>2179229</v>
          </cell>
          <cell r="E31">
            <v>1508182</v>
          </cell>
          <cell r="F31">
            <v>26257</v>
          </cell>
          <cell r="G31">
            <v>183770</v>
          </cell>
          <cell r="H31">
            <v>2857927</v>
          </cell>
          <cell r="I31">
            <v>132479</v>
          </cell>
          <cell r="J31">
            <v>42882483</v>
          </cell>
          <cell r="K31">
            <v>1423455</v>
          </cell>
          <cell r="L31">
            <v>520243</v>
          </cell>
          <cell r="M31">
            <v>887631</v>
          </cell>
          <cell r="N31">
            <v>423430</v>
          </cell>
          <cell r="O31">
            <v>0</v>
          </cell>
          <cell r="P31">
            <v>1168224</v>
          </cell>
          <cell r="Q31">
            <v>276642</v>
          </cell>
          <cell r="R31">
            <v>153185</v>
          </cell>
          <cell r="S31">
            <v>44681</v>
          </cell>
          <cell r="T31">
            <v>11055013</v>
          </cell>
          <cell r="U31">
            <v>84623673</v>
          </cell>
          <cell r="V31">
            <v>415223</v>
          </cell>
          <cell r="W31">
            <v>3616016</v>
          </cell>
          <cell r="X31">
            <v>596204</v>
          </cell>
          <cell r="Y31">
            <v>25907794</v>
          </cell>
          <cell r="Z31">
            <v>3435151</v>
          </cell>
          <cell r="AA31">
            <v>1625473</v>
          </cell>
          <cell r="AB31">
            <v>365104</v>
          </cell>
          <cell r="AC31">
            <v>27158873</v>
          </cell>
          <cell r="AD31">
            <v>3058156</v>
          </cell>
          <cell r="AE31">
            <v>22776445</v>
          </cell>
          <cell r="AF31">
            <v>2222425</v>
          </cell>
          <cell r="AG31">
            <v>68743777</v>
          </cell>
          <cell r="AH31">
            <v>212675</v>
          </cell>
          <cell r="AI31">
            <v>2272083</v>
          </cell>
          <cell r="AJ31">
            <v>91204</v>
          </cell>
          <cell r="AK31">
            <v>14043069</v>
          </cell>
          <cell r="AL31">
            <v>33988</v>
          </cell>
          <cell r="AM31">
            <v>332829329</v>
          </cell>
        </row>
        <row r="33">
          <cell r="A33" t="str">
            <v>March</v>
          </cell>
        </row>
        <row r="34">
          <cell r="A34" t="str">
            <v xml:space="preserve">   Additions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33663</v>
          </cell>
          <cell r="J34">
            <v>0</v>
          </cell>
          <cell r="K34">
            <v>-838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T34">
            <v>-2071</v>
          </cell>
          <cell r="U34">
            <v>0</v>
          </cell>
          <cell r="W34">
            <v>0</v>
          </cell>
          <cell r="X34">
            <v>0</v>
          </cell>
          <cell r="Y34">
            <v>255589</v>
          </cell>
          <cell r="Z34">
            <v>0</v>
          </cell>
          <cell r="AM34">
            <v>286343</v>
          </cell>
        </row>
        <row r="36">
          <cell r="A36" t="str">
            <v xml:space="preserve">   Retirements</v>
          </cell>
          <cell r="C36">
            <v>21355</v>
          </cell>
          <cell r="U36">
            <v>79791</v>
          </cell>
          <cell r="Y36">
            <v>183025</v>
          </cell>
          <cell r="AM36">
            <v>284171</v>
          </cell>
        </row>
        <row r="38">
          <cell r="A38" t="str">
            <v xml:space="preserve">   Adjustments</v>
          </cell>
          <cell r="G38">
            <v>3334</v>
          </cell>
          <cell r="H38">
            <v>-3334</v>
          </cell>
          <cell r="AM38">
            <v>0</v>
          </cell>
        </row>
        <row r="40">
          <cell r="A40" t="str">
            <v xml:space="preserve">   Work Order/Retirement Adjustments</v>
          </cell>
          <cell r="U40">
            <v>5806</v>
          </cell>
          <cell r="Y40">
            <v>-28092</v>
          </cell>
          <cell r="AA40">
            <v>-2588</v>
          </cell>
          <cell r="AC40">
            <v>82768</v>
          </cell>
          <cell r="AD40">
            <v>0</v>
          </cell>
          <cell r="AE40">
            <v>22311</v>
          </cell>
          <cell r="AF40">
            <v>0</v>
          </cell>
          <cell r="AG40">
            <v>220686</v>
          </cell>
          <cell r="AH40">
            <v>0</v>
          </cell>
          <cell r="AI40">
            <v>0</v>
          </cell>
          <cell r="AK40">
            <v>0</v>
          </cell>
          <cell r="AM40">
            <v>300891</v>
          </cell>
        </row>
        <row r="41">
          <cell r="A41" t="str">
            <v>March Balance</v>
          </cell>
          <cell r="B41">
            <v>5035284</v>
          </cell>
          <cell r="C41">
            <v>852526</v>
          </cell>
          <cell r="D41">
            <v>2179229</v>
          </cell>
          <cell r="E41">
            <v>1508182</v>
          </cell>
          <cell r="F41">
            <v>26257</v>
          </cell>
          <cell r="G41">
            <v>187104</v>
          </cell>
          <cell r="H41">
            <v>2888256</v>
          </cell>
          <cell r="I41">
            <v>132479</v>
          </cell>
          <cell r="J41">
            <v>42882483</v>
          </cell>
          <cell r="K41">
            <v>1422617</v>
          </cell>
          <cell r="L41">
            <v>520243</v>
          </cell>
          <cell r="M41">
            <v>887631</v>
          </cell>
          <cell r="N41">
            <v>423430</v>
          </cell>
          <cell r="O41">
            <v>0</v>
          </cell>
          <cell r="P41">
            <v>1168224</v>
          </cell>
          <cell r="Q41">
            <v>276642</v>
          </cell>
          <cell r="R41">
            <v>153185</v>
          </cell>
          <cell r="S41">
            <v>44681</v>
          </cell>
          <cell r="T41">
            <v>11052942</v>
          </cell>
          <cell r="U41">
            <v>84549688</v>
          </cell>
          <cell r="V41">
            <v>415223</v>
          </cell>
          <cell r="W41">
            <v>3616016</v>
          </cell>
          <cell r="X41">
            <v>596204</v>
          </cell>
          <cell r="Y41">
            <v>25952266</v>
          </cell>
          <cell r="Z41">
            <v>3435151</v>
          </cell>
          <cell r="AA41">
            <v>1622885</v>
          </cell>
          <cell r="AB41">
            <v>365104</v>
          </cell>
          <cell r="AC41">
            <v>27241641</v>
          </cell>
          <cell r="AD41">
            <v>3058156</v>
          </cell>
          <cell r="AE41">
            <v>22798756</v>
          </cell>
          <cell r="AF41">
            <v>2222425</v>
          </cell>
          <cell r="AG41">
            <v>68964463</v>
          </cell>
          <cell r="AH41">
            <v>212675</v>
          </cell>
          <cell r="AI41">
            <v>2272083</v>
          </cell>
          <cell r="AJ41">
            <v>91204</v>
          </cell>
          <cell r="AK41">
            <v>14043069</v>
          </cell>
          <cell r="AL41">
            <v>33988</v>
          </cell>
          <cell r="AM41">
            <v>333132392</v>
          </cell>
        </row>
        <row r="43">
          <cell r="A43" t="str">
            <v>April</v>
          </cell>
        </row>
        <row r="44">
          <cell r="A44" t="str">
            <v xml:space="preserve">   Additions</v>
          </cell>
          <cell r="H44">
            <v>1880</v>
          </cell>
          <cell r="J44">
            <v>52439</v>
          </cell>
          <cell r="P44">
            <v>2800</v>
          </cell>
          <cell r="Q44">
            <v>8950</v>
          </cell>
          <cell r="T44">
            <v>86664</v>
          </cell>
          <cell r="U44">
            <v>4975</v>
          </cell>
          <cell r="Y44">
            <v>3700</v>
          </cell>
          <cell r="AM44">
            <v>161408</v>
          </cell>
        </row>
        <row r="46">
          <cell r="A46" t="str">
            <v xml:space="preserve">   Retirements</v>
          </cell>
          <cell r="K46">
            <v>1707</v>
          </cell>
          <cell r="T46">
            <v>3721</v>
          </cell>
          <cell r="U46">
            <v>1231</v>
          </cell>
          <cell r="W46">
            <v>48868</v>
          </cell>
          <cell r="Y46">
            <v>642890</v>
          </cell>
          <cell r="AM46">
            <v>698417</v>
          </cell>
        </row>
        <row r="48">
          <cell r="A48" t="str">
            <v xml:space="preserve">   Adjustments</v>
          </cell>
          <cell r="H48">
            <v>-105387</v>
          </cell>
          <cell r="U48">
            <v>11534</v>
          </cell>
          <cell r="Y48">
            <v>93853</v>
          </cell>
          <cell r="AM48">
            <v>0</v>
          </cell>
        </row>
        <row r="50">
          <cell r="A50" t="str">
            <v xml:space="preserve">   Work Order/Retirement Adjustments</v>
          </cell>
          <cell r="U50">
            <v>10000</v>
          </cell>
          <cell r="Y50">
            <v>-3602</v>
          </cell>
          <cell r="AA50">
            <v>0</v>
          </cell>
          <cell r="AC50">
            <v>0</v>
          </cell>
          <cell r="AD50">
            <v>5513</v>
          </cell>
          <cell r="AE50">
            <v>224840</v>
          </cell>
          <cell r="AF50">
            <v>0</v>
          </cell>
          <cell r="AG50">
            <v>0</v>
          </cell>
          <cell r="AH50">
            <v>28</v>
          </cell>
          <cell r="AI50">
            <v>14546</v>
          </cell>
          <cell r="AK50">
            <v>0</v>
          </cell>
          <cell r="AM50">
            <v>251325</v>
          </cell>
        </row>
        <row r="51">
          <cell r="A51" t="str">
            <v>April Balance</v>
          </cell>
          <cell r="B51">
            <v>5035284</v>
          </cell>
          <cell r="C51">
            <v>852526</v>
          </cell>
          <cell r="D51">
            <v>2179229</v>
          </cell>
          <cell r="E51">
            <v>1508182</v>
          </cell>
          <cell r="F51">
            <v>26257</v>
          </cell>
          <cell r="G51">
            <v>187104</v>
          </cell>
          <cell r="H51">
            <v>2784749</v>
          </cell>
          <cell r="I51">
            <v>132479</v>
          </cell>
          <cell r="J51">
            <v>42934922</v>
          </cell>
          <cell r="K51">
            <v>1420910</v>
          </cell>
          <cell r="L51">
            <v>520243</v>
          </cell>
          <cell r="M51">
            <v>887631</v>
          </cell>
          <cell r="N51">
            <v>423430</v>
          </cell>
          <cell r="O51">
            <v>0</v>
          </cell>
          <cell r="P51">
            <v>1171024</v>
          </cell>
          <cell r="Q51">
            <v>285592</v>
          </cell>
          <cell r="R51">
            <v>153185</v>
          </cell>
          <cell r="S51">
            <v>44681</v>
          </cell>
          <cell r="T51">
            <v>11135885</v>
          </cell>
          <cell r="U51">
            <v>84574966</v>
          </cell>
          <cell r="V51">
            <v>415223</v>
          </cell>
          <cell r="W51">
            <v>3567148</v>
          </cell>
          <cell r="X51">
            <v>596204</v>
          </cell>
          <cell r="Y51">
            <v>25403327</v>
          </cell>
          <cell r="Z51">
            <v>3435151</v>
          </cell>
          <cell r="AA51">
            <v>1622885</v>
          </cell>
          <cell r="AB51">
            <v>365104</v>
          </cell>
          <cell r="AC51">
            <v>27241641</v>
          </cell>
          <cell r="AD51">
            <v>3063669</v>
          </cell>
          <cell r="AE51">
            <v>23023596</v>
          </cell>
          <cell r="AF51">
            <v>2222425</v>
          </cell>
          <cell r="AG51">
            <v>68964463</v>
          </cell>
          <cell r="AH51">
            <v>212703</v>
          </cell>
          <cell r="AI51">
            <v>2286629</v>
          </cell>
          <cell r="AJ51">
            <v>91204</v>
          </cell>
          <cell r="AK51">
            <v>14043069</v>
          </cell>
          <cell r="AL51">
            <v>33988</v>
          </cell>
          <cell r="AM51">
            <v>332846708</v>
          </cell>
        </row>
        <row r="53">
          <cell r="A53" t="str">
            <v>May</v>
          </cell>
        </row>
        <row r="54">
          <cell r="A54" t="str">
            <v xml:space="preserve">   Additions</v>
          </cell>
          <cell r="J54">
            <v>3687</v>
          </cell>
          <cell r="T54">
            <v>1686</v>
          </cell>
          <cell r="Y54">
            <v>5063</v>
          </cell>
          <cell r="AA54">
            <v>3392</v>
          </cell>
          <cell r="AB54">
            <v>0</v>
          </cell>
          <cell r="AC54">
            <v>29275</v>
          </cell>
          <cell r="AD54">
            <v>0</v>
          </cell>
          <cell r="AE54">
            <v>18175</v>
          </cell>
          <cell r="AF54">
            <v>0</v>
          </cell>
          <cell r="AG54">
            <v>134754</v>
          </cell>
          <cell r="AH54">
            <v>0</v>
          </cell>
          <cell r="AI54">
            <v>5570</v>
          </cell>
          <cell r="AJ54">
            <v>0</v>
          </cell>
          <cell r="AK54">
            <v>15050</v>
          </cell>
          <cell r="AM54">
            <v>216652</v>
          </cell>
        </row>
        <row r="56">
          <cell r="A56" t="str">
            <v xml:space="preserve">   Retirements</v>
          </cell>
          <cell r="C56">
            <v>238737</v>
          </cell>
          <cell r="D56">
            <v>30819</v>
          </cell>
          <cell r="H56">
            <v>839</v>
          </cell>
          <cell r="U56">
            <v>57993</v>
          </cell>
          <cell r="AM56">
            <v>328388</v>
          </cell>
        </row>
        <row r="58">
          <cell r="A58" t="str">
            <v xml:space="preserve">   Adjustments</v>
          </cell>
          <cell r="AM58">
            <v>0</v>
          </cell>
        </row>
        <row r="60">
          <cell r="A60" t="str">
            <v xml:space="preserve">   Work Order/Retirement Adjustments</v>
          </cell>
          <cell r="U60">
            <v>223190</v>
          </cell>
          <cell r="Y60">
            <v>193700</v>
          </cell>
          <cell r="AA60">
            <v>0</v>
          </cell>
          <cell r="AC60">
            <v>-13091</v>
          </cell>
          <cell r="AD60">
            <v>47670</v>
          </cell>
          <cell r="AE60">
            <v>7409</v>
          </cell>
          <cell r="AF60">
            <v>0</v>
          </cell>
          <cell r="AG60">
            <v>97910</v>
          </cell>
          <cell r="AH60">
            <v>99412</v>
          </cell>
          <cell r="AI60">
            <v>1765</v>
          </cell>
          <cell r="AK60">
            <v>179047</v>
          </cell>
          <cell r="AM60">
            <v>837012</v>
          </cell>
        </row>
        <row r="61">
          <cell r="A61" t="str">
            <v>May Balance</v>
          </cell>
          <cell r="B61">
            <v>5035284</v>
          </cell>
          <cell r="C61">
            <v>613789</v>
          </cell>
          <cell r="D61">
            <v>2148410</v>
          </cell>
          <cell r="E61">
            <v>1508182</v>
          </cell>
          <cell r="F61">
            <v>26257</v>
          </cell>
          <cell r="G61">
            <v>187104</v>
          </cell>
          <cell r="H61">
            <v>2783910</v>
          </cell>
          <cell r="I61">
            <v>132479</v>
          </cell>
          <cell r="J61">
            <v>42938609</v>
          </cell>
          <cell r="K61">
            <v>1420910</v>
          </cell>
          <cell r="L61">
            <v>520243</v>
          </cell>
          <cell r="M61">
            <v>887631</v>
          </cell>
          <cell r="N61">
            <v>423430</v>
          </cell>
          <cell r="O61">
            <v>0</v>
          </cell>
          <cell r="P61">
            <v>1171024</v>
          </cell>
          <cell r="Q61">
            <v>285592</v>
          </cell>
          <cell r="R61">
            <v>153185</v>
          </cell>
          <cell r="S61">
            <v>44681</v>
          </cell>
          <cell r="T61">
            <v>11137571</v>
          </cell>
          <cell r="U61">
            <v>84740163</v>
          </cell>
          <cell r="V61">
            <v>415223</v>
          </cell>
          <cell r="W61">
            <v>3567148</v>
          </cell>
          <cell r="X61">
            <v>596204</v>
          </cell>
          <cell r="Y61">
            <v>25602090</v>
          </cell>
          <cell r="Z61">
            <v>3435151</v>
          </cell>
          <cell r="AA61">
            <v>1626277</v>
          </cell>
          <cell r="AB61">
            <v>365104</v>
          </cell>
          <cell r="AC61">
            <v>27257825</v>
          </cell>
          <cell r="AD61">
            <v>3111339</v>
          </cell>
          <cell r="AE61">
            <v>23049180</v>
          </cell>
          <cell r="AF61">
            <v>2222425</v>
          </cell>
          <cell r="AG61">
            <v>69197127</v>
          </cell>
          <cell r="AH61">
            <v>312115</v>
          </cell>
          <cell r="AI61">
            <v>2293964</v>
          </cell>
          <cell r="AJ61">
            <v>91204</v>
          </cell>
          <cell r="AK61">
            <v>14237166</v>
          </cell>
          <cell r="AL61">
            <v>33988</v>
          </cell>
          <cell r="AM61">
            <v>333571984</v>
          </cell>
        </row>
        <row r="63">
          <cell r="A63" t="str">
            <v>June</v>
          </cell>
        </row>
        <row r="64">
          <cell r="A64" t="str">
            <v xml:space="preserve">   Additions</v>
          </cell>
          <cell r="H64">
            <v>6188</v>
          </cell>
          <cell r="J64">
            <v>18500</v>
          </cell>
          <cell r="K64">
            <v>1800</v>
          </cell>
          <cell r="P64">
            <v>849</v>
          </cell>
          <cell r="Q64">
            <v>2930</v>
          </cell>
          <cell r="T64">
            <v>67798</v>
          </cell>
          <cell r="Y64">
            <v>14424</v>
          </cell>
          <cell r="AA64">
            <v>1817</v>
          </cell>
          <cell r="AB64">
            <v>0</v>
          </cell>
          <cell r="AC64">
            <v>21915</v>
          </cell>
          <cell r="AD64">
            <v>3597</v>
          </cell>
          <cell r="AE64">
            <v>34378</v>
          </cell>
          <cell r="AF64">
            <v>-250</v>
          </cell>
          <cell r="AG64">
            <v>97889</v>
          </cell>
          <cell r="AH64">
            <v>0</v>
          </cell>
          <cell r="AI64">
            <v>1854</v>
          </cell>
          <cell r="AJ64">
            <v>0</v>
          </cell>
          <cell r="AK64">
            <v>-13350</v>
          </cell>
          <cell r="AM64">
            <v>260339</v>
          </cell>
        </row>
        <row r="66">
          <cell r="A66" t="str">
            <v xml:space="preserve">   Retirements</v>
          </cell>
          <cell r="K66">
            <v>13163</v>
          </cell>
          <cell r="P66">
            <v>11916</v>
          </cell>
          <cell r="T66">
            <v>54926</v>
          </cell>
          <cell r="U66">
            <v>2852</v>
          </cell>
          <cell r="Y66">
            <v>207072</v>
          </cell>
          <cell r="AA66">
            <v>17</v>
          </cell>
          <cell r="AC66">
            <v>12567</v>
          </cell>
          <cell r="AE66">
            <v>245</v>
          </cell>
          <cell r="AG66">
            <v>20134</v>
          </cell>
          <cell r="AI66">
            <v>4278</v>
          </cell>
          <cell r="AK66">
            <v>5</v>
          </cell>
          <cell r="AM66">
            <v>327175</v>
          </cell>
        </row>
        <row r="68">
          <cell r="A68" t="str">
            <v xml:space="preserve">   Adjustments</v>
          </cell>
          <cell r="P68">
            <v>-59560</v>
          </cell>
          <cell r="AB68">
            <v>-51747</v>
          </cell>
          <cell r="AC68">
            <v>51747</v>
          </cell>
          <cell r="AD68">
            <v>142993</v>
          </cell>
          <cell r="AE68">
            <v>-142993</v>
          </cell>
          <cell r="AF68">
            <v>-88619</v>
          </cell>
          <cell r="AG68">
            <v>88619</v>
          </cell>
          <cell r="AH68">
            <v>-16470</v>
          </cell>
          <cell r="AI68">
            <v>16470</v>
          </cell>
          <cell r="AM68">
            <v>-59560</v>
          </cell>
        </row>
        <row r="70">
          <cell r="A70" t="str">
            <v xml:space="preserve">   Work Order/Retirement Adjustments</v>
          </cell>
          <cell r="U70">
            <v>25177</v>
          </cell>
          <cell r="Y70">
            <v>0</v>
          </cell>
          <cell r="AA70">
            <v>3906</v>
          </cell>
          <cell r="AC70">
            <v>644929</v>
          </cell>
          <cell r="AD70">
            <v>0</v>
          </cell>
          <cell r="AE70">
            <v>168011</v>
          </cell>
          <cell r="AF70">
            <v>0</v>
          </cell>
          <cell r="AG70">
            <v>1449942</v>
          </cell>
          <cell r="AH70">
            <v>0</v>
          </cell>
          <cell r="AI70">
            <v>101626</v>
          </cell>
          <cell r="AK70">
            <v>46235</v>
          </cell>
          <cell r="AM70">
            <v>2439826</v>
          </cell>
        </row>
        <row r="71">
          <cell r="A71" t="str">
            <v>June Balance</v>
          </cell>
          <cell r="B71">
            <v>5035284</v>
          </cell>
          <cell r="C71">
            <v>613789</v>
          </cell>
          <cell r="D71">
            <v>2148410</v>
          </cell>
          <cell r="E71">
            <v>1508182</v>
          </cell>
          <cell r="F71">
            <v>26257</v>
          </cell>
          <cell r="G71">
            <v>187104</v>
          </cell>
          <cell r="H71">
            <v>2790098</v>
          </cell>
          <cell r="I71">
            <v>132479</v>
          </cell>
          <cell r="J71">
            <v>42957109</v>
          </cell>
          <cell r="K71">
            <v>1409547</v>
          </cell>
          <cell r="L71">
            <v>520243</v>
          </cell>
          <cell r="M71">
            <v>887631</v>
          </cell>
          <cell r="N71">
            <v>423430</v>
          </cell>
          <cell r="O71">
            <v>0</v>
          </cell>
          <cell r="P71">
            <v>1100397</v>
          </cell>
          <cell r="Q71">
            <v>288522</v>
          </cell>
          <cell r="R71">
            <v>153185</v>
          </cell>
          <cell r="S71">
            <v>44681</v>
          </cell>
          <cell r="T71">
            <v>11150443</v>
          </cell>
          <cell r="U71">
            <v>84762488</v>
          </cell>
          <cell r="V71">
            <v>415223</v>
          </cell>
          <cell r="W71">
            <v>3567148</v>
          </cell>
          <cell r="X71">
            <v>596204</v>
          </cell>
          <cell r="Y71">
            <v>25409442</v>
          </cell>
          <cell r="Z71">
            <v>3435151</v>
          </cell>
          <cell r="AA71">
            <v>1631983</v>
          </cell>
          <cell r="AB71">
            <v>313357</v>
          </cell>
          <cell r="AC71">
            <v>27963849</v>
          </cell>
          <cell r="AD71">
            <v>3257929</v>
          </cell>
          <cell r="AE71">
            <v>23108331</v>
          </cell>
          <cell r="AF71">
            <v>2133556</v>
          </cell>
          <cell r="AG71">
            <v>70813443</v>
          </cell>
          <cell r="AH71">
            <v>295645</v>
          </cell>
          <cell r="AI71">
            <v>2409636</v>
          </cell>
          <cell r="AJ71">
            <v>91204</v>
          </cell>
          <cell r="AK71">
            <v>14270046</v>
          </cell>
          <cell r="AL71">
            <v>33988</v>
          </cell>
          <cell r="AM71">
            <v>335885414</v>
          </cell>
        </row>
        <row r="73">
          <cell r="A73" t="str">
            <v>July</v>
          </cell>
        </row>
        <row r="74">
          <cell r="A74" t="str">
            <v xml:space="preserve">   Additions</v>
          </cell>
          <cell r="T74">
            <v>1116</v>
          </cell>
          <cell r="Y74">
            <v>437042</v>
          </cell>
          <cell r="AM74">
            <v>438158</v>
          </cell>
        </row>
        <row r="76">
          <cell r="A76" t="str">
            <v xml:space="preserve">   Retirements</v>
          </cell>
          <cell r="C76">
            <v>-21355</v>
          </cell>
          <cell r="D76">
            <v>16178</v>
          </cell>
          <cell r="E76">
            <v>414881</v>
          </cell>
          <cell r="H76">
            <v>24248</v>
          </cell>
          <cell r="AA76">
            <v>8207</v>
          </cell>
          <cell r="AC76">
            <v>92281</v>
          </cell>
          <cell r="AE76">
            <v>1203</v>
          </cell>
          <cell r="AG76">
            <v>46721</v>
          </cell>
          <cell r="AM76">
            <v>582364</v>
          </cell>
        </row>
        <row r="78">
          <cell r="A78" t="str">
            <v xml:space="preserve">   Adjustments</v>
          </cell>
          <cell r="AM78">
            <v>0</v>
          </cell>
        </row>
        <row r="80">
          <cell r="A80" t="str">
            <v xml:space="preserve">   Work Order/Retirement Adjustments</v>
          </cell>
          <cell r="U80">
            <v>465767</v>
          </cell>
          <cell r="Y80">
            <v>-214268</v>
          </cell>
          <cell r="AA80">
            <v>4258</v>
          </cell>
          <cell r="AC80">
            <v>80188</v>
          </cell>
          <cell r="AD80">
            <v>46591</v>
          </cell>
          <cell r="AE80">
            <v>17151</v>
          </cell>
          <cell r="AF80">
            <v>3136</v>
          </cell>
          <cell r="AG80">
            <v>279069</v>
          </cell>
          <cell r="AH80">
            <v>11270</v>
          </cell>
          <cell r="AI80">
            <v>3163</v>
          </cell>
          <cell r="AK80">
            <v>37247</v>
          </cell>
          <cell r="AM80">
            <v>733572</v>
          </cell>
        </row>
        <row r="81">
          <cell r="A81" t="str">
            <v>July Balance</v>
          </cell>
          <cell r="B81">
            <v>5035284</v>
          </cell>
          <cell r="C81">
            <v>635144</v>
          </cell>
          <cell r="D81">
            <v>2132232</v>
          </cell>
          <cell r="E81">
            <v>1093301</v>
          </cell>
          <cell r="F81">
            <v>26257</v>
          </cell>
          <cell r="G81">
            <v>187104</v>
          </cell>
          <cell r="H81">
            <v>2765850</v>
          </cell>
          <cell r="I81">
            <v>132479</v>
          </cell>
          <cell r="J81">
            <v>42957109</v>
          </cell>
          <cell r="K81">
            <v>1409547</v>
          </cell>
          <cell r="L81">
            <v>520243</v>
          </cell>
          <cell r="M81">
            <v>887631</v>
          </cell>
          <cell r="N81">
            <v>423430</v>
          </cell>
          <cell r="O81">
            <v>0</v>
          </cell>
          <cell r="P81">
            <v>1100397</v>
          </cell>
          <cell r="Q81">
            <v>288522</v>
          </cell>
          <cell r="R81">
            <v>153185</v>
          </cell>
          <cell r="S81">
            <v>44681</v>
          </cell>
          <cell r="T81">
            <v>11151559</v>
          </cell>
          <cell r="U81">
            <v>85228255</v>
          </cell>
          <cell r="V81">
            <v>415223</v>
          </cell>
          <cell r="W81">
            <v>3567148</v>
          </cell>
          <cell r="X81">
            <v>596204</v>
          </cell>
          <cell r="Y81">
            <v>25632216</v>
          </cell>
          <cell r="Z81">
            <v>3435151</v>
          </cell>
          <cell r="AA81">
            <v>1628034</v>
          </cell>
          <cell r="AB81">
            <v>313357</v>
          </cell>
          <cell r="AC81">
            <v>27951756</v>
          </cell>
          <cell r="AD81">
            <v>3304520</v>
          </cell>
          <cell r="AE81">
            <v>23124279</v>
          </cell>
          <cell r="AF81">
            <v>2136692</v>
          </cell>
          <cell r="AG81">
            <v>71045791</v>
          </cell>
          <cell r="AH81">
            <v>306915</v>
          </cell>
          <cell r="AI81">
            <v>2412799</v>
          </cell>
          <cell r="AJ81">
            <v>91204</v>
          </cell>
          <cell r="AK81">
            <v>14307293</v>
          </cell>
          <cell r="AL81">
            <v>33988</v>
          </cell>
          <cell r="AM81">
            <v>336474780</v>
          </cell>
        </row>
        <row r="83">
          <cell r="A83" t="str">
            <v>August</v>
          </cell>
        </row>
        <row r="84">
          <cell r="A84" t="str">
            <v xml:space="preserve">   Additions</v>
          </cell>
          <cell r="D84">
            <v>135928</v>
          </cell>
          <cell r="E84">
            <v>461082</v>
          </cell>
          <cell r="F84">
            <v>0</v>
          </cell>
          <cell r="G84">
            <v>0</v>
          </cell>
          <cell r="H84">
            <v>-4490</v>
          </cell>
          <cell r="J84">
            <v>93458</v>
          </cell>
          <cell r="K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1069</v>
          </cell>
          <cell r="R84">
            <v>0</v>
          </cell>
          <cell r="T84">
            <v>0</v>
          </cell>
          <cell r="U84">
            <v>925467</v>
          </cell>
          <cell r="W84">
            <v>0</v>
          </cell>
          <cell r="X84">
            <v>0</v>
          </cell>
          <cell r="Y84">
            <v>90863</v>
          </cell>
          <cell r="AA84">
            <v>11841</v>
          </cell>
          <cell r="AB84">
            <v>0</v>
          </cell>
          <cell r="AC84">
            <v>178132</v>
          </cell>
          <cell r="AD84">
            <v>47670</v>
          </cell>
          <cell r="AE84">
            <v>64187</v>
          </cell>
          <cell r="AF84">
            <v>562</v>
          </cell>
          <cell r="AG84">
            <v>758675</v>
          </cell>
          <cell r="AH84">
            <v>57720</v>
          </cell>
          <cell r="AI84">
            <v>78843</v>
          </cell>
          <cell r="AJ84">
            <v>0</v>
          </cell>
          <cell r="AK84">
            <v>91858</v>
          </cell>
          <cell r="AM84">
            <v>2992865</v>
          </cell>
        </row>
        <row r="86">
          <cell r="A86" t="str">
            <v xml:space="preserve">   Retirements</v>
          </cell>
          <cell r="C86">
            <v>33801</v>
          </cell>
          <cell r="D86">
            <v>11076</v>
          </cell>
          <cell r="P86">
            <v>1020668</v>
          </cell>
          <cell r="T86">
            <v>-568</v>
          </cell>
          <cell r="U86">
            <v>5872264</v>
          </cell>
          <cell r="Y86">
            <v>-36212</v>
          </cell>
          <cell r="AM86">
            <v>6901029</v>
          </cell>
        </row>
        <row r="88">
          <cell r="A88" t="str">
            <v xml:space="preserve">   Adjustments</v>
          </cell>
          <cell r="AM88">
            <v>0</v>
          </cell>
        </row>
        <row r="90">
          <cell r="A90" t="str">
            <v xml:space="preserve">   Work Order/Retirement Adjustments</v>
          </cell>
          <cell r="U90">
            <v>202391</v>
          </cell>
          <cell r="Y90">
            <v>0</v>
          </cell>
          <cell r="AA90">
            <v>-7902</v>
          </cell>
          <cell r="AC90">
            <v>-121144</v>
          </cell>
          <cell r="AD90">
            <v>9250</v>
          </cell>
          <cell r="AE90">
            <v>10746</v>
          </cell>
          <cell r="AF90">
            <v>0</v>
          </cell>
          <cell r="AG90">
            <v>-537552</v>
          </cell>
          <cell r="AH90">
            <v>-46362</v>
          </cell>
          <cell r="AI90">
            <v>-34893</v>
          </cell>
          <cell r="AK90">
            <v>-59506</v>
          </cell>
          <cell r="AM90">
            <v>-584972</v>
          </cell>
        </row>
        <row r="91">
          <cell r="A91" t="str">
            <v>August Balance</v>
          </cell>
          <cell r="B91">
            <v>5035284</v>
          </cell>
          <cell r="C91">
            <v>601343</v>
          </cell>
          <cell r="D91">
            <v>2257084</v>
          </cell>
          <cell r="E91">
            <v>1554383</v>
          </cell>
          <cell r="F91">
            <v>26257</v>
          </cell>
          <cell r="G91">
            <v>187104</v>
          </cell>
          <cell r="H91">
            <v>2761360</v>
          </cell>
          <cell r="I91">
            <v>132479</v>
          </cell>
          <cell r="J91">
            <v>43050567</v>
          </cell>
          <cell r="K91">
            <v>1409547</v>
          </cell>
          <cell r="L91">
            <v>520243</v>
          </cell>
          <cell r="M91">
            <v>887631</v>
          </cell>
          <cell r="N91">
            <v>423430</v>
          </cell>
          <cell r="O91">
            <v>0</v>
          </cell>
          <cell r="P91">
            <v>79729</v>
          </cell>
          <cell r="Q91">
            <v>289591</v>
          </cell>
          <cell r="R91">
            <v>153185</v>
          </cell>
          <cell r="S91">
            <v>44681</v>
          </cell>
          <cell r="T91">
            <v>11152127</v>
          </cell>
          <cell r="U91">
            <v>80483849</v>
          </cell>
          <cell r="V91">
            <v>415223</v>
          </cell>
          <cell r="W91">
            <v>3567148</v>
          </cell>
          <cell r="X91">
            <v>596204</v>
          </cell>
          <cell r="Y91">
            <v>25759291</v>
          </cell>
          <cell r="Z91">
            <v>3435151</v>
          </cell>
          <cell r="AA91">
            <v>1631973</v>
          </cell>
          <cell r="AB91">
            <v>313357</v>
          </cell>
          <cell r="AC91">
            <v>28008744</v>
          </cell>
          <cell r="AD91">
            <v>3361440</v>
          </cell>
          <cell r="AE91">
            <v>23199212</v>
          </cell>
          <cell r="AF91">
            <v>2137254</v>
          </cell>
          <cell r="AG91">
            <v>71266914</v>
          </cell>
          <cell r="AH91">
            <v>318273</v>
          </cell>
          <cell r="AI91">
            <v>2456749</v>
          </cell>
          <cell r="AJ91">
            <v>91204</v>
          </cell>
          <cell r="AK91">
            <v>14339645</v>
          </cell>
          <cell r="AL91">
            <v>33988</v>
          </cell>
          <cell r="AM91">
            <v>331981644</v>
          </cell>
        </row>
        <row r="93">
          <cell r="A93" t="str">
            <v>September</v>
          </cell>
        </row>
        <row r="94">
          <cell r="A94" t="str">
            <v xml:space="preserve">   Additions</v>
          </cell>
          <cell r="C94">
            <v>0</v>
          </cell>
          <cell r="D94">
            <v>37633</v>
          </cell>
          <cell r="E94">
            <v>0</v>
          </cell>
          <cell r="F94">
            <v>0</v>
          </cell>
          <cell r="G94">
            <v>8980</v>
          </cell>
          <cell r="H94">
            <v>52637</v>
          </cell>
          <cell r="J94">
            <v>335706</v>
          </cell>
          <cell r="K94">
            <v>167549</v>
          </cell>
          <cell r="M94">
            <v>1577</v>
          </cell>
          <cell r="N94">
            <v>0</v>
          </cell>
          <cell r="O94">
            <v>0</v>
          </cell>
          <cell r="P94">
            <v>0</v>
          </cell>
          <cell r="Q94">
            <v>5257</v>
          </cell>
          <cell r="R94">
            <v>0</v>
          </cell>
          <cell r="T94">
            <v>130638</v>
          </cell>
          <cell r="U94">
            <v>439955</v>
          </cell>
          <cell r="W94">
            <v>0</v>
          </cell>
          <cell r="X94">
            <v>0</v>
          </cell>
          <cell r="Y94">
            <v>715830</v>
          </cell>
          <cell r="Z94">
            <v>46298</v>
          </cell>
          <cell r="AA94">
            <v>106800</v>
          </cell>
          <cell r="AB94">
            <v>0</v>
          </cell>
          <cell r="AC94">
            <v>17246</v>
          </cell>
          <cell r="AD94">
            <v>46591</v>
          </cell>
          <cell r="AE94">
            <v>225220</v>
          </cell>
          <cell r="AF94">
            <v>3136</v>
          </cell>
          <cell r="AG94">
            <v>70495</v>
          </cell>
          <cell r="AH94">
            <v>11270</v>
          </cell>
          <cell r="AI94">
            <v>19117</v>
          </cell>
          <cell r="AJ94">
            <v>0</v>
          </cell>
          <cell r="AK94">
            <v>61299</v>
          </cell>
          <cell r="AM94">
            <v>2503234</v>
          </cell>
        </row>
        <row r="96">
          <cell r="A96" t="str">
            <v xml:space="preserve">   Retirements</v>
          </cell>
          <cell r="U96">
            <v>417455</v>
          </cell>
          <cell r="Y96">
            <v>1348447</v>
          </cell>
          <cell r="AM96">
            <v>1765902</v>
          </cell>
        </row>
        <row r="98">
          <cell r="A98" t="str">
            <v xml:space="preserve">   Adjustments</v>
          </cell>
          <cell r="AM98">
            <v>0</v>
          </cell>
        </row>
        <row r="100">
          <cell r="A100" t="str">
            <v xml:space="preserve">   Work Order/Retirement Adjustments</v>
          </cell>
          <cell r="U100">
            <v>-274000</v>
          </cell>
          <cell r="Y100">
            <v>105841</v>
          </cell>
          <cell r="AA100">
            <v>-266</v>
          </cell>
          <cell r="AC100">
            <v>-6004</v>
          </cell>
          <cell r="AD100">
            <v>22376</v>
          </cell>
          <cell r="AE100">
            <v>-123508</v>
          </cell>
          <cell r="AF100">
            <v>-3136</v>
          </cell>
          <cell r="AG100">
            <v>342034</v>
          </cell>
          <cell r="AH100">
            <v>-11298</v>
          </cell>
          <cell r="AI100">
            <v>-6502</v>
          </cell>
          <cell r="AK100">
            <v>143462</v>
          </cell>
          <cell r="AM100">
            <v>188999</v>
          </cell>
        </row>
        <row r="101">
          <cell r="A101" t="str">
            <v>September Balance</v>
          </cell>
          <cell r="B101">
            <v>5035284</v>
          </cell>
          <cell r="C101">
            <v>601343</v>
          </cell>
          <cell r="D101">
            <v>2294717</v>
          </cell>
          <cell r="E101">
            <v>1554383</v>
          </cell>
          <cell r="F101">
            <v>26257</v>
          </cell>
          <cell r="G101">
            <v>196084</v>
          </cell>
          <cell r="H101">
            <v>2813997</v>
          </cell>
          <cell r="I101">
            <v>132479</v>
          </cell>
          <cell r="J101">
            <v>43386273</v>
          </cell>
          <cell r="K101">
            <v>1577096</v>
          </cell>
          <cell r="L101">
            <v>520243</v>
          </cell>
          <cell r="M101">
            <v>889208</v>
          </cell>
          <cell r="N101">
            <v>423430</v>
          </cell>
          <cell r="O101">
            <v>0</v>
          </cell>
          <cell r="P101">
            <v>79729</v>
          </cell>
          <cell r="Q101">
            <v>294848</v>
          </cell>
          <cell r="R101">
            <v>153185</v>
          </cell>
          <cell r="S101">
            <v>44681</v>
          </cell>
          <cell r="T101">
            <v>11282765</v>
          </cell>
          <cell r="U101">
            <v>80232349</v>
          </cell>
          <cell r="V101">
            <v>415223</v>
          </cell>
          <cell r="W101">
            <v>3567148</v>
          </cell>
          <cell r="X101">
            <v>596204</v>
          </cell>
          <cell r="Y101">
            <v>25232515</v>
          </cell>
          <cell r="Z101">
            <v>3481449</v>
          </cell>
          <cell r="AA101">
            <v>1738507</v>
          </cell>
          <cell r="AB101">
            <v>313357</v>
          </cell>
          <cell r="AC101">
            <v>28019986</v>
          </cell>
          <cell r="AD101">
            <v>3430407</v>
          </cell>
          <cell r="AE101">
            <v>23300924</v>
          </cell>
          <cell r="AF101">
            <v>2137254</v>
          </cell>
          <cell r="AG101">
            <v>71679443</v>
          </cell>
          <cell r="AH101">
            <v>318245</v>
          </cell>
          <cell r="AI101">
            <v>2469364</v>
          </cell>
          <cell r="AJ101">
            <v>91204</v>
          </cell>
          <cell r="AK101">
            <v>14544406</v>
          </cell>
          <cell r="AL101">
            <v>33988</v>
          </cell>
          <cell r="AM101">
            <v>332907975</v>
          </cell>
        </row>
        <row r="103">
          <cell r="A103" t="str">
            <v>October</v>
          </cell>
        </row>
        <row r="104">
          <cell r="A104" t="str">
            <v xml:space="preserve">   Additions</v>
          </cell>
          <cell r="H104">
            <v>-650</v>
          </cell>
          <cell r="T104">
            <v>16894</v>
          </cell>
          <cell r="U104">
            <v>18480</v>
          </cell>
          <cell r="Y104">
            <v>7741</v>
          </cell>
          <cell r="AA104">
            <v>4104</v>
          </cell>
          <cell r="AC104">
            <v>-967</v>
          </cell>
          <cell r="AD104">
            <v>1404</v>
          </cell>
          <cell r="AE104">
            <v>13161</v>
          </cell>
          <cell r="AG104">
            <v>43733</v>
          </cell>
          <cell r="AI104">
            <v>3883</v>
          </cell>
          <cell r="AK104">
            <v>87683</v>
          </cell>
          <cell r="AM104">
            <v>195466</v>
          </cell>
        </row>
        <row r="106">
          <cell r="A106" t="str">
            <v xml:space="preserve">   Retirements</v>
          </cell>
          <cell r="C106">
            <v>33801</v>
          </cell>
          <cell r="U106">
            <v>150448</v>
          </cell>
          <cell r="Y106">
            <v>367773</v>
          </cell>
          <cell r="AM106">
            <v>552022</v>
          </cell>
        </row>
        <row r="108">
          <cell r="A108" t="str">
            <v xml:space="preserve">   Adjustments</v>
          </cell>
          <cell r="U108">
            <v>18722</v>
          </cell>
          <cell r="Y108">
            <v>-18722</v>
          </cell>
          <cell r="AM108">
            <v>0</v>
          </cell>
        </row>
        <row r="110">
          <cell r="A110" t="str">
            <v xml:space="preserve">   Work Order/Retirement Adjustments</v>
          </cell>
          <cell r="U110">
            <v>0</v>
          </cell>
          <cell r="Y110">
            <v>21552</v>
          </cell>
          <cell r="AA110">
            <v>3474</v>
          </cell>
          <cell r="AC110">
            <v>34981</v>
          </cell>
          <cell r="AD110">
            <v>441652</v>
          </cell>
          <cell r="AE110">
            <v>5340</v>
          </cell>
          <cell r="AF110">
            <v>62355</v>
          </cell>
          <cell r="AG110">
            <v>205182</v>
          </cell>
          <cell r="AH110">
            <v>36487</v>
          </cell>
          <cell r="AI110">
            <v>-1675</v>
          </cell>
          <cell r="AK110">
            <v>-54866</v>
          </cell>
          <cell r="AM110">
            <v>754482</v>
          </cell>
        </row>
        <row r="111">
          <cell r="A111" t="str">
            <v>October Balance</v>
          </cell>
          <cell r="B111">
            <v>5035284</v>
          </cell>
          <cell r="C111">
            <v>567542</v>
          </cell>
          <cell r="D111">
            <v>2294717</v>
          </cell>
          <cell r="E111">
            <v>1554383</v>
          </cell>
          <cell r="F111">
            <v>26257</v>
          </cell>
          <cell r="G111">
            <v>196084</v>
          </cell>
          <cell r="H111">
            <v>2813347</v>
          </cell>
          <cell r="I111">
            <v>132479</v>
          </cell>
          <cell r="J111">
            <v>43386273</v>
          </cell>
          <cell r="K111">
            <v>1577096</v>
          </cell>
          <cell r="L111">
            <v>520243</v>
          </cell>
          <cell r="M111">
            <v>889208</v>
          </cell>
          <cell r="N111">
            <v>423430</v>
          </cell>
          <cell r="O111">
            <v>0</v>
          </cell>
          <cell r="P111">
            <v>79729</v>
          </cell>
          <cell r="Q111">
            <v>294848</v>
          </cell>
          <cell r="R111">
            <v>153185</v>
          </cell>
          <cell r="S111">
            <v>44681</v>
          </cell>
          <cell r="T111">
            <v>11299659</v>
          </cell>
          <cell r="U111">
            <v>80119103</v>
          </cell>
          <cell r="V111">
            <v>415223</v>
          </cell>
          <cell r="W111">
            <v>3567148</v>
          </cell>
          <cell r="X111">
            <v>596204</v>
          </cell>
          <cell r="Y111">
            <v>24875313</v>
          </cell>
          <cell r="Z111">
            <v>3481449</v>
          </cell>
          <cell r="AA111">
            <v>1746085</v>
          </cell>
          <cell r="AB111">
            <v>313357</v>
          </cell>
          <cell r="AC111">
            <v>28054000</v>
          </cell>
          <cell r="AD111">
            <v>3873463</v>
          </cell>
          <cell r="AE111">
            <v>23319425</v>
          </cell>
          <cell r="AF111">
            <v>2199609</v>
          </cell>
          <cell r="AG111">
            <v>71928358</v>
          </cell>
          <cell r="AH111">
            <v>354732</v>
          </cell>
          <cell r="AI111">
            <v>2471572</v>
          </cell>
          <cell r="AJ111">
            <v>91204</v>
          </cell>
          <cell r="AK111">
            <v>14577223</v>
          </cell>
          <cell r="AL111">
            <v>33988</v>
          </cell>
          <cell r="AM111">
            <v>333305901</v>
          </cell>
        </row>
        <row r="113">
          <cell r="A113" t="str">
            <v>November</v>
          </cell>
        </row>
        <row r="114">
          <cell r="A114" t="str">
            <v xml:space="preserve">   Additions</v>
          </cell>
          <cell r="E114">
            <v>6223</v>
          </cell>
          <cell r="G114">
            <v>-4490</v>
          </cell>
          <cell r="H114">
            <v>12078</v>
          </cell>
          <cell r="J114">
            <v>196623</v>
          </cell>
          <cell r="K114">
            <v>21308</v>
          </cell>
          <cell r="M114">
            <v>4090</v>
          </cell>
          <cell r="P114">
            <v>3090</v>
          </cell>
          <cell r="T114">
            <v>21715</v>
          </cell>
          <cell r="U114">
            <v>254744</v>
          </cell>
          <cell r="Y114">
            <v>289309</v>
          </cell>
          <cell r="AA114">
            <v>1253</v>
          </cell>
          <cell r="AC114">
            <v>166739</v>
          </cell>
          <cell r="AD114">
            <v>625596</v>
          </cell>
          <cell r="AE114">
            <v>181971</v>
          </cell>
          <cell r="AF114">
            <v>86090</v>
          </cell>
          <cell r="AG114">
            <v>966314</v>
          </cell>
          <cell r="AH114">
            <v>135577</v>
          </cell>
          <cell r="AI114">
            <v>-17961</v>
          </cell>
          <cell r="AK114">
            <v>129301</v>
          </cell>
          <cell r="AM114">
            <v>3079570</v>
          </cell>
        </row>
        <row r="116">
          <cell r="A116" t="str">
            <v xml:space="preserve">   Retirements</v>
          </cell>
          <cell r="J116">
            <v>242411</v>
          </cell>
          <cell r="K116">
            <v>35534</v>
          </cell>
          <cell r="T116">
            <v>234120</v>
          </cell>
          <cell r="U116">
            <v>136907</v>
          </cell>
          <cell r="AM116">
            <v>648972</v>
          </cell>
        </row>
        <row r="118">
          <cell r="A118" t="str">
            <v xml:space="preserve">   Adjustments</v>
          </cell>
          <cell r="AM118">
            <v>0</v>
          </cell>
        </row>
        <row r="120">
          <cell r="A120" t="str">
            <v xml:space="preserve">   Work Order/Retirement Adjustments</v>
          </cell>
          <cell r="U120">
            <v>-44155</v>
          </cell>
          <cell r="Y120">
            <v>106542</v>
          </cell>
          <cell r="AA120">
            <v>-3079</v>
          </cell>
          <cell r="AC120">
            <v>-119404</v>
          </cell>
          <cell r="AD120">
            <v>-622731</v>
          </cell>
          <cell r="AE120">
            <v>-137655</v>
          </cell>
          <cell r="AF120">
            <v>-62355</v>
          </cell>
          <cell r="AG120">
            <v>-370220</v>
          </cell>
          <cell r="AH120">
            <v>-86747</v>
          </cell>
          <cell r="AI120">
            <v>29475</v>
          </cell>
          <cell r="AK120">
            <v>-126507</v>
          </cell>
          <cell r="AM120">
            <v>-1436836</v>
          </cell>
        </row>
        <row r="121">
          <cell r="A121" t="str">
            <v>November Balance</v>
          </cell>
          <cell r="B121">
            <v>5035284</v>
          </cell>
          <cell r="C121">
            <v>567542</v>
          </cell>
          <cell r="D121">
            <v>2294717</v>
          </cell>
          <cell r="E121">
            <v>1560606</v>
          </cell>
          <cell r="F121">
            <v>26257</v>
          </cell>
          <cell r="G121">
            <v>191594</v>
          </cell>
          <cell r="H121">
            <v>2825425</v>
          </cell>
          <cell r="I121">
            <v>132479</v>
          </cell>
          <cell r="J121">
            <v>43340485</v>
          </cell>
          <cell r="K121">
            <v>1562870</v>
          </cell>
          <cell r="L121">
            <v>520243</v>
          </cell>
          <cell r="M121">
            <v>893298</v>
          </cell>
          <cell r="N121">
            <v>423430</v>
          </cell>
          <cell r="O121">
            <v>0</v>
          </cell>
          <cell r="P121">
            <v>82819</v>
          </cell>
          <cell r="Q121">
            <v>294848</v>
          </cell>
          <cell r="R121">
            <v>153185</v>
          </cell>
          <cell r="S121">
            <v>44681</v>
          </cell>
          <cell r="T121">
            <v>11087254</v>
          </cell>
          <cell r="U121">
            <v>80192785</v>
          </cell>
          <cell r="V121">
            <v>415223</v>
          </cell>
          <cell r="W121">
            <v>3567148</v>
          </cell>
          <cell r="X121">
            <v>596204</v>
          </cell>
          <cell r="Y121">
            <v>25271164</v>
          </cell>
          <cell r="Z121">
            <v>3481449</v>
          </cell>
          <cell r="AA121">
            <v>1744259</v>
          </cell>
          <cell r="AB121">
            <v>313357</v>
          </cell>
          <cell r="AC121">
            <v>28101335</v>
          </cell>
          <cell r="AD121">
            <v>3876328</v>
          </cell>
          <cell r="AE121">
            <v>23363741</v>
          </cell>
          <cell r="AF121">
            <v>2223344</v>
          </cell>
          <cell r="AG121">
            <v>72524452</v>
          </cell>
          <cell r="AH121">
            <v>403562</v>
          </cell>
          <cell r="AI121">
            <v>2483086</v>
          </cell>
          <cell r="AJ121">
            <v>91204</v>
          </cell>
          <cell r="AK121">
            <v>14580017</v>
          </cell>
          <cell r="AL121">
            <v>33988</v>
          </cell>
          <cell r="AM121">
            <v>334299663</v>
          </cell>
        </row>
        <row r="123">
          <cell r="A123" t="str">
            <v>December</v>
          </cell>
        </row>
        <row r="124">
          <cell r="A124" t="str">
            <v xml:space="preserve">   Additions</v>
          </cell>
          <cell r="D124">
            <v>65690</v>
          </cell>
          <cell r="E124">
            <v>7620</v>
          </cell>
          <cell r="H124">
            <v>4574</v>
          </cell>
          <cell r="J124">
            <v>117850</v>
          </cell>
          <cell r="K124">
            <v>18875</v>
          </cell>
          <cell r="M124">
            <v>10295</v>
          </cell>
          <cell r="Q124">
            <v>520</v>
          </cell>
          <cell r="T124">
            <v>375941</v>
          </cell>
          <cell r="U124">
            <v>1014043</v>
          </cell>
          <cell r="W124">
            <v>9804</v>
          </cell>
          <cell r="Y124">
            <v>1473419</v>
          </cell>
          <cell r="Z124">
            <v>496981</v>
          </cell>
          <cell r="AA124">
            <v>14</v>
          </cell>
          <cell r="AC124">
            <v>565057</v>
          </cell>
          <cell r="AD124">
            <v>54969</v>
          </cell>
          <cell r="AE124">
            <v>161917</v>
          </cell>
          <cell r="AG124">
            <v>1430235</v>
          </cell>
          <cell r="AH124">
            <v>2790</v>
          </cell>
          <cell r="AI124">
            <v>94099</v>
          </cell>
          <cell r="AK124">
            <v>137584</v>
          </cell>
          <cell r="AM124">
            <v>6042277</v>
          </cell>
        </row>
        <row r="126">
          <cell r="A126" t="str">
            <v xml:space="preserve">   Retirements</v>
          </cell>
          <cell r="U126">
            <v>-251</v>
          </cell>
          <cell r="Y126">
            <v>4709</v>
          </cell>
          <cell r="Z126">
            <v>301947</v>
          </cell>
          <cell r="AA126">
            <v>9077</v>
          </cell>
          <cell r="AC126">
            <v>31916</v>
          </cell>
          <cell r="AE126">
            <v>2918</v>
          </cell>
          <cell r="AG126">
            <v>44283</v>
          </cell>
          <cell r="AI126">
            <v>191</v>
          </cell>
          <cell r="AM126">
            <v>394790</v>
          </cell>
        </row>
        <row r="128">
          <cell r="A128" t="str">
            <v xml:space="preserve">   Adjustments</v>
          </cell>
          <cell r="AM128">
            <v>0</v>
          </cell>
        </row>
        <row r="130">
          <cell r="A130" t="str">
            <v xml:space="preserve">   Work Order/Retirement Adjustments</v>
          </cell>
          <cell r="U130">
            <v>-1481531</v>
          </cell>
          <cell r="Y130">
            <v>-827229</v>
          </cell>
          <cell r="AA130">
            <v>2197</v>
          </cell>
          <cell r="AC130">
            <v>-541700</v>
          </cell>
          <cell r="AD130">
            <v>-54969</v>
          </cell>
          <cell r="AE130">
            <v>-135012</v>
          </cell>
          <cell r="AF130">
            <v>0</v>
          </cell>
          <cell r="AG130">
            <v>-1748638</v>
          </cell>
          <cell r="AH130">
            <v>-2790</v>
          </cell>
          <cell r="AI130">
            <v>-108409</v>
          </cell>
          <cell r="AK130">
            <v>-345435</v>
          </cell>
          <cell r="AM130">
            <v>-5243516</v>
          </cell>
        </row>
        <row r="131">
          <cell r="A131" t="str">
            <v>December Balance</v>
          </cell>
          <cell r="B131">
            <v>5035284</v>
          </cell>
          <cell r="C131">
            <v>567542</v>
          </cell>
          <cell r="D131">
            <v>2360407</v>
          </cell>
          <cell r="E131">
            <v>1568226</v>
          </cell>
          <cell r="F131">
            <v>26257</v>
          </cell>
          <cell r="G131">
            <v>191594</v>
          </cell>
          <cell r="H131">
            <v>2829999</v>
          </cell>
          <cell r="I131">
            <v>132479</v>
          </cell>
          <cell r="J131">
            <v>43458335</v>
          </cell>
          <cell r="K131">
            <v>1581745</v>
          </cell>
          <cell r="L131">
            <v>520243</v>
          </cell>
          <cell r="M131">
            <v>903593</v>
          </cell>
          <cell r="N131">
            <v>423430</v>
          </cell>
          <cell r="O131">
            <v>0</v>
          </cell>
          <cell r="P131">
            <v>82819</v>
          </cell>
          <cell r="Q131">
            <v>295368</v>
          </cell>
          <cell r="R131">
            <v>153185</v>
          </cell>
          <cell r="S131">
            <v>44681</v>
          </cell>
          <cell r="T131">
            <v>11463195</v>
          </cell>
          <cell r="U131">
            <v>79725548</v>
          </cell>
          <cell r="V131">
            <v>415223</v>
          </cell>
          <cell r="W131">
            <v>3576952</v>
          </cell>
          <cell r="X131">
            <v>596204</v>
          </cell>
          <cell r="Y131">
            <v>25912645</v>
          </cell>
          <cell r="Z131">
            <v>3676483</v>
          </cell>
          <cell r="AA131">
            <v>1737393</v>
          </cell>
          <cell r="AB131">
            <v>313357</v>
          </cell>
          <cell r="AC131">
            <v>28092776</v>
          </cell>
          <cell r="AD131">
            <v>3876328</v>
          </cell>
          <cell r="AE131">
            <v>23387728</v>
          </cell>
          <cell r="AF131">
            <v>2223344</v>
          </cell>
          <cell r="AG131">
            <v>72161766</v>
          </cell>
          <cell r="AH131">
            <v>403562</v>
          </cell>
          <cell r="AI131">
            <v>2468585</v>
          </cell>
          <cell r="AJ131">
            <v>91204</v>
          </cell>
          <cell r="AK131">
            <v>14372166</v>
          </cell>
          <cell r="AL131">
            <v>33988</v>
          </cell>
          <cell r="AM131">
            <v>334703634</v>
          </cell>
        </row>
        <row r="133">
          <cell r="A133" t="str">
            <v xml:space="preserve">13th Month </v>
          </cell>
        </row>
        <row r="134">
          <cell r="A134" t="str">
            <v xml:space="preserve">   Additions</v>
          </cell>
          <cell r="H134">
            <v>26121</v>
          </cell>
          <cell r="J134">
            <v>177144</v>
          </cell>
          <cell r="K134">
            <v>11348</v>
          </cell>
          <cell r="M134">
            <v>11631</v>
          </cell>
          <cell r="T134">
            <v>324020</v>
          </cell>
          <cell r="U134">
            <v>1653922</v>
          </cell>
          <cell r="Y134">
            <v>1116229</v>
          </cell>
          <cell r="Z134">
            <v>-65924</v>
          </cell>
          <cell r="AA134">
            <v>-96783</v>
          </cell>
          <cell r="AC134">
            <v>72557</v>
          </cell>
          <cell r="AD134">
            <v>74865</v>
          </cell>
          <cell r="AE134">
            <v>78111</v>
          </cell>
          <cell r="AF134">
            <v>-24325</v>
          </cell>
          <cell r="AG134">
            <v>841242</v>
          </cell>
          <cell r="AH134">
            <v>-16060</v>
          </cell>
          <cell r="AI134">
            <v>10384</v>
          </cell>
          <cell r="AK134">
            <v>478015</v>
          </cell>
          <cell r="AM134">
            <v>4672497</v>
          </cell>
        </row>
        <row r="136">
          <cell r="A136" t="str">
            <v xml:space="preserve">   Retirements</v>
          </cell>
          <cell r="J136">
            <v>-42937</v>
          </cell>
          <cell r="U136">
            <v>9920</v>
          </cell>
          <cell r="Z136">
            <v>-76935</v>
          </cell>
          <cell r="AM136">
            <v>-109952</v>
          </cell>
        </row>
        <row r="138">
          <cell r="A138" t="str">
            <v xml:space="preserve">   Adjustments</v>
          </cell>
          <cell r="AM138">
            <v>0</v>
          </cell>
        </row>
        <row r="140">
          <cell r="A140" t="str">
            <v xml:space="preserve">   Work Order Adjustments</v>
          </cell>
          <cell r="AM140">
            <v>0</v>
          </cell>
        </row>
        <row r="141">
          <cell r="A141" t="str">
            <v>13th Month Balance</v>
          </cell>
          <cell r="B141">
            <v>5035284</v>
          </cell>
          <cell r="C141">
            <v>567542</v>
          </cell>
          <cell r="D141">
            <v>2360407</v>
          </cell>
          <cell r="E141">
            <v>1568226</v>
          </cell>
          <cell r="F141">
            <v>26257</v>
          </cell>
          <cell r="G141">
            <v>191594</v>
          </cell>
          <cell r="H141">
            <v>2856120</v>
          </cell>
          <cell r="I141">
            <v>132479</v>
          </cell>
          <cell r="J141">
            <v>43678416</v>
          </cell>
          <cell r="K141">
            <v>1593093</v>
          </cell>
          <cell r="L141">
            <v>520243</v>
          </cell>
          <cell r="M141">
            <v>915224</v>
          </cell>
          <cell r="N141">
            <v>423430</v>
          </cell>
          <cell r="O141">
            <v>0</v>
          </cell>
          <cell r="P141">
            <v>82819</v>
          </cell>
          <cell r="Q141">
            <v>295368</v>
          </cell>
          <cell r="R141">
            <v>153185</v>
          </cell>
          <cell r="S141">
            <v>44681</v>
          </cell>
          <cell r="T141">
            <v>11787215</v>
          </cell>
          <cell r="U141">
            <v>81369550</v>
          </cell>
          <cell r="V141">
            <v>415223</v>
          </cell>
          <cell r="W141">
            <v>3576952</v>
          </cell>
          <cell r="X141">
            <v>596204</v>
          </cell>
          <cell r="Y141">
            <v>27028874</v>
          </cell>
          <cell r="Z141">
            <v>3687494</v>
          </cell>
          <cell r="AA141">
            <v>1640610</v>
          </cell>
          <cell r="AB141">
            <v>313357</v>
          </cell>
          <cell r="AC141">
            <v>28165333</v>
          </cell>
          <cell r="AD141">
            <v>3951193</v>
          </cell>
          <cell r="AE141">
            <v>23465839</v>
          </cell>
          <cell r="AF141">
            <v>2199019</v>
          </cell>
          <cell r="AG141">
            <v>73003008</v>
          </cell>
          <cell r="AH141">
            <v>387502</v>
          </cell>
          <cell r="AI141">
            <v>2478969</v>
          </cell>
          <cell r="AJ141">
            <v>91204</v>
          </cell>
          <cell r="AK141">
            <v>14850181</v>
          </cell>
          <cell r="AL141">
            <v>33988</v>
          </cell>
          <cell r="AM141">
            <v>339486083</v>
          </cell>
        </row>
        <row r="143">
          <cell r="A143" t="str">
            <v xml:space="preserve">14th Month </v>
          </cell>
        </row>
        <row r="144">
          <cell r="A144" t="str">
            <v xml:space="preserve">   Additions</v>
          </cell>
          <cell r="H144">
            <v>8</v>
          </cell>
          <cell r="J144">
            <v>229</v>
          </cell>
          <cell r="K144">
            <v>913</v>
          </cell>
          <cell r="T144">
            <v>129373</v>
          </cell>
          <cell r="U144">
            <v>-218052</v>
          </cell>
          <cell r="Y144">
            <v>168155</v>
          </cell>
          <cell r="AA144">
            <v>4874</v>
          </cell>
          <cell r="AC144">
            <v>45516</v>
          </cell>
          <cell r="AE144">
            <v>5565</v>
          </cell>
          <cell r="AG144">
            <v>58453</v>
          </cell>
          <cell r="AH144">
            <v>16</v>
          </cell>
          <cell r="AI144">
            <v>7099</v>
          </cell>
          <cell r="AK144">
            <v>1065</v>
          </cell>
          <cell r="AM144">
            <v>203214</v>
          </cell>
        </row>
        <row r="146">
          <cell r="A146" t="str">
            <v xml:space="preserve">   Retirements</v>
          </cell>
          <cell r="U146">
            <v>-9418</v>
          </cell>
          <cell r="AA146">
            <v>10052</v>
          </cell>
          <cell r="AC146">
            <v>87342</v>
          </cell>
          <cell r="AE146">
            <v>919</v>
          </cell>
          <cell r="AG146">
            <v>75214</v>
          </cell>
          <cell r="AI146">
            <v>7312</v>
          </cell>
          <cell r="AM146">
            <v>171421</v>
          </cell>
        </row>
        <row r="148">
          <cell r="A148" t="str">
            <v xml:space="preserve">   Adjustments</v>
          </cell>
          <cell r="U148">
            <v>536833</v>
          </cell>
          <cell r="AM148">
            <v>536833</v>
          </cell>
        </row>
        <row r="150">
          <cell r="A150" t="str">
            <v xml:space="preserve">   Work Order Adjustments</v>
          </cell>
          <cell r="AM150">
            <v>0</v>
          </cell>
        </row>
        <row r="151">
          <cell r="A151" t="str">
            <v>14th Month Balance</v>
          </cell>
          <cell r="B151">
            <v>5035284</v>
          </cell>
          <cell r="C151">
            <v>567542</v>
          </cell>
          <cell r="D151">
            <v>2360407</v>
          </cell>
          <cell r="E151">
            <v>1568226</v>
          </cell>
          <cell r="F151">
            <v>26257</v>
          </cell>
          <cell r="G151">
            <v>191594</v>
          </cell>
          <cell r="H151">
            <v>2856128</v>
          </cell>
          <cell r="I151">
            <v>132479</v>
          </cell>
          <cell r="J151">
            <v>43678645</v>
          </cell>
          <cell r="K151">
            <v>1594006</v>
          </cell>
          <cell r="L151">
            <v>520243</v>
          </cell>
          <cell r="M151">
            <v>915224</v>
          </cell>
          <cell r="N151">
            <v>423430</v>
          </cell>
          <cell r="O151">
            <v>0</v>
          </cell>
          <cell r="P151">
            <v>82819</v>
          </cell>
          <cell r="Q151">
            <v>295368</v>
          </cell>
          <cell r="R151">
            <v>153185</v>
          </cell>
          <cell r="S151">
            <v>44681</v>
          </cell>
          <cell r="T151">
            <v>11916588</v>
          </cell>
          <cell r="U151">
            <v>81697749</v>
          </cell>
          <cell r="V151">
            <v>415223</v>
          </cell>
          <cell r="W151">
            <v>3576952</v>
          </cell>
          <cell r="X151">
            <v>596204</v>
          </cell>
          <cell r="Y151">
            <v>27197029</v>
          </cell>
          <cell r="Z151">
            <v>3687494</v>
          </cell>
          <cell r="AA151">
            <v>1635432</v>
          </cell>
          <cell r="AB151">
            <v>313357</v>
          </cell>
          <cell r="AC151">
            <v>28123507</v>
          </cell>
          <cell r="AD151">
            <v>3951193</v>
          </cell>
          <cell r="AE151">
            <v>23470485</v>
          </cell>
          <cell r="AF151">
            <v>2199019</v>
          </cell>
          <cell r="AG151">
            <v>72986247</v>
          </cell>
          <cell r="AH151">
            <v>387518</v>
          </cell>
          <cell r="AI151">
            <v>2478756</v>
          </cell>
          <cell r="AJ151">
            <v>91204</v>
          </cell>
          <cell r="AK151">
            <v>14851246</v>
          </cell>
          <cell r="AL151">
            <v>33988</v>
          </cell>
          <cell r="AM151">
            <v>340054709</v>
          </cell>
        </row>
        <row r="153">
          <cell r="A153" t="str">
            <v>Audit Adjustments</v>
          </cell>
        </row>
        <row r="154">
          <cell r="A154" t="str">
            <v xml:space="preserve">   Additions</v>
          </cell>
          <cell r="AM154">
            <v>0</v>
          </cell>
        </row>
        <row r="156">
          <cell r="A156" t="str">
            <v xml:space="preserve">   Retirements</v>
          </cell>
          <cell r="AM156">
            <v>0</v>
          </cell>
        </row>
        <row r="158">
          <cell r="A158" t="str">
            <v xml:space="preserve">   Adjustments</v>
          </cell>
          <cell r="AM158">
            <v>0</v>
          </cell>
        </row>
        <row r="160">
          <cell r="A160" t="str">
            <v xml:space="preserve">   Work Order Adjustments</v>
          </cell>
          <cell r="AM160">
            <v>0</v>
          </cell>
        </row>
        <row r="161">
          <cell r="A161" t="str">
            <v>Final Balance</v>
          </cell>
          <cell r="B161">
            <v>5035284</v>
          </cell>
          <cell r="C161">
            <v>567542</v>
          </cell>
          <cell r="D161">
            <v>2360407</v>
          </cell>
          <cell r="E161">
            <v>1568226</v>
          </cell>
          <cell r="F161">
            <v>26257</v>
          </cell>
          <cell r="G161">
            <v>191594</v>
          </cell>
          <cell r="H161">
            <v>2856128</v>
          </cell>
          <cell r="I161">
            <v>132479</v>
          </cell>
          <cell r="J161">
            <v>43678645</v>
          </cell>
          <cell r="K161">
            <v>1594006</v>
          </cell>
          <cell r="L161">
            <v>520243</v>
          </cell>
          <cell r="M161">
            <v>915224</v>
          </cell>
          <cell r="N161">
            <v>423430</v>
          </cell>
          <cell r="O161">
            <v>0</v>
          </cell>
          <cell r="P161">
            <v>82819</v>
          </cell>
          <cell r="Q161">
            <v>295368</v>
          </cell>
          <cell r="R161">
            <v>153185</v>
          </cell>
          <cell r="S161">
            <v>44681</v>
          </cell>
          <cell r="T161">
            <v>11916588</v>
          </cell>
          <cell r="U161">
            <v>81697749</v>
          </cell>
          <cell r="V161">
            <v>415223</v>
          </cell>
          <cell r="W161">
            <v>3576952</v>
          </cell>
          <cell r="X161">
            <v>596204</v>
          </cell>
          <cell r="Y161">
            <v>27197029</v>
          </cell>
          <cell r="Z161">
            <v>3687494</v>
          </cell>
          <cell r="AA161">
            <v>1635432</v>
          </cell>
          <cell r="AB161">
            <v>313357</v>
          </cell>
          <cell r="AC161">
            <v>28123507</v>
          </cell>
          <cell r="AD161">
            <v>3951193</v>
          </cell>
          <cell r="AE161">
            <v>23470485</v>
          </cell>
          <cell r="AF161">
            <v>2199019</v>
          </cell>
          <cell r="AG161">
            <v>72986247</v>
          </cell>
          <cell r="AH161">
            <v>387518</v>
          </cell>
          <cell r="AI161">
            <v>2478756</v>
          </cell>
          <cell r="AJ161">
            <v>91204</v>
          </cell>
          <cell r="AK161">
            <v>14851246</v>
          </cell>
          <cell r="AL161">
            <v>33988</v>
          </cell>
          <cell r="AM161">
            <v>340054709</v>
          </cell>
        </row>
        <row r="165">
          <cell r="A165" t="str">
            <v>Year-to-Date Totals:</v>
          </cell>
        </row>
        <row r="166">
          <cell r="A166" t="str">
            <v>Beginning Balance</v>
          </cell>
          <cell r="B166">
            <v>5035284</v>
          </cell>
          <cell r="C166">
            <v>873881</v>
          </cell>
          <cell r="D166">
            <v>2179229</v>
          </cell>
          <cell r="E166">
            <v>1508182</v>
          </cell>
          <cell r="F166">
            <v>26257</v>
          </cell>
          <cell r="G166">
            <v>183770</v>
          </cell>
          <cell r="H166">
            <v>2857927</v>
          </cell>
          <cell r="I166">
            <v>132479</v>
          </cell>
          <cell r="J166">
            <v>42882483</v>
          </cell>
          <cell r="K166">
            <v>1423455</v>
          </cell>
          <cell r="L166">
            <v>520243</v>
          </cell>
          <cell r="M166">
            <v>887631</v>
          </cell>
          <cell r="N166">
            <v>423430</v>
          </cell>
          <cell r="O166">
            <v>0</v>
          </cell>
          <cell r="P166">
            <v>1168224</v>
          </cell>
          <cell r="Q166">
            <v>276642</v>
          </cell>
          <cell r="R166">
            <v>153185</v>
          </cell>
          <cell r="S166">
            <v>44681</v>
          </cell>
          <cell r="T166">
            <v>11055013</v>
          </cell>
          <cell r="U166">
            <v>84568646</v>
          </cell>
          <cell r="V166">
            <v>415223</v>
          </cell>
          <cell r="W166">
            <v>3616016</v>
          </cell>
          <cell r="X166">
            <v>596204</v>
          </cell>
          <cell r="Y166">
            <v>25615888</v>
          </cell>
          <cell r="Z166">
            <v>3435151</v>
          </cell>
          <cell r="AA166">
            <v>1625473</v>
          </cell>
          <cell r="AB166">
            <v>365104</v>
          </cell>
          <cell r="AC166">
            <v>27158873</v>
          </cell>
          <cell r="AD166">
            <v>3058156</v>
          </cell>
          <cell r="AE166">
            <v>22776445</v>
          </cell>
          <cell r="AF166">
            <v>2222425</v>
          </cell>
          <cell r="AG166">
            <v>68743777</v>
          </cell>
          <cell r="AH166">
            <v>212675</v>
          </cell>
          <cell r="AI166">
            <v>2272083</v>
          </cell>
          <cell r="AJ166">
            <v>91204</v>
          </cell>
          <cell r="AK166">
            <v>14003971</v>
          </cell>
          <cell r="AL166">
            <v>33988</v>
          </cell>
          <cell r="AM166">
            <v>332443298</v>
          </cell>
        </row>
        <row r="168">
          <cell r="A168" t="str">
            <v xml:space="preserve">   Additions</v>
          </cell>
          <cell r="B168">
            <v>0</v>
          </cell>
          <cell r="C168">
            <v>0</v>
          </cell>
          <cell r="D168">
            <v>239251</v>
          </cell>
          <cell r="E168">
            <v>474925</v>
          </cell>
          <cell r="F168">
            <v>0</v>
          </cell>
          <cell r="G168">
            <v>4490</v>
          </cell>
          <cell r="H168">
            <v>132009</v>
          </cell>
          <cell r="I168">
            <v>0</v>
          </cell>
          <cell r="J168">
            <v>995636</v>
          </cell>
          <cell r="K168">
            <v>220955</v>
          </cell>
          <cell r="L168">
            <v>0</v>
          </cell>
          <cell r="M168">
            <v>27593</v>
          </cell>
          <cell r="N168">
            <v>0</v>
          </cell>
          <cell r="O168">
            <v>0</v>
          </cell>
          <cell r="P168">
            <v>6739</v>
          </cell>
          <cell r="Q168">
            <v>18726</v>
          </cell>
          <cell r="R168">
            <v>0</v>
          </cell>
          <cell r="S168">
            <v>0</v>
          </cell>
          <cell r="T168">
            <v>1153774</v>
          </cell>
          <cell r="U168">
            <v>4093534</v>
          </cell>
          <cell r="V168">
            <v>0</v>
          </cell>
          <cell r="W168">
            <v>9804</v>
          </cell>
          <cell r="X168">
            <v>0</v>
          </cell>
          <cell r="Y168">
            <v>4577364</v>
          </cell>
          <cell r="Z168">
            <v>477355</v>
          </cell>
          <cell r="AA168">
            <v>37312</v>
          </cell>
          <cell r="AB168">
            <v>0</v>
          </cell>
          <cell r="AC168">
            <v>1095470</v>
          </cell>
          <cell r="AD168">
            <v>854692</v>
          </cell>
          <cell r="AE168">
            <v>782685</v>
          </cell>
          <cell r="AF168">
            <v>65213</v>
          </cell>
          <cell r="AG168">
            <v>4401790</v>
          </cell>
          <cell r="AH168">
            <v>191313</v>
          </cell>
          <cell r="AI168">
            <v>202888</v>
          </cell>
          <cell r="AJ168">
            <v>0</v>
          </cell>
          <cell r="AK168">
            <v>988505</v>
          </cell>
          <cell r="AL168">
            <v>0</v>
          </cell>
          <cell r="AM168">
            <v>21052023</v>
          </cell>
        </row>
        <row r="170">
          <cell r="A170" t="str">
            <v xml:space="preserve">   Retirements</v>
          </cell>
          <cell r="B170">
            <v>0</v>
          </cell>
          <cell r="C170">
            <v>306339</v>
          </cell>
          <cell r="D170">
            <v>58073</v>
          </cell>
          <cell r="E170">
            <v>414881</v>
          </cell>
          <cell r="F170">
            <v>0</v>
          </cell>
          <cell r="G170">
            <v>0</v>
          </cell>
          <cell r="H170">
            <v>25087</v>
          </cell>
          <cell r="I170">
            <v>0</v>
          </cell>
          <cell r="J170">
            <v>199474</v>
          </cell>
          <cell r="K170">
            <v>50404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1032584</v>
          </cell>
          <cell r="Q170">
            <v>0</v>
          </cell>
          <cell r="R170">
            <v>0</v>
          </cell>
          <cell r="S170">
            <v>0</v>
          </cell>
          <cell r="T170">
            <v>292199</v>
          </cell>
          <cell r="U170">
            <v>6719192</v>
          </cell>
          <cell r="V170">
            <v>0</v>
          </cell>
          <cell r="W170">
            <v>48868</v>
          </cell>
          <cell r="X170">
            <v>0</v>
          </cell>
          <cell r="Y170">
            <v>2717704</v>
          </cell>
          <cell r="Z170">
            <v>225012</v>
          </cell>
          <cell r="AA170">
            <v>27353</v>
          </cell>
          <cell r="AB170">
            <v>0</v>
          </cell>
          <cell r="AC170">
            <v>224106</v>
          </cell>
          <cell r="AD170">
            <v>0</v>
          </cell>
          <cell r="AE170">
            <v>5285</v>
          </cell>
          <cell r="AF170">
            <v>0</v>
          </cell>
          <cell r="AG170">
            <v>186352</v>
          </cell>
          <cell r="AH170">
            <v>0</v>
          </cell>
          <cell r="AI170">
            <v>11781</v>
          </cell>
          <cell r="AJ170">
            <v>0</v>
          </cell>
          <cell r="AK170">
            <v>5</v>
          </cell>
          <cell r="AL170">
            <v>0</v>
          </cell>
          <cell r="AM170">
            <v>12544699</v>
          </cell>
        </row>
        <row r="172">
          <cell r="A172" t="str">
            <v xml:space="preserve">   Adjustments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3334</v>
          </cell>
          <cell r="H172">
            <v>-108721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-59560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567089</v>
          </cell>
          <cell r="V172">
            <v>0</v>
          </cell>
          <cell r="W172">
            <v>0</v>
          </cell>
          <cell r="X172">
            <v>0</v>
          </cell>
          <cell r="Y172">
            <v>75131</v>
          </cell>
          <cell r="Z172">
            <v>0</v>
          </cell>
          <cell r="AA172">
            <v>0</v>
          </cell>
          <cell r="AB172">
            <v>-51747</v>
          </cell>
          <cell r="AC172">
            <v>51747</v>
          </cell>
          <cell r="AD172">
            <v>142993</v>
          </cell>
          <cell r="AE172">
            <v>-142993</v>
          </cell>
          <cell r="AF172">
            <v>-88619</v>
          </cell>
          <cell r="AG172">
            <v>88619</v>
          </cell>
          <cell r="AH172">
            <v>-16470</v>
          </cell>
          <cell r="AI172">
            <v>16470</v>
          </cell>
          <cell r="AJ172">
            <v>0</v>
          </cell>
          <cell r="AK172">
            <v>0</v>
          </cell>
          <cell r="AL172">
            <v>0</v>
          </cell>
          <cell r="AM172">
            <v>477273</v>
          </cell>
        </row>
        <row r="174">
          <cell r="A174" t="str">
            <v xml:space="preserve">   Work Order Adjustments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-812328</v>
          </cell>
          <cell r="V174">
            <v>0</v>
          </cell>
          <cell r="W174">
            <v>0</v>
          </cell>
          <cell r="X174">
            <v>0</v>
          </cell>
          <cell r="Y174">
            <v>-353650</v>
          </cell>
          <cell r="Z174">
            <v>0</v>
          </cell>
          <cell r="AA174">
            <v>0</v>
          </cell>
          <cell r="AB174">
            <v>0</v>
          </cell>
          <cell r="AC174">
            <v>41523</v>
          </cell>
          <cell r="AD174">
            <v>-104648</v>
          </cell>
          <cell r="AE174">
            <v>59633</v>
          </cell>
          <cell r="AF174">
            <v>0</v>
          </cell>
          <cell r="AG174">
            <v>-61587</v>
          </cell>
          <cell r="AH174">
            <v>0</v>
          </cell>
          <cell r="AI174">
            <v>-904</v>
          </cell>
          <cell r="AJ174">
            <v>0</v>
          </cell>
          <cell r="AK174">
            <v>-141225</v>
          </cell>
          <cell r="AL174">
            <v>0</v>
          </cell>
          <cell r="AM174">
            <v>-1373186</v>
          </cell>
        </row>
        <row r="175">
          <cell r="A175" t="str">
            <v>Year-to-Date Totals:</v>
          </cell>
          <cell r="B175">
            <v>5035284</v>
          </cell>
          <cell r="C175">
            <v>567542</v>
          </cell>
          <cell r="D175">
            <v>2360407</v>
          </cell>
          <cell r="E175">
            <v>1568226</v>
          </cell>
          <cell r="F175">
            <v>26257</v>
          </cell>
          <cell r="G175">
            <v>191594</v>
          </cell>
          <cell r="H175">
            <v>2856128</v>
          </cell>
          <cell r="I175">
            <v>132479</v>
          </cell>
          <cell r="J175">
            <v>43678645</v>
          </cell>
          <cell r="K175">
            <v>1594006</v>
          </cell>
          <cell r="L175">
            <v>520243</v>
          </cell>
          <cell r="M175">
            <v>915224</v>
          </cell>
          <cell r="N175">
            <v>423430</v>
          </cell>
          <cell r="O175">
            <v>0</v>
          </cell>
          <cell r="P175">
            <v>82819</v>
          </cell>
          <cell r="Q175">
            <v>295368</v>
          </cell>
          <cell r="R175">
            <v>153185</v>
          </cell>
          <cell r="S175">
            <v>44681</v>
          </cell>
          <cell r="T175">
            <v>11916588</v>
          </cell>
          <cell r="U175">
            <v>81697749</v>
          </cell>
          <cell r="V175">
            <v>415223</v>
          </cell>
          <cell r="W175">
            <v>3576952</v>
          </cell>
          <cell r="X175">
            <v>596204</v>
          </cell>
          <cell r="Y175">
            <v>27197029</v>
          </cell>
          <cell r="Z175">
            <v>3687494</v>
          </cell>
          <cell r="AA175">
            <v>1635432</v>
          </cell>
          <cell r="AB175">
            <v>313357</v>
          </cell>
          <cell r="AC175">
            <v>28123507</v>
          </cell>
          <cell r="AD175">
            <v>3951193</v>
          </cell>
          <cell r="AE175">
            <v>23470485</v>
          </cell>
          <cell r="AF175">
            <v>2199019</v>
          </cell>
          <cell r="AG175">
            <v>72986247</v>
          </cell>
          <cell r="AH175">
            <v>387518</v>
          </cell>
          <cell r="AI175">
            <v>2478756</v>
          </cell>
          <cell r="AJ175">
            <v>91204</v>
          </cell>
          <cell r="AK175">
            <v>14851246</v>
          </cell>
          <cell r="AL175">
            <v>33988</v>
          </cell>
          <cell r="AM175">
            <v>340054709</v>
          </cell>
        </row>
        <row r="178">
          <cell r="A178" t="str">
            <v>Work Order Adjustments Check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</row>
        <row r="180">
          <cell r="A180" t="str">
            <v>Outside Plant Additions</v>
          </cell>
          <cell r="AA180">
            <v>37312</v>
          </cell>
          <cell r="AB180">
            <v>0</v>
          </cell>
          <cell r="AC180">
            <v>1095470</v>
          </cell>
          <cell r="AD180">
            <v>854692</v>
          </cell>
          <cell r="AE180">
            <v>782685</v>
          </cell>
          <cell r="AF180">
            <v>65213</v>
          </cell>
          <cell r="AG180">
            <v>4401790</v>
          </cell>
          <cell r="AH180">
            <v>191313</v>
          </cell>
          <cell r="AI180">
            <v>202888</v>
          </cell>
          <cell r="AJ180">
            <v>0</v>
          </cell>
          <cell r="AK180">
            <v>988505</v>
          </cell>
        </row>
        <row r="181">
          <cell r="A181" t="str">
            <v>Inside Plant Additions</v>
          </cell>
          <cell r="B181">
            <v>0</v>
          </cell>
          <cell r="C181">
            <v>0</v>
          </cell>
          <cell r="D181">
            <v>239251</v>
          </cell>
          <cell r="E181">
            <v>474925</v>
          </cell>
          <cell r="F181">
            <v>0</v>
          </cell>
          <cell r="G181">
            <v>4490</v>
          </cell>
          <cell r="H181">
            <v>132009</v>
          </cell>
          <cell r="I181">
            <v>0</v>
          </cell>
          <cell r="J181">
            <v>995636</v>
          </cell>
          <cell r="K181">
            <v>220955</v>
          </cell>
          <cell r="L181">
            <v>0</v>
          </cell>
          <cell r="M181">
            <v>27593</v>
          </cell>
          <cell r="N181">
            <v>0</v>
          </cell>
          <cell r="O181">
            <v>0</v>
          </cell>
          <cell r="P181">
            <v>6739</v>
          </cell>
          <cell r="Q181">
            <v>18726</v>
          </cell>
          <cell r="R181">
            <v>0</v>
          </cell>
          <cell r="S181">
            <v>0</v>
          </cell>
          <cell r="T181">
            <v>1153774</v>
          </cell>
          <cell r="U181">
            <v>4093534</v>
          </cell>
          <cell r="V181">
            <v>0</v>
          </cell>
          <cell r="W181">
            <v>9804</v>
          </cell>
          <cell r="X181">
            <v>0</v>
          </cell>
          <cell r="Y181">
            <v>4577364</v>
          </cell>
          <cell r="Z181">
            <v>477355</v>
          </cell>
        </row>
      </sheetData>
      <sheetData sheetId="1">
        <row r="8">
          <cell r="C8" t="str">
            <v>3121-121</v>
          </cell>
          <cell r="D8" t="str">
            <v>3121-122</v>
          </cell>
          <cell r="E8" t="str">
            <v>3121-123</v>
          </cell>
          <cell r="F8" t="str">
            <v>3121-14</v>
          </cell>
          <cell r="G8" t="str">
            <v>3121-15</v>
          </cell>
          <cell r="H8" t="str">
            <v>3121-16</v>
          </cell>
          <cell r="I8" t="str">
            <v>3121-166</v>
          </cell>
          <cell r="J8" t="str">
            <v>3121-21</v>
          </cell>
          <cell r="K8" t="str">
            <v>3121-22</v>
          </cell>
          <cell r="L8" t="str">
            <v>3121-226</v>
          </cell>
          <cell r="M8" t="str">
            <v>3121-230</v>
          </cell>
          <cell r="N8" t="str">
            <v>3121-231</v>
          </cell>
          <cell r="O8" t="str">
            <v>3121-232</v>
          </cell>
          <cell r="P8" t="str">
            <v>3121-233</v>
          </cell>
          <cell r="Q8" t="str">
            <v>3121-234</v>
          </cell>
          <cell r="R8" t="str">
            <v>3121-235</v>
          </cell>
          <cell r="S8" t="str">
            <v>3121-236</v>
          </cell>
          <cell r="T8" t="str">
            <v>3121-24</v>
          </cell>
          <cell r="U8" t="str">
            <v>3122-12</v>
          </cell>
          <cell r="V8" t="str">
            <v>3122-126</v>
          </cell>
          <cell r="W8" t="str">
            <v>3122-20</v>
          </cell>
          <cell r="X8" t="str">
            <v>3122-31</v>
          </cell>
          <cell r="Y8" t="str">
            <v>3122-32</v>
          </cell>
          <cell r="Z8" t="str">
            <v>3123-51</v>
          </cell>
          <cell r="AA8" t="str">
            <v>3124-11</v>
          </cell>
          <cell r="AB8" t="str">
            <v>3124-213</v>
          </cell>
          <cell r="AC8" t="str">
            <v>3124-214</v>
          </cell>
          <cell r="AD8" t="str">
            <v>3124-223</v>
          </cell>
          <cell r="AE8" t="str">
            <v>3124-224</v>
          </cell>
          <cell r="AF8" t="str">
            <v>3124-233</v>
          </cell>
          <cell r="AG8" t="str">
            <v>3124-234</v>
          </cell>
          <cell r="AH8" t="str">
            <v>3124-263</v>
          </cell>
          <cell r="AI8" t="str">
            <v>3124-264</v>
          </cell>
          <cell r="AJ8" t="str">
            <v>3124-31</v>
          </cell>
          <cell r="AK8" t="str">
            <v>3124-41</v>
          </cell>
          <cell r="AL8" t="str">
            <v>3426-820</v>
          </cell>
        </row>
        <row r="10">
          <cell r="C10">
            <v>639816.92000000004</v>
          </cell>
          <cell r="D10">
            <v>923443.55</v>
          </cell>
          <cell r="E10">
            <v>1018223.79</v>
          </cell>
          <cell r="F10">
            <v>29090.93</v>
          </cell>
          <cell r="G10">
            <v>193913.2</v>
          </cell>
          <cell r="H10">
            <v>1827939.44</v>
          </cell>
          <cell r="I10">
            <v>118833</v>
          </cell>
          <cell r="J10">
            <v>10230549.130000001</v>
          </cell>
          <cell r="K10">
            <v>466836.56</v>
          </cell>
          <cell r="L10">
            <v>338917</v>
          </cell>
          <cell r="M10">
            <v>35287.379999999997</v>
          </cell>
          <cell r="N10">
            <v>1067469.23</v>
          </cell>
          <cell r="O10">
            <v>9230.1600000000253</v>
          </cell>
          <cell r="P10">
            <v>1083670.26</v>
          </cell>
          <cell r="Q10">
            <v>11781.19</v>
          </cell>
          <cell r="R10">
            <v>985750.22</v>
          </cell>
          <cell r="S10">
            <v>31097</v>
          </cell>
          <cell r="T10">
            <v>10675938.130000001</v>
          </cell>
          <cell r="U10">
            <v>18265153.199999999</v>
          </cell>
          <cell r="V10">
            <v>289554</v>
          </cell>
          <cell r="W10">
            <v>2338922.39</v>
          </cell>
          <cell r="X10">
            <v>423363.97</v>
          </cell>
          <cell r="Y10">
            <v>12536514.93</v>
          </cell>
          <cell r="Z10">
            <v>2505819.17</v>
          </cell>
          <cell r="AA10">
            <v>1263594.74</v>
          </cell>
          <cell r="AB10">
            <v>208417.54</v>
          </cell>
          <cell r="AC10">
            <v>16697289.220000001</v>
          </cell>
          <cell r="AD10">
            <v>634203.97</v>
          </cell>
          <cell r="AE10">
            <v>9212373.6599999983</v>
          </cell>
          <cell r="AF10">
            <v>684600.88</v>
          </cell>
          <cell r="AG10">
            <v>24292701.870000001</v>
          </cell>
          <cell r="AH10">
            <v>11788.38</v>
          </cell>
          <cell r="AI10">
            <v>738440.27</v>
          </cell>
          <cell r="AJ10">
            <v>135412.47</v>
          </cell>
          <cell r="AK10">
            <v>3417682.05</v>
          </cell>
          <cell r="AL10">
            <v>11336</v>
          </cell>
          <cell r="AM10">
            <v>123354955.8</v>
          </cell>
        </row>
        <row r="12">
          <cell r="AM12">
            <v>0</v>
          </cell>
        </row>
        <row r="14">
          <cell r="AM14">
            <v>0</v>
          </cell>
        </row>
        <row r="16">
          <cell r="C16">
            <v>10319.08</v>
          </cell>
          <cell r="D16">
            <v>22064.69</v>
          </cell>
          <cell r="E16">
            <v>11311.37</v>
          </cell>
          <cell r="F16">
            <v>196.93</v>
          </cell>
          <cell r="G16">
            <v>1531.42</v>
          </cell>
          <cell r="H16">
            <v>21932.81</v>
          </cell>
          <cell r="I16">
            <v>379.06</v>
          </cell>
          <cell r="J16">
            <v>75524.67</v>
          </cell>
          <cell r="K16">
            <v>6813.42</v>
          </cell>
          <cell r="L16">
            <v>5036.83</v>
          </cell>
          <cell r="M16">
            <v>3542.9</v>
          </cell>
          <cell r="N16">
            <v>7057.17</v>
          </cell>
          <cell r="O16">
            <v>40.47</v>
          </cell>
          <cell r="P16">
            <v>9739.49</v>
          </cell>
          <cell r="Q16">
            <v>1537.67</v>
          </cell>
          <cell r="R16">
            <v>12209.28</v>
          </cell>
          <cell r="S16">
            <v>377.33</v>
          </cell>
          <cell r="T16">
            <v>191362.83</v>
          </cell>
          <cell r="U16">
            <v>394891.42</v>
          </cell>
          <cell r="V16">
            <v>3490.81</v>
          </cell>
          <cell r="W16">
            <v>29729.06</v>
          </cell>
          <cell r="X16">
            <v>3820.67</v>
          </cell>
          <cell r="Y16">
            <v>162541.70000000001</v>
          </cell>
          <cell r="Z16">
            <v>28850.55</v>
          </cell>
          <cell r="AA16">
            <v>8650.58</v>
          </cell>
          <cell r="AB16">
            <v>1703.82</v>
          </cell>
          <cell r="AC16">
            <v>126326.87</v>
          </cell>
          <cell r="AD16">
            <v>8776.26</v>
          </cell>
          <cell r="AE16">
            <v>69003.92</v>
          </cell>
          <cell r="AF16">
            <v>6794.41</v>
          </cell>
          <cell r="AG16">
            <v>205588.97</v>
          </cell>
          <cell r="AH16">
            <v>637.12</v>
          </cell>
          <cell r="AI16">
            <v>6638.71</v>
          </cell>
          <cell r="AJ16">
            <v>494.02</v>
          </cell>
          <cell r="AK16">
            <v>22926.04</v>
          </cell>
          <cell r="AL16">
            <v>1417</v>
          </cell>
          <cell r="AM16">
            <v>1463259.3499999999</v>
          </cell>
        </row>
        <row r="18">
          <cell r="AM18">
            <v>0</v>
          </cell>
        </row>
        <row r="20">
          <cell r="AM20">
            <v>0</v>
          </cell>
        </row>
        <row r="21">
          <cell r="C21">
            <v>650136</v>
          </cell>
          <cell r="D21">
            <v>945508.24</v>
          </cell>
          <cell r="E21">
            <v>1029535.16</v>
          </cell>
          <cell r="F21">
            <v>29287.86</v>
          </cell>
          <cell r="G21">
            <v>195444.62000000002</v>
          </cell>
          <cell r="H21">
            <v>1849872.25</v>
          </cell>
          <cell r="I21">
            <v>119212.06</v>
          </cell>
          <cell r="J21">
            <v>10306073.800000001</v>
          </cell>
          <cell r="K21">
            <v>473649.98</v>
          </cell>
          <cell r="L21">
            <v>343953.83</v>
          </cell>
          <cell r="M21">
            <v>38830.28</v>
          </cell>
          <cell r="N21">
            <v>1074526.3999999999</v>
          </cell>
          <cell r="O21">
            <v>9270.6300000000247</v>
          </cell>
          <cell r="P21">
            <v>1093409.75</v>
          </cell>
          <cell r="Q21">
            <v>13318.86</v>
          </cell>
          <cell r="R21">
            <v>997959.5</v>
          </cell>
          <cell r="S21">
            <v>31474.33</v>
          </cell>
          <cell r="T21">
            <v>10867300.960000001</v>
          </cell>
          <cell r="U21">
            <v>18660044.620000001</v>
          </cell>
          <cell r="V21">
            <v>293044.81</v>
          </cell>
          <cell r="W21">
            <v>2368651.4500000002</v>
          </cell>
          <cell r="X21">
            <v>427184.63999999996</v>
          </cell>
          <cell r="Y21">
            <v>12699056.629999999</v>
          </cell>
          <cell r="Z21">
            <v>2534669.7199999997</v>
          </cell>
          <cell r="AA21">
            <v>1272245.32</v>
          </cell>
          <cell r="AB21">
            <v>210121.36000000002</v>
          </cell>
          <cell r="AC21">
            <v>16823616.09</v>
          </cell>
          <cell r="AD21">
            <v>642980.23</v>
          </cell>
          <cell r="AE21">
            <v>9281377.5799999982</v>
          </cell>
          <cell r="AF21">
            <v>691395.29</v>
          </cell>
          <cell r="AG21">
            <v>24498290.84</v>
          </cell>
          <cell r="AH21">
            <v>12425.5</v>
          </cell>
          <cell r="AI21">
            <v>745078.98</v>
          </cell>
          <cell r="AJ21">
            <v>135906.49</v>
          </cell>
          <cell r="AK21">
            <v>3440608.09</v>
          </cell>
          <cell r="AL21">
            <v>12753</v>
          </cell>
          <cell r="AM21">
            <v>124818215.14999999</v>
          </cell>
        </row>
        <row r="24">
          <cell r="AM24">
            <v>0</v>
          </cell>
        </row>
        <row r="26">
          <cell r="AM26">
            <v>0</v>
          </cell>
        </row>
        <row r="28">
          <cell r="C28">
            <v>10319.08</v>
          </cell>
          <cell r="D28">
            <v>22064.69</v>
          </cell>
          <cell r="E28">
            <v>11311.37</v>
          </cell>
          <cell r="F28">
            <v>196.93</v>
          </cell>
          <cell r="G28">
            <v>1531.42</v>
          </cell>
          <cell r="H28">
            <v>21434.45</v>
          </cell>
          <cell r="I28">
            <v>379.06</v>
          </cell>
          <cell r="J28">
            <v>76116.41</v>
          </cell>
          <cell r="K28">
            <v>5634.51</v>
          </cell>
          <cell r="L28">
            <v>5036.83</v>
          </cell>
          <cell r="M28">
            <v>3513.54</v>
          </cell>
          <cell r="N28">
            <v>7057.17</v>
          </cell>
          <cell r="P28">
            <v>9735.2000000000007</v>
          </cell>
          <cell r="Q28">
            <v>1537.67</v>
          </cell>
          <cell r="R28">
            <v>3560.27</v>
          </cell>
          <cell r="S28">
            <v>377.33</v>
          </cell>
          <cell r="T28">
            <v>184250.22</v>
          </cell>
          <cell r="U28">
            <v>390862.82</v>
          </cell>
          <cell r="V28">
            <v>3490.81</v>
          </cell>
          <cell r="W28">
            <v>30133.47</v>
          </cell>
          <cell r="X28">
            <v>3820.67</v>
          </cell>
          <cell r="Y28">
            <v>161888.84</v>
          </cell>
          <cell r="Z28">
            <v>28626.26</v>
          </cell>
          <cell r="AA28">
            <v>8669.19</v>
          </cell>
          <cell r="AB28">
            <v>1703.82</v>
          </cell>
          <cell r="AC28">
            <v>126935.18</v>
          </cell>
          <cell r="AD28">
            <v>9008.2000000000007</v>
          </cell>
          <cell r="AE28">
            <v>69650.039999999994</v>
          </cell>
          <cell r="AF28">
            <v>6778.4</v>
          </cell>
          <cell r="AG28">
            <v>209480.68</v>
          </cell>
          <cell r="AH28">
            <v>648.66</v>
          </cell>
          <cell r="AI28">
            <v>6927.1</v>
          </cell>
          <cell r="AJ28">
            <v>494.02</v>
          </cell>
          <cell r="AK28">
            <v>23104.58</v>
          </cell>
          <cell r="AL28">
            <v>1417</v>
          </cell>
          <cell r="AM28">
            <v>1447695.89</v>
          </cell>
        </row>
        <row r="30">
          <cell r="AM30">
            <v>0</v>
          </cell>
        </row>
        <row r="32">
          <cell r="AM32">
            <v>0</v>
          </cell>
        </row>
        <row r="33">
          <cell r="C33">
            <v>660455.07999999996</v>
          </cell>
          <cell r="D33">
            <v>967572.92999999993</v>
          </cell>
          <cell r="E33">
            <v>1040846.53</v>
          </cell>
          <cell r="F33">
            <v>29484.79</v>
          </cell>
          <cell r="G33">
            <v>196976.04000000004</v>
          </cell>
          <cell r="H33">
            <v>1871306.7</v>
          </cell>
          <cell r="I33">
            <v>119591.12</v>
          </cell>
          <cell r="J33">
            <v>10382190.210000001</v>
          </cell>
          <cell r="K33">
            <v>479284.49</v>
          </cell>
          <cell r="L33">
            <v>348990.66000000003</v>
          </cell>
          <cell r="M33">
            <v>42343.82</v>
          </cell>
          <cell r="N33">
            <v>1081583.5699999998</v>
          </cell>
          <cell r="O33">
            <v>9270.6300000000247</v>
          </cell>
          <cell r="P33">
            <v>1103144.95</v>
          </cell>
          <cell r="Q33">
            <v>14856.53</v>
          </cell>
          <cell r="R33">
            <v>1001519.77</v>
          </cell>
          <cell r="S33">
            <v>31851.660000000003</v>
          </cell>
          <cell r="T33">
            <v>11051551.180000002</v>
          </cell>
          <cell r="U33">
            <v>19050907.440000001</v>
          </cell>
          <cell r="V33">
            <v>296535.62</v>
          </cell>
          <cell r="W33">
            <v>2398784.9200000004</v>
          </cell>
          <cell r="X33">
            <v>431005.30999999994</v>
          </cell>
          <cell r="Y33">
            <v>12860945.469999999</v>
          </cell>
          <cell r="Z33">
            <v>2563295.9799999995</v>
          </cell>
          <cell r="AA33">
            <v>1280914.51</v>
          </cell>
          <cell r="AB33">
            <v>211825.18000000002</v>
          </cell>
          <cell r="AC33">
            <v>16950551.27</v>
          </cell>
          <cell r="AD33">
            <v>651988.42999999993</v>
          </cell>
          <cell r="AE33">
            <v>9351027.6199999973</v>
          </cell>
          <cell r="AF33">
            <v>698173.69000000006</v>
          </cell>
          <cell r="AG33">
            <v>24707771.52</v>
          </cell>
          <cell r="AH33">
            <v>13074.16</v>
          </cell>
          <cell r="AI33">
            <v>752006.08</v>
          </cell>
          <cell r="AJ33">
            <v>136400.50999999998</v>
          </cell>
          <cell r="AK33">
            <v>3463712.67</v>
          </cell>
          <cell r="AL33">
            <v>14170</v>
          </cell>
          <cell r="AM33">
            <v>126265911.03999999</v>
          </cell>
        </row>
        <row r="36">
          <cell r="AM36">
            <v>0</v>
          </cell>
        </row>
        <row r="38">
          <cell r="C38">
            <v>21355</v>
          </cell>
          <cell r="U38">
            <v>79791</v>
          </cell>
          <cell r="Y38">
            <v>183025</v>
          </cell>
          <cell r="AM38">
            <v>284171</v>
          </cell>
        </row>
        <row r="40">
          <cell r="C40">
            <v>10319.08</v>
          </cell>
          <cell r="D40">
            <v>22064.69</v>
          </cell>
          <cell r="E40">
            <v>11311.37</v>
          </cell>
          <cell r="F40">
            <v>196.93</v>
          </cell>
          <cell r="G40">
            <v>1531.42</v>
          </cell>
          <cell r="H40">
            <v>21434.45</v>
          </cell>
          <cell r="I40">
            <v>379.06</v>
          </cell>
          <cell r="J40">
            <v>76116.41</v>
          </cell>
          <cell r="K40">
            <v>5634.51</v>
          </cell>
          <cell r="L40">
            <v>5036.83</v>
          </cell>
          <cell r="M40">
            <v>3513.54</v>
          </cell>
          <cell r="N40">
            <v>7057.17</v>
          </cell>
          <cell r="P40">
            <v>9735.2000000000007</v>
          </cell>
          <cell r="Q40">
            <v>1537.67</v>
          </cell>
          <cell r="R40">
            <v>3560.27</v>
          </cell>
          <cell r="S40">
            <v>377.33</v>
          </cell>
          <cell r="T40">
            <v>184250.22</v>
          </cell>
          <cell r="U40">
            <v>390862.82</v>
          </cell>
          <cell r="V40">
            <v>3490.81</v>
          </cell>
          <cell r="W40">
            <v>30133.47</v>
          </cell>
          <cell r="X40">
            <v>3820.67</v>
          </cell>
          <cell r="Y40">
            <v>161888.84</v>
          </cell>
          <cell r="Z40">
            <v>28626.26</v>
          </cell>
          <cell r="AA40">
            <v>8669.19</v>
          </cell>
          <cell r="AB40">
            <v>1703.82</v>
          </cell>
          <cell r="AC40">
            <v>126935.18</v>
          </cell>
          <cell r="AD40">
            <v>9008.2000000000007</v>
          </cell>
          <cell r="AE40">
            <v>69650.039999999994</v>
          </cell>
          <cell r="AF40">
            <v>6778.4</v>
          </cell>
          <cell r="AG40">
            <v>209480.68</v>
          </cell>
          <cell r="AH40">
            <v>648.66</v>
          </cell>
          <cell r="AI40">
            <v>6927.1</v>
          </cell>
          <cell r="AJ40">
            <v>494.02</v>
          </cell>
          <cell r="AK40">
            <v>23104.58</v>
          </cell>
          <cell r="AL40">
            <v>1417</v>
          </cell>
          <cell r="AM40">
            <v>1447695.89</v>
          </cell>
        </row>
        <row r="42">
          <cell r="AM42">
            <v>0</v>
          </cell>
        </row>
        <row r="44">
          <cell r="AM44">
            <v>0</v>
          </cell>
        </row>
        <row r="45">
          <cell r="C45">
            <v>649419.15999999992</v>
          </cell>
          <cell r="D45">
            <v>989637.61999999988</v>
          </cell>
          <cell r="E45">
            <v>1052157.9000000001</v>
          </cell>
          <cell r="F45">
            <v>29681.72</v>
          </cell>
          <cell r="G45">
            <v>198507.46000000005</v>
          </cell>
          <cell r="H45">
            <v>1892741.15</v>
          </cell>
          <cell r="I45">
            <v>119970.18</v>
          </cell>
          <cell r="J45">
            <v>10458306.620000001</v>
          </cell>
          <cell r="K45">
            <v>484919</v>
          </cell>
          <cell r="L45">
            <v>354027.49000000005</v>
          </cell>
          <cell r="M45">
            <v>45857.36</v>
          </cell>
          <cell r="N45">
            <v>1088640.7399999998</v>
          </cell>
          <cell r="O45">
            <v>9270.6300000000247</v>
          </cell>
          <cell r="P45">
            <v>1112880.1499999999</v>
          </cell>
          <cell r="Q45">
            <v>16394.2</v>
          </cell>
          <cell r="R45">
            <v>1005080.04</v>
          </cell>
          <cell r="S45">
            <v>32228.990000000005</v>
          </cell>
          <cell r="T45">
            <v>11235801.400000002</v>
          </cell>
          <cell r="U45">
            <v>19361979.260000002</v>
          </cell>
          <cell r="V45">
            <v>300026.43</v>
          </cell>
          <cell r="W45">
            <v>2428918.3900000006</v>
          </cell>
          <cell r="X45">
            <v>434825.97999999992</v>
          </cell>
          <cell r="Y45">
            <v>12839809.309999999</v>
          </cell>
          <cell r="Z45">
            <v>2591922.2399999993</v>
          </cell>
          <cell r="AA45">
            <v>1289583.7</v>
          </cell>
          <cell r="AB45">
            <v>213529.00000000003</v>
          </cell>
          <cell r="AC45">
            <v>17077486.449999999</v>
          </cell>
          <cell r="AD45">
            <v>660996.62999999989</v>
          </cell>
          <cell r="AE45">
            <v>9420677.6599999964</v>
          </cell>
          <cell r="AF45">
            <v>704952.09000000008</v>
          </cell>
          <cell r="AG45">
            <v>24917252.199999999</v>
          </cell>
          <cell r="AH45">
            <v>13722.82</v>
          </cell>
          <cell r="AI45">
            <v>758933.17999999993</v>
          </cell>
          <cell r="AJ45">
            <v>136894.52999999997</v>
          </cell>
          <cell r="AK45">
            <v>3486817.25</v>
          </cell>
          <cell r="AL45">
            <v>15587</v>
          </cell>
          <cell r="AM45">
            <v>127429435.92999999</v>
          </cell>
        </row>
        <row r="48">
          <cell r="AM48">
            <v>0</v>
          </cell>
        </row>
        <row r="50">
          <cell r="K50">
            <v>1707</v>
          </cell>
          <cell r="T50">
            <v>3721</v>
          </cell>
          <cell r="U50">
            <v>1231</v>
          </cell>
          <cell r="W50">
            <v>48868</v>
          </cell>
          <cell r="Y50">
            <v>642890</v>
          </cell>
          <cell r="AM50">
            <v>698417</v>
          </cell>
        </row>
        <row r="52">
          <cell r="C52">
            <v>10192.99</v>
          </cell>
          <cell r="D52">
            <v>22064.69</v>
          </cell>
          <cell r="E52">
            <v>11311.37</v>
          </cell>
          <cell r="F52">
            <v>196.93</v>
          </cell>
          <cell r="G52">
            <v>1545.31</v>
          </cell>
          <cell r="H52">
            <v>21548.19</v>
          </cell>
          <cell r="I52">
            <v>379.06</v>
          </cell>
          <cell r="J52">
            <v>76116.41</v>
          </cell>
          <cell r="K52">
            <v>5636.17</v>
          </cell>
          <cell r="L52">
            <v>5036.83</v>
          </cell>
          <cell r="M52">
            <v>3513.54</v>
          </cell>
          <cell r="N52">
            <v>7057.17</v>
          </cell>
          <cell r="P52">
            <v>9735.2000000000007</v>
          </cell>
          <cell r="Q52">
            <v>1537.67</v>
          </cell>
          <cell r="R52">
            <v>3560.27</v>
          </cell>
          <cell r="S52">
            <v>377.33</v>
          </cell>
          <cell r="T52">
            <v>184267.48</v>
          </cell>
          <cell r="U52">
            <v>390676.64</v>
          </cell>
          <cell r="V52">
            <v>3490.81</v>
          </cell>
          <cell r="W52">
            <v>30133.47</v>
          </cell>
          <cell r="X52">
            <v>3820.67</v>
          </cell>
          <cell r="Y52">
            <v>162121.35</v>
          </cell>
          <cell r="Z52">
            <v>28626.26</v>
          </cell>
          <cell r="AA52">
            <v>8669.19</v>
          </cell>
          <cell r="AB52">
            <v>1703.82</v>
          </cell>
          <cell r="AC52">
            <v>126935.18</v>
          </cell>
          <cell r="AD52">
            <v>9008.2000000000007</v>
          </cell>
          <cell r="AE52">
            <v>69650.039999999994</v>
          </cell>
          <cell r="AF52">
            <v>6778.4</v>
          </cell>
          <cell r="AG52">
            <v>209480.68</v>
          </cell>
          <cell r="AH52">
            <v>648.66</v>
          </cell>
          <cell r="AI52">
            <v>6927.1</v>
          </cell>
          <cell r="AJ52">
            <v>494.02</v>
          </cell>
          <cell r="AK52">
            <v>23104.58</v>
          </cell>
          <cell r="AL52">
            <v>1417</v>
          </cell>
          <cell r="AM52">
            <v>1447762.68</v>
          </cell>
        </row>
        <row r="54">
          <cell r="AM54">
            <v>0</v>
          </cell>
        </row>
        <row r="56">
          <cell r="AM56">
            <v>0</v>
          </cell>
        </row>
        <row r="57">
          <cell r="C57">
            <v>659612.14999999991</v>
          </cell>
          <cell r="D57">
            <v>1011702.3099999998</v>
          </cell>
          <cell r="E57">
            <v>1063469.2700000003</v>
          </cell>
          <cell r="F57">
            <v>29878.65</v>
          </cell>
          <cell r="G57">
            <v>200052.77000000005</v>
          </cell>
          <cell r="H57">
            <v>1914289.3399999999</v>
          </cell>
          <cell r="I57">
            <v>120349.23999999999</v>
          </cell>
          <cell r="J57">
            <v>10534423.030000001</v>
          </cell>
          <cell r="K57">
            <v>488848.17</v>
          </cell>
          <cell r="L57">
            <v>359064.32000000007</v>
          </cell>
          <cell r="M57">
            <v>49370.9</v>
          </cell>
          <cell r="N57">
            <v>1095697.9099999997</v>
          </cell>
          <cell r="O57">
            <v>9270.6300000000247</v>
          </cell>
          <cell r="P57">
            <v>1122615.3499999999</v>
          </cell>
          <cell r="Q57">
            <v>17931.870000000003</v>
          </cell>
          <cell r="R57">
            <v>1008640.31</v>
          </cell>
          <cell r="S57">
            <v>32606.320000000007</v>
          </cell>
          <cell r="T57">
            <v>11416347.880000003</v>
          </cell>
          <cell r="U57">
            <v>19751424.900000002</v>
          </cell>
          <cell r="V57">
            <v>303517.24</v>
          </cell>
          <cell r="W57">
            <v>2410183.8600000008</v>
          </cell>
          <cell r="X57">
            <v>438646.64999999991</v>
          </cell>
          <cell r="Y57">
            <v>12359040.659999998</v>
          </cell>
          <cell r="Z57">
            <v>2620548.4999999991</v>
          </cell>
          <cell r="AA57">
            <v>1298252.8899999999</v>
          </cell>
          <cell r="AB57">
            <v>215232.82000000004</v>
          </cell>
          <cell r="AC57">
            <v>17204421.629999999</v>
          </cell>
          <cell r="AD57">
            <v>670004.82999999984</v>
          </cell>
          <cell r="AE57">
            <v>9490327.6999999955</v>
          </cell>
          <cell r="AF57">
            <v>711730.49000000011</v>
          </cell>
          <cell r="AG57">
            <v>25126732.879999999</v>
          </cell>
          <cell r="AH57">
            <v>14371.48</v>
          </cell>
          <cell r="AI57">
            <v>765860.27999999991</v>
          </cell>
          <cell r="AJ57">
            <v>137388.54999999996</v>
          </cell>
          <cell r="AK57">
            <v>3509921.83</v>
          </cell>
          <cell r="AL57">
            <v>17004</v>
          </cell>
          <cell r="AM57">
            <v>128178781.61</v>
          </cell>
        </row>
        <row r="60">
          <cell r="AM60">
            <v>0</v>
          </cell>
        </row>
        <row r="62">
          <cell r="C62">
            <v>238737</v>
          </cell>
          <cell r="D62">
            <v>30819</v>
          </cell>
          <cell r="H62">
            <v>839</v>
          </cell>
          <cell r="U62">
            <v>57993</v>
          </cell>
          <cell r="AM62">
            <v>328388</v>
          </cell>
        </row>
        <row r="64">
          <cell r="C64">
            <v>10066.91</v>
          </cell>
          <cell r="D64">
            <v>22064.69</v>
          </cell>
          <cell r="E64">
            <v>11311.37</v>
          </cell>
          <cell r="F64">
            <v>196.93</v>
          </cell>
          <cell r="G64">
            <v>1559.2</v>
          </cell>
          <cell r="H64">
            <v>21273.77</v>
          </cell>
          <cell r="I64">
            <v>379.06</v>
          </cell>
          <cell r="J64">
            <v>76162.95</v>
          </cell>
          <cell r="K64">
            <v>5628.69</v>
          </cell>
          <cell r="L64">
            <v>5036.83</v>
          </cell>
          <cell r="M64">
            <v>3513.54</v>
          </cell>
          <cell r="N64">
            <v>7057.17</v>
          </cell>
          <cell r="P64">
            <v>9746.8700000000008</v>
          </cell>
          <cell r="Q64">
            <v>1562.54</v>
          </cell>
          <cell r="R64">
            <v>3560.27</v>
          </cell>
          <cell r="S64">
            <v>377.33</v>
          </cell>
          <cell r="T64">
            <v>184951.67999999999</v>
          </cell>
          <cell r="U64">
            <v>390531.85</v>
          </cell>
          <cell r="V64">
            <v>3490.81</v>
          </cell>
          <cell r="W64">
            <v>29929.85</v>
          </cell>
          <cell r="X64">
            <v>3820.67</v>
          </cell>
          <cell r="Y64">
            <v>160900.45000000001</v>
          </cell>
          <cell r="Z64">
            <v>28626.26</v>
          </cell>
          <cell r="AA64">
            <v>8710.9599999999991</v>
          </cell>
          <cell r="AB64">
            <v>1703.82</v>
          </cell>
          <cell r="AC64">
            <v>127437.1</v>
          </cell>
          <cell r="AD64">
            <v>9008.2000000000007</v>
          </cell>
          <cell r="AE64">
            <v>70058.649999999994</v>
          </cell>
          <cell r="AF64">
            <v>6778.4</v>
          </cell>
          <cell r="AG64">
            <v>211277.27</v>
          </cell>
          <cell r="AH64">
            <v>648.66</v>
          </cell>
          <cell r="AI64">
            <v>7183.26</v>
          </cell>
          <cell r="AJ64">
            <v>494.02</v>
          </cell>
          <cell r="AK64">
            <v>23344.19</v>
          </cell>
          <cell r="AL64">
            <v>1417</v>
          </cell>
          <cell r="AM64">
            <v>1449811.2199999995</v>
          </cell>
        </row>
        <row r="66">
          <cell r="AM66">
            <v>0</v>
          </cell>
        </row>
        <row r="68">
          <cell r="AG68">
            <v>372.33</v>
          </cell>
          <cell r="AI68">
            <v>214.75</v>
          </cell>
          <cell r="AM68">
            <v>587.07999999999993</v>
          </cell>
        </row>
        <row r="69">
          <cell r="C69">
            <v>430942.05999999988</v>
          </cell>
          <cell r="D69">
            <v>1002947.9999999998</v>
          </cell>
          <cell r="E69">
            <v>1074780.6400000004</v>
          </cell>
          <cell r="F69">
            <v>30075.58</v>
          </cell>
          <cell r="G69">
            <v>201611.97000000006</v>
          </cell>
          <cell r="H69">
            <v>1934724.1099999999</v>
          </cell>
          <cell r="I69">
            <v>120728.29999999999</v>
          </cell>
          <cell r="J69">
            <v>10610585.98</v>
          </cell>
          <cell r="K69">
            <v>494476.86</v>
          </cell>
          <cell r="L69">
            <v>364101.15000000008</v>
          </cell>
          <cell r="M69">
            <v>52884.44</v>
          </cell>
          <cell r="N69">
            <v>1102755.0799999996</v>
          </cell>
          <cell r="O69">
            <v>9270.6300000000247</v>
          </cell>
          <cell r="P69">
            <v>1132362.22</v>
          </cell>
          <cell r="Q69">
            <v>19494.410000000003</v>
          </cell>
          <cell r="R69">
            <v>1012200.5800000001</v>
          </cell>
          <cell r="S69">
            <v>32983.650000000009</v>
          </cell>
          <cell r="T69">
            <v>11601299.560000002</v>
          </cell>
          <cell r="U69">
            <v>20083963.750000004</v>
          </cell>
          <cell r="V69">
            <v>307008.05</v>
          </cell>
          <cell r="W69">
            <v>2440113.7100000009</v>
          </cell>
          <cell r="X69">
            <v>442467.31999999989</v>
          </cell>
          <cell r="Y69">
            <v>12519941.109999998</v>
          </cell>
          <cell r="Z69">
            <v>2649174.7599999988</v>
          </cell>
          <cell r="AA69">
            <v>1306963.8499999999</v>
          </cell>
          <cell r="AB69">
            <v>216936.64000000004</v>
          </cell>
          <cell r="AC69">
            <v>17331858.73</v>
          </cell>
          <cell r="AD69">
            <v>679013.0299999998</v>
          </cell>
          <cell r="AE69">
            <v>9560386.3499999959</v>
          </cell>
          <cell r="AF69">
            <v>718508.89000000013</v>
          </cell>
          <cell r="AG69">
            <v>25338382.479999997</v>
          </cell>
          <cell r="AH69">
            <v>15020.14</v>
          </cell>
          <cell r="AI69">
            <v>773258.28999999992</v>
          </cell>
          <cell r="AJ69">
            <v>137882.56999999995</v>
          </cell>
          <cell r="AK69">
            <v>3533266.02</v>
          </cell>
          <cell r="AL69">
            <v>18421</v>
          </cell>
          <cell r="AM69">
            <v>129300791.91</v>
          </cell>
        </row>
        <row r="72">
          <cell r="AA72">
            <v>1463.47</v>
          </cell>
          <cell r="AC72">
            <v>66743.429999999993</v>
          </cell>
          <cell r="AE72">
            <v>11908.54</v>
          </cell>
          <cell r="AG72">
            <v>11811.07</v>
          </cell>
          <cell r="AM72">
            <v>91926.510000000009</v>
          </cell>
        </row>
        <row r="74">
          <cell r="K74">
            <v>13163</v>
          </cell>
          <cell r="P74">
            <v>11916</v>
          </cell>
          <cell r="T74">
            <v>54926</v>
          </cell>
          <cell r="U74">
            <v>2852</v>
          </cell>
          <cell r="Y74">
            <v>207072</v>
          </cell>
          <cell r="AM74">
            <v>289929</v>
          </cell>
        </row>
        <row r="76">
          <cell r="C76">
            <v>8657.3700000000008</v>
          </cell>
          <cell r="D76">
            <v>21908.67</v>
          </cell>
          <cell r="E76">
            <v>11311.37</v>
          </cell>
          <cell r="F76">
            <v>196.93</v>
          </cell>
          <cell r="G76">
            <v>1559.2</v>
          </cell>
          <cell r="H76">
            <v>20882.47</v>
          </cell>
          <cell r="I76">
            <v>379.06</v>
          </cell>
          <cell r="J76">
            <v>76212.759999999995</v>
          </cell>
          <cell r="K76">
            <v>5622</v>
          </cell>
          <cell r="L76">
            <v>5036.83</v>
          </cell>
          <cell r="M76">
            <v>3513.54</v>
          </cell>
          <cell r="N76">
            <v>7057.17</v>
          </cell>
          <cell r="O76">
            <v>0</v>
          </cell>
          <cell r="P76">
            <v>12723.53</v>
          </cell>
          <cell r="Q76">
            <v>1587.42</v>
          </cell>
          <cell r="R76">
            <v>3560.27</v>
          </cell>
          <cell r="S76">
            <v>377.33</v>
          </cell>
          <cell r="T76">
            <v>185622.41</v>
          </cell>
          <cell r="U76">
            <v>390432.18</v>
          </cell>
          <cell r="V76">
            <v>3490.81</v>
          </cell>
          <cell r="W76">
            <v>29726.23</v>
          </cell>
          <cell r="X76">
            <v>3820.67</v>
          </cell>
          <cell r="Y76">
            <v>158875.38</v>
          </cell>
          <cell r="Z76">
            <v>28626.26</v>
          </cell>
          <cell r="AA76">
            <v>8678.23</v>
          </cell>
          <cell r="AB76">
            <v>1703.82</v>
          </cell>
          <cell r="AC76">
            <v>127003.49</v>
          </cell>
          <cell r="AD76">
            <v>9008.2000000000007</v>
          </cell>
          <cell r="AE76">
            <v>69677.75</v>
          </cell>
          <cell r="AF76">
            <v>6778.4</v>
          </cell>
          <cell r="AG76">
            <v>209686.18</v>
          </cell>
          <cell r="AH76">
            <v>648.66</v>
          </cell>
          <cell r="AI76">
            <v>6935.59</v>
          </cell>
          <cell r="AJ76">
            <v>494.02</v>
          </cell>
          <cell r="AK76">
            <v>23117.119999999999</v>
          </cell>
          <cell r="AL76">
            <v>1417</v>
          </cell>
          <cell r="AM76">
            <v>1446328.3200000001</v>
          </cell>
        </row>
        <row r="78">
          <cell r="C78">
            <v>36135</v>
          </cell>
          <cell r="D78">
            <v>3245</v>
          </cell>
          <cell r="G78">
            <v>66</v>
          </cell>
          <cell r="H78">
            <v>440</v>
          </cell>
          <cell r="AM78">
            <v>39886</v>
          </cell>
        </row>
        <row r="80">
          <cell r="AG80">
            <v>281.61</v>
          </cell>
          <cell r="AM80">
            <v>281.61</v>
          </cell>
        </row>
        <row r="81">
          <cell r="C81">
            <v>475734.42999999988</v>
          </cell>
          <cell r="D81">
            <v>1028101.6699999998</v>
          </cell>
          <cell r="E81">
            <v>1086092.0100000005</v>
          </cell>
          <cell r="F81">
            <v>30272.510000000002</v>
          </cell>
          <cell r="G81">
            <v>203237.17000000007</v>
          </cell>
          <cell r="H81">
            <v>1956046.5799999998</v>
          </cell>
          <cell r="I81">
            <v>121107.35999999999</v>
          </cell>
          <cell r="J81">
            <v>10686798.74</v>
          </cell>
          <cell r="K81">
            <v>486935.86</v>
          </cell>
          <cell r="L81">
            <v>369137.9800000001</v>
          </cell>
          <cell r="M81">
            <v>56397.98</v>
          </cell>
          <cell r="N81">
            <v>1109812.2499999995</v>
          </cell>
          <cell r="O81">
            <v>9270.6300000000247</v>
          </cell>
          <cell r="P81">
            <v>1133169.75</v>
          </cell>
          <cell r="Q81">
            <v>21081.83</v>
          </cell>
          <cell r="R81">
            <v>1015760.8500000001</v>
          </cell>
          <cell r="S81">
            <v>33360.98000000001</v>
          </cell>
          <cell r="T81">
            <v>11731995.970000003</v>
          </cell>
          <cell r="U81">
            <v>20471543.930000003</v>
          </cell>
          <cell r="V81">
            <v>310498.86</v>
          </cell>
          <cell r="W81">
            <v>2469839.9400000009</v>
          </cell>
          <cell r="X81">
            <v>446287.98999999987</v>
          </cell>
          <cell r="Y81">
            <v>12471744.489999998</v>
          </cell>
          <cell r="Z81">
            <v>2677801.0199999986</v>
          </cell>
          <cell r="AA81">
            <v>1314178.6099999999</v>
          </cell>
          <cell r="AB81">
            <v>218640.46000000005</v>
          </cell>
          <cell r="AC81">
            <v>17392118.789999999</v>
          </cell>
          <cell r="AD81">
            <v>688021.22999999975</v>
          </cell>
          <cell r="AE81">
            <v>9618155.5599999968</v>
          </cell>
          <cell r="AF81">
            <v>725287.29000000015</v>
          </cell>
          <cell r="AG81">
            <v>25536539.199999996</v>
          </cell>
          <cell r="AH81">
            <v>15668.8</v>
          </cell>
          <cell r="AI81">
            <v>780193.87999999989</v>
          </cell>
          <cell r="AJ81">
            <v>138376.58999999994</v>
          </cell>
          <cell r="AK81">
            <v>3556383.14</v>
          </cell>
          <cell r="AL81">
            <v>19838</v>
          </cell>
          <cell r="AM81">
            <v>130405432.32999998</v>
          </cell>
        </row>
        <row r="84">
          <cell r="AM84">
            <v>0</v>
          </cell>
        </row>
        <row r="86">
          <cell r="C86">
            <v>-21355</v>
          </cell>
          <cell r="D86">
            <v>16178</v>
          </cell>
          <cell r="E86">
            <v>414881</v>
          </cell>
          <cell r="H86">
            <v>24248</v>
          </cell>
          <cell r="AA86">
            <v>8207</v>
          </cell>
          <cell r="AC86">
            <v>92281</v>
          </cell>
          <cell r="AE86">
            <v>1203</v>
          </cell>
          <cell r="AG86">
            <v>46721</v>
          </cell>
          <cell r="AM86">
            <v>582364</v>
          </cell>
        </row>
        <row r="88">
          <cell r="C88">
            <v>7247.83</v>
          </cell>
          <cell r="D88">
            <v>21752.65</v>
          </cell>
          <cell r="E88">
            <v>11311.37</v>
          </cell>
          <cell r="F88">
            <v>196.93</v>
          </cell>
          <cell r="G88">
            <v>1559.2</v>
          </cell>
          <cell r="H88">
            <v>20902.53</v>
          </cell>
          <cell r="I88">
            <v>379.06</v>
          </cell>
          <cell r="J88">
            <v>76232.45</v>
          </cell>
          <cell r="K88">
            <v>5601.95</v>
          </cell>
          <cell r="L88">
            <v>5036.83</v>
          </cell>
          <cell r="M88">
            <v>3513.54</v>
          </cell>
          <cell r="N88">
            <v>7057.17</v>
          </cell>
          <cell r="P88">
            <v>9464.25</v>
          </cell>
          <cell r="Q88">
            <v>1595.56</v>
          </cell>
          <cell r="R88">
            <v>3560.27</v>
          </cell>
          <cell r="S88">
            <v>377.33</v>
          </cell>
          <cell r="T88">
            <v>185733.45</v>
          </cell>
          <cell r="U88">
            <v>390284.47</v>
          </cell>
          <cell r="V88">
            <v>3490.81</v>
          </cell>
          <cell r="W88">
            <v>29726.23</v>
          </cell>
          <cell r="X88">
            <v>3820.67</v>
          </cell>
          <cell r="Y88">
            <v>158274.32999999999</v>
          </cell>
          <cell r="Z88">
            <v>28626.26</v>
          </cell>
          <cell r="AA88">
            <v>8692.1299999999992</v>
          </cell>
          <cell r="AB88">
            <v>1583.08</v>
          </cell>
          <cell r="AC88">
            <v>127243.68</v>
          </cell>
          <cell r="AD88">
            <v>9231.75</v>
          </cell>
          <cell r="AE88">
            <v>69539.83</v>
          </cell>
          <cell r="AF88">
            <v>6642.87</v>
          </cell>
          <cell r="AG88">
            <v>210176.1</v>
          </cell>
          <cell r="AH88">
            <v>623.54</v>
          </cell>
          <cell r="AI88">
            <v>6972.03</v>
          </cell>
          <cell r="AJ88">
            <v>494.02</v>
          </cell>
          <cell r="AK88">
            <v>23118.54</v>
          </cell>
          <cell r="AL88">
            <v>1417</v>
          </cell>
          <cell r="AM88">
            <v>1441479.7100000004</v>
          </cell>
        </row>
        <row r="90">
          <cell r="AM90">
            <v>0</v>
          </cell>
        </row>
        <row r="92">
          <cell r="AE92">
            <v>2091.14</v>
          </cell>
          <cell r="AG92">
            <v>114.01</v>
          </cell>
          <cell r="AM92">
            <v>2205.15</v>
          </cell>
        </row>
        <row r="93">
          <cell r="C93">
            <v>504337.25999999989</v>
          </cell>
          <cell r="D93">
            <v>1033676.3199999998</v>
          </cell>
          <cell r="E93">
            <v>682522.38000000047</v>
          </cell>
          <cell r="F93">
            <v>30469.440000000002</v>
          </cell>
          <cell r="G93">
            <v>204796.37000000008</v>
          </cell>
          <cell r="H93">
            <v>1952701.1099999999</v>
          </cell>
          <cell r="I93">
            <v>121486.41999999998</v>
          </cell>
          <cell r="J93">
            <v>10763031.189999999</v>
          </cell>
          <cell r="K93">
            <v>492537.81</v>
          </cell>
          <cell r="L93">
            <v>374174.81000000011</v>
          </cell>
          <cell r="M93">
            <v>59911.520000000004</v>
          </cell>
          <cell r="N93">
            <v>1116869.4199999995</v>
          </cell>
          <cell r="O93">
            <v>9270.6300000000247</v>
          </cell>
          <cell r="P93">
            <v>1142634</v>
          </cell>
          <cell r="Q93">
            <v>22677.390000000003</v>
          </cell>
          <cell r="R93">
            <v>1019321.1200000001</v>
          </cell>
          <cell r="S93">
            <v>33738.310000000012</v>
          </cell>
          <cell r="T93">
            <v>11917729.420000002</v>
          </cell>
          <cell r="U93">
            <v>20861828.400000002</v>
          </cell>
          <cell r="V93">
            <v>313989.67</v>
          </cell>
          <cell r="W93">
            <v>2499566.1700000009</v>
          </cell>
          <cell r="X93">
            <v>450108.65999999986</v>
          </cell>
          <cell r="Y93">
            <v>12630018.819999998</v>
          </cell>
          <cell r="Z93">
            <v>2706427.2799999984</v>
          </cell>
          <cell r="AA93">
            <v>1314663.7399999998</v>
          </cell>
          <cell r="AB93">
            <v>220223.54000000004</v>
          </cell>
          <cell r="AC93">
            <v>17427081.469999999</v>
          </cell>
          <cell r="AD93">
            <v>697252.97999999975</v>
          </cell>
          <cell r="AE93">
            <v>9688583.5299999975</v>
          </cell>
          <cell r="AF93">
            <v>731930.16000000015</v>
          </cell>
          <cell r="AG93">
            <v>25700108.309999999</v>
          </cell>
          <cell r="AH93">
            <v>16292.34</v>
          </cell>
          <cell r="AI93">
            <v>787165.90999999992</v>
          </cell>
          <cell r="AJ93">
            <v>138870.60999999993</v>
          </cell>
          <cell r="AK93">
            <v>3579501.68</v>
          </cell>
          <cell r="AL93">
            <v>21255</v>
          </cell>
          <cell r="AM93">
            <v>131266753.18999998</v>
          </cell>
        </row>
        <row r="96">
          <cell r="U96">
            <v>240204.95</v>
          </cell>
          <cell r="AM96">
            <v>240204.95</v>
          </cell>
        </row>
        <row r="98">
          <cell r="C98">
            <v>33801</v>
          </cell>
          <cell r="D98">
            <v>11076</v>
          </cell>
          <cell r="P98">
            <v>1020668</v>
          </cell>
          <cell r="T98">
            <v>-568</v>
          </cell>
          <cell r="U98">
            <v>5872264</v>
          </cell>
          <cell r="Y98">
            <v>-36212</v>
          </cell>
          <cell r="AM98">
            <v>6901029</v>
          </cell>
        </row>
        <row r="100">
          <cell r="C100">
            <v>7373.91</v>
          </cell>
          <cell r="D100">
            <v>21670.75</v>
          </cell>
          <cell r="E100">
            <v>9755.56</v>
          </cell>
          <cell r="F100">
            <v>196.93</v>
          </cell>
          <cell r="G100">
            <v>1559.2</v>
          </cell>
          <cell r="H100">
            <v>20834.810000000001</v>
          </cell>
          <cell r="I100">
            <v>379.06</v>
          </cell>
          <cell r="J100">
            <v>76248.87</v>
          </cell>
          <cell r="K100">
            <v>5579.46</v>
          </cell>
          <cell r="L100">
            <v>5036.83</v>
          </cell>
          <cell r="M100">
            <v>3513.54</v>
          </cell>
          <cell r="N100">
            <v>7057.17</v>
          </cell>
          <cell r="O100">
            <v>0</v>
          </cell>
          <cell r="P100">
            <v>9169.98</v>
          </cell>
          <cell r="Q100">
            <v>1603.7</v>
          </cell>
          <cell r="R100">
            <v>3560.27</v>
          </cell>
          <cell r="S100">
            <v>377.33</v>
          </cell>
          <cell r="T100">
            <v>185850.02</v>
          </cell>
          <cell r="U100">
            <v>390277.81</v>
          </cell>
          <cell r="V100">
            <v>3490.81</v>
          </cell>
          <cell r="W100">
            <v>29726.23</v>
          </cell>
          <cell r="X100">
            <v>3820.67</v>
          </cell>
          <cell r="Y100">
            <v>161508.59</v>
          </cell>
          <cell r="Z100">
            <v>28626.26</v>
          </cell>
          <cell r="AA100">
            <v>8916.17</v>
          </cell>
          <cell r="AB100">
            <v>1462.33</v>
          </cell>
          <cell r="AC100">
            <v>131222.51</v>
          </cell>
          <cell r="AD100">
            <v>10036.870000000001</v>
          </cell>
          <cell r="AE100">
            <v>70398.16</v>
          </cell>
          <cell r="AF100">
            <v>6517.63</v>
          </cell>
          <cell r="AG100">
            <v>219439.42</v>
          </cell>
          <cell r="AH100">
            <v>1542.14</v>
          </cell>
          <cell r="AI100">
            <v>8223.5400000000009</v>
          </cell>
          <cell r="AJ100">
            <v>494.02</v>
          </cell>
          <cell r="AK100">
            <v>23731.96</v>
          </cell>
          <cell r="AL100">
            <v>1417</v>
          </cell>
          <cell r="AM100">
            <v>1460619.5099999998</v>
          </cell>
        </row>
        <row r="102">
          <cell r="AM102">
            <v>0</v>
          </cell>
        </row>
        <row r="104">
          <cell r="AA104">
            <v>105.85</v>
          </cell>
          <cell r="AM104">
            <v>105.85</v>
          </cell>
        </row>
        <row r="105">
          <cell r="C105">
            <v>477910.16999999987</v>
          </cell>
          <cell r="D105">
            <v>1044271.0699999998</v>
          </cell>
          <cell r="E105">
            <v>692277.94000000053</v>
          </cell>
          <cell r="F105">
            <v>30666.370000000003</v>
          </cell>
          <cell r="G105">
            <v>206355.57000000009</v>
          </cell>
          <cell r="H105">
            <v>1973535.92</v>
          </cell>
          <cell r="I105">
            <v>121865.47999999998</v>
          </cell>
          <cell r="J105">
            <v>10839280.059999999</v>
          </cell>
          <cell r="K105">
            <v>498117.27</v>
          </cell>
          <cell r="L105">
            <v>379211.64000000013</v>
          </cell>
          <cell r="M105">
            <v>63425.060000000005</v>
          </cell>
          <cell r="N105">
            <v>1123926.5899999994</v>
          </cell>
          <cell r="O105">
            <v>9270.6300000000247</v>
          </cell>
          <cell r="P105">
            <v>131135.98000000001</v>
          </cell>
          <cell r="Q105">
            <v>24281.090000000004</v>
          </cell>
          <cell r="R105">
            <v>1022881.3900000001</v>
          </cell>
          <cell r="S105">
            <v>34115.640000000014</v>
          </cell>
          <cell r="T105">
            <v>12104147.440000001</v>
          </cell>
          <cell r="U105">
            <v>15139637.260000004</v>
          </cell>
          <cell r="V105">
            <v>317480.48</v>
          </cell>
          <cell r="W105">
            <v>2529292.4000000008</v>
          </cell>
          <cell r="X105">
            <v>453929.32999999984</v>
          </cell>
          <cell r="Y105">
            <v>12827739.409999998</v>
          </cell>
          <cell r="Z105">
            <v>2735053.5399999982</v>
          </cell>
          <cell r="AA105">
            <v>1323685.7599999998</v>
          </cell>
          <cell r="AB105">
            <v>221685.87000000002</v>
          </cell>
          <cell r="AC105">
            <v>17558303.98</v>
          </cell>
          <cell r="AD105">
            <v>707289.84999999974</v>
          </cell>
          <cell r="AE105">
            <v>9758981.6899999976</v>
          </cell>
          <cell r="AF105">
            <v>738447.79000000015</v>
          </cell>
          <cell r="AG105">
            <v>25919547.73</v>
          </cell>
          <cell r="AH105">
            <v>17834.48</v>
          </cell>
          <cell r="AI105">
            <v>795389.45</v>
          </cell>
          <cell r="AJ105">
            <v>139364.62999999992</v>
          </cell>
          <cell r="AK105">
            <v>3603233.64</v>
          </cell>
          <cell r="AL105">
            <v>22672</v>
          </cell>
          <cell r="AM105">
            <v>125586244.59999998</v>
          </cell>
        </row>
        <row r="108">
          <cell r="C108" t="str">
            <v xml:space="preserve"> 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J108">
            <v>0</v>
          </cell>
          <cell r="K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T108">
            <v>0</v>
          </cell>
          <cell r="U108">
            <v>35921</v>
          </cell>
          <cell r="W108">
            <v>0</v>
          </cell>
          <cell r="X108">
            <v>0</v>
          </cell>
          <cell r="Y108">
            <v>35162.300000000003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M108">
            <v>71083.3</v>
          </cell>
        </row>
        <row r="110"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J110">
            <v>0</v>
          </cell>
          <cell r="K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T110">
            <v>0</v>
          </cell>
          <cell r="U110">
            <v>417455</v>
          </cell>
          <cell r="W110">
            <v>0</v>
          </cell>
          <cell r="X110">
            <v>0</v>
          </cell>
          <cell r="Y110">
            <v>1348447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M110">
            <v>1765902</v>
          </cell>
        </row>
        <row r="112">
          <cell r="C112">
            <v>7300.43</v>
          </cell>
          <cell r="D112">
            <v>22220.91</v>
          </cell>
          <cell r="E112">
            <v>9928.82</v>
          </cell>
          <cell r="F112">
            <v>196.93</v>
          </cell>
          <cell r="G112">
            <v>1559.2</v>
          </cell>
          <cell r="H112">
            <v>20727.04</v>
          </cell>
          <cell r="I112">
            <v>379.06</v>
          </cell>
          <cell r="J112">
            <v>76331.81</v>
          </cell>
          <cell r="K112">
            <v>5579.46</v>
          </cell>
          <cell r="L112">
            <v>5036.83</v>
          </cell>
          <cell r="M112">
            <v>3513.54</v>
          </cell>
          <cell r="N112">
            <v>7057.17</v>
          </cell>
          <cell r="O112">
            <v>0</v>
          </cell>
          <cell r="P112">
            <v>4917.1899999999996</v>
          </cell>
          <cell r="Q112">
            <v>1606.67</v>
          </cell>
          <cell r="R112">
            <v>3560.27</v>
          </cell>
          <cell r="S112">
            <v>377.33</v>
          </cell>
          <cell r="T112">
            <v>185864.05</v>
          </cell>
          <cell r="U112">
            <v>378735.29</v>
          </cell>
          <cell r="V112">
            <v>3490.81</v>
          </cell>
          <cell r="W112">
            <v>29726.23</v>
          </cell>
          <cell r="X112">
            <v>3820.67</v>
          </cell>
          <cell r="Y112">
            <v>161017.17000000001</v>
          </cell>
          <cell r="Z112">
            <v>28626.26</v>
          </cell>
          <cell r="AA112">
            <v>11600.51</v>
          </cell>
          <cell r="AB112">
            <v>1462.33</v>
          </cell>
          <cell r="AC112">
            <v>128205.03</v>
          </cell>
          <cell r="AD112">
            <v>9954.31</v>
          </cell>
          <cell r="AE112">
            <v>73587.62</v>
          </cell>
          <cell r="AF112">
            <v>6536.89</v>
          </cell>
          <cell r="AG112">
            <v>212067.16</v>
          </cell>
          <cell r="AH112">
            <v>789.57</v>
          </cell>
          <cell r="AI112">
            <v>7473.71</v>
          </cell>
          <cell r="AJ112">
            <v>494.02</v>
          </cell>
          <cell r="AK112">
            <v>23534.74</v>
          </cell>
          <cell r="AL112">
            <v>1417</v>
          </cell>
          <cell r="AM112">
            <v>1438696.0299999998</v>
          </cell>
        </row>
        <row r="114">
          <cell r="C114">
            <v>-5064.3999999999996</v>
          </cell>
          <cell r="D114">
            <v>-404.8</v>
          </cell>
          <cell r="E114">
            <v>55975</v>
          </cell>
          <cell r="G114">
            <v>-5.28</v>
          </cell>
          <cell r="H114">
            <v>-227.15</v>
          </cell>
          <cell r="U114">
            <v>80</v>
          </cell>
          <cell r="AM114">
            <v>50353.37</v>
          </cell>
        </row>
        <row r="116">
          <cell r="C116">
            <v>0</v>
          </cell>
          <cell r="AG116">
            <v>1160.32</v>
          </cell>
          <cell r="AM116">
            <v>1160.32</v>
          </cell>
        </row>
        <row r="117">
          <cell r="C117">
            <v>480146.19999999984</v>
          </cell>
          <cell r="D117">
            <v>1066087.1799999997</v>
          </cell>
          <cell r="E117">
            <v>758181.76000000047</v>
          </cell>
          <cell r="F117">
            <v>30863.300000000003</v>
          </cell>
          <cell r="G117">
            <v>207909.49000000011</v>
          </cell>
          <cell r="H117">
            <v>1994035.81</v>
          </cell>
          <cell r="I117">
            <v>122244.53999999998</v>
          </cell>
          <cell r="J117">
            <v>10915611.869999999</v>
          </cell>
          <cell r="K117">
            <v>503696.73000000004</v>
          </cell>
          <cell r="L117">
            <v>384248.47000000015</v>
          </cell>
          <cell r="M117">
            <v>66938.600000000006</v>
          </cell>
          <cell r="N117">
            <v>1130983.7599999993</v>
          </cell>
          <cell r="O117">
            <v>9270.6300000000247</v>
          </cell>
          <cell r="P117">
            <v>136053.17000000001</v>
          </cell>
          <cell r="Q117">
            <v>25887.760000000002</v>
          </cell>
          <cell r="R117">
            <v>1026441.6600000001</v>
          </cell>
          <cell r="S117">
            <v>34492.970000000016</v>
          </cell>
          <cell r="T117">
            <v>12290011.490000002</v>
          </cell>
          <cell r="U117">
            <v>15065076.550000003</v>
          </cell>
          <cell r="V117">
            <v>320971.28999999998</v>
          </cell>
          <cell r="W117">
            <v>2559018.6300000008</v>
          </cell>
          <cell r="X117">
            <v>457749.99999999983</v>
          </cell>
          <cell r="Y117">
            <v>11605147.279999997</v>
          </cell>
          <cell r="Z117">
            <v>2763679.799999998</v>
          </cell>
          <cell r="AA117">
            <v>1335286.2699999998</v>
          </cell>
          <cell r="AB117">
            <v>223148.2</v>
          </cell>
          <cell r="AC117">
            <v>17686509.010000002</v>
          </cell>
          <cell r="AD117">
            <v>717244.1599999998</v>
          </cell>
          <cell r="AE117">
            <v>9832569.3099999968</v>
          </cell>
          <cell r="AF117">
            <v>744984.68000000017</v>
          </cell>
          <cell r="AG117">
            <v>26132775.210000001</v>
          </cell>
          <cell r="AH117">
            <v>18624.05</v>
          </cell>
          <cell r="AI117">
            <v>802863.15999999992</v>
          </cell>
          <cell r="AJ117">
            <v>139858.64999999991</v>
          </cell>
          <cell r="AK117">
            <v>3626768.3800000004</v>
          </cell>
          <cell r="AL117">
            <v>24089</v>
          </cell>
          <cell r="AM117">
            <v>125239469.01999998</v>
          </cell>
        </row>
        <row r="120">
          <cell r="U120">
            <v>1207.3599999999999</v>
          </cell>
          <cell r="Y120">
            <v>11169.9</v>
          </cell>
          <cell r="AA120">
            <v>201.74</v>
          </cell>
          <cell r="AC120">
            <v>2298.62</v>
          </cell>
          <cell r="AE120">
            <v>4530.34</v>
          </cell>
          <cell r="AG120">
            <v>628.32000000000005</v>
          </cell>
          <cell r="AI120">
            <v>113.85</v>
          </cell>
          <cell r="AM120">
            <v>20150.129999999997</v>
          </cell>
        </row>
        <row r="122">
          <cell r="C122">
            <v>33801</v>
          </cell>
          <cell r="U122">
            <v>150448</v>
          </cell>
          <cell r="Y122">
            <v>367773</v>
          </cell>
          <cell r="AM122">
            <v>552022</v>
          </cell>
        </row>
        <row r="124">
          <cell r="C124">
            <v>7100.86</v>
          </cell>
          <cell r="D124">
            <v>23043.49</v>
          </cell>
          <cell r="E124">
            <v>11657.87</v>
          </cell>
          <cell r="F124">
            <v>196.93</v>
          </cell>
          <cell r="G124">
            <v>1596.62</v>
          </cell>
          <cell r="H124">
            <v>20907.59</v>
          </cell>
          <cell r="I124">
            <v>379.06</v>
          </cell>
          <cell r="J124">
            <v>76712.7</v>
          </cell>
          <cell r="K124">
            <v>5911.06</v>
          </cell>
          <cell r="L124">
            <v>5036.83</v>
          </cell>
          <cell r="M124">
            <v>3516.66</v>
          </cell>
          <cell r="N124">
            <v>7057.17</v>
          </cell>
          <cell r="P124">
            <v>664.41</v>
          </cell>
          <cell r="Q124">
            <v>1624.25</v>
          </cell>
          <cell r="R124">
            <v>3560.27</v>
          </cell>
          <cell r="S124">
            <v>377.33</v>
          </cell>
          <cell r="T124">
            <v>186957.43</v>
          </cell>
          <cell r="U124">
            <v>367342.82</v>
          </cell>
          <cell r="V124">
            <v>3490.81</v>
          </cell>
          <cell r="W124">
            <v>29726.23</v>
          </cell>
          <cell r="X124">
            <v>3820.67</v>
          </cell>
          <cell r="Y124">
            <v>159111.12</v>
          </cell>
          <cell r="Z124">
            <v>28819.17</v>
          </cell>
          <cell r="AA124">
            <v>9001.15</v>
          </cell>
          <cell r="AB124">
            <v>1462.33</v>
          </cell>
          <cell r="AC124">
            <v>127856.43</v>
          </cell>
          <cell r="AD124">
            <v>9671.74</v>
          </cell>
          <cell r="AE124">
            <v>69909.759999999995</v>
          </cell>
          <cell r="AF124">
            <v>6513.84</v>
          </cell>
          <cell r="AG124">
            <v>212739.49</v>
          </cell>
          <cell r="AH124">
            <v>791.66</v>
          </cell>
          <cell r="AI124">
            <v>7269.6</v>
          </cell>
          <cell r="AJ124">
            <v>494.02</v>
          </cell>
          <cell r="AK124">
            <v>23311.59</v>
          </cell>
          <cell r="AL124">
            <v>1417</v>
          </cell>
          <cell r="AM124">
            <v>1419049.9600000002</v>
          </cell>
        </row>
        <row r="126">
          <cell r="C126">
            <v>19195</v>
          </cell>
          <cell r="D126">
            <v>19827</v>
          </cell>
          <cell r="H126">
            <v>2255</v>
          </cell>
          <cell r="AC126">
            <v>3735.65</v>
          </cell>
          <cell r="AE126">
            <v>2490.44</v>
          </cell>
          <cell r="AM126">
            <v>47503.090000000004</v>
          </cell>
        </row>
        <row r="128">
          <cell r="AA128">
            <v>10.25</v>
          </cell>
          <cell r="AG128">
            <v>468.06</v>
          </cell>
          <cell r="AM128">
            <v>478.31</v>
          </cell>
        </row>
        <row r="129">
          <cell r="C129">
            <v>472641.05999999982</v>
          </cell>
          <cell r="D129">
            <v>1108957.6699999997</v>
          </cell>
          <cell r="E129">
            <v>769839.63000000047</v>
          </cell>
          <cell r="F129">
            <v>31060.230000000003</v>
          </cell>
          <cell r="G129">
            <v>209506.1100000001</v>
          </cell>
          <cell r="H129">
            <v>2017198.4000000001</v>
          </cell>
          <cell r="I129">
            <v>122623.59999999998</v>
          </cell>
          <cell r="J129">
            <v>10992324.569999998</v>
          </cell>
          <cell r="K129">
            <v>509607.79000000004</v>
          </cell>
          <cell r="L129">
            <v>389285.30000000016</v>
          </cell>
          <cell r="M129">
            <v>70455.260000000009</v>
          </cell>
          <cell r="N129">
            <v>1138040.9299999992</v>
          </cell>
          <cell r="O129">
            <v>9270.6300000000247</v>
          </cell>
          <cell r="P129">
            <v>136717.58000000002</v>
          </cell>
          <cell r="Q129">
            <v>27512.010000000002</v>
          </cell>
          <cell r="R129">
            <v>1030001.9300000002</v>
          </cell>
          <cell r="S129">
            <v>34870.300000000017</v>
          </cell>
          <cell r="T129">
            <v>12476968.920000002</v>
          </cell>
          <cell r="U129">
            <v>15280764.010000004</v>
          </cell>
          <cell r="V129">
            <v>324462.09999999998</v>
          </cell>
          <cell r="W129">
            <v>2588744.8600000008</v>
          </cell>
          <cell r="X129">
            <v>461570.66999999981</v>
          </cell>
          <cell r="Y129">
            <v>11385315.499999996</v>
          </cell>
          <cell r="Z129">
            <v>2792498.9699999979</v>
          </cell>
          <cell r="AA129">
            <v>1344095.9299999997</v>
          </cell>
          <cell r="AB129">
            <v>224610.53</v>
          </cell>
          <cell r="AC129">
            <v>17815802.469999999</v>
          </cell>
          <cell r="AD129">
            <v>726915.89999999979</v>
          </cell>
          <cell r="AE129">
            <v>9900439.1699999962</v>
          </cell>
          <cell r="AF129">
            <v>751498.52000000014</v>
          </cell>
          <cell r="AG129">
            <v>26345354.439999998</v>
          </cell>
          <cell r="AH129">
            <v>19415.71</v>
          </cell>
          <cell r="AI129">
            <v>810018.90999999992</v>
          </cell>
          <cell r="AJ129">
            <v>140352.6699999999</v>
          </cell>
          <cell r="AK129">
            <v>3650079.97</v>
          </cell>
          <cell r="AL129">
            <v>25506</v>
          </cell>
          <cell r="AM129">
            <v>126134328.24999999</v>
          </cell>
        </row>
        <row r="132">
          <cell r="J132">
            <v>34553</v>
          </cell>
          <cell r="U132">
            <v>56919.3</v>
          </cell>
          <cell r="Y132">
            <v>1086.7</v>
          </cell>
          <cell r="AA132">
            <v>8065.9</v>
          </cell>
          <cell r="AC132">
            <v>27226.48</v>
          </cell>
          <cell r="AE132">
            <v>3706</v>
          </cell>
          <cell r="AG132">
            <v>6198.97</v>
          </cell>
          <cell r="AI132">
            <v>2558.04</v>
          </cell>
          <cell r="AM132">
            <v>140314.39000000001</v>
          </cell>
        </row>
        <row r="134">
          <cell r="J134">
            <v>242411</v>
          </cell>
          <cell r="K134">
            <v>35534</v>
          </cell>
          <cell r="T134">
            <v>234120</v>
          </cell>
          <cell r="U134">
            <v>136907</v>
          </cell>
          <cell r="AM134">
            <v>648972</v>
          </cell>
        </row>
        <row r="136">
          <cell r="C136">
            <v>6901.29</v>
          </cell>
          <cell r="D136">
            <v>23234.01</v>
          </cell>
          <cell r="E136">
            <v>11657.87</v>
          </cell>
          <cell r="F136">
            <v>196.93</v>
          </cell>
          <cell r="G136">
            <v>1634.03</v>
          </cell>
          <cell r="H136">
            <v>21102.54</v>
          </cell>
          <cell r="I136">
            <v>379.06</v>
          </cell>
          <cell r="J136">
            <v>77010.63</v>
          </cell>
          <cell r="K136">
            <v>6242.67</v>
          </cell>
          <cell r="L136">
            <v>5036.83</v>
          </cell>
          <cell r="M136">
            <v>3519.78</v>
          </cell>
          <cell r="N136">
            <v>7057.17</v>
          </cell>
          <cell r="P136">
            <v>664.41</v>
          </cell>
          <cell r="Q136">
            <v>1638.86</v>
          </cell>
          <cell r="R136">
            <v>3560.27</v>
          </cell>
          <cell r="S136">
            <v>377.33</v>
          </cell>
          <cell r="T136">
            <v>188186.87</v>
          </cell>
          <cell r="U136">
            <v>367131.07</v>
          </cell>
          <cell r="V136">
            <v>3490.81</v>
          </cell>
          <cell r="W136">
            <v>29726.23</v>
          </cell>
          <cell r="X136">
            <v>3820.67</v>
          </cell>
          <cell r="Y136">
            <v>160946.38</v>
          </cell>
          <cell r="Z136">
            <v>29012.080000000002</v>
          </cell>
          <cell r="AA136">
            <v>9404.24</v>
          </cell>
          <cell r="AB136">
            <v>1462.33</v>
          </cell>
          <cell r="AC136">
            <v>131716.81</v>
          </cell>
          <cell r="AD136">
            <v>18541.79</v>
          </cell>
          <cell r="AE136">
            <v>73136.039999999994</v>
          </cell>
          <cell r="AF136">
            <v>7190.83</v>
          </cell>
          <cell r="AG136">
            <v>223501.41</v>
          </cell>
          <cell r="AH136">
            <v>1558.45</v>
          </cell>
          <cell r="AI136">
            <v>7489.26</v>
          </cell>
          <cell r="AJ136">
            <v>494.02</v>
          </cell>
          <cell r="AK136">
            <v>23959.75</v>
          </cell>
          <cell r="AL136">
            <v>1417</v>
          </cell>
          <cell r="AM136">
            <v>1452399.72</v>
          </cell>
        </row>
        <row r="138">
          <cell r="AM138">
            <v>0</v>
          </cell>
        </row>
        <row r="140">
          <cell r="AA140">
            <v>59.24</v>
          </cell>
          <cell r="AG140">
            <v>166.82</v>
          </cell>
          <cell r="AM140">
            <v>226.06</v>
          </cell>
        </row>
        <row r="141">
          <cell r="C141">
            <v>479542.3499999998</v>
          </cell>
          <cell r="D141">
            <v>1132191.6799999997</v>
          </cell>
          <cell r="E141">
            <v>781497.50000000047</v>
          </cell>
          <cell r="F141">
            <v>31257.160000000003</v>
          </cell>
          <cell r="G141">
            <v>211140.1400000001</v>
          </cell>
          <cell r="H141">
            <v>2038300.9400000002</v>
          </cell>
          <cell r="I141">
            <v>123002.65999999997</v>
          </cell>
          <cell r="J141">
            <v>10792371.199999999</v>
          </cell>
          <cell r="K141">
            <v>480316.46</v>
          </cell>
          <cell r="L141">
            <v>394322.13000000018</v>
          </cell>
          <cell r="M141">
            <v>73975.040000000008</v>
          </cell>
          <cell r="N141">
            <v>1145098.0999999992</v>
          </cell>
          <cell r="O141">
            <v>9270.6300000000247</v>
          </cell>
          <cell r="P141">
            <v>137381.99000000002</v>
          </cell>
          <cell r="Q141">
            <v>29150.870000000003</v>
          </cell>
          <cell r="R141">
            <v>1033562.2000000002</v>
          </cell>
          <cell r="S141">
            <v>35247.630000000019</v>
          </cell>
          <cell r="T141">
            <v>12431035.790000001</v>
          </cell>
          <cell r="U141">
            <v>15454068.780000003</v>
          </cell>
          <cell r="V141">
            <v>327952.90999999997</v>
          </cell>
          <cell r="W141">
            <v>2618471.0900000008</v>
          </cell>
          <cell r="X141">
            <v>465391.33999999979</v>
          </cell>
          <cell r="Y141">
            <v>11545175.179999998</v>
          </cell>
          <cell r="Z141">
            <v>2821511.049999998</v>
          </cell>
          <cell r="AA141">
            <v>1345493.5099999998</v>
          </cell>
          <cell r="AB141">
            <v>226072.86</v>
          </cell>
          <cell r="AC141">
            <v>17920292.799999997</v>
          </cell>
          <cell r="AD141">
            <v>745457.68999999983</v>
          </cell>
          <cell r="AE141">
            <v>9969869.2099999953</v>
          </cell>
          <cell r="AF141">
            <v>758689.35000000009</v>
          </cell>
          <cell r="AG141">
            <v>26562823.699999999</v>
          </cell>
          <cell r="AH141">
            <v>20974.16</v>
          </cell>
          <cell r="AI141">
            <v>814950.12999999989</v>
          </cell>
          <cell r="AJ141">
            <v>140846.68999999989</v>
          </cell>
          <cell r="AK141">
            <v>3674039.72</v>
          </cell>
          <cell r="AL141">
            <v>26923</v>
          </cell>
          <cell r="AM141">
            <v>126797667.63999999</v>
          </cell>
        </row>
        <row r="144">
          <cell r="U144">
            <v>481.45</v>
          </cell>
          <cell r="Y144">
            <v>20045.87</v>
          </cell>
          <cell r="Z144">
            <v>16934.22</v>
          </cell>
          <cell r="AC144">
            <v>36242.36</v>
          </cell>
          <cell r="AE144">
            <v>1709.19</v>
          </cell>
          <cell r="AG144">
            <v>4462.3</v>
          </cell>
          <cell r="AI144">
            <v>2654.44</v>
          </cell>
          <cell r="AM144">
            <v>82529.83</v>
          </cell>
        </row>
        <row r="146">
          <cell r="U146">
            <v>-251</v>
          </cell>
          <cell r="Y146">
            <v>4709</v>
          </cell>
          <cell r="Z146">
            <v>301947</v>
          </cell>
          <cell r="AA146">
            <v>9077</v>
          </cell>
          <cell r="AC146">
            <v>31916</v>
          </cell>
          <cell r="AE146">
            <v>2918</v>
          </cell>
          <cell r="AG146">
            <v>44283</v>
          </cell>
          <cell r="AI146">
            <v>191</v>
          </cell>
          <cell r="AM146">
            <v>394790</v>
          </cell>
        </row>
        <row r="148">
          <cell r="C148">
            <v>6701.73</v>
          </cell>
          <cell r="D148">
            <v>23234.01</v>
          </cell>
          <cell r="E148">
            <v>11681.21</v>
          </cell>
          <cell r="F148">
            <v>196.93</v>
          </cell>
          <cell r="G148">
            <v>1615.33</v>
          </cell>
          <cell r="H148">
            <v>21145.4</v>
          </cell>
          <cell r="I148">
            <v>379.06</v>
          </cell>
          <cell r="J148">
            <v>76970</v>
          </cell>
          <cell r="K148">
            <v>6214.52</v>
          </cell>
          <cell r="L148">
            <v>5036.83</v>
          </cell>
          <cell r="M148">
            <v>3527.88</v>
          </cell>
          <cell r="N148">
            <v>7057.17</v>
          </cell>
          <cell r="P148">
            <v>677.28</v>
          </cell>
          <cell r="Q148">
            <v>1638.86</v>
          </cell>
          <cell r="R148">
            <v>3560.27</v>
          </cell>
          <cell r="S148">
            <v>377.33</v>
          </cell>
          <cell r="T148">
            <v>186557.61</v>
          </cell>
          <cell r="U148">
            <v>367044.23</v>
          </cell>
          <cell r="V148">
            <v>3490.81</v>
          </cell>
          <cell r="W148">
            <v>29726.23</v>
          </cell>
          <cell r="X148">
            <v>3820.67</v>
          </cell>
          <cell r="Y148">
            <v>181292.63</v>
          </cell>
          <cell r="Z148">
            <v>29012.080000000002</v>
          </cell>
          <cell r="AA148">
            <v>9311.33</v>
          </cell>
          <cell r="AB148">
            <v>1462.33</v>
          </cell>
          <cell r="AC148">
            <v>143628.32</v>
          </cell>
          <cell r="AD148">
            <v>11036.42</v>
          </cell>
          <cell r="AE148">
            <v>72436.399999999994</v>
          </cell>
          <cell r="AF148">
            <v>6649.91</v>
          </cell>
          <cell r="AG148">
            <v>235363.32</v>
          </cell>
          <cell r="AH148">
            <v>1032.6199999999999</v>
          </cell>
          <cell r="AI148">
            <v>9165.18</v>
          </cell>
          <cell r="AJ148">
            <v>494.02</v>
          </cell>
          <cell r="AK148">
            <v>23904.07</v>
          </cell>
          <cell r="AL148">
            <v>1417</v>
          </cell>
          <cell r="AM148">
            <v>1486858.9899999998</v>
          </cell>
        </row>
        <row r="150">
          <cell r="AM150">
            <v>0</v>
          </cell>
        </row>
        <row r="152">
          <cell r="AC152">
            <v>2581.63</v>
          </cell>
          <cell r="AG152">
            <v>6708.17</v>
          </cell>
          <cell r="AM152">
            <v>9289.7999999999993</v>
          </cell>
        </row>
        <row r="153">
          <cell r="C153">
            <v>486244.07999999978</v>
          </cell>
          <cell r="D153">
            <v>1155425.6899999997</v>
          </cell>
          <cell r="E153">
            <v>793178.71000000043</v>
          </cell>
          <cell r="F153">
            <v>31454.090000000004</v>
          </cell>
          <cell r="G153">
            <v>212755.47000000009</v>
          </cell>
          <cell r="H153">
            <v>2059446.34</v>
          </cell>
          <cell r="I153">
            <v>123381.71999999997</v>
          </cell>
          <cell r="J153">
            <v>10869341.199999999</v>
          </cell>
          <cell r="K153">
            <v>486530.98000000004</v>
          </cell>
          <cell r="L153">
            <v>399358.9600000002</v>
          </cell>
          <cell r="M153">
            <v>77502.920000000013</v>
          </cell>
          <cell r="N153">
            <v>1152155.2699999991</v>
          </cell>
          <cell r="O153">
            <v>9270.6300000000247</v>
          </cell>
          <cell r="P153">
            <v>138059.27000000002</v>
          </cell>
          <cell r="Q153">
            <v>30789.730000000003</v>
          </cell>
          <cell r="R153">
            <v>1037122.4700000002</v>
          </cell>
          <cell r="S153">
            <v>35624.960000000021</v>
          </cell>
          <cell r="T153">
            <v>12617593.4</v>
          </cell>
          <cell r="U153">
            <v>15820882.560000004</v>
          </cell>
          <cell r="V153">
            <v>331443.71999999997</v>
          </cell>
          <cell r="W153">
            <v>2648197.3200000008</v>
          </cell>
          <cell r="X153">
            <v>469212.00999999978</v>
          </cell>
          <cell r="Y153">
            <v>11701712.939999999</v>
          </cell>
          <cell r="Z153">
            <v>2531641.9099999978</v>
          </cell>
          <cell r="AA153">
            <v>1345727.8399999999</v>
          </cell>
          <cell r="AB153">
            <v>227535.18999999997</v>
          </cell>
          <cell r="AC153">
            <v>17998344.389999997</v>
          </cell>
          <cell r="AD153">
            <v>756494.10999999987</v>
          </cell>
          <cell r="AE153">
            <v>10037678.419999996</v>
          </cell>
          <cell r="AF153">
            <v>765339.26000000013</v>
          </cell>
          <cell r="AG153">
            <v>26756149.890000001</v>
          </cell>
          <cell r="AH153">
            <v>22006.78</v>
          </cell>
          <cell r="AI153">
            <v>821269.87</v>
          </cell>
          <cell r="AJ153">
            <v>141340.70999999988</v>
          </cell>
          <cell r="AK153">
            <v>3697943.79</v>
          </cell>
          <cell r="AL153">
            <v>28340</v>
          </cell>
          <cell r="AM153">
            <v>127816496.59999998</v>
          </cell>
        </row>
        <row r="156">
          <cell r="J156">
            <v>8598.8799999999992</v>
          </cell>
          <cell r="U156">
            <v>158.78</v>
          </cell>
          <cell r="Y156">
            <v>21067.99</v>
          </cell>
          <cell r="Z156">
            <v>12198.34</v>
          </cell>
          <cell r="AA156">
            <v>6201.39</v>
          </cell>
          <cell r="AC156">
            <v>51084.4</v>
          </cell>
          <cell r="AE156">
            <v>4767.24</v>
          </cell>
          <cell r="AG156">
            <v>19933.53</v>
          </cell>
          <cell r="AI156">
            <v>2494.96</v>
          </cell>
          <cell r="AM156">
            <v>126505.51000000001</v>
          </cell>
        </row>
        <row r="158">
          <cell r="J158">
            <v>-42937</v>
          </cell>
          <cell r="U158">
            <v>9920</v>
          </cell>
          <cell r="Z158">
            <v>-76935</v>
          </cell>
          <cell r="AM158">
            <v>-109952</v>
          </cell>
        </row>
        <row r="160">
          <cell r="Y160">
            <v>2058.77</v>
          </cell>
          <cell r="AA160">
            <v>165.56</v>
          </cell>
          <cell r="AC160">
            <v>1524.91</v>
          </cell>
          <cell r="AE160">
            <v>1445.25</v>
          </cell>
          <cell r="AF160">
            <v>4.12</v>
          </cell>
          <cell r="AG160">
            <v>5476.04</v>
          </cell>
          <cell r="AH160">
            <v>252.93</v>
          </cell>
          <cell r="AI160">
            <v>94.26</v>
          </cell>
          <cell r="AK160">
            <v>1780.37</v>
          </cell>
          <cell r="AM160">
            <v>12802.21</v>
          </cell>
        </row>
        <row r="162">
          <cell r="AC162">
            <v>9501</v>
          </cell>
          <cell r="AM162">
            <v>9501</v>
          </cell>
        </row>
        <row r="164">
          <cell r="AM164">
            <v>0</v>
          </cell>
        </row>
        <row r="165">
          <cell r="C165">
            <v>486244.07999999978</v>
          </cell>
          <cell r="D165">
            <v>1155425.6899999997</v>
          </cell>
          <cell r="E165">
            <v>793178.71000000043</v>
          </cell>
          <cell r="F165">
            <v>31454.090000000004</v>
          </cell>
          <cell r="G165">
            <v>212755.47000000009</v>
          </cell>
          <cell r="H165">
            <v>2059446.34</v>
          </cell>
          <cell r="I165">
            <v>123381.71999999997</v>
          </cell>
          <cell r="J165">
            <v>10903679.319999998</v>
          </cell>
          <cell r="K165">
            <v>486530.98000000004</v>
          </cell>
          <cell r="L165">
            <v>399358.9600000002</v>
          </cell>
          <cell r="M165">
            <v>77502.920000000013</v>
          </cell>
          <cell r="N165">
            <v>1152155.2699999991</v>
          </cell>
          <cell r="O165">
            <v>9270.6300000000247</v>
          </cell>
          <cell r="P165">
            <v>138059.27000000002</v>
          </cell>
          <cell r="Q165">
            <v>30789.730000000003</v>
          </cell>
          <cell r="R165">
            <v>1037122.4700000002</v>
          </cell>
          <cell r="S165">
            <v>35624.960000000021</v>
          </cell>
          <cell r="T165">
            <v>12617593.4</v>
          </cell>
          <cell r="U165">
            <v>15810803.780000005</v>
          </cell>
          <cell r="V165">
            <v>331443.71999999997</v>
          </cell>
          <cell r="W165">
            <v>2648197.3200000008</v>
          </cell>
          <cell r="X165">
            <v>469212.00999999978</v>
          </cell>
          <cell r="Y165">
            <v>11682703.719999999</v>
          </cell>
          <cell r="Z165">
            <v>2596378.569999998</v>
          </cell>
          <cell r="AA165">
            <v>1339692.01</v>
          </cell>
          <cell r="AB165">
            <v>227535.18999999997</v>
          </cell>
          <cell r="AC165">
            <v>17958285.899999999</v>
          </cell>
          <cell r="AD165">
            <v>756494.10999999987</v>
          </cell>
          <cell r="AE165">
            <v>10034356.429999996</v>
          </cell>
          <cell r="AF165">
            <v>765343.38000000012</v>
          </cell>
          <cell r="AG165">
            <v>26741692.399999999</v>
          </cell>
          <cell r="AH165">
            <v>22259.71</v>
          </cell>
          <cell r="AI165">
            <v>818869.17</v>
          </cell>
          <cell r="AJ165">
            <v>141340.70999999988</v>
          </cell>
          <cell r="AK165">
            <v>3699724.16</v>
          </cell>
          <cell r="AL165">
            <v>28340</v>
          </cell>
          <cell r="AM165">
            <v>127822246.29999997</v>
          </cell>
        </row>
        <row r="168">
          <cell r="Y168">
            <v>355.03</v>
          </cell>
          <cell r="Z168">
            <v>1101.58</v>
          </cell>
          <cell r="AA168">
            <v>254.29</v>
          </cell>
          <cell r="AC168">
            <v>15121.85</v>
          </cell>
          <cell r="AG168">
            <v>647.62</v>
          </cell>
          <cell r="AM168">
            <v>17480.37</v>
          </cell>
        </row>
        <row r="170">
          <cell r="U170">
            <v>-9418</v>
          </cell>
          <cell r="AA170">
            <v>10052</v>
          </cell>
          <cell r="AC170">
            <v>87342</v>
          </cell>
          <cell r="AE170">
            <v>919</v>
          </cell>
          <cell r="AG170">
            <v>75214</v>
          </cell>
          <cell r="AI170">
            <v>7312</v>
          </cell>
          <cell r="AM170">
            <v>171421</v>
          </cell>
        </row>
        <row r="172">
          <cell r="AM172">
            <v>0</v>
          </cell>
        </row>
        <row r="174">
          <cell r="AM174">
            <v>0</v>
          </cell>
        </row>
        <row r="176">
          <cell r="U176">
            <v>412008.75</v>
          </cell>
          <cell r="AM176">
            <v>412008.75</v>
          </cell>
        </row>
        <row r="177">
          <cell r="C177">
            <v>486244.07999999978</v>
          </cell>
          <cell r="D177">
            <v>1155425.6899999997</v>
          </cell>
          <cell r="E177">
            <v>793178.71000000043</v>
          </cell>
          <cell r="F177">
            <v>31454.090000000004</v>
          </cell>
          <cell r="G177">
            <v>212755.47000000009</v>
          </cell>
          <cell r="H177">
            <v>2059446.34</v>
          </cell>
          <cell r="I177">
            <v>123381.71999999997</v>
          </cell>
          <cell r="J177">
            <v>10903679.319999998</v>
          </cell>
          <cell r="K177">
            <v>486530.98000000004</v>
          </cell>
          <cell r="L177">
            <v>399358.9600000002</v>
          </cell>
          <cell r="M177">
            <v>77502.920000000013</v>
          </cell>
          <cell r="N177">
            <v>1152155.2699999991</v>
          </cell>
          <cell r="O177">
            <v>9270.6300000000247</v>
          </cell>
          <cell r="P177">
            <v>138059.27000000002</v>
          </cell>
          <cell r="Q177">
            <v>30789.730000000003</v>
          </cell>
          <cell r="R177">
            <v>1037122.4700000002</v>
          </cell>
          <cell r="S177">
            <v>35624.960000000021</v>
          </cell>
          <cell r="T177">
            <v>12617593.4</v>
          </cell>
          <cell r="U177">
            <v>16232230.530000005</v>
          </cell>
          <cell r="V177">
            <v>331443.71999999997</v>
          </cell>
          <cell r="W177">
            <v>2648197.3200000008</v>
          </cell>
          <cell r="X177">
            <v>469212.00999999978</v>
          </cell>
          <cell r="Y177">
            <v>11682348.689999999</v>
          </cell>
          <cell r="Z177">
            <v>2595276.9899999979</v>
          </cell>
          <cell r="AA177">
            <v>1329385.72</v>
          </cell>
          <cell r="AB177">
            <v>227535.18999999997</v>
          </cell>
          <cell r="AC177">
            <v>17855822.049999997</v>
          </cell>
          <cell r="AD177">
            <v>756494.10999999987</v>
          </cell>
          <cell r="AE177">
            <v>10033437.429999996</v>
          </cell>
          <cell r="AF177">
            <v>765343.38000000012</v>
          </cell>
          <cell r="AG177">
            <v>26665830.779999997</v>
          </cell>
          <cell r="AH177">
            <v>22259.71</v>
          </cell>
          <cell r="AI177">
            <v>811557.17</v>
          </cell>
          <cell r="AJ177">
            <v>141340.70999999988</v>
          </cell>
          <cell r="AK177">
            <v>3699724.16</v>
          </cell>
          <cell r="AL177">
            <v>28340</v>
          </cell>
          <cell r="AM177">
            <v>128045353.67999996</v>
          </cell>
        </row>
        <row r="180">
          <cell r="AM180">
            <v>0</v>
          </cell>
        </row>
        <row r="182">
          <cell r="AM182">
            <v>0</v>
          </cell>
        </row>
        <row r="184">
          <cell r="AM184">
            <v>0</v>
          </cell>
        </row>
        <row r="186">
          <cell r="AM186">
            <v>0</v>
          </cell>
        </row>
        <row r="188">
          <cell r="AM188">
            <v>0</v>
          </cell>
        </row>
        <row r="189">
          <cell r="C189">
            <v>486244.07999999978</v>
          </cell>
          <cell r="D189">
            <v>1155425.6899999997</v>
          </cell>
          <cell r="E189">
            <v>793178.71000000043</v>
          </cell>
          <cell r="F189">
            <v>31454.090000000004</v>
          </cell>
          <cell r="G189">
            <v>212755.47000000009</v>
          </cell>
          <cell r="H189">
            <v>2059446.34</v>
          </cell>
          <cell r="I189">
            <v>123381.71999999997</v>
          </cell>
          <cell r="J189">
            <v>10903679.319999998</v>
          </cell>
          <cell r="K189">
            <v>486530.98000000004</v>
          </cell>
          <cell r="L189">
            <v>399358.9600000002</v>
          </cell>
          <cell r="M189">
            <v>77502.920000000013</v>
          </cell>
          <cell r="N189">
            <v>1152155.2699999991</v>
          </cell>
          <cell r="O189">
            <v>9270.6300000000247</v>
          </cell>
          <cell r="P189">
            <v>138059.27000000002</v>
          </cell>
          <cell r="Q189">
            <v>30789.730000000003</v>
          </cell>
          <cell r="R189">
            <v>1037122.4700000002</v>
          </cell>
          <cell r="S189">
            <v>35624.960000000021</v>
          </cell>
          <cell r="T189">
            <v>12617593.4</v>
          </cell>
          <cell r="U189">
            <v>16232230.530000005</v>
          </cell>
          <cell r="V189">
            <v>331443.71999999997</v>
          </cell>
          <cell r="W189">
            <v>2648197.3200000008</v>
          </cell>
          <cell r="X189">
            <v>469212.00999999978</v>
          </cell>
          <cell r="Y189">
            <v>11682348.689999999</v>
          </cell>
          <cell r="Z189">
            <v>2595276.9899999979</v>
          </cell>
          <cell r="AA189">
            <v>1329385.72</v>
          </cell>
          <cell r="AB189">
            <v>227535.18999999997</v>
          </cell>
          <cell r="AC189">
            <v>17855822.049999997</v>
          </cell>
          <cell r="AD189">
            <v>756494.10999999987</v>
          </cell>
          <cell r="AE189">
            <v>10033437.429999996</v>
          </cell>
          <cell r="AF189">
            <v>765343.38000000012</v>
          </cell>
          <cell r="AG189">
            <v>26665830.779999997</v>
          </cell>
          <cell r="AH189">
            <v>22259.71</v>
          </cell>
          <cell r="AI189">
            <v>811557.17</v>
          </cell>
          <cell r="AJ189">
            <v>141340.70999999988</v>
          </cell>
          <cell r="AK189">
            <v>3699724.16</v>
          </cell>
          <cell r="AL189">
            <v>28340</v>
          </cell>
          <cell r="AM189">
            <v>128045353.67999996</v>
          </cell>
        </row>
        <row r="195">
          <cell r="A195" t="str">
            <v>Year-to-Date Totals:</v>
          </cell>
        </row>
        <row r="196">
          <cell r="A196" t="str">
            <v>Beginning Balance</v>
          </cell>
          <cell r="C196">
            <v>639816.92000000004</v>
          </cell>
          <cell r="D196">
            <v>923443.55</v>
          </cell>
          <cell r="E196">
            <v>1018223.79</v>
          </cell>
          <cell r="F196">
            <v>29090.93</v>
          </cell>
          <cell r="G196">
            <v>193913.2</v>
          </cell>
          <cell r="H196">
            <v>1827939.44</v>
          </cell>
          <cell r="I196">
            <v>118833</v>
          </cell>
          <cell r="J196">
            <v>10230549.130000001</v>
          </cell>
          <cell r="K196">
            <v>466836.56</v>
          </cell>
          <cell r="L196">
            <v>338917</v>
          </cell>
          <cell r="M196">
            <v>35287.379999999997</v>
          </cell>
          <cell r="N196">
            <v>1067469.23</v>
          </cell>
          <cell r="O196">
            <v>9230.1600000000253</v>
          </cell>
          <cell r="P196">
            <v>1083670.26</v>
          </cell>
          <cell r="Q196">
            <v>11781.19</v>
          </cell>
          <cell r="R196">
            <v>985750.22</v>
          </cell>
          <cell r="S196">
            <v>31097</v>
          </cell>
          <cell r="T196">
            <v>10675938.130000001</v>
          </cell>
          <cell r="U196">
            <v>18265153.199999999</v>
          </cell>
          <cell r="V196">
            <v>289554</v>
          </cell>
          <cell r="W196">
            <v>2338922.39</v>
          </cell>
          <cell r="X196">
            <v>423363.97</v>
          </cell>
          <cell r="Y196">
            <v>12536514.93</v>
          </cell>
          <cell r="Z196">
            <v>2505819.17</v>
          </cell>
          <cell r="AA196">
            <v>1263594.74</v>
          </cell>
          <cell r="AB196">
            <v>208417.54</v>
          </cell>
          <cell r="AC196">
            <v>16697289.220000001</v>
          </cell>
          <cell r="AD196">
            <v>634203.97</v>
          </cell>
          <cell r="AE196">
            <v>9212373.6599999983</v>
          </cell>
          <cell r="AF196">
            <v>684600.88</v>
          </cell>
          <cell r="AG196">
            <v>24292701.870000001</v>
          </cell>
          <cell r="AH196">
            <v>11788.38</v>
          </cell>
          <cell r="AI196">
            <v>738440.27</v>
          </cell>
          <cell r="AJ196">
            <v>135412.47</v>
          </cell>
          <cell r="AK196">
            <v>3417682.05</v>
          </cell>
          <cell r="AL196">
            <v>11336</v>
          </cell>
          <cell r="AM196">
            <v>123354955.8</v>
          </cell>
        </row>
        <row r="198">
          <cell r="A198" t="str">
            <v xml:space="preserve">   Removals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43151.88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334892.84000000003</v>
          </cell>
          <cell r="V198">
            <v>0</v>
          </cell>
          <cell r="W198">
            <v>0</v>
          </cell>
          <cell r="X198">
            <v>0</v>
          </cell>
          <cell r="Y198">
            <v>88887.790000000008</v>
          </cell>
          <cell r="Z198">
            <v>30234.140000000003</v>
          </cell>
          <cell r="AA198">
            <v>16186.79</v>
          </cell>
          <cell r="AB198">
            <v>0</v>
          </cell>
          <cell r="AC198">
            <v>198717.13999999998</v>
          </cell>
          <cell r="AD198">
            <v>0</v>
          </cell>
          <cell r="AE198">
            <v>26621.309999999998</v>
          </cell>
          <cell r="AF198">
            <v>0</v>
          </cell>
          <cell r="AG198">
            <v>43681.81</v>
          </cell>
          <cell r="AH198">
            <v>0</v>
          </cell>
          <cell r="AI198">
            <v>7821.29</v>
          </cell>
          <cell r="AJ198">
            <v>0</v>
          </cell>
          <cell r="AK198">
            <v>0</v>
          </cell>
          <cell r="AL198">
            <v>0</v>
          </cell>
          <cell r="AM198">
            <v>790194.99</v>
          </cell>
        </row>
        <row r="200">
          <cell r="A200" t="str">
            <v xml:space="preserve">   Retirements</v>
          </cell>
          <cell r="C200">
            <v>306339</v>
          </cell>
          <cell r="D200">
            <v>58073</v>
          </cell>
          <cell r="E200">
            <v>414881</v>
          </cell>
          <cell r="F200">
            <v>0</v>
          </cell>
          <cell r="G200">
            <v>0</v>
          </cell>
          <cell r="H200">
            <v>25087</v>
          </cell>
          <cell r="I200">
            <v>0</v>
          </cell>
          <cell r="J200">
            <v>199474</v>
          </cell>
          <cell r="K200">
            <v>50404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1032584</v>
          </cell>
          <cell r="Q200">
            <v>0</v>
          </cell>
          <cell r="R200">
            <v>0</v>
          </cell>
          <cell r="S200">
            <v>0</v>
          </cell>
          <cell r="T200">
            <v>292199</v>
          </cell>
          <cell r="U200">
            <v>6719192</v>
          </cell>
          <cell r="V200">
            <v>0</v>
          </cell>
          <cell r="W200">
            <v>48868</v>
          </cell>
          <cell r="X200">
            <v>0</v>
          </cell>
          <cell r="Y200">
            <v>2717704</v>
          </cell>
          <cell r="Z200">
            <v>225012</v>
          </cell>
          <cell r="AA200">
            <v>27336</v>
          </cell>
          <cell r="AB200">
            <v>0</v>
          </cell>
          <cell r="AC200">
            <v>211539</v>
          </cell>
          <cell r="AD200">
            <v>0</v>
          </cell>
          <cell r="AE200">
            <v>5040</v>
          </cell>
          <cell r="AF200">
            <v>0</v>
          </cell>
          <cell r="AG200">
            <v>166218</v>
          </cell>
          <cell r="AH200">
            <v>0</v>
          </cell>
          <cell r="AI200">
            <v>7503</v>
          </cell>
          <cell r="AJ200">
            <v>0</v>
          </cell>
          <cell r="AK200">
            <v>0</v>
          </cell>
          <cell r="AL200">
            <v>0</v>
          </cell>
          <cell r="AM200">
            <v>12507453</v>
          </cell>
        </row>
        <row r="202">
          <cell r="A202" t="str">
            <v xml:space="preserve">   Depreciation</v>
          </cell>
          <cell r="C202">
            <v>102500.56000000001</v>
          </cell>
          <cell r="D202">
            <v>267387.94</v>
          </cell>
          <cell r="E202">
            <v>133860.91999999998</v>
          </cell>
          <cell r="F202">
            <v>2363.1600000000003</v>
          </cell>
          <cell r="G202">
            <v>18781.550000000003</v>
          </cell>
          <cell r="H202">
            <v>254126.05000000002</v>
          </cell>
          <cell r="I202">
            <v>4548.72</v>
          </cell>
          <cell r="J202">
            <v>915756.07000000007</v>
          </cell>
          <cell r="K202">
            <v>70098.42</v>
          </cell>
          <cell r="L202">
            <v>60441.960000000014</v>
          </cell>
          <cell r="M202">
            <v>42215.540000000008</v>
          </cell>
          <cell r="N202">
            <v>84686.04</v>
          </cell>
          <cell r="O202">
            <v>40.47</v>
          </cell>
          <cell r="P202">
            <v>86973.01</v>
          </cell>
          <cell r="Q202">
            <v>19008.54</v>
          </cell>
          <cell r="R202">
            <v>51372.249999999993</v>
          </cell>
          <cell r="S202">
            <v>4527.96</v>
          </cell>
          <cell r="T202">
            <v>2233854.2699999996</v>
          </cell>
          <cell r="U202">
            <v>4609073.4200000009</v>
          </cell>
          <cell r="V202">
            <v>41889.72</v>
          </cell>
          <cell r="W202">
            <v>358142.93</v>
          </cell>
          <cell r="X202">
            <v>45848.039999999986</v>
          </cell>
          <cell r="Y202">
            <v>1952425.5500000003</v>
          </cell>
          <cell r="Z202">
            <v>344703.96</v>
          </cell>
          <cell r="AA202">
            <v>109138.43000000001</v>
          </cell>
          <cell r="AB202">
            <v>19117.649999999998</v>
          </cell>
          <cell r="AC202">
            <v>1552970.6899999997</v>
          </cell>
          <cell r="AD202">
            <v>122290.13999999998</v>
          </cell>
          <cell r="AE202">
            <v>848143.50000000012</v>
          </cell>
          <cell r="AF202">
            <v>80742.5</v>
          </cell>
          <cell r="AG202">
            <v>2573757.4000000004</v>
          </cell>
          <cell r="AH202">
            <v>10471.33</v>
          </cell>
          <cell r="AI202">
            <v>88226.440000000017</v>
          </cell>
          <cell r="AJ202">
            <v>5928.2400000000016</v>
          </cell>
          <cell r="AK202">
            <v>282042.11000000004</v>
          </cell>
          <cell r="AL202">
            <v>17004</v>
          </cell>
          <cell r="AM202">
            <v>17414459.48</v>
          </cell>
        </row>
        <row r="204">
          <cell r="A204" t="str">
            <v xml:space="preserve">   Salvage</v>
          </cell>
          <cell r="C204">
            <v>50265.599999999999</v>
          </cell>
          <cell r="D204">
            <v>22667.200000000001</v>
          </cell>
          <cell r="E204">
            <v>55975</v>
          </cell>
          <cell r="F204">
            <v>0</v>
          </cell>
          <cell r="G204">
            <v>60.72</v>
          </cell>
          <cell r="H204">
            <v>2467.85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80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13236.65</v>
          </cell>
          <cell r="AD204">
            <v>0</v>
          </cell>
          <cell r="AE204">
            <v>2490.44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147243.46</v>
          </cell>
        </row>
        <row r="206">
          <cell r="A206" t="str">
            <v xml:space="preserve">   Transfers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412008.75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175.34</v>
          </cell>
          <cell r="AB206">
            <v>0</v>
          </cell>
          <cell r="AC206">
            <v>2581.63</v>
          </cell>
          <cell r="AD206">
            <v>0</v>
          </cell>
          <cell r="AE206">
            <v>2091.14</v>
          </cell>
          <cell r="AF206">
            <v>0</v>
          </cell>
          <cell r="AG206">
            <v>9271.3200000000015</v>
          </cell>
          <cell r="AH206">
            <v>0</v>
          </cell>
          <cell r="AI206">
            <v>214.75</v>
          </cell>
          <cell r="AJ206">
            <v>0</v>
          </cell>
          <cell r="AK206">
            <v>0</v>
          </cell>
          <cell r="AL206">
            <v>0</v>
          </cell>
          <cell r="AM206">
            <v>426342.93000000005</v>
          </cell>
        </row>
        <row r="207">
          <cell r="A207" t="str">
            <v>Final Balance</v>
          </cell>
          <cell r="C207">
            <v>486244.08</v>
          </cell>
          <cell r="D207">
            <v>1155425.69</v>
          </cell>
          <cell r="E207">
            <v>793178.71</v>
          </cell>
          <cell r="F207">
            <v>31454.09</v>
          </cell>
          <cell r="G207">
            <v>212755.47</v>
          </cell>
          <cell r="H207">
            <v>2059446.34</v>
          </cell>
          <cell r="I207">
            <v>123381.72</v>
          </cell>
          <cell r="J207">
            <v>10903679.32</v>
          </cell>
          <cell r="K207">
            <v>486530.98</v>
          </cell>
          <cell r="L207">
            <v>399358.96</v>
          </cell>
          <cell r="M207">
            <v>77502.920000000013</v>
          </cell>
          <cell r="N207">
            <v>1152155.27</v>
          </cell>
          <cell r="O207">
            <v>9270.6300000000247</v>
          </cell>
          <cell r="P207">
            <v>138059.27000000002</v>
          </cell>
          <cell r="Q207">
            <v>30789.730000000003</v>
          </cell>
          <cell r="R207">
            <v>1037122.47</v>
          </cell>
          <cell r="S207">
            <v>35624.959999999999</v>
          </cell>
          <cell r="T207">
            <v>12617593.4</v>
          </cell>
          <cell r="U207">
            <v>16232230.530000001</v>
          </cell>
          <cell r="V207">
            <v>331443.71999999997</v>
          </cell>
          <cell r="W207">
            <v>2648197.3200000003</v>
          </cell>
          <cell r="X207">
            <v>469212.00999999995</v>
          </cell>
          <cell r="Y207">
            <v>11682348.690000001</v>
          </cell>
          <cell r="Z207">
            <v>2595276.9899999998</v>
          </cell>
          <cell r="AA207">
            <v>1329385.72</v>
          </cell>
          <cell r="AB207">
            <v>227535.19</v>
          </cell>
          <cell r="AC207">
            <v>17855822.049999997</v>
          </cell>
          <cell r="AD207">
            <v>756494.11</v>
          </cell>
          <cell r="AE207">
            <v>10033437.429999998</v>
          </cell>
          <cell r="AF207">
            <v>765343.38</v>
          </cell>
          <cell r="AG207">
            <v>26665830.780000001</v>
          </cell>
          <cell r="AH207">
            <v>22259.71</v>
          </cell>
          <cell r="AI207">
            <v>811557.17</v>
          </cell>
          <cell r="AJ207">
            <v>141340.71</v>
          </cell>
          <cell r="AK207">
            <v>3699724.1599999997</v>
          </cell>
          <cell r="AL207">
            <v>28340</v>
          </cell>
          <cell r="AM207">
            <v>128045353.68000001</v>
          </cell>
        </row>
        <row r="210">
          <cell r="C210">
            <v>503749.42</v>
          </cell>
          <cell r="D210" t="str">
            <v>x</v>
          </cell>
          <cell r="E210" t="str">
            <v>x</v>
          </cell>
          <cell r="F210">
            <v>2363.1600000000003</v>
          </cell>
          <cell r="G210">
            <v>18781.550000000003</v>
          </cell>
          <cell r="H210">
            <v>254126.05000000002</v>
          </cell>
          <cell r="J210">
            <v>915756.07000000007</v>
          </cell>
          <cell r="K210">
            <v>70098.42</v>
          </cell>
          <cell r="M210">
            <v>42215.540000000008</v>
          </cell>
          <cell r="T210">
            <v>2233854.2699999996</v>
          </cell>
          <cell r="U210">
            <v>4609073.4200000009</v>
          </cell>
          <cell r="W210">
            <v>358142.93</v>
          </cell>
          <cell r="X210">
            <v>45848.039999999986</v>
          </cell>
          <cell r="Y210">
            <v>1952425.5500000003</v>
          </cell>
          <cell r="Z210">
            <v>344703.96</v>
          </cell>
          <cell r="AA210">
            <v>109138.43000000001</v>
          </cell>
          <cell r="AB210">
            <v>1572088.3399999996</v>
          </cell>
          <cell r="AC210" t="str">
            <v>x</v>
          </cell>
          <cell r="AD210">
            <v>970433.64000000013</v>
          </cell>
          <cell r="AE210" t="str">
            <v>x</v>
          </cell>
          <cell r="AF210">
            <v>2654499.9000000004</v>
          </cell>
          <cell r="AG210" t="str">
            <v>x</v>
          </cell>
          <cell r="AH210">
            <v>98697.770000000019</v>
          </cell>
          <cell r="AI210" t="str">
            <v>x</v>
          </cell>
          <cell r="AJ210">
            <v>5928.2400000000016</v>
          </cell>
          <cell r="AK210">
            <v>282042.11000000004</v>
          </cell>
          <cell r="AM210">
            <v>17043966.810000002</v>
          </cell>
        </row>
        <row r="212">
          <cell r="I212">
            <v>4548.72</v>
          </cell>
          <cell r="L212">
            <v>60441.960000000014</v>
          </cell>
          <cell r="N212">
            <v>84686.04</v>
          </cell>
          <cell r="O212">
            <v>40.47</v>
          </cell>
          <cell r="P212">
            <v>86973.01</v>
          </cell>
          <cell r="Q212">
            <v>19008.54</v>
          </cell>
          <cell r="R212">
            <v>51372.249999999993</v>
          </cell>
          <cell r="S212">
            <v>4527.96</v>
          </cell>
          <cell r="V212">
            <v>41889.72</v>
          </cell>
          <cell r="AL212">
            <v>17004</v>
          </cell>
          <cell r="AM212">
            <v>370492.67000000004</v>
          </cell>
        </row>
        <row r="213">
          <cell r="I213" t="str">
            <v>x</v>
          </cell>
          <cell r="L213" t="str">
            <v>x</v>
          </cell>
          <cell r="S213" t="str">
            <v>x</v>
          </cell>
          <cell r="V213" t="str">
            <v>x</v>
          </cell>
          <cell r="AL213" t="str">
            <v>x</v>
          </cell>
        </row>
        <row r="214">
          <cell r="AM214">
            <v>17414459.480000004</v>
          </cell>
        </row>
        <row r="216">
          <cell r="N216">
            <v>84686.04</v>
          </cell>
          <cell r="O216">
            <v>40.47</v>
          </cell>
          <cell r="P216">
            <v>86973.01</v>
          </cell>
          <cell r="Q216">
            <v>19008.54</v>
          </cell>
          <cell r="R216">
            <v>51372.249999999993</v>
          </cell>
          <cell r="AM216">
            <v>242080.31</v>
          </cell>
        </row>
        <row r="218">
          <cell r="I218">
            <v>4548.72</v>
          </cell>
          <cell r="L218">
            <v>60441.960000000014</v>
          </cell>
          <cell r="S218">
            <v>4527.96</v>
          </cell>
          <cell r="V218">
            <v>41889.72</v>
          </cell>
          <cell r="AM218">
            <v>111408.36000000002</v>
          </cell>
        </row>
        <row r="223">
          <cell r="A223" t="str">
            <v>Final Balance</v>
          </cell>
          <cell r="C223">
            <v>486244.08</v>
          </cell>
          <cell r="D223">
            <v>1155425.69</v>
          </cell>
          <cell r="E223">
            <v>793178.71</v>
          </cell>
          <cell r="F223">
            <v>31454.09</v>
          </cell>
          <cell r="G223">
            <v>212755.47</v>
          </cell>
          <cell r="H223">
            <v>2059446.34</v>
          </cell>
          <cell r="I223">
            <v>123381.72</v>
          </cell>
          <cell r="J223">
            <v>10903679.32</v>
          </cell>
          <cell r="K223">
            <v>486530.98</v>
          </cell>
          <cell r="L223">
            <v>399358.96</v>
          </cell>
          <cell r="M223">
            <v>77502.92</v>
          </cell>
          <cell r="N223">
            <v>1152155.27</v>
          </cell>
          <cell r="O223">
            <v>9270.6300000000247</v>
          </cell>
          <cell r="P223">
            <v>138059.26999999999</v>
          </cell>
          <cell r="Q223">
            <v>30789.73</v>
          </cell>
          <cell r="R223">
            <v>1037122.47</v>
          </cell>
          <cell r="S223">
            <v>35624.959999999999</v>
          </cell>
          <cell r="T223">
            <v>12617593.4</v>
          </cell>
          <cell r="U223">
            <v>16232230.530000001</v>
          </cell>
          <cell r="V223">
            <v>331443.71999999997</v>
          </cell>
          <cell r="W223">
            <v>2648197.3199999998</v>
          </cell>
          <cell r="X223">
            <v>469212.01</v>
          </cell>
          <cell r="Y223">
            <v>11682348.690000001</v>
          </cell>
          <cell r="Z223">
            <v>2595276.9900000002</v>
          </cell>
          <cell r="AA223">
            <v>1329385.72</v>
          </cell>
          <cell r="AB223">
            <v>227535.19</v>
          </cell>
          <cell r="AC223">
            <v>17855822.049999997</v>
          </cell>
          <cell r="AD223">
            <v>756494.11</v>
          </cell>
          <cell r="AE223">
            <v>10033437.429999998</v>
          </cell>
          <cell r="AF223">
            <v>765343.38</v>
          </cell>
          <cell r="AG223">
            <v>26665830.780000001</v>
          </cell>
          <cell r="AH223">
            <v>22259.71</v>
          </cell>
          <cell r="AI223">
            <v>811557.17</v>
          </cell>
          <cell r="AJ223">
            <v>141340.71</v>
          </cell>
          <cell r="AK223">
            <v>3699724.16</v>
          </cell>
          <cell r="AL223">
            <v>28340</v>
          </cell>
          <cell r="AM223">
            <v>128045353.68000001</v>
          </cell>
        </row>
        <row r="224"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-1.4551915228366852E-11</v>
          </cell>
          <cell r="N224">
            <v>0</v>
          </cell>
          <cell r="O224">
            <v>0</v>
          </cell>
          <cell r="P224">
            <v>-2.9103830456733704E-11</v>
          </cell>
          <cell r="Q224">
            <v>-3.637978807091713E-12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-4.6566128730773926E-10</v>
          </cell>
          <cell r="X224">
            <v>5.8207660913467407E-11</v>
          </cell>
          <cell r="Y224">
            <v>0</v>
          </cell>
          <cell r="Z224">
            <v>4.6566128730773926E-10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4.6566128730773926E-10</v>
          </cell>
          <cell r="AL224">
            <v>0</v>
          </cell>
          <cell r="AM224">
            <v>0</v>
          </cell>
        </row>
      </sheetData>
      <sheetData sheetId="2"/>
      <sheetData sheetId="3">
        <row r="3">
          <cell r="E3" t="str">
            <v>Sub</v>
          </cell>
          <cell r="I3" t="str">
            <v>Adjusted Total</v>
          </cell>
        </row>
        <row r="4">
          <cell r="E4" t="str">
            <v>111</v>
          </cell>
          <cell r="I4">
            <v>536833</v>
          </cell>
        </row>
        <row r="5">
          <cell r="E5" t="str">
            <v>112</v>
          </cell>
          <cell r="I5">
            <v>7810.6</v>
          </cell>
        </row>
        <row r="6">
          <cell r="E6" t="str">
            <v>116</v>
          </cell>
          <cell r="I6">
            <v>0</v>
          </cell>
        </row>
        <row r="7">
          <cell r="E7" t="str">
            <v>116</v>
          </cell>
          <cell r="I7">
            <v>11133.6</v>
          </cell>
        </row>
        <row r="8">
          <cell r="E8" t="str">
            <v>121</v>
          </cell>
          <cell r="I8">
            <v>44781.72</v>
          </cell>
        </row>
        <row r="9">
          <cell r="E9" t="str">
            <v>121</v>
          </cell>
          <cell r="I9">
            <v>17885.740000000002</v>
          </cell>
        </row>
        <row r="10">
          <cell r="E10" t="str">
            <v>121</v>
          </cell>
          <cell r="I10">
            <v>18383.669999999998</v>
          </cell>
        </row>
        <row r="11">
          <cell r="E11" t="str">
            <v>122</v>
          </cell>
          <cell r="I11">
            <v>33058.550000000003</v>
          </cell>
        </row>
        <row r="12">
          <cell r="E12" t="str">
            <v>122</v>
          </cell>
          <cell r="I12">
            <v>0</v>
          </cell>
        </row>
        <row r="13">
          <cell r="E13" t="str">
            <v>123</v>
          </cell>
          <cell r="I13">
            <v>13148.48</v>
          </cell>
        </row>
        <row r="14">
          <cell r="E14" t="str">
            <v>123</v>
          </cell>
          <cell r="I14">
            <v>10295</v>
          </cell>
        </row>
        <row r="15">
          <cell r="E15" t="str">
            <v>124</v>
          </cell>
          <cell r="I15">
            <v>81736.14</v>
          </cell>
        </row>
        <row r="16">
          <cell r="E16" t="str">
            <v>124</v>
          </cell>
          <cell r="I16">
            <v>3599863</v>
          </cell>
        </row>
        <row r="17">
          <cell r="E17" t="str">
            <v>126</v>
          </cell>
          <cell r="I17">
            <v>0</v>
          </cell>
        </row>
        <row r="18">
          <cell r="E18" t="str">
            <v>126</v>
          </cell>
          <cell r="I18">
            <v>0</v>
          </cell>
        </row>
        <row r="19">
          <cell r="E19" t="str">
            <v>212</v>
          </cell>
          <cell r="I19">
            <v>473.79</v>
          </cell>
        </row>
        <row r="20">
          <cell r="E20" t="str">
            <v>212</v>
          </cell>
          <cell r="I20">
            <v>464975.76</v>
          </cell>
        </row>
        <row r="21">
          <cell r="E21" t="str">
            <v>212</v>
          </cell>
          <cell r="I21">
            <v>0</v>
          </cell>
        </row>
        <row r="22">
          <cell r="E22" t="str">
            <v>212</v>
          </cell>
          <cell r="I22">
            <v>647734.41</v>
          </cell>
        </row>
        <row r="23">
          <cell r="E23" t="str">
            <v>212</v>
          </cell>
          <cell r="I23">
            <v>43758.48</v>
          </cell>
        </row>
        <row r="24">
          <cell r="E24" t="str">
            <v>220</v>
          </cell>
          <cell r="I24">
            <v>0</v>
          </cell>
        </row>
        <row r="25">
          <cell r="E25" t="str">
            <v>232</v>
          </cell>
          <cell r="I25">
            <v>380390.45</v>
          </cell>
        </row>
        <row r="26">
          <cell r="E26" t="str">
            <v>232</v>
          </cell>
          <cell r="I26">
            <v>1521110.47</v>
          </cell>
        </row>
        <row r="27">
          <cell r="E27" t="str">
            <v>232</v>
          </cell>
          <cell r="I27">
            <v>6305.19</v>
          </cell>
        </row>
        <row r="28">
          <cell r="E28" t="str">
            <v>351</v>
          </cell>
          <cell r="I28">
            <v>0</v>
          </cell>
        </row>
        <row r="29">
          <cell r="E29" t="str">
            <v>351</v>
          </cell>
          <cell r="I29">
            <v>0</v>
          </cell>
        </row>
        <row r="30">
          <cell r="E30" t="str">
            <v>362</v>
          </cell>
          <cell r="I30">
            <v>0</v>
          </cell>
        </row>
        <row r="31">
          <cell r="E31" t="str">
            <v>410</v>
          </cell>
          <cell r="I31">
            <v>0</v>
          </cell>
        </row>
        <row r="32">
          <cell r="E32" t="str">
            <v>411</v>
          </cell>
          <cell r="I32">
            <v>12048.16</v>
          </cell>
        </row>
        <row r="33">
          <cell r="E33" t="str">
            <v>411</v>
          </cell>
          <cell r="I33">
            <v>96899.67</v>
          </cell>
        </row>
        <row r="34">
          <cell r="E34" t="str">
            <v>411</v>
          </cell>
          <cell r="I34">
            <v>3167.31</v>
          </cell>
        </row>
        <row r="35">
          <cell r="E35" t="str">
            <v>421</v>
          </cell>
          <cell r="I35">
            <v>182528.63</v>
          </cell>
        </row>
        <row r="36">
          <cell r="E36" t="str">
            <v>421</v>
          </cell>
          <cell r="I36">
            <v>116067.87</v>
          </cell>
        </row>
        <row r="37">
          <cell r="E37" t="str">
            <v>421</v>
          </cell>
          <cell r="I37">
            <v>75078.27</v>
          </cell>
        </row>
        <row r="38">
          <cell r="E38" t="str">
            <v>422</v>
          </cell>
          <cell r="I38">
            <v>317308.06</v>
          </cell>
        </row>
        <row r="39">
          <cell r="E39" t="str">
            <v>422</v>
          </cell>
          <cell r="I39">
            <v>1012012.12</v>
          </cell>
        </row>
        <row r="40">
          <cell r="E40" t="str">
            <v>422</v>
          </cell>
          <cell r="I40">
            <v>33286.01</v>
          </cell>
        </row>
        <row r="41">
          <cell r="E41" t="str">
            <v>423</v>
          </cell>
          <cell r="I41">
            <v>784665.41</v>
          </cell>
        </row>
        <row r="42">
          <cell r="E42" t="str">
            <v>423</v>
          </cell>
          <cell r="I42">
            <v>862459.34</v>
          </cell>
        </row>
        <row r="43">
          <cell r="E43" t="str">
            <v>423</v>
          </cell>
          <cell r="I43">
            <v>23181.66</v>
          </cell>
        </row>
        <row r="44">
          <cell r="E44" t="str">
            <v>426</v>
          </cell>
          <cell r="I44">
            <v>45415.78</v>
          </cell>
        </row>
        <row r="45">
          <cell r="E45" t="str">
            <v>426</v>
          </cell>
          <cell r="I45">
            <v>122595.7</v>
          </cell>
        </row>
        <row r="46">
          <cell r="E46" t="str">
            <v>426</v>
          </cell>
          <cell r="I46">
            <v>183.73</v>
          </cell>
        </row>
        <row r="47">
          <cell r="E47" t="str">
            <v>441</v>
          </cell>
          <cell r="I47">
            <v>141765.62</v>
          </cell>
        </row>
        <row r="48">
          <cell r="E48" t="str">
            <v>441</v>
          </cell>
          <cell r="I48">
            <v>690984.81</v>
          </cell>
        </row>
        <row r="49">
          <cell r="E49" t="str">
            <v>441</v>
          </cell>
          <cell r="I49">
            <v>0</v>
          </cell>
        </row>
        <row r="52">
          <cell r="E52" t="str">
            <v>Sub</v>
          </cell>
          <cell r="I52" t="str">
            <v>Adjusted Total</v>
          </cell>
        </row>
        <row r="53">
          <cell r="E53" t="str">
            <v>111</v>
          </cell>
          <cell r="I53">
            <v>536833</v>
          </cell>
        </row>
        <row r="54">
          <cell r="E54" t="str">
            <v>112</v>
          </cell>
          <cell r="I54">
            <v>64292.6</v>
          </cell>
        </row>
        <row r="55">
          <cell r="E55" t="str">
            <v>116</v>
          </cell>
          <cell r="I55">
            <v>0</v>
          </cell>
        </row>
        <row r="56">
          <cell r="E56" t="str">
            <v>116</v>
          </cell>
          <cell r="I56">
            <v>29258.6</v>
          </cell>
        </row>
        <row r="57">
          <cell r="E57" t="str">
            <v>121</v>
          </cell>
          <cell r="I57">
            <v>46871.13</v>
          </cell>
        </row>
        <row r="58">
          <cell r="E58" t="str">
            <v>121</v>
          </cell>
          <cell r="I58">
            <v>18037.509999999998</v>
          </cell>
        </row>
        <row r="59">
          <cell r="E59" t="str">
            <v>121</v>
          </cell>
          <cell r="I59">
            <v>18383.669999999998</v>
          </cell>
        </row>
        <row r="60">
          <cell r="E60" t="str">
            <v>122</v>
          </cell>
          <cell r="I60">
            <v>35187.26</v>
          </cell>
        </row>
        <row r="61">
          <cell r="E61" t="str">
            <v>122</v>
          </cell>
          <cell r="I61">
            <v>0</v>
          </cell>
        </row>
        <row r="62">
          <cell r="E62" t="str">
            <v>123</v>
          </cell>
          <cell r="I62">
            <v>13866.68</v>
          </cell>
        </row>
        <row r="63">
          <cell r="E63" t="str">
            <v>123</v>
          </cell>
          <cell r="I63">
            <v>10295</v>
          </cell>
        </row>
        <row r="64">
          <cell r="E64" t="str">
            <v>124</v>
          </cell>
          <cell r="I64">
            <v>137818.62</v>
          </cell>
        </row>
        <row r="65">
          <cell r="E65" t="str">
            <v>124</v>
          </cell>
          <cell r="I65">
            <v>3797921.11</v>
          </cell>
        </row>
        <row r="66">
          <cell r="E66" t="str">
            <v>126</v>
          </cell>
          <cell r="I66">
            <v>0</v>
          </cell>
        </row>
        <row r="67">
          <cell r="E67" t="str">
            <v>126</v>
          </cell>
          <cell r="I67">
            <v>0</v>
          </cell>
        </row>
        <row r="68">
          <cell r="E68" t="str">
            <v>212</v>
          </cell>
          <cell r="I68">
            <v>473.79</v>
          </cell>
        </row>
        <row r="69">
          <cell r="E69" t="str">
            <v>212</v>
          </cell>
          <cell r="I69">
            <v>480737.23</v>
          </cell>
        </row>
        <row r="70">
          <cell r="E70" t="str">
            <v>212</v>
          </cell>
          <cell r="I70">
            <v>0</v>
          </cell>
        </row>
        <row r="71">
          <cell r="E71" t="str">
            <v>212</v>
          </cell>
          <cell r="I71">
            <v>697057.55</v>
          </cell>
        </row>
        <row r="72">
          <cell r="E72" t="str">
            <v>212</v>
          </cell>
          <cell r="I72">
            <v>83508.84</v>
          </cell>
        </row>
        <row r="73">
          <cell r="E73" t="str">
            <v>220</v>
          </cell>
          <cell r="I73">
            <v>0</v>
          </cell>
        </row>
        <row r="74">
          <cell r="E74" t="str">
            <v>232</v>
          </cell>
          <cell r="I74">
            <v>491043.51</v>
          </cell>
        </row>
        <row r="75">
          <cell r="E75" t="str">
            <v>232</v>
          </cell>
          <cell r="I75">
            <v>2062759.85</v>
          </cell>
        </row>
        <row r="76">
          <cell r="E76" t="str">
            <v>232</v>
          </cell>
          <cell r="I76">
            <v>10174.01</v>
          </cell>
        </row>
        <row r="77">
          <cell r="E77" t="str">
            <v>351</v>
          </cell>
          <cell r="I77">
            <v>4106.17</v>
          </cell>
        </row>
        <row r="78">
          <cell r="E78" t="str">
            <v>351</v>
          </cell>
          <cell r="I78">
            <v>4096.16</v>
          </cell>
        </row>
        <row r="79">
          <cell r="E79" t="str">
            <v>362</v>
          </cell>
          <cell r="I79">
            <v>0</v>
          </cell>
        </row>
        <row r="80">
          <cell r="E80" t="str">
            <v>411</v>
          </cell>
          <cell r="I80">
            <v>12272.41</v>
          </cell>
        </row>
        <row r="81">
          <cell r="E81" t="str">
            <v>411</v>
          </cell>
          <cell r="I81">
            <v>99119.96</v>
          </cell>
        </row>
        <row r="82">
          <cell r="E82" t="str">
            <v>411</v>
          </cell>
          <cell r="I82">
            <v>3167.31</v>
          </cell>
        </row>
        <row r="83">
          <cell r="E83" t="str">
            <v>421</v>
          </cell>
          <cell r="I83">
            <v>221725.71</v>
          </cell>
        </row>
        <row r="84">
          <cell r="E84" t="str">
            <v>421</v>
          </cell>
          <cell r="I84">
            <v>116285.01</v>
          </cell>
        </row>
        <row r="85">
          <cell r="E85" t="str">
            <v>421</v>
          </cell>
          <cell r="I85">
            <v>75078.27</v>
          </cell>
        </row>
        <row r="86">
          <cell r="E86" t="str">
            <v>422</v>
          </cell>
          <cell r="I86">
            <v>352515.94</v>
          </cell>
        </row>
        <row r="87">
          <cell r="E87" t="str">
            <v>422</v>
          </cell>
          <cell r="I87">
            <v>1184834.3700000001</v>
          </cell>
        </row>
        <row r="88">
          <cell r="E88" t="str">
            <v>422</v>
          </cell>
          <cell r="I88">
            <v>33942.97</v>
          </cell>
        </row>
        <row r="89">
          <cell r="E89" t="str">
            <v>423</v>
          </cell>
          <cell r="I89">
            <v>831241.19</v>
          </cell>
        </row>
        <row r="90">
          <cell r="E90" t="str">
            <v>423</v>
          </cell>
          <cell r="I90">
            <v>882044.18</v>
          </cell>
        </row>
        <row r="91">
          <cell r="E91" t="str">
            <v>423</v>
          </cell>
          <cell r="I91">
            <v>23193.85</v>
          </cell>
        </row>
        <row r="92">
          <cell r="E92" t="str">
            <v>426</v>
          </cell>
          <cell r="I92">
            <v>63976.88</v>
          </cell>
        </row>
        <row r="93">
          <cell r="E93" t="str">
            <v>426</v>
          </cell>
          <cell r="I93">
            <v>131657.54999999999</v>
          </cell>
        </row>
        <row r="94">
          <cell r="E94" t="str">
            <v>426</v>
          </cell>
          <cell r="I94">
            <v>183.73</v>
          </cell>
        </row>
        <row r="95">
          <cell r="E95" t="str">
            <v>441</v>
          </cell>
          <cell r="I95">
            <v>152648.6</v>
          </cell>
        </row>
        <row r="96">
          <cell r="E96" t="str">
            <v>441</v>
          </cell>
          <cell r="I96">
            <v>702551.66</v>
          </cell>
        </row>
        <row r="98">
          <cell r="E98" t="str">
            <v>Sub</v>
          </cell>
          <cell r="I98" t="str">
            <v>Adjusted Total</v>
          </cell>
        </row>
        <row r="99">
          <cell r="E99" t="str">
            <v>111</v>
          </cell>
          <cell r="I99">
            <v>536833</v>
          </cell>
        </row>
        <row r="100">
          <cell r="E100" t="str">
            <v>112</v>
          </cell>
          <cell r="I100">
            <v>-18711.400000000001</v>
          </cell>
        </row>
        <row r="101">
          <cell r="E101" t="str">
            <v>116</v>
          </cell>
          <cell r="I101">
            <v>5030</v>
          </cell>
        </row>
        <row r="102">
          <cell r="E102" t="str">
            <v>116</v>
          </cell>
          <cell r="I102">
            <v>76662.48</v>
          </cell>
        </row>
        <row r="103">
          <cell r="E103" t="str">
            <v>121</v>
          </cell>
          <cell r="I103">
            <v>50858.65</v>
          </cell>
        </row>
        <row r="104">
          <cell r="E104" t="str">
            <v>121</v>
          </cell>
          <cell r="I104">
            <v>25942.45</v>
          </cell>
        </row>
        <row r="105">
          <cell r="E105" t="str">
            <v>121</v>
          </cell>
          <cell r="I105">
            <v>18383.669999999998</v>
          </cell>
        </row>
        <row r="106">
          <cell r="E106" t="str">
            <v>122</v>
          </cell>
          <cell r="I106">
            <v>50748.06</v>
          </cell>
        </row>
        <row r="107">
          <cell r="E107" t="str">
            <v>122</v>
          </cell>
          <cell r="I107">
            <v>0</v>
          </cell>
        </row>
        <row r="108">
          <cell r="E108" t="str">
            <v>123</v>
          </cell>
          <cell r="I108">
            <v>19338.740000000002</v>
          </cell>
        </row>
        <row r="109">
          <cell r="E109" t="str">
            <v>123</v>
          </cell>
          <cell r="I109">
            <v>10295</v>
          </cell>
        </row>
        <row r="110">
          <cell r="E110" t="str">
            <v>124</v>
          </cell>
          <cell r="I110">
            <v>166703.81</v>
          </cell>
        </row>
        <row r="111">
          <cell r="E111" t="str">
            <v>124</v>
          </cell>
          <cell r="I111">
            <v>3941345.81</v>
          </cell>
        </row>
        <row r="112">
          <cell r="E112" t="str">
            <v>126</v>
          </cell>
          <cell r="I112">
            <v>0</v>
          </cell>
        </row>
        <row r="113">
          <cell r="E113" t="str">
            <v>126</v>
          </cell>
          <cell r="I113">
            <v>0</v>
          </cell>
        </row>
        <row r="114">
          <cell r="E114" t="str">
            <v>212</v>
          </cell>
          <cell r="I114">
            <v>473.79</v>
          </cell>
        </row>
        <row r="115">
          <cell r="E115" t="str">
            <v>212</v>
          </cell>
          <cell r="I115">
            <v>510363.36</v>
          </cell>
        </row>
        <row r="116">
          <cell r="E116" t="str">
            <v>212</v>
          </cell>
          <cell r="I116">
            <v>0</v>
          </cell>
        </row>
        <row r="117">
          <cell r="E117" t="str">
            <v>212</v>
          </cell>
          <cell r="I117">
            <v>743526.62</v>
          </cell>
        </row>
        <row r="118">
          <cell r="E118" t="str">
            <v>212</v>
          </cell>
          <cell r="I118">
            <v>125858.44</v>
          </cell>
        </row>
        <row r="119">
          <cell r="E119" t="str">
            <v>220</v>
          </cell>
          <cell r="I119">
            <v>0</v>
          </cell>
        </row>
        <row r="120">
          <cell r="E120" t="str">
            <v>232</v>
          </cell>
          <cell r="I120">
            <v>690567.66</v>
          </cell>
        </row>
        <row r="121">
          <cell r="E121" t="str">
            <v>232</v>
          </cell>
          <cell r="I121">
            <v>2307980.81</v>
          </cell>
        </row>
        <row r="122">
          <cell r="E122" t="str">
            <v>232</v>
          </cell>
          <cell r="I122">
            <v>14471.63</v>
          </cell>
        </row>
        <row r="123">
          <cell r="E123" t="str">
            <v>351</v>
          </cell>
          <cell r="I123">
            <v>10329.35</v>
          </cell>
        </row>
        <row r="124">
          <cell r="E124" t="str">
            <v>351</v>
          </cell>
          <cell r="I124">
            <v>4849.91</v>
          </cell>
        </row>
        <row r="125">
          <cell r="E125" t="str">
            <v>362</v>
          </cell>
          <cell r="I125">
            <v>0</v>
          </cell>
        </row>
        <row r="126">
          <cell r="E126" t="str">
            <v>411</v>
          </cell>
          <cell r="I126">
            <v>13871.16</v>
          </cell>
        </row>
        <row r="127">
          <cell r="E127" t="str">
            <v>411</v>
          </cell>
          <cell r="I127">
            <v>98906.63</v>
          </cell>
        </row>
        <row r="128">
          <cell r="E128" t="str">
            <v>411</v>
          </cell>
          <cell r="I128">
            <v>3167.31</v>
          </cell>
        </row>
        <row r="129">
          <cell r="E129" t="str">
            <v>421</v>
          </cell>
          <cell r="I129">
            <v>269974.53999999998</v>
          </cell>
        </row>
        <row r="130">
          <cell r="E130" t="str">
            <v>421</v>
          </cell>
          <cell r="I130">
            <v>116448.04</v>
          </cell>
        </row>
        <row r="131">
          <cell r="E131" t="str">
            <v>421</v>
          </cell>
          <cell r="I131">
            <v>75078.27</v>
          </cell>
        </row>
        <row r="132">
          <cell r="E132" t="str">
            <v>422</v>
          </cell>
          <cell r="I132">
            <v>393115.27</v>
          </cell>
        </row>
        <row r="133">
          <cell r="E133" t="str">
            <v>422</v>
          </cell>
          <cell r="I133">
            <v>1231197.95</v>
          </cell>
        </row>
        <row r="134">
          <cell r="E134" t="str">
            <v>422</v>
          </cell>
          <cell r="I134">
            <v>33752.76</v>
          </cell>
        </row>
        <row r="135">
          <cell r="E135" t="str">
            <v>423</v>
          </cell>
          <cell r="I135">
            <v>894401.81</v>
          </cell>
        </row>
        <row r="136">
          <cell r="E136" t="str">
            <v>423</v>
          </cell>
          <cell r="I136">
            <v>938470.63</v>
          </cell>
        </row>
        <row r="137">
          <cell r="E137" t="str">
            <v>423</v>
          </cell>
          <cell r="I137">
            <v>23462.12</v>
          </cell>
        </row>
        <row r="138">
          <cell r="E138" t="str">
            <v>426</v>
          </cell>
          <cell r="I138">
            <v>96171.91</v>
          </cell>
        </row>
        <row r="139">
          <cell r="E139" t="str">
            <v>426</v>
          </cell>
          <cell r="I139">
            <v>140237.72</v>
          </cell>
        </row>
        <row r="140">
          <cell r="E140" t="str">
            <v>426</v>
          </cell>
          <cell r="I140">
            <v>1058.3900000000001</v>
          </cell>
        </row>
        <row r="141">
          <cell r="E141" t="str">
            <v>441</v>
          </cell>
          <cell r="I141">
            <v>154344.84</v>
          </cell>
        </row>
        <row r="142">
          <cell r="E142" t="str">
            <v>441</v>
          </cell>
          <cell r="I142">
            <v>702202.74</v>
          </cell>
        </row>
        <row r="144">
          <cell r="E144" t="str">
            <v>Sub</v>
          </cell>
          <cell r="I144" t="str">
            <v>Adjusted Total</v>
          </cell>
        </row>
        <row r="145">
          <cell r="E145" t="str">
            <v>111</v>
          </cell>
          <cell r="I145">
            <v>536833</v>
          </cell>
        </row>
        <row r="146">
          <cell r="E146" t="str">
            <v>112</v>
          </cell>
          <cell r="I146">
            <v>5930.6</v>
          </cell>
        </row>
        <row r="147">
          <cell r="E147" t="str">
            <v>116</v>
          </cell>
          <cell r="I147">
            <v>3508</v>
          </cell>
        </row>
        <row r="148">
          <cell r="E148" t="str">
            <v>116</v>
          </cell>
          <cell r="I148">
            <v>42999.48</v>
          </cell>
        </row>
        <row r="149">
          <cell r="E149" t="str">
            <v>121</v>
          </cell>
          <cell r="I149">
            <v>61696.06</v>
          </cell>
        </row>
        <row r="150">
          <cell r="E150" t="str">
            <v>121</v>
          </cell>
          <cell r="I150">
            <v>38168.019999999997</v>
          </cell>
        </row>
        <row r="151">
          <cell r="E151" t="str">
            <v>121</v>
          </cell>
          <cell r="I151">
            <v>18383.669999999998</v>
          </cell>
        </row>
        <row r="152">
          <cell r="E152" t="str">
            <v>122</v>
          </cell>
          <cell r="I152">
            <v>65334.85</v>
          </cell>
        </row>
        <row r="153">
          <cell r="E153" t="str">
            <v>122</v>
          </cell>
          <cell r="I153">
            <v>0</v>
          </cell>
        </row>
        <row r="154">
          <cell r="E154" t="str">
            <v>123</v>
          </cell>
          <cell r="I154">
            <v>24738.94</v>
          </cell>
        </row>
        <row r="155">
          <cell r="E155" t="str">
            <v>123</v>
          </cell>
          <cell r="I155">
            <v>10295</v>
          </cell>
        </row>
        <row r="156">
          <cell r="E156" t="str">
            <v>124</v>
          </cell>
          <cell r="I156">
            <v>183080.26</v>
          </cell>
        </row>
        <row r="157">
          <cell r="E157" t="str">
            <v>124</v>
          </cell>
          <cell r="I157">
            <v>4079569.7</v>
          </cell>
        </row>
        <row r="158">
          <cell r="E158" t="str">
            <v>126</v>
          </cell>
          <cell r="I158">
            <v>0</v>
          </cell>
        </row>
        <row r="159">
          <cell r="E159" t="str">
            <v>126</v>
          </cell>
          <cell r="I159">
            <v>0</v>
          </cell>
        </row>
        <row r="160">
          <cell r="E160" t="str">
            <v>212</v>
          </cell>
          <cell r="I160">
            <v>6036.09</v>
          </cell>
        </row>
        <row r="161">
          <cell r="E161" t="str">
            <v>212</v>
          </cell>
          <cell r="I161">
            <v>1741704.74</v>
          </cell>
        </row>
        <row r="162">
          <cell r="E162" t="str">
            <v>212</v>
          </cell>
          <cell r="I162">
            <v>0</v>
          </cell>
        </row>
        <row r="163">
          <cell r="E163" t="str">
            <v>212</v>
          </cell>
          <cell r="I163">
            <v>783676.61</v>
          </cell>
        </row>
        <row r="164">
          <cell r="E164" t="str">
            <v>212</v>
          </cell>
          <cell r="I164">
            <v>216850.34</v>
          </cell>
        </row>
        <row r="165">
          <cell r="E165" t="str">
            <v>220</v>
          </cell>
          <cell r="I165">
            <v>0</v>
          </cell>
        </row>
        <row r="166">
          <cell r="E166" t="str">
            <v>232</v>
          </cell>
          <cell r="I166">
            <v>864240.16</v>
          </cell>
        </row>
        <row r="167">
          <cell r="E167" t="str">
            <v>232</v>
          </cell>
          <cell r="I167">
            <v>2166496.9900000002</v>
          </cell>
        </row>
        <row r="168">
          <cell r="E168" t="str">
            <v>232</v>
          </cell>
          <cell r="I168">
            <v>24434.29</v>
          </cell>
        </row>
        <row r="169">
          <cell r="E169" t="str">
            <v>351</v>
          </cell>
          <cell r="I169">
            <v>20014.47</v>
          </cell>
        </row>
        <row r="170">
          <cell r="E170" t="str">
            <v>351</v>
          </cell>
          <cell r="I170">
            <v>6491.16</v>
          </cell>
        </row>
        <row r="171">
          <cell r="E171" t="str">
            <v>362</v>
          </cell>
          <cell r="I171">
            <v>0</v>
          </cell>
        </row>
        <row r="172">
          <cell r="E172" t="str">
            <v>411</v>
          </cell>
          <cell r="I172">
            <v>21426.83</v>
          </cell>
        </row>
        <row r="173">
          <cell r="E173" t="str">
            <v>411</v>
          </cell>
          <cell r="I173">
            <v>98906.63</v>
          </cell>
        </row>
        <row r="174">
          <cell r="E174" t="str">
            <v>411</v>
          </cell>
          <cell r="I174">
            <v>4493.92</v>
          </cell>
        </row>
        <row r="175">
          <cell r="E175" t="str">
            <v>421</v>
          </cell>
          <cell r="I175">
            <v>353349.25</v>
          </cell>
        </row>
        <row r="176">
          <cell r="E176" t="str">
            <v>421</v>
          </cell>
          <cell r="I176">
            <v>117098.52</v>
          </cell>
        </row>
        <row r="177">
          <cell r="E177" t="str">
            <v>421</v>
          </cell>
          <cell r="I177">
            <v>78620.41</v>
          </cell>
        </row>
        <row r="178">
          <cell r="E178" t="str">
            <v>422</v>
          </cell>
          <cell r="I178">
            <v>411900.3</v>
          </cell>
        </row>
        <row r="179">
          <cell r="E179" t="str">
            <v>422</v>
          </cell>
          <cell r="I179">
            <v>1253440.1100000001</v>
          </cell>
        </row>
        <row r="180">
          <cell r="E180" t="str">
            <v>422</v>
          </cell>
          <cell r="I180">
            <v>33752.76</v>
          </cell>
        </row>
        <row r="181">
          <cell r="E181" t="str">
            <v>423</v>
          </cell>
          <cell r="I181">
            <v>963637.79</v>
          </cell>
        </row>
        <row r="182">
          <cell r="E182" t="str">
            <v>423</v>
          </cell>
          <cell r="I182">
            <v>971090.86</v>
          </cell>
        </row>
        <row r="183">
          <cell r="E183" t="str">
            <v>423</v>
          </cell>
          <cell r="I183">
            <v>23477.55</v>
          </cell>
        </row>
        <row r="184">
          <cell r="E184" t="str">
            <v>426</v>
          </cell>
          <cell r="I184">
            <v>117526.81</v>
          </cell>
        </row>
        <row r="185">
          <cell r="E185" t="str">
            <v>426</v>
          </cell>
          <cell r="I185">
            <v>154393.20000000001</v>
          </cell>
        </row>
        <row r="186">
          <cell r="E186" t="str">
            <v>426</v>
          </cell>
          <cell r="I186">
            <v>1518.92</v>
          </cell>
        </row>
        <row r="187">
          <cell r="E187" t="str">
            <v>441</v>
          </cell>
          <cell r="I187">
            <v>155968.69</v>
          </cell>
        </row>
        <row r="188">
          <cell r="E188" t="str">
            <v>441</v>
          </cell>
          <cell r="I188">
            <v>698301.47</v>
          </cell>
        </row>
        <row r="190">
          <cell r="E190" t="str">
            <v>Sub</v>
          </cell>
          <cell r="I190" t="str">
            <v>Adjusted Total</v>
          </cell>
        </row>
        <row r="191">
          <cell r="E191" t="str">
            <v>111</v>
          </cell>
          <cell r="I191">
            <v>536833</v>
          </cell>
        </row>
        <row r="192">
          <cell r="E192" t="str">
            <v>112</v>
          </cell>
          <cell r="I192">
            <v>6188</v>
          </cell>
        </row>
        <row r="193">
          <cell r="E193" t="str">
            <v>116</v>
          </cell>
          <cell r="I193">
            <v>3736</v>
          </cell>
        </row>
        <row r="194">
          <cell r="E194" t="str">
            <v>116</v>
          </cell>
          <cell r="I194">
            <v>43129.86</v>
          </cell>
        </row>
        <row r="195">
          <cell r="E195" t="str">
            <v>121</v>
          </cell>
          <cell r="I195">
            <v>21357.75</v>
          </cell>
        </row>
        <row r="196">
          <cell r="E196" t="str">
            <v>121</v>
          </cell>
          <cell r="I196">
            <v>48451.58</v>
          </cell>
        </row>
        <row r="197">
          <cell r="E197" t="str">
            <v>121</v>
          </cell>
          <cell r="I197">
            <v>18383.669999999998</v>
          </cell>
        </row>
        <row r="198">
          <cell r="E198" t="str">
            <v>122</v>
          </cell>
          <cell r="I198">
            <v>74194.850000000006</v>
          </cell>
        </row>
        <row r="199">
          <cell r="E199" t="str">
            <v>122</v>
          </cell>
          <cell r="I199">
            <v>0</v>
          </cell>
        </row>
        <row r="200">
          <cell r="E200" t="str">
            <v>123</v>
          </cell>
          <cell r="I200">
            <v>21121.19</v>
          </cell>
        </row>
        <row r="201">
          <cell r="E201" t="str">
            <v>123</v>
          </cell>
          <cell r="I201">
            <v>10295</v>
          </cell>
        </row>
        <row r="202">
          <cell r="E202" t="str">
            <v>124</v>
          </cell>
          <cell r="I202">
            <v>162355.79</v>
          </cell>
        </row>
        <row r="203">
          <cell r="E203" t="str">
            <v>124</v>
          </cell>
          <cell r="I203">
            <v>4257177.8499999996</v>
          </cell>
        </row>
        <row r="204">
          <cell r="E204" t="str">
            <v>126</v>
          </cell>
          <cell r="I204">
            <v>0</v>
          </cell>
        </row>
        <row r="205">
          <cell r="E205" t="str">
            <v>126</v>
          </cell>
          <cell r="I205">
            <v>0</v>
          </cell>
        </row>
        <row r="206">
          <cell r="E206" t="str">
            <v>212</v>
          </cell>
          <cell r="I206">
            <v>32562.02</v>
          </cell>
        </row>
        <row r="207">
          <cell r="E207" t="str">
            <v>212</v>
          </cell>
          <cell r="I207">
            <v>1704521.53</v>
          </cell>
        </row>
        <row r="208">
          <cell r="E208" t="str">
            <v>212</v>
          </cell>
          <cell r="I208">
            <v>0</v>
          </cell>
        </row>
        <row r="209">
          <cell r="E209" t="str">
            <v>212</v>
          </cell>
          <cell r="I209">
            <v>806942.07</v>
          </cell>
        </row>
        <row r="210">
          <cell r="E210" t="str">
            <v>212</v>
          </cell>
          <cell r="I210">
            <v>267237.03000000003</v>
          </cell>
        </row>
        <row r="211">
          <cell r="E211" t="str">
            <v>220</v>
          </cell>
          <cell r="I211">
            <v>0</v>
          </cell>
        </row>
        <row r="212">
          <cell r="E212" t="str">
            <v>232</v>
          </cell>
          <cell r="I212">
            <v>996479.04</v>
          </cell>
        </row>
        <row r="213">
          <cell r="E213" t="str">
            <v>232</v>
          </cell>
          <cell r="I213">
            <v>2289792.9900000002</v>
          </cell>
        </row>
        <row r="214">
          <cell r="E214" t="str">
            <v>232</v>
          </cell>
          <cell r="I214">
            <v>36043.96</v>
          </cell>
        </row>
        <row r="215">
          <cell r="E215" t="str">
            <v>351</v>
          </cell>
          <cell r="I215">
            <v>30107.54</v>
          </cell>
        </row>
        <row r="216">
          <cell r="E216" t="str">
            <v>351</v>
          </cell>
          <cell r="I216">
            <v>8794.7900000000009</v>
          </cell>
        </row>
        <row r="217">
          <cell r="E217" t="str">
            <v>362</v>
          </cell>
          <cell r="I217">
            <v>46.32</v>
          </cell>
        </row>
        <row r="218">
          <cell r="E218" t="str">
            <v>411</v>
          </cell>
          <cell r="I218">
            <v>24281.49</v>
          </cell>
        </row>
        <row r="219">
          <cell r="E219" t="str">
            <v>411</v>
          </cell>
          <cell r="I219">
            <v>98511.21</v>
          </cell>
        </row>
        <row r="220">
          <cell r="E220" t="str">
            <v>411</v>
          </cell>
          <cell r="I220">
            <v>4790.84</v>
          </cell>
        </row>
        <row r="221">
          <cell r="E221" t="str">
            <v>421</v>
          </cell>
          <cell r="I221">
            <v>440127.09</v>
          </cell>
        </row>
        <row r="222">
          <cell r="E222" t="str">
            <v>421</v>
          </cell>
          <cell r="I222">
            <v>133787.71</v>
          </cell>
        </row>
        <row r="223">
          <cell r="E223" t="str">
            <v>421</v>
          </cell>
          <cell r="I223">
            <v>94762.34</v>
          </cell>
        </row>
        <row r="224">
          <cell r="E224" t="str">
            <v>422</v>
          </cell>
          <cell r="I224">
            <v>436151.65</v>
          </cell>
        </row>
        <row r="225">
          <cell r="E225" t="str">
            <v>422</v>
          </cell>
          <cell r="I225">
            <v>1268563.98</v>
          </cell>
        </row>
        <row r="226">
          <cell r="E226" t="str">
            <v>422</v>
          </cell>
          <cell r="I226">
            <v>37414.199999999997</v>
          </cell>
        </row>
        <row r="227">
          <cell r="E227" t="str">
            <v>423</v>
          </cell>
          <cell r="I227">
            <v>1049105.71</v>
          </cell>
        </row>
        <row r="228">
          <cell r="E228" t="str">
            <v>423</v>
          </cell>
          <cell r="I228">
            <v>1009319.41</v>
          </cell>
        </row>
        <row r="229">
          <cell r="E229" t="str">
            <v>423</v>
          </cell>
          <cell r="I229">
            <v>24160.68</v>
          </cell>
        </row>
        <row r="230">
          <cell r="E230" t="str">
            <v>426</v>
          </cell>
          <cell r="I230">
            <v>127016.23</v>
          </cell>
        </row>
        <row r="231">
          <cell r="E231" t="str">
            <v>426</v>
          </cell>
          <cell r="I231">
            <v>170235.34</v>
          </cell>
        </row>
        <row r="232">
          <cell r="E232" t="str">
            <v>426</v>
          </cell>
          <cell r="I232">
            <v>3030.26</v>
          </cell>
        </row>
        <row r="233">
          <cell r="E233" t="str">
            <v>441</v>
          </cell>
          <cell r="I233">
            <v>169182.98</v>
          </cell>
        </row>
        <row r="234">
          <cell r="E234" t="str">
            <v>441</v>
          </cell>
          <cell r="I234">
            <v>691624.73</v>
          </cell>
        </row>
        <row r="236">
          <cell r="E236" t="str">
            <v>Sub</v>
          </cell>
          <cell r="I236" t="str">
            <v>Adjusted Total</v>
          </cell>
        </row>
        <row r="237">
          <cell r="E237" t="str">
            <v>111</v>
          </cell>
          <cell r="I237">
            <v>536833</v>
          </cell>
        </row>
        <row r="238">
          <cell r="E238" t="str">
            <v>112</v>
          </cell>
          <cell r="I238">
            <v>14161.63</v>
          </cell>
        </row>
        <row r="239">
          <cell r="E239" t="str">
            <v>116</v>
          </cell>
          <cell r="I239">
            <v>7287.72</v>
          </cell>
        </row>
        <row r="240">
          <cell r="E240" t="str">
            <v>116</v>
          </cell>
          <cell r="I240">
            <v>43129.86</v>
          </cell>
        </row>
        <row r="241">
          <cell r="E241" t="str">
            <v>121</v>
          </cell>
          <cell r="I241">
            <v>32129.87</v>
          </cell>
        </row>
        <row r="242">
          <cell r="E242" t="str">
            <v>121</v>
          </cell>
          <cell r="I242">
            <v>76470.100000000006</v>
          </cell>
        </row>
        <row r="243">
          <cell r="E243" t="str">
            <v>121</v>
          </cell>
          <cell r="I243">
            <v>18383.669999999998</v>
          </cell>
        </row>
        <row r="244">
          <cell r="E244" t="str">
            <v>122</v>
          </cell>
          <cell r="I244">
            <v>92231.65</v>
          </cell>
        </row>
        <row r="245">
          <cell r="E245" t="str">
            <v>122</v>
          </cell>
          <cell r="I245">
            <v>0</v>
          </cell>
        </row>
        <row r="246">
          <cell r="E246" t="str">
            <v>123</v>
          </cell>
          <cell r="I246">
            <v>21121.19</v>
          </cell>
        </row>
        <row r="247">
          <cell r="E247" t="str">
            <v>123</v>
          </cell>
          <cell r="I247">
            <v>10295</v>
          </cell>
        </row>
        <row r="248">
          <cell r="E248" t="str">
            <v>124</v>
          </cell>
          <cell r="I248">
            <v>179733.41</v>
          </cell>
        </row>
        <row r="249">
          <cell r="E249" t="str">
            <v>124</v>
          </cell>
          <cell r="I249">
            <v>4392302.5999999996</v>
          </cell>
        </row>
        <row r="250">
          <cell r="E250" t="str">
            <v>126</v>
          </cell>
          <cell r="I250">
            <v>0</v>
          </cell>
        </row>
        <row r="251">
          <cell r="E251" t="str">
            <v>126</v>
          </cell>
          <cell r="I251">
            <v>0</v>
          </cell>
        </row>
        <row r="252">
          <cell r="E252" t="str">
            <v>212</v>
          </cell>
          <cell r="I252">
            <v>80920.600000000006</v>
          </cell>
        </row>
        <row r="253">
          <cell r="E253" t="str">
            <v>212</v>
          </cell>
          <cell r="I253">
            <v>1713567.12</v>
          </cell>
        </row>
        <row r="254">
          <cell r="E254" t="str">
            <v>212</v>
          </cell>
          <cell r="I254">
            <v>0</v>
          </cell>
        </row>
        <row r="255">
          <cell r="E255" t="str">
            <v>212</v>
          </cell>
          <cell r="I255">
            <v>838482.63</v>
          </cell>
        </row>
        <row r="256">
          <cell r="E256" t="str">
            <v>212</v>
          </cell>
          <cell r="I256">
            <v>297272.02</v>
          </cell>
        </row>
        <row r="257">
          <cell r="E257" t="str">
            <v>220</v>
          </cell>
          <cell r="I257">
            <v>0</v>
          </cell>
        </row>
        <row r="258">
          <cell r="E258" t="str">
            <v>232</v>
          </cell>
          <cell r="I258">
            <v>1263033.18</v>
          </cell>
        </row>
        <row r="259">
          <cell r="E259" t="str">
            <v>232</v>
          </cell>
          <cell r="I259">
            <v>2364157.0099999998</v>
          </cell>
        </row>
        <row r="260">
          <cell r="E260" t="str">
            <v>232</v>
          </cell>
          <cell r="I260">
            <v>48892.38</v>
          </cell>
        </row>
        <row r="261">
          <cell r="E261" t="str">
            <v>351</v>
          </cell>
          <cell r="I261">
            <v>44310.720000000001</v>
          </cell>
        </row>
        <row r="262">
          <cell r="E262" t="str">
            <v>351</v>
          </cell>
          <cell r="I262">
            <v>10106.14</v>
          </cell>
        </row>
        <row r="263">
          <cell r="E263" t="str">
            <v>362</v>
          </cell>
          <cell r="I263">
            <v>46.32</v>
          </cell>
        </row>
        <row r="264">
          <cell r="E264" t="str">
            <v>411</v>
          </cell>
          <cell r="I264">
            <v>21653.45</v>
          </cell>
        </row>
        <row r="265">
          <cell r="E265" t="str">
            <v>411</v>
          </cell>
          <cell r="I265">
            <v>100398.84</v>
          </cell>
        </row>
        <row r="266">
          <cell r="E266" t="str">
            <v>411</v>
          </cell>
          <cell r="I266">
            <v>4790.84</v>
          </cell>
        </row>
        <row r="267">
          <cell r="E267" t="str">
            <v>421</v>
          </cell>
          <cell r="I267">
            <v>491377.18</v>
          </cell>
        </row>
        <row r="268">
          <cell r="E268" t="str">
            <v>421</v>
          </cell>
          <cell r="I268">
            <v>140986.56</v>
          </cell>
        </row>
        <row r="269">
          <cell r="E269" t="str">
            <v>421</v>
          </cell>
          <cell r="I269">
            <v>110386.35</v>
          </cell>
        </row>
        <row r="270">
          <cell r="E270" t="str">
            <v>422</v>
          </cell>
          <cell r="I270">
            <v>434862.62</v>
          </cell>
        </row>
        <row r="271">
          <cell r="E271" t="str">
            <v>422</v>
          </cell>
          <cell r="I271">
            <v>1296656.18</v>
          </cell>
        </row>
        <row r="272">
          <cell r="E272" t="str">
            <v>422</v>
          </cell>
          <cell r="I272">
            <v>38567.32</v>
          </cell>
        </row>
        <row r="273">
          <cell r="E273" t="str">
            <v>423</v>
          </cell>
          <cell r="I273">
            <v>1146020.28</v>
          </cell>
        </row>
        <row r="274">
          <cell r="E274" t="str">
            <v>423</v>
          </cell>
          <cell r="I274">
            <v>1028589.74</v>
          </cell>
        </row>
        <row r="275">
          <cell r="E275" t="str">
            <v>423</v>
          </cell>
          <cell r="I275">
            <v>28105.45</v>
          </cell>
        </row>
        <row r="276">
          <cell r="E276" t="str">
            <v>426</v>
          </cell>
          <cell r="I276">
            <v>137311.88</v>
          </cell>
        </row>
        <row r="277">
          <cell r="E277" t="str">
            <v>426</v>
          </cell>
          <cell r="I277">
            <v>194051.32</v>
          </cell>
        </row>
        <row r="278">
          <cell r="E278" t="str">
            <v>426</v>
          </cell>
          <cell r="I278">
            <v>3174.4</v>
          </cell>
        </row>
        <row r="279">
          <cell r="E279" t="str">
            <v>441</v>
          </cell>
          <cell r="I279">
            <v>175866.37</v>
          </cell>
        </row>
        <row r="280">
          <cell r="E280" t="str">
            <v>441</v>
          </cell>
          <cell r="I280">
            <v>689375.23</v>
          </cell>
        </row>
        <row r="282">
          <cell r="E282" t="str">
            <v>Sub</v>
          </cell>
          <cell r="I282" t="str">
            <v>Adjusted Total</v>
          </cell>
        </row>
        <row r="283">
          <cell r="E283" t="str">
            <v>111</v>
          </cell>
          <cell r="I283">
            <v>536833</v>
          </cell>
        </row>
        <row r="284">
          <cell r="E284" t="str">
            <v>112</v>
          </cell>
          <cell r="I284">
            <v>646584.17000000004</v>
          </cell>
        </row>
        <row r="285">
          <cell r="E285" t="str">
            <v>116</v>
          </cell>
          <cell r="I285">
            <v>20384.63</v>
          </cell>
        </row>
        <row r="286">
          <cell r="E286" t="str">
            <v>116</v>
          </cell>
          <cell r="I286">
            <v>43129.86</v>
          </cell>
        </row>
        <row r="287">
          <cell r="E287" t="str">
            <v>121</v>
          </cell>
          <cell r="I287">
            <v>71987.33</v>
          </cell>
        </row>
        <row r="288">
          <cell r="E288" t="str">
            <v>121</v>
          </cell>
          <cell r="I288">
            <v>240255.75</v>
          </cell>
        </row>
        <row r="289">
          <cell r="E289" t="str">
            <v>121</v>
          </cell>
          <cell r="I289">
            <v>18383.669999999998</v>
          </cell>
        </row>
        <row r="290">
          <cell r="E290" t="str">
            <v>122</v>
          </cell>
          <cell r="I290">
            <v>88732.06</v>
          </cell>
        </row>
        <row r="291">
          <cell r="E291" t="str">
            <v>122</v>
          </cell>
          <cell r="I291">
            <v>0</v>
          </cell>
        </row>
        <row r="292">
          <cell r="E292" t="str">
            <v>123</v>
          </cell>
          <cell r="I292">
            <v>17342.240000000002</v>
          </cell>
        </row>
        <row r="293">
          <cell r="E293" t="str">
            <v>123</v>
          </cell>
          <cell r="I293">
            <v>10295</v>
          </cell>
        </row>
        <row r="294">
          <cell r="E294" t="str">
            <v>124</v>
          </cell>
          <cell r="I294">
            <v>227068.62</v>
          </cell>
        </row>
        <row r="295">
          <cell r="E295" t="str">
            <v>124</v>
          </cell>
          <cell r="I295">
            <v>4522856.5</v>
          </cell>
        </row>
        <row r="296">
          <cell r="E296" t="str">
            <v>126</v>
          </cell>
          <cell r="I296">
            <v>0</v>
          </cell>
        </row>
        <row r="297">
          <cell r="E297" t="str">
            <v>126</v>
          </cell>
          <cell r="I297">
            <v>0</v>
          </cell>
        </row>
        <row r="298">
          <cell r="E298" t="str">
            <v>212</v>
          </cell>
          <cell r="I298">
            <v>146315.17000000001</v>
          </cell>
        </row>
        <row r="299">
          <cell r="E299" t="str">
            <v>212</v>
          </cell>
          <cell r="I299">
            <v>2011850.56</v>
          </cell>
        </row>
        <row r="300">
          <cell r="E300" t="str">
            <v>212</v>
          </cell>
          <cell r="I300">
            <v>0</v>
          </cell>
        </row>
        <row r="301">
          <cell r="E301" t="str">
            <v>212</v>
          </cell>
          <cell r="I301">
            <v>855361.5</v>
          </cell>
        </row>
        <row r="302">
          <cell r="E302" t="str">
            <v>212</v>
          </cell>
          <cell r="I302">
            <v>311360.59000000003</v>
          </cell>
        </row>
        <row r="303">
          <cell r="E303" t="str">
            <v>220</v>
          </cell>
          <cell r="I303">
            <v>0</v>
          </cell>
        </row>
        <row r="304">
          <cell r="E304" t="str">
            <v>232</v>
          </cell>
          <cell r="I304">
            <v>1493551.42</v>
          </cell>
        </row>
        <row r="305">
          <cell r="E305" t="str">
            <v>232</v>
          </cell>
          <cell r="I305">
            <v>2443566.5699999998</v>
          </cell>
        </row>
        <row r="306">
          <cell r="E306" t="str">
            <v>232</v>
          </cell>
          <cell r="I306">
            <v>53307.35</v>
          </cell>
        </row>
        <row r="307">
          <cell r="E307" t="str">
            <v>351</v>
          </cell>
          <cell r="I307">
            <v>68170.61</v>
          </cell>
        </row>
        <row r="308">
          <cell r="E308" t="str">
            <v>351</v>
          </cell>
          <cell r="I308">
            <v>11675.32</v>
          </cell>
        </row>
        <row r="309">
          <cell r="E309" t="str">
            <v>362</v>
          </cell>
          <cell r="I309">
            <v>46.32</v>
          </cell>
        </row>
        <row r="310">
          <cell r="E310" t="str">
            <v>411</v>
          </cell>
          <cell r="I310">
            <v>21773.08</v>
          </cell>
        </row>
        <row r="311">
          <cell r="E311" t="str">
            <v>411</v>
          </cell>
          <cell r="I311">
            <v>108877.69</v>
          </cell>
        </row>
        <row r="312">
          <cell r="E312" t="str">
            <v>411</v>
          </cell>
          <cell r="I312">
            <v>6442.36</v>
          </cell>
        </row>
        <row r="313">
          <cell r="E313" t="str">
            <v>421</v>
          </cell>
          <cell r="I313">
            <v>537151.64</v>
          </cell>
        </row>
        <row r="314">
          <cell r="E314" t="str">
            <v>421</v>
          </cell>
          <cell r="I314">
            <v>136560.51</v>
          </cell>
        </row>
        <row r="315">
          <cell r="E315" t="str">
            <v>421</v>
          </cell>
          <cell r="I315">
            <v>55087.6</v>
          </cell>
        </row>
        <row r="316">
          <cell r="E316" t="str">
            <v>422</v>
          </cell>
          <cell r="I316">
            <v>554787.64</v>
          </cell>
        </row>
        <row r="317">
          <cell r="E317" t="str">
            <v>422</v>
          </cell>
          <cell r="I317">
            <v>1279564.99</v>
          </cell>
        </row>
        <row r="318">
          <cell r="E318" t="str">
            <v>422</v>
          </cell>
          <cell r="I318">
            <v>30633.5</v>
          </cell>
        </row>
        <row r="319">
          <cell r="E319" t="str">
            <v>423</v>
          </cell>
          <cell r="I319">
            <v>1354391.14</v>
          </cell>
        </row>
        <row r="320">
          <cell r="E320" t="str">
            <v>423</v>
          </cell>
          <cell r="I320">
            <v>1103181.28</v>
          </cell>
        </row>
        <row r="321">
          <cell r="E321" t="str">
            <v>423</v>
          </cell>
          <cell r="I321">
            <v>21852.6</v>
          </cell>
        </row>
        <row r="322">
          <cell r="E322" t="str">
            <v>426</v>
          </cell>
          <cell r="I322">
            <v>173783.93</v>
          </cell>
        </row>
        <row r="323">
          <cell r="E323" t="str">
            <v>426</v>
          </cell>
          <cell r="I323">
            <v>205767.56</v>
          </cell>
        </row>
        <row r="324">
          <cell r="E324" t="str">
            <v>426</v>
          </cell>
          <cell r="I324">
            <v>3609.56</v>
          </cell>
        </row>
        <row r="325">
          <cell r="E325" t="str">
            <v>441</v>
          </cell>
          <cell r="I325">
            <v>227225.21</v>
          </cell>
        </row>
        <row r="326">
          <cell r="E326" t="str">
            <v>441</v>
          </cell>
          <cell r="I326">
            <v>727535.41</v>
          </cell>
        </row>
        <row r="328">
          <cell r="E328" t="str">
            <v>Sub</v>
          </cell>
          <cell r="I328" t="str">
            <v>Adjusted Total</v>
          </cell>
        </row>
        <row r="329">
          <cell r="E329" t="str">
            <v>111</v>
          </cell>
          <cell r="I329">
            <v>536833</v>
          </cell>
        </row>
        <row r="330">
          <cell r="E330" t="str">
            <v>112</v>
          </cell>
          <cell r="I330">
            <v>665482</v>
          </cell>
        </row>
        <row r="331">
          <cell r="E331" t="str">
            <v>116</v>
          </cell>
          <cell r="I331">
            <v>20197</v>
          </cell>
        </row>
        <row r="332">
          <cell r="E332" t="str">
            <v>116</v>
          </cell>
          <cell r="I332">
            <v>43130</v>
          </cell>
        </row>
        <row r="333">
          <cell r="E333" t="str">
            <v>121</v>
          </cell>
          <cell r="I333">
            <v>108689</v>
          </cell>
        </row>
        <row r="334">
          <cell r="E334" t="str">
            <v>121</v>
          </cell>
          <cell r="I334">
            <v>340844</v>
          </cell>
        </row>
        <row r="335">
          <cell r="E335" t="str">
            <v>121</v>
          </cell>
          <cell r="I335">
            <v>18384</v>
          </cell>
        </row>
        <row r="336">
          <cell r="E336" t="str">
            <v>122</v>
          </cell>
          <cell r="I336">
            <v>167549</v>
          </cell>
        </row>
        <row r="337">
          <cell r="E337" t="str">
            <v>122</v>
          </cell>
          <cell r="I337">
            <v>0</v>
          </cell>
        </row>
        <row r="338">
          <cell r="E338" t="str">
            <v>123</v>
          </cell>
          <cell r="I338">
            <v>17404</v>
          </cell>
        </row>
        <row r="339">
          <cell r="E339" t="str">
            <v>123</v>
          </cell>
          <cell r="I339">
            <v>10295</v>
          </cell>
        </row>
        <row r="340">
          <cell r="E340" t="str">
            <v>124</v>
          </cell>
          <cell r="I340">
            <v>301587</v>
          </cell>
        </row>
        <row r="341">
          <cell r="E341" t="str">
            <v>124</v>
          </cell>
          <cell r="I341">
            <v>4713706</v>
          </cell>
        </row>
        <row r="342">
          <cell r="E342" t="str">
            <v>126</v>
          </cell>
          <cell r="I342">
            <v>0</v>
          </cell>
        </row>
        <row r="343">
          <cell r="E343" t="str">
            <v>126</v>
          </cell>
          <cell r="I343">
            <v>0</v>
          </cell>
        </row>
        <row r="344">
          <cell r="E344" t="str">
            <v>212</v>
          </cell>
          <cell r="I344">
            <v>163277</v>
          </cell>
        </row>
        <row r="345">
          <cell r="E345" t="str">
            <v>212</v>
          </cell>
          <cell r="I345">
            <v>2065419</v>
          </cell>
        </row>
        <row r="346">
          <cell r="E346" t="str">
            <v>212</v>
          </cell>
          <cell r="I346">
            <v>0</v>
          </cell>
        </row>
        <row r="347">
          <cell r="E347" t="str">
            <v>212</v>
          </cell>
          <cell r="I347">
            <v>873662</v>
          </cell>
        </row>
        <row r="348">
          <cell r="E348" t="str">
            <v>212</v>
          </cell>
          <cell r="I348">
            <v>317819</v>
          </cell>
        </row>
        <row r="349">
          <cell r="E349" t="str">
            <v>220</v>
          </cell>
          <cell r="I349">
            <v>15</v>
          </cell>
        </row>
        <row r="350">
          <cell r="E350" t="str">
            <v>220</v>
          </cell>
          <cell r="I350">
            <v>0</v>
          </cell>
        </row>
        <row r="351">
          <cell r="E351" t="str">
            <v>232</v>
          </cell>
          <cell r="I351">
            <v>1553677</v>
          </cell>
        </row>
        <row r="352">
          <cell r="E352" t="str">
            <v>232</v>
          </cell>
          <cell r="I352">
            <v>2204596</v>
          </cell>
        </row>
        <row r="353">
          <cell r="E353" t="str">
            <v>232</v>
          </cell>
          <cell r="I353">
            <v>56541</v>
          </cell>
        </row>
        <row r="354">
          <cell r="E354" t="str">
            <v>351</v>
          </cell>
          <cell r="I354">
            <v>279680</v>
          </cell>
        </row>
        <row r="355">
          <cell r="E355" t="str">
            <v>351</v>
          </cell>
          <cell r="I355">
            <v>11855</v>
          </cell>
        </row>
        <row r="356">
          <cell r="E356" t="str">
            <v>362</v>
          </cell>
          <cell r="I356">
            <v>46</v>
          </cell>
        </row>
        <row r="357">
          <cell r="E357" t="str">
            <v>411</v>
          </cell>
          <cell r="I357">
            <v>21428</v>
          </cell>
        </row>
        <row r="358">
          <cell r="E358" t="str">
            <v>411</v>
          </cell>
          <cell r="I358">
            <v>109289</v>
          </cell>
        </row>
        <row r="359">
          <cell r="E359" t="str">
            <v>411</v>
          </cell>
          <cell r="I359">
            <v>14515</v>
          </cell>
        </row>
        <row r="360">
          <cell r="E360" t="str">
            <v>421</v>
          </cell>
          <cell r="I360">
            <v>633034</v>
          </cell>
        </row>
        <row r="361">
          <cell r="E361" t="str">
            <v>421</v>
          </cell>
          <cell r="I361">
            <v>140221</v>
          </cell>
        </row>
        <row r="362">
          <cell r="E362" t="str">
            <v>421</v>
          </cell>
          <cell r="I362">
            <v>71592</v>
          </cell>
        </row>
        <row r="363">
          <cell r="E363" t="str">
            <v>422</v>
          </cell>
          <cell r="I363">
            <v>622641</v>
          </cell>
        </row>
        <row r="364">
          <cell r="E364" t="str">
            <v>422</v>
          </cell>
          <cell r="I364">
            <v>1289301</v>
          </cell>
        </row>
        <row r="365">
          <cell r="E365" t="str">
            <v>422</v>
          </cell>
          <cell r="I365">
            <v>34076</v>
          </cell>
        </row>
        <row r="366">
          <cell r="E366" t="str">
            <v>423</v>
          </cell>
          <cell r="I366">
            <v>1703220</v>
          </cell>
        </row>
        <row r="367">
          <cell r="E367" t="str">
            <v>423</v>
          </cell>
          <cell r="I367">
            <v>1249681</v>
          </cell>
        </row>
        <row r="368">
          <cell r="E368" t="str">
            <v>423</v>
          </cell>
          <cell r="I368">
            <v>25610</v>
          </cell>
        </row>
        <row r="369">
          <cell r="E369" t="str">
            <v>426</v>
          </cell>
          <cell r="I369">
            <v>188906</v>
          </cell>
        </row>
        <row r="370">
          <cell r="E370" t="str">
            <v>426</v>
          </cell>
          <cell r="I370">
            <v>206428</v>
          </cell>
        </row>
        <row r="371">
          <cell r="E371" t="str">
            <v>426</v>
          </cell>
          <cell r="I371">
            <v>4746</v>
          </cell>
        </row>
        <row r="372">
          <cell r="E372" t="str">
            <v>441</v>
          </cell>
          <cell r="I372">
            <v>272812</v>
          </cell>
        </row>
        <row r="373">
          <cell r="E373" t="str">
            <v>441</v>
          </cell>
          <cell r="I373">
            <v>749377</v>
          </cell>
        </row>
        <row r="375">
          <cell r="E375" t="str">
            <v>Sub</v>
          </cell>
          <cell r="I375" t="str">
            <v>Adjusted Total</v>
          </cell>
        </row>
        <row r="376">
          <cell r="E376" t="str">
            <v>111</v>
          </cell>
          <cell r="I376">
            <v>536833</v>
          </cell>
        </row>
        <row r="377">
          <cell r="E377" t="str">
            <v>112</v>
          </cell>
          <cell r="I377">
            <v>80371.240000000005</v>
          </cell>
        </row>
        <row r="378">
          <cell r="E378" t="str">
            <v>116</v>
          </cell>
          <cell r="I378">
            <v>28204.27</v>
          </cell>
        </row>
        <row r="379">
          <cell r="E379" t="str">
            <v>116</v>
          </cell>
          <cell r="I379">
            <v>43129.86</v>
          </cell>
        </row>
        <row r="380">
          <cell r="E380" t="str">
            <v>121</v>
          </cell>
          <cell r="I380">
            <v>152116.95000000001</v>
          </cell>
        </row>
        <row r="381">
          <cell r="E381" t="str">
            <v>121</v>
          </cell>
          <cell r="I381">
            <v>293594.01</v>
          </cell>
        </row>
        <row r="382">
          <cell r="E382" t="str">
            <v>121</v>
          </cell>
          <cell r="I382">
            <v>26128.5</v>
          </cell>
        </row>
        <row r="383">
          <cell r="E383" t="str">
            <v>122</v>
          </cell>
          <cell r="I383">
            <v>167549.06</v>
          </cell>
        </row>
        <row r="384">
          <cell r="E384" t="str">
            <v>122</v>
          </cell>
          <cell r="I384">
            <v>0</v>
          </cell>
        </row>
        <row r="385">
          <cell r="E385" t="str">
            <v>123</v>
          </cell>
          <cell r="I385">
            <v>19704.52</v>
          </cell>
        </row>
        <row r="386">
          <cell r="E386" t="str">
            <v>123</v>
          </cell>
          <cell r="I386">
            <v>10295</v>
          </cell>
        </row>
        <row r="387">
          <cell r="E387" t="str">
            <v>124</v>
          </cell>
          <cell r="I387">
            <v>195678.66</v>
          </cell>
        </row>
        <row r="388">
          <cell r="E388" t="str">
            <v>124</v>
          </cell>
          <cell r="I388">
            <v>4751478.8</v>
          </cell>
        </row>
        <row r="389">
          <cell r="E389" t="str">
            <v>126</v>
          </cell>
          <cell r="I389">
            <v>0</v>
          </cell>
        </row>
        <row r="390">
          <cell r="E390" t="str">
            <v>126</v>
          </cell>
          <cell r="I390">
            <v>0</v>
          </cell>
        </row>
        <row r="391">
          <cell r="E391" t="str">
            <v>212</v>
          </cell>
          <cell r="I391">
            <v>1157367.73</v>
          </cell>
        </row>
        <row r="392">
          <cell r="E392" t="str">
            <v>212</v>
          </cell>
          <cell r="I392">
            <v>2014808.27</v>
          </cell>
        </row>
        <row r="393">
          <cell r="E393" t="str">
            <v>212</v>
          </cell>
          <cell r="I393">
            <v>1811.41</v>
          </cell>
        </row>
        <row r="394">
          <cell r="E394" t="str">
            <v>212</v>
          </cell>
          <cell r="I394">
            <v>6624.22</v>
          </cell>
        </row>
        <row r="395">
          <cell r="E395" t="str">
            <v>212</v>
          </cell>
          <cell r="I395">
            <v>81713.259999999995</v>
          </cell>
        </row>
        <row r="396">
          <cell r="E396" t="str">
            <v>220</v>
          </cell>
          <cell r="I396">
            <v>14.5</v>
          </cell>
        </row>
        <row r="397">
          <cell r="E397" t="str">
            <v>220</v>
          </cell>
          <cell r="I397">
            <v>0</v>
          </cell>
        </row>
        <row r="398">
          <cell r="E398" t="str">
            <v>232</v>
          </cell>
          <cell r="I398">
            <v>1806136.59</v>
          </cell>
        </row>
        <row r="399">
          <cell r="E399" t="str">
            <v>232</v>
          </cell>
          <cell r="I399">
            <v>2267421.2999999998</v>
          </cell>
        </row>
        <row r="400">
          <cell r="E400" t="str">
            <v>232</v>
          </cell>
          <cell r="I400">
            <v>65729.72</v>
          </cell>
        </row>
        <row r="401">
          <cell r="E401" t="str">
            <v>351</v>
          </cell>
          <cell r="I401">
            <v>389112.28</v>
          </cell>
        </row>
        <row r="402">
          <cell r="E402" t="str">
            <v>351</v>
          </cell>
          <cell r="I402">
            <v>12518.19</v>
          </cell>
        </row>
        <row r="403">
          <cell r="E403" t="str">
            <v>362</v>
          </cell>
          <cell r="I403">
            <v>46.32</v>
          </cell>
        </row>
        <row r="404">
          <cell r="E404" t="str">
            <v>411</v>
          </cell>
          <cell r="I404">
            <v>15232.57</v>
          </cell>
        </row>
        <row r="405">
          <cell r="E405" t="str">
            <v>411</v>
          </cell>
          <cell r="I405">
            <v>107930.73</v>
          </cell>
        </row>
        <row r="406">
          <cell r="E406" t="str">
            <v>411</v>
          </cell>
          <cell r="I406">
            <v>13314.37</v>
          </cell>
        </row>
        <row r="407">
          <cell r="E407" t="str">
            <v>421</v>
          </cell>
          <cell r="I407">
            <v>587592.64</v>
          </cell>
        </row>
        <row r="408">
          <cell r="E408" t="str">
            <v>421</v>
          </cell>
          <cell r="I408">
            <v>144441.75</v>
          </cell>
        </row>
        <row r="409">
          <cell r="E409" t="str">
            <v>421</v>
          </cell>
          <cell r="I409">
            <v>99178</v>
          </cell>
        </row>
        <row r="410">
          <cell r="E410" t="str">
            <v>422</v>
          </cell>
          <cell r="I410">
            <v>635512.52</v>
          </cell>
        </row>
        <row r="411">
          <cell r="E411" t="str">
            <v>422</v>
          </cell>
          <cell r="I411">
            <v>1246499.43</v>
          </cell>
        </row>
        <row r="412">
          <cell r="E412" t="str">
            <v>422</v>
          </cell>
          <cell r="I412">
            <v>34507.29</v>
          </cell>
        </row>
        <row r="413">
          <cell r="E413" t="str">
            <v>423</v>
          </cell>
          <cell r="I413">
            <v>2046774.38</v>
          </cell>
        </row>
        <row r="414">
          <cell r="E414" t="str">
            <v>423</v>
          </cell>
          <cell r="I414">
            <v>980802.43</v>
          </cell>
        </row>
        <row r="415">
          <cell r="E415" t="str">
            <v>423</v>
          </cell>
          <cell r="I415">
            <v>27205.8</v>
          </cell>
        </row>
        <row r="416">
          <cell r="E416" t="str">
            <v>426</v>
          </cell>
          <cell r="I416">
            <v>227048.38</v>
          </cell>
        </row>
        <row r="417">
          <cell r="E417" t="str">
            <v>426</v>
          </cell>
          <cell r="I417">
            <v>116152.74</v>
          </cell>
        </row>
        <row r="418">
          <cell r="E418" t="str">
            <v>426</v>
          </cell>
          <cell r="I418">
            <v>5844.87</v>
          </cell>
        </row>
        <row r="419">
          <cell r="E419" t="str">
            <v>441</v>
          </cell>
          <cell r="I419">
            <v>416095</v>
          </cell>
        </row>
        <row r="420">
          <cell r="E420" t="str">
            <v>441</v>
          </cell>
          <cell r="I420">
            <v>692014.16</v>
          </cell>
        </row>
        <row r="422">
          <cell r="E422" t="str">
            <v>Sub</v>
          </cell>
          <cell r="I422" t="str">
            <v>Adjusted Total</v>
          </cell>
        </row>
        <row r="423">
          <cell r="E423" t="str">
            <v>111</v>
          </cell>
          <cell r="I423">
            <v>536833</v>
          </cell>
        </row>
        <row r="424">
          <cell r="E424" t="str">
            <v>112</v>
          </cell>
          <cell r="I424">
            <v>51676</v>
          </cell>
        </row>
        <row r="425">
          <cell r="E425" t="str">
            <v>116</v>
          </cell>
          <cell r="I425">
            <v>-33412</v>
          </cell>
        </row>
        <row r="426">
          <cell r="E426" t="str">
            <v>116</v>
          </cell>
          <cell r="I426">
            <v>43130</v>
          </cell>
        </row>
        <row r="427">
          <cell r="E427" t="str">
            <v>121</v>
          </cell>
          <cell r="I427">
            <v>128866</v>
          </cell>
        </row>
        <row r="428">
          <cell r="E428" t="str">
            <v>121</v>
          </cell>
          <cell r="I428">
            <v>91475</v>
          </cell>
        </row>
        <row r="429">
          <cell r="E429" t="str">
            <v>121</v>
          </cell>
          <cell r="I429">
            <v>34553</v>
          </cell>
        </row>
        <row r="430">
          <cell r="E430" t="str">
            <v>122</v>
          </cell>
          <cell r="I430">
            <v>15541</v>
          </cell>
        </row>
        <row r="431">
          <cell r="E431" t="str">
            <v>122</v>
          </cell>
          <cell r="I431">
            <v>0</v>
          </cell>
        </row>
        <row r="432">
          <cell r="E432" t="str">
            <v>123</v>
          </cell>
          <cell r="I432">
            <v>16961</v>
          </cell>
        </row>
        <row r="433">
          <cell r="E433" t="str">
            <v>123</v>
          </cell>
          <cell r="I433">
            <v>10295</v>
          </cell>
        </row>
        <row r="434">
          <cell r="E434" t="str">
            <v>124</v>
          </cell>
          <cell r="I434">
            <v>451934.75</v>
          </cell>
        </row>
        <row r="435">
          <cell r="E435" t="str">
            <v>124</v>
          </cell>
          <cell r="I435">
            <v>4759664</v>
          </cell>
        </row>
        <row r="436">
          <cell r="E436" t="str">
            <v>126</v>
          </cell>
          <cell r="I436">
            <v>0</v>
          </cell>
        </row>
        <row r="437">
          <cell r="E437" t="str">
            <v>126</v>
          </cell>
          <cell r="I437">
            <v>0</v>
          </cell>
        </row>
        <row r="438">
          <cell r="E438" t="str">
            <v>212</v>
          </cell>
          <cell r="I438">
            <v>1381695</v>
          </cell>
        </row>
        <row r="439">
          <cell r="E439" t="str">
            <v>212</v>
          </cell>
          <cell r="I439">
            <v>1789767</v>
          </cell>
        </row>
        <row r="440">
          <cell r="E440" t="str">
            <v>212</v>
          </cell>
          <cell r="I440">
            <v>3575</v>
          </cell>
        </row>
        <row r="441">
          <cell r="E441" t="str">
            <v>212</v>
          </cell>
          <cell r="I441">
            <v>6624</v>
          </cell>
        </row>
        <row r="442">
          <cell r="E442" t="str">
            <v>212</v>
          </cell>
          <cell r="I442">
            <v>63026</v>
          </cell>
        </row>
        <row r="443">
          <cell r="E443" t="str">
            <v>220</v>
          </cell>
          <cell r="I443">
            <v>15</v>
          </cell>
        </row>
        <row r="444">
          <cell r="E444" t="str">
            <v>220</v>
          </cell>
          <cell r="I444">
            <v>0</v>
          </cell>
        </row>
        <row r="445">
          <cell r="E445" t="str">
            <v>232</v>
          </cell>
          <cell r="I445">
            <v>1306159</v>
          </cell>
        </row>
        <row r="446">
          <cell r="E446" t="str">
            <v>232</v>
          </cell>
          <cell r="I446">
            <v>2265830</v>
          </cell>
        </row>
        <row r="447">
          <cell r="E447" t="str">
            <v>232</v>
          </cell>
          <cell r="I447">
            <v>34702</v>
          </cell>
        </row>
        <row r="448">
          <cell r="E448" t="str">
            <v>351</v>
          </cell>
          <cell r="I448">
            <v>348124</v>
          </cell>
        </row>
        <row r="449">
          <cell r="E449" t="str">
            <v>351</v>
          </cell>
          <cell r="I449">
            <v>14495</v>
          </cell>
        </row>
        <row r="450">
          <cell r="E450" t="str">
            <v>362</v>
          </cell>
          <cell r="I450">
            <v>0</v>
          </cell>
        </row>
        <row r="451">
          <cell r="E451" t="str">
            <v>411</v>
          </cell>
          <cell r="I451">
            <v>18876</v>
          </cell>
        </row>
        <row r="452">
          <cell r="E452" t="str">
            <v>411</v>
          </cell>
          <cell r="I452">
            <v>3920</v>
          </cell>
        </row>
        <row r="453">
          <cell r="E453" t="str">
            <v>411</v>
          </cell>
          <cell r="I453">
            <v>14267</v>
          </cell>
        </row>
        <row r="454">
          <cell r="E454" t="str">
            <v>421</v>
          </cell>
          <cell r="I454">
            <v>685945</v>
          </cell>
        </row>
        <row r="455">
          <cell r="E455" t="str">
            <v>421</v>
          </cell>
          <cell r="I455">
            <v>141950</v>
          </cell>
        </row>
        <row r="456">
          <cell r="E456" t="str">
            <v>421</v>
          </cell>
          <cell r="I456">
            <v>131986</v>
          </cell>
        </row>
        <row r="457">
          <cell r="E457" t="str">
            <v>422</v>
          </cell>
          <cell r="I457">
            <v>694368</v>
          </cell>
        </row>
        <row r="458">
          <cell r="E458" t="str">
            <v>422</v>
          </cell>
          <cell r="I458">
            <v>1026212</v>
          </cell>
        </row>
        <row r="459">
          <cell r="E459" t="str">
            <v>422</v>
          </cell>
          <cell r="I459">
            <v>35603</v>
          </cell>
        </row>
        <row r="460">
          <cell r="E460" t="str">
            <v>423</v>
          </cell>
          <cell r="I460">
            <v>2976972</v>
          </cell>
        </row>
        <row r="461">
          <cell r="E461" t="str">
            <v>423</v>
          </cell>
          <cell r="I461">
            <v>970533</v>
          </cell>
        </row>
        <row r="462">
          <cell r="E462" t="str">
            <v>423</v>
          </cell>
          <cell r="I462">
            <v>36094</v>
          </cell>
        </row>
        <row r="463">
          <cell r="E463" t="str">
            <v>426</v>
          </cell>
          <cell r="I463">
            <v>258171</v>
          </cell>
        </row>
        <row r="464">
          <cell r="E464" t="str">
            <v>426</v>
          </cell>
          <cell r="I464">
            <v>101739</v>
          </cell>
        </row>
        <row r="465">
          <cell r="E465" t="str">
            <v>426</v>
          </cell>
          <cell r="I465">
            <v>6447</v>
          </cell>
        </row>
        <row r="466">
          <cell r="E466" t="str">
            <v>441</v>
          </cell>
          <cell r="I466">
            <v>402464</v>
          </cell>
        </row>
        <row r="467">
          <cell r="E467" t="str">
            <v>441</v>
          </cell>
          <cell r="I467">
            <v>670388</v>
          </cell>
        </row>
        <row r="468">
          <cell r="E468" t="str">
            <v>441</v>
          </cell>
          <cell r="I468">
            <v>0</v>
          </cell>
        </row>
        <row r="470">
          <cell r="E470" t="str">
            <v>Sub</v>
          </cell>
          <cell r="I470" t="str">
            <v>Adjusted Total</v>
          </cell>
        </row>
        <row r="471">
          <cell r="E471" t="str">
            <v>111</v>
          </cell>
          <cell r="I471">
            <v>536833</v>
          </cell>
        </row>
        <row r="472">
          <cell r="E472" t="str">
            <v>112</v>
          </cell>
          <cell r="I472">
            <v>128163.88</v>
          </cell>
        </row>
        <row r="473">
          <cell r="E473" t="str">
            <v>116</v>
          </cell>
          <cell r="I473">
            <v>-33412.22</v>
          </cell>
        </row>
        <row r="474">
          <cell r="E474" t="str">
            <v>116</v>
          </cell>
          <cell r="I474">
            <v>43129.86</v>
          </cell>
        </row>
        <row r="475">
          <cell r="E475" t="str">
            <v>121</v>
          </cell>
          <cell r="I475">
            <v>201886.71</v>
          </cell>
        </row>
        <row r="476">
          <cell r="E476" t="str">
            <v>121</v>
          </cell>
          <cell r="I476">
            <v>183627.14</v>
          </cell>
        </row>
        <row r="477">
          <cell r="E477" t="str">
            <v>121</v>
          </cell>
          <cell r="I477">
            <v>34553</v>
          </cell>
        </row>
        <row r="478">
          <cell r="E478" t="str">
            <v>122</v>
          </cell>
          <cell r="I478">
            <v>15541.42</v>
          </cell>
        </row>
        <row r="479">
          <cell r="E479" t="str">
            <v>122</v>
          </cell>
          <cell r="I479">
            <v>0</v>
          </cell>
        </row>
        <row r="480">
          <cell r="E480" t="str">
            <v>123</v>
          </cell>
          <cell r="I480">
            <v>16960.68</v>
          </cell>
        </row>
        <row r="481">
          <cell r="E481" t="str">
            <v>123</v>
          </cell>
          <cell r="I481">
            <v>10295</v>
          </cell>
        </row>
        <row r="482">
          <cell r="E482" t="str">
            <v>124</v>
          </cell>
          <cell r="I482">
            <v>910836.27</v>
          </cell>
        </row>
        <row r="483">
          <cell r="E483" t="str">
            <v>124</v>
          </cell>
          <cell r="I483">
            <v>4773299.7699999996</v>
          </cell>
        </row>
        <row r="484">
          <cell r="E484" t="str">
            <v>126</v>
          </cell>
          <cell r="I484">
            <v>0</v>
          </cell>
        </row>
        <row r="485">
          <cell r="E485" t="str">
            <v>126</v>
          </cell>
          <cell r="I485">
            <v>0</v>
          </cell>
        </row>
        <row r="486">
          <cell r="E486" t="str">
            <v>212</v>
          </cell>
          <cell r="I486">
            <v>1275030.42</v>
          </cell>
        </row>
        <row r="487">
          <cell r="E487" t="str">
            <v>212</v>
          </cell>
          <cell r="I487">
            <v>1771286.56</v>
          </cell>
        </row>
        <row r="488">
          <cell r="E488" t="str">
            <v>212</v>
          </cell>
          <cell r="I488">
            <v>3750.65</v>
          </cell>
        </row>
        <row r="489">
          <cell r="E489" t="str">
            <v>212</v>
          </cell>
          <cell r="I489">
            <v>6624.22</v>
          </cell>
        </row>
        <row r="490">
          <cell r="E490" t="str">
            <v>212</v>
          </cell>
          <cell r="I490">
            <v>61841.91</v>
          </cell>
        </row>
        <row r="491">
          <cell r="E491" t="str">
            <v>220</v>
          </cell>
          <cell r="I491">
            <v>9804.5</v>
          </cell>
        </row>
        <row r="492">
          <cell r="E492" t="str">
            <v>220</v>
          </cell>
          <cell r="I492">
            <v>0</v>
          </cell>
        </row>
        <row r="493">
          <cell r="E493" t="str">
            <v>232</v>
          </cell>
          <cell r="I493">
            <v>1717127.96</v>
          </cell>
        </row>
        <row r="494">
          <cell r="E494" t="str">
            <v>232</v>
          </cell>
          <cell r="I494">
            <v>2265858.9300000002</v>
          </cell>
        </row>
        <row r="495">
          <cell r="E495" t="str">
            <v>232</v>
          </cell>
          <cell r="I495">
            <v>32130.83</v>
          </cell>
        </row>
        <row r="496">
          <cell r="E496" t="str">
            <v>351</v>
          </cell>
          <cell r="I496">
            <v>388270.61</v>
          </cell>
        </row>
        <row r="497">
          <cell r="E497" t="str">
            <v>351</v>
          </cell>
          <cell r="I497">
            <v>15758.69</v>
          </cell>
        </row>
        <row r="498">
          <cell r="E498" t="str">
            <v>362</v>
          </cell>
          <cell r="I498">
            <v>0</v>
          </cell>
        </row>
        <row r="499">
          <cell r="E499" t="str">
            <v>411</v>
          </cell>
          <cell r="I499">
            <v>15232.81</v>
          </cell>
        </row>
        <row r="500">
          <cell r="E500" t="str">
            <v>411</v>
          </cell>
          <cell r="I500">
            <v>3269.86</v>
          </cell>
        </row>
        <row r="501">
          <cell r="E501" t="str">
            <v>411</v>
          </cell>
          <cell r="I501">
            <v>16616.07</v>
          </cell>
        </row>
        <row r="502">
          <cell r="E502" t="str">
            <v>421</v>
          </cell>
          <cell r="I502">
            <v>751742.14</v>
          </cell>
        </row>
        <row r="503">
          <cell r="E503" t="str">
            <v>421</v>
          </cell>
          <cell r="I503">
            <v>141109.15</v>
          </cell>
        </row>
        <row r="504">
          <cell r="E504" t="str">
            <v>421</v>
          </cell>
          <cell r="I504">
            <v>140757.81</v>
          </cell>
        </row>
        <row r="505">
          <cell r="E505" t="str">
            <v>422</v>
          </cell>
          <cell r="I505">
            <v>799482.8</v>
          </cell>
        </row>
        <row r="506">
          <cell r="E506" t="str">
            <v>422</v>
          </cell>
          <cell r="I506">
            <v>1021734.93</v>
          </cell>
        </row>
        <row r="507">
          <cell r="E507" t="str">
            <v>422</v>
          </cell>
          <cell r="I507">
            <v>31331.95</v>
          </cell>
        </row>
        <row r="508">
          <cell r="E508" t="str">
            <v>423</v>
          </cell>
          <cell r="I508">
            <v>3597915.74</v>
          </cell>
        </row>
        <row r="509">
          <cell r="E509" t="str">
            <v>423</v>
          </cell>
          <cell r="I509">
            <v>945357.99</v>
          </cell>
        </row>
        <row r="510">
          <cell r="E510" t="str">
            <v>423</v>
          </cell>
          <cell r="I510">
            <v>51680.66</v>
          </cell>
        </row>
        <row r="511">
          <cell r="E511" t="str">
            <v>426</v>
          </cell>
          <cell r="I511">
            <v>306969.32</v>
          </cell>
        </row>
        <row r="512">
          <cell r="E512" t="str">
            <v>426</v>
          </cell>
          <cell r="I512">
            <v>101351.19</v>
          </cell>
        </row>
        <row r="513">
          <cell r="E513" t="str">
            <v>426</v>
          </cell>
          <cell r="I513">
            <v>6318.32</v>
          </cell>
        </row>
        <row r="514">
          <cell r="E514" t="str">
            <v>441</v>
          </cell>
          <cell r="I514">
            <v>426342.47</v>
          </cell>
        </row>
        <row r="515">
          <cell r="E515" t="str">
            <v>441</v>
          </cell>
          <cell r="I515">
            <v>663272.26</v>
          </cell>
        </row>
        <row r="516">
          <cell r="E516" t="str">
            <v>441</v>
          </cell>
          <cell r="I516">
            <v>0</v>
          </cell>
        </row>
        <row r="518">
          <cell r="E518" t="str">
            <v>Sub</v>
          </cell>
          <cell r="I518" t="str">
            <v>Adjusted Total</v>
          </cell>
        </row>
        <row r="519">
          <cell r="E519" t="str">
            <v>111</v>
          </cell>
          <cell r="I519">
            <v>536833</v>
          </cell>
        </row>
        <row r="520">
          <cell r="E520" t="str">
            <v>112</v>
          </cell>
          <cell r="I520">
            <v>145287</v>
          </cell>
        </row>
        <row r="521">
          <cell r="E521" t="str">
            <v>116</v>
          </cell>
          <cell r="I521">
            <v>21067</v>
          </cell>
        </row>
        <row r="522">
          <cell r="E522" t="str">
            <v>116</v>
          </cell>
          <cell r="I522">
            <v>0</v>
          </cell>
        </row>
        <row r="523">
          <cell r="E523" t="str">
            <v>121</v>
          </cell>
          <cell r="I523">
            <v>141621</v>
          </cell>
        </row>
        <row r="524">
          <cell r="E524" t="str">
            <v>121</v>
          </cell>
          <cell r="I524">
            <v>40533</v>
          </cell>
        </row>
        <row r="525">
          <cell r="E525" t="str">
            <v>121</v>
          </cell>
          <cell r="I525">
            <v>0</v>
          </cell>
        </row>
        <row r="526">
          <cell r="E526" t="str">
            <v>122</v>
          </cell>
          <cell r="I526">
            <v>28064</v>
          </cell>
        </row>
        <row r="527">
          <cell r="E527" t="str">
            <v>122</v>
          </cell>
          <cell r="I527">
            <v>0</v>
          </cell>
        </row>
        <row r="528">
          <cell r="E528" t="str">
            <v>123</v>
          </cell>
          <cell r="I528">
            <v>14425</v>
          </cell>
        </row>
        <row r="529">
          <cell r="E529" t="str">
            <v>123</v>
          </cell>
          <cell r="I529">
            <v>10295</v>
          </cell>
        </row>
        <row r="530">
          <cell r="E530" t="str">
            <v>124</v>
          </cell>
          <cell r="I530">
            <v>967094</v>
          </cell>
        </row>
        <row r="531">
          <cell r="E531" t="str">
            <v>124</v>
          </cell>
          <cell r="I531">
            <v>4838843</v>
          </cell>
        </row>
        <row r="532">
          <cell r="E532" t="str">
            <v>126</v>
          </cell>
          <cell r="I532">
            <v>0</v>
          </cell>
        </row>
        <row r="533">
          <cell r="E533" t="str">
            <v>126</v>
          </cell>
          <cell r="I533">
            <v>0</v>
          </cell>
        </row>
        <row r="534">
          <cell r="E534" t="str">
            <v>212</v>
          </cell>
          <cell r="I534">
            <v>1063970</v>
          </cell>
        </row>
        <row r="535">
          <cell r="E535" t="str">
            <v>212</v>
          </cell>
          <cell r="I535">
            <v>1771270</v>
          </cell>
        </row>
        <row r="536">
          <cell r="E536" t="str">
            <v>212</v>
          </cell>
          <cell r="I536">
            <v>-45114</v>
          </cell>
        </row>
        <row r="537">
          <cell r="E537" t="str">
            <v>212</v>
          </cell>
          <cell r="I537">
            <v>-6954</v>
          </cell>
        </row>
        <row r="538">
          <cell r="E538" t="str">
            <v>212</v>
          </cell>
          <cell r="I538">
            <v>4923</v>
          </cell>
        </row>
        <row r="539">
          <cell r="E539" t="str">
            <v>220</v>
          </cell>
          <cell r="I539">
            <v>9805</v>
          </cell>
        </row>
        <row r="540">
          <cell r="E540" t="str">
            <v>220</v>
          </cell>
          <cell r="I540">
            <v>0</v>
          </cell>
        </row>
        <row r="541">
          <cell r="E541" t="str">
            <v>232</v>
          </cell>
          <cell r="I541">
            <v>1733174</v>
          </cell>
        </row>
        <row r="542">
          <cell r="E542" t="str">
            <v>232</v>
          </cell>
          <cell r="I542">
            <v>2209499</v>
          </cell>
        </row>
        <row r="543">
          <cell r="E543" t="str">
            <v>232</v>
          </cell>
          <cell r="I543">
            <v>37339</v>
          </cell>
        </row>
        <row r="544">
          <cell r="E544" t="str">
            <v>351</v>
          </cell>
          <cell r="I544">
            <v>431689</v>
          </cell>
        </row>
        <row r="545">
          <cell r="E545" t="str">
            <v>351</v>
          </cell>
          <cell r="I545">
            <v>17066</v>
          </cell>
        </row>
        <row r="546">
          <cell r="E546" t="str">
            <v>362</v>
          </cell>
          <cell r="I546">
            <v>0</v>
          </cell>
        </row>
        <row r="547">
          <cell r="E547" t="str">
            <v>411</v>
          </cell>
          <cell r="I547">
            <v>14702</v>
          </cell>
        </row>
        <row r="548">
          <cell r="E548" t="str">
            <v>411</v>
          </cell>
          <cell r="I548">
            <v>852</v>
          </cell>
        </row>
        <row r="549">
          <cell r="E549" t="str">
            <v>411</v>
          </cell>
          <cell r="I549">
            <v>10621.53</v>
          </cell>
        </row>
        <row r="550">
          <cell r="E550" t="str">
            <v>421</v>
          </cell>
          <cell r="I550">
            <v>773614.65</v>
          </cell>
        </row>
        <row r="551">
          <cell r="E551" t="str">
            <v>421</v>
          </cell>
          <cell r="I551">
            <v>29865</v>
          </cell>
        </row>
        <row r="552">
          <cell r="E552" t="str">
            <v>421</v>
          </cell>
          <cell r="I552">
            <v>124574.32</v>
          </cell>
        </row>
        <row r="553">
          <cell r="E553" t="str">
            <v>422</v>
          </cell>
          <cell r="I553">
            <v>510827.14</v>
          </cell>
        </row>
        <row r="554">
          <cell r="E554" t="str">
            <v>422</v>
          </cell>
          <cell r="I554">
            <v>498398</v>
          </cell>
        </row>
        <row r="555">
          <cell r="E555" t="str">
            <v>422</v>
          </cell>
          <cell r="I555">
            <v>27736</v>
          </cell>
        </row>
        <row r="556">
          <cell r="E556" t="str">
            <v>423</v>
          </cell>
          <cell r="I556">
            <v>3439654.53</v>
          </cell>
        </row>
        <row r="557">
          <cell r="E557" t="str">
            <v>423</v>
          </cell>
          <cell r="I557">
            <v>503078</v>
          </cell>
        </row>
        <row r="558">
          <cell r="E558" t="str">
            <v>423</v>
          </cell>
          <cell r="I558">
            <v>65077.3</v>
          </cell>
        </row>
        <row r="559">
          <cell r="E559" t="str">
            <v>426</v>
          </cell>
          <cell r="I559">
            <v>276368.32</v>
          </cell>
        </row>
        <row r="560">
          <cell r="E560" t="str">
            <v>426</v>
          </cell>
          <cell r="I560">
            <v>76006</v>
          </cell>
        </row>
        <row r="561">
          <cell r="E561" t="str">
            <v>426</v>
          </cell>
          <cell r="I561">
            <v>5223</v>
          </cell>
        </row>
        <row r="562">
          <cell r="E562" t="str">
            <v>441</v>
          </cell>
          <cell r="I562">
            <v>408555</v>
          </cell>
        </row>
        <row r="563">
          <cell r="E563" t="str">
            <v>441</v>
          </cell>
          <cell r="I563">
            <v>561717</v>
          </cell>
        </row>
        <row r="564">
          <cell r="E564" t="str">
            <v>441</v>
          </cell>
          <cell r="I564">
            <v>0</v>
          </cell>
        </row>
        <row r="566">
          <cell r="E566" t="str">
            <v>Sub</v>
          </cell>
          <cell r="I566" t="str">
            <v>Adjusted Total</v>
          </cell>
        </row>
        <row r="567">
          <cell r="E567" t="str">
            <v>111</v>
          </cell>
          <cell r="I567">
            <v>0</v>
          </cell>
        </row>
        <row r="568">
          <cell r="E568" t="str">
            <v>112</v>
          </cell>
          <cell r="I568">
            <v>27023</v>
          </cell>
        </row>
        <row r="569">
          <cell r="E569" t="str">
            <v>116</v>
          </cell>
          <cell r="I569">
            <v>0</v>
          </cell>
        </row>
        <row r="570">
          <cell r="E570" t="str">
            <v>116</v>
          </cell>
          <cell r="I570">
            <v>22641</v>
          </cell>
        </row>
        <row r="571">
          <cell r="E571" t="str">
            <v>121</v>
          </cell>
          <cell r="I571">
            <v>130208</v>
          </cell>
        </row>
        <row r="572">
          <cell r="E572" t="str">
            <v>121</v>
          </cell>
          <cell r="I572">
            <v>4569</v>
          </cell>
        </row>
        <row r="573">
          <cell r="E573" t="str">
            <v>121</v>
          </cell>
          <cell r="I573">
            <v>0</v>
          </cell>
        </row>
        <row r="574">
          <cell r="E574" t="str">
            <v>122</v>
          </cell>
          <cell r="I574">
            <v>0</v>
          </cell>
        </row>
        <row r="575">
          <cell r="E575" t="str">
            <v>122</v>
          </cell>
          <cell r="I575">
            <v>0</v>
          </cell>
        </row>
        <row r="576">
          <cell r="E576" t="str">
            <v>123</v>
          </cell>
          <cell r="I576">
            <v>5416</v>
          </cell>
        </row>
        <row r="577">
          <cell r="E577" t="str">
            <v>123</v>
          </cell>
          <cell r="I577">
            <v>0</v>
          </cell>
        </row>
        <row r="578">
          <cell r="E578" t="str">
            <v>124</v>
          </cell>
          <cell r="I578">
            <v>4995334</v>
          </cell>
        </row>
        <row r="579">
          <cell r="E579" t="str">
            <v>124</v>
          </cell>
          <cell r="I579">
            <v>220880</v>
          </cell>
        </row>
        <row r="580">
          <cell r="E580" t="str">
            <v>126</v>
          </cell>
          <cell r="I580">
            <v>0</v>
          </cell>
        </row>
        <row r="581">
          <cell r="E581" t="str">
            <v>126</v>
          </cell>
          <cell r="I581">
            <v>0</v>
          </cell>
        </row>
        <row r="582">
          <cell r="E582" t="str">
            <v>212</v>
          </cell>
          <cell r="I582">
            <v>365299</v>
          </cell>
        </row>
        <row r="583">
          <cell r="E583" t="str">
            <v>212</v>
          </cell>
          <cell r="I583">
            <v>178374</v>
          </cell>
        </row>
        <row r="584">
          <cell r="E584" t="str">
            <v>212</v>
          </cell>
          <cell r="I584">
            <v>0</v>
          </cell>
        </row>
        <row r="585">
          <cell r="E585" t="str">
            <v>212</v>
          </cell>
          <cell r="I585">
            <v>0</v>
          </cell>
        </row>
        <row r="586">
          <cell r="E586" t="str">
            <v>212</v>
          </cell>
          <cell r="I586">
            <v>4282</v>
          </cell>
        </row>
        <row r="587">
          <cell r="E587" t="str">
            <v>220</v>
          </cell>
          <cell r="I587">
            <v>0</v>
          </cell>
        </row>
        <row r="588">
          <cell r="E588" t="str">
            <v>220</v>
          </cell>
          <cell r="I588">
            <v>0</v>
          </cell>
        </row>
        <row r="589">
          <cell r="E589" t="str">
            <v>232</v>
          </cell>
          <cell r="I589">
            <v>866778</v>
          </cell>
        </row>
        <row r="590">
          <cell r="E590" t="str">
            <v>232</v>
          </cell>
          <cell r="I590">
            <v>813630</v>
          </cell>
        </row>
        <row r="591">
          <cell r="E591" t="str">
            <v>232</v>
          </cell>
          <cell r="I591">
            <v>986</v>
          </cell>
        </row>
        <row r="592">
          <cell r="E592" t="str">
            <v>351</v>
          </cell>
          <cell r="I592">
            <v>0</v>
          </cell>
        </row>
        <row r="593">
          <cell r="E593" t="str">
            <v>351</v>
          </cell>
          <cell r="I593">
            <v>0</v>
          </cell>
        </row>
        <row r="594">
          <cell r="E594" t="str">
            <v>362</v>
          </cell>
          <cell r="I594">
            <v>0</v>
          </cell>
        </row>
        <row r="595">
          <cell r="E595" t="str">
            <v>411</v>
          </cell>
          <cell r="I595">
            <v>3380</v>
          </cell>
        </row>
        <row r="596">
          <cell r="E596" t="str">
            <v>411</v>
          </cell>
          <cell r="I596">
            <v>0</v>
          </cell>
        </row>
        <row r="597">
          <cell r="E597" t="str">
            <v>411</v>
          </cell>
          <cell r="I597">
            <v>5675</v>
          </cell>
        </row>
        <row r="598">
          <cell r="E598" t="str">
            <v>421</v>
          </cell>
          <cell r="I598">
            <v>207223</v>
          </cell>
        </row>
        <row r="599">
          <cell r="E599" t="str">
            <v>421</v>
          </cell>
          <cell r="I599">
            <v>13326</v>
          </cell>
        </row>
        <row r="600">
          <cell r="E600" t="str">
            <v>421</v>
          </cell>
          <cell r="I600">
            <v>38514</v>
          </cell>
        </row>
        <row r="601">
          <cell r="E601" t="str">
            <v>422</v>
          </cell>
          <cell r="I601">
            <v>483815</v>
          </cell>
        </row>
        <row r="602">
          <cell r="E602" t="str">
            <v>422</v>
          </cell>
          <cell r="I602">
            <v>306513</v>
          </cell>
        </row>
        <row r="603">
          <cell r="E603" t="str">
            <v>422</v>
          </cell>
          <cell r="I603">
            <v>14711</v>
          </cell>
        </row>
        <row r="604">
          <cell r="E604" t="str">
            <v>423</v>
          </cell>
          <cell r="I604">
            <v>1658837</v>
          </cell>
        </row>
        <row r="605">
          <cell r="E605" t="str">
            <v>423</v>
          </cell>
          <cell r="I605">
            <v>191602</v>
          </cell>
        </row>
        <row r="606">
          <cell r="E606" t="str">
            <v>423</v>
          </cell>
          <cell r="I606">
            <v>45038</v>
          </cell>
        </row>
        <row r="607">
          <cell r="E607" t="str">
            <v>426</v>
          </cell>
          <cell r="I607">
            <v>210388</v>
          </cell>
        </row>
        <row r="608">
          <cell r="E608" t="str">
            <v>426</v>
          </cell>
          <cell r="I608">
            <v>64130</v>
          </cell>
        </row>
        <row r="609">
          <cell r="E609" t="str">
            <v>426</v>
          </cell>
          <cell r="I609">
            <v>71</v>
          </cell>
        </row>
        <row r="610">
          <cell r="E610" t="str">
            <v>441</v>
          </cell>
          <cell r="I610">
            <v>275729</v>
          </cell>
        </row>
        <row r="611">
          <cell r="E611" t="str">
            <v>441</v>
          </cell>
          <cell r="I611">
            <v>208087</v>
          </cell>
        </row>
        <row r="612">
          <cell r="E612" t="str">
            <v>441</v>
          </cell>
          <cell r="I612">
            <v>0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Mo Average Pl"/>
    </sheetNames>
    <sheetDataSet>
      <sheetData sheetId="0">
        <row r="1">
          <cell r="A1" t="str">
            <v>UNITED-UTILITIES, INC. (Co#04 UUI)</v>
          </cell>
        </row>
        <row r="2">
          <cell r="A2" t="str">
            <v>SCHEDULE OF 13-MONTH AVERAGE PLANT IN SERVICE - BEFORE ADJUSTMENTS</v>
          </cell>
        </row>
        <row r="3">
          <cell r="A3" t="str">
            <v>For the Test Year Ended December 31, 2001</v>
          </cell>
        </row>
        <row r="4">
          <cell r="A4" t="str">
            <v>Acct</v>
          </cell>
          <cell r="E4" t="str">
            <v xml:space="preserve"> </v>
          </cell>
          <cell r="G4" t="str">
            <v xml:space="preserve"> </v>
          </cell>
          <cell r="I4" t="str">
            <v xml:space="preserve"> </v>
          </cell>
        </row>
        <row r="5">
          <cell r="A5" t="str">
            <v>No.</v>
          </cell>
          <cell r="C5" t="str">
            <v>Account Title</v>
          </cell>
          <cell r="E5" t="str">
            <v>January 1</v>
          </cell>
          <cell r="G5" t="str">
            <v>January 31</v>
          </cell>
          <cell r="I5" t="str">
            <v>February 28</v>
          </cell>
        </row>
        <row r="6">
          <cell r="C6" t="str">
            <v>(a)</v>
          </cell>
          <cell r="E6" t="str">
            <v>(b)</v>
          </cell>
          <cell r="G6" t="str">
            <v>(c)</v>
          </cell>
          <cell r="I6" t="str">
            <v>(d)</v>
          </cell>
        </row>
        <row r="7">
          <cell r="C7" t="str">
            <v>GENERAL SUPPORT ASSETS</v>
          </cell>
        </row>
        <row r="8">
          <cell r="A8" t="str">
            <v>2111</v>
          </cell>
          <cell r="C8" t="str">
            <v xml:space="preserve">Land </v>
          </cell>
          <cell r="E8">
            <v>668453.96</v>
          </cell>
          <cell r="G8">
            <v>668453.96</v>
          </cell>
          <cell r="I8">
            <v>668453.96</v>
          </cell>
        </row>
        <row r="9">
          <cell r="A9" t="str">
            <v>2112</v>
          </cell>
          <cell r="C9" t="str">
            <v>Motor Vehicles</v>
          </cell>
          <cell r="E9">
            <v>343678.13</v>
          </cell>
          <cell r="G9">
            <v>343678.13</v>
          </cell>
          <cell r="I9">
            <v>343678.13</v>
          </cell>
        </row>
        <row r="10">
          <cell r="A10" t="str">
            <v>2114</v>
          </cell>
          <cell r="C10" t="str">
            <v>Special Purpose Vehicles</v>
          </cell>
          <cell r="E10">
            <v>47580.79</v>
          </cell>
          <cell r="G10">
            <v>47580.79</v>
          </cell>
          <cell r="I10">
            <v>138087.49</v>
          </cell>
        </row>
        <row r="11">
          <cell r="A11" t="str">
            <v>2115</v>
          </cell>
          <cell r="C11" t="str">
            <v>Garage Work Equipment</v>
          </cell>
          <cell r="E11">
            <v>4192.45</v>
          </cell>
          <cell r="G11">
            <v>4192.45</v>
          </cell>
          <cell r="I11">
            <v>4192.45</v>
          </cell>
        </row>
        <row r="12">
          <cell r="A12" t="str">
            <v>2116</v>
          </cell>
          <cell r="C12" t="str">
            <v>Other Work Equipment</v>
          </cell>
          <cell r="E12">
            <v>629716.25</v>
          </cell>
          <cell r="G12">
            <v>629716.25</v>
          </cell>
          <cell r="I12">
            <v>582808.84</v>
          </cell>
        </row>
        <row r="13">
          <cell r="A13" t="str">
            <v>2121-2121.2</v>
          </cell>
          <cell r="C13" t="str">
            <v>Buildings &amp; ESJV</v>
          </cell>
          <cell r="E13">
            <v>7980240.0800000001</v>
          </cell>
          <cell r="G13">
            <v>7986985</v>
          </cell>
          <cell r="I13">
            <v>7986985</v>
          </cell>
        </row>
        <row r="14">
          <cell r="A14" t="str">
            <v>2122</v>
          </cell>
          <cell r="C14" t="str">
            <v>Furniture</v>
          </cell>
          <cell r="E14">
            <v>343167.75</v>
          </cell>
          <cell r="G14">
            <v>377330.17000000004</v>
          </cell>
          <cell r="I14">
            <v>377330.17000000004</v>
          </cell>
        </row>
        <row r="15">
          <cell r="A15" t="str">
            <v>2123.1</v>
          </cell>
          <cell r="C15" t="str">
            <v>Office Support Equipment</v>
          </cell>
          <cell r="E15">
            <v>207324.1</v>
          </cell>
          <cell r="G15">
            <v>207324.1</v>
          </cell>
          <cell r="I15">
            <v>207324.1</v>
          </cell>
        </row>
        <row r="16">
          <cell r="A16" t="str">
            <v>2123.2</v>
          </cell>
          <cell r="C16" t="str">
            <v>Company Communications Equipment</v>
          </cell>
          <cell r="E16">
            <v>362349.6</v>
          </cell>
          <cell r="G16">
            <v>362349.6</v>
          </cell>
          <cell r="I16">
            <v>362349.6</v>
          </cell>
        </row>
        <row r="17">
          <cell r="A17" t="str">
            <v>2124</v>
          </cell>
          <cell r="C17" t="str">
            <v>General Purpose Computers</v>
          </cell>
          <cell r="E17">
            <v>833517.19</v>
          </cell>
          <cell r="G17">
            <v>862252.39</v>
          </cell>
          <cell r="I17">
            <v>876135.59</v>
          </cell>
        </row>
        <row r="18">
          <cell r="C18" t="str">
            <v>Total General Support Assets</v>
          </cell>
          <cell r="E18">
            <v>11420220.299999999</v>
          </cell>
          <cell r="G18">
            <v>11489862.84</v>
          </cell>
          <cell r="I18">
            <v>11547345.33</v>
          </cell>
        </row>
        <row r="20">
          <cell r="C20" t="str">
            <v>CENTRAL OFFICE ASSETS</v>
          </cell>
        </row>
        <row r="21">
          <cell r="A21" t="str">
            <v>2212</v>
          </cell>
          <cell r="C21" t="str">
            <v>Digital Electronic Switching</v>
          </cell>
          <cell r="E21">
            <v>8866498.1600000001</v>
          </cell>
          <cell r="G21">
            <v>8876958.0899999999</v>
          </cell>
          <cell r="I21">
            <v>8895446.6099999994</v>
          </cell>
        </row>
        <row r="22">
          <cell r="A22" t="str">
            <v>2231.2 -2231.1</v>
          </cell>
          <cell r="C22" t="str">
            <v>Radio Systems &amp; Earthstation Facilities</v>
          </cell>
          <cell r="E22">
            <v>7084450.5800000001</v>
          </cell>
          <cell r="G22">
            <v>7085366.7400000002</v>
          </cell>
          <cell r="I22">
            <v>7085366.7400000002</v>
          </cell>
        </row>
        <row r="23">
          <cell r="A23">
            <v>2231.21</v>
          </cell>
          <cell r="C23" t="str">
            <v>Other Radio Systems-BETRS</v>
          </cell>
          <cell r="E23">
            <v>1752407.35</v>
          </cell>
          <cell r="G23">
            <v>1752407.35</v>
          </cell>
          <cell r="I23">
            <v>1752407.35</v>
          </cell>
        </row>
        <row r="24">
          <cell r="A24" t="str">
            <v>2232</v>
          </cell>
          <cell r="C24" t="str">
            <v>Circuit Equipment</v>
          </cell>
          <cell r="E24">
            <v>771469.29</v>
          </cell>
          <cell r="G24">
            <v>771469.29</v>
          </cell>
          <cell r="I24">
            <v>771469.29</v>
          </cell>
        </row>
        <row r="25">
          <cell r="C25" t="str">
            <v>Total Central Office Assets</v>
          </cell>
          <cell r="E25">
            <v>18474825.379999999</v>
          </cell>
          <cell r="G25">
            <v>18486201.469999999</v>
          </cell>
          <cell r="I25">
            <v>18504689.989999998</v>
          </cell>
        </row>
        <row r="27">
          <cell r="C27" t="str">
            <v>INFORMATION ORIGINATION/</v>
          </cell>
        </row>
        <row r="28">
          <cell r="C28" t="str">
            <v xml:space="preserve">   TERMINATION ASSETS</v>
          </cell>
        </row>
        <row r="29">
          <cell r="A29" t="str">
            <v>2351</v>
          </cell>
          <cell r="C29" t="str">
            <v xml:space="preserve">Public Telephone Terminal Equipment </v>
          </cell>
          <cell r="E29">
            <v>0</v>
          </cell>
          <cell r="G29">
            <v>0</v>
          </cell>
          <cell r="I29">
            <v>0</v>
          </cell>
        </row>
        <row r="30">
          <cell r="C30" t="str">
            <v>Total Information Orig./Term. Assets</v>
          </cell>
          <cell r="E30">
            <v>0</v>
          </cell>
          <cell r="G30">
            <v>0</v>
          </cell>
          <cell r="I30">
            <v>0</v>
          </cell>
        </row>
        <row r="32">
          <cell r="C32" t="str">
            <v>CABLE AND WIRE FACILITIES ASSETS</v>
          </cell>
        </row>
        <row r="33">
          <cell r="A33">
            <v>2411</v>
          </cell>
          <cell r="C33" t="str">
            <v>Poles</v>
          </cell>
          <cell r="E33">
            <v>2993634.41</v>
          </cell>
          <cell r="G33">
            <v>2993634.41</v>
          </cell>
          <cell r="I33">
            <v>2993634.41</v>
          </cell>
        </row>
        <row r="34">
          <cell r="A34">
            <v>2421</v>
          </cell>
          <cell r="C34" t="str">
            <v>Aerial Cable</v>
          </cell>
          <cell r="E34">
            <v>5240998.42</v>
          </cell>
          <cell r="G34">
            <v>5240998.42</v>
          </cell>
          <cell r="I34">
            <v>5281995.4000000004</v>
          </cell>
        </row>
        <row r="35">
          <cell r="A35" t="str">
            <v>2423</v>
          </cell>
          <cell r="C35" t="str">
            <v>Buried Cable</v>
          </cell>
          <cell r="E35">
            <v>2236649.88</v>
          </cell>
          <cell r="G35">
            <v>2236649.88</v>
          </cell>
          <cell r="I35">
            <v>2236649.88</v>
          </cell>
        </row>
        <row r="36">
          <cell r="A36">
            <v>2431</v>
          </cell>
          <cell r="C36" t="str">
            <v>Aerial Wire</v>
          </cell>
          <cell r="E36">
            <v>0</v>
          </cell>
          <cell r="G36">
            <v>0</v>
          </cell>
          <cell r="I36">
            <v>0</v>
          </cell>
        </row>
        <row r="37">
          <cell r="C37" t="str">
            <v>Total Cable and Wire Facilities Assets</v>
          </cell>
          <cell r="E37">
            <v>10471282.710000001</v>
          </cell>
          <cell r="G37">
            <v>10471282.710000001</v>
          </cell>
          <cell r="I37">
            <v>10512279.690000001</v>
          </cell>
        </row>
        <row r="39">
          <cell r="C39" t="str">
            <v>AMORTIZABLE ASSETS</v>
          </cell>
        </row>
        <row r="40">
          <cell r="A40">
            <v>2681</v>
          </cell>
          <cell r="C40" t="str">
            <v>Capital Leases</v>
          </cell>
          <cell r="E40">
            <v>0</v>
          </cell>
          <cell r="G40">
            <v>0</v>
          </cell>
          <cell r="I40">
            <v>0</v>
          </cell>
        </row>
        <row r="41">
          <cell r="A41" t="str">
            <v>2690</v>
          </cell>
          <cell r="C41" t="str">
            <v>Intangibles</v>
          </cell>
          <cell r="E41">
            <v>0</v>
          </cell>
          <cell r="G41">
            <v>0</v>
          </cell>
          <cell r="I41">
            <v>0</v>
          </cell>
        </row>
        <row r="42">
          <cell r="C42" t="str">
            <v>Total Amortizable Assets</v>
          </cell>
          <cell r="E42">
            <v>0</v>
          </cell>
          <cell r="G42">
            <v>0</v>
          </cell>
          <cell r="I42">
            <v>0</v>
          </cell>
        </row>
        <row r="44">
          <cell r="C44" t="str">
            <v xml:space="preserve">     TOTAL</v>
          </cell>
          <cell r="E44">
            <v>40366328.390000001</v>
          </cell>
          <cell r="G44">
            <v>40447347.019999996</v>
          </cell>
          <cell r="I44">
            <v>40564315.010000005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Check"/>
      <sheetName val="GetReport"/>
      <sheetName val="JE_Entry"/>
      <sheetName val="AccrualBase"/>
      <sheetName val="InvoicesToAccrue"/>
      <sheetName val="MonthReceiptDetail"/>
      <sheetName val="OtherOpen"/>
      <sheetName val="Within7"/>
      <sheetName val="Sheet10"/>
      <sheetName val="DV-IDENTITY-0"/>
      <sheetName val="214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">
          <cell r="A4" t="str">
            <v>Source</v>
          </cell>
        </row>
      </sheetData>
      <sheetData sheetId="5" refreshError="1">
        <row r="4">
          <cell r="A4" t="str">
            <v>Source</v>
          </cell>
        </row>
      </sheetData>
      <sheetData sheetId="6" refreshError="1">
        <row r="4">
          <cell r="A4" t="str">
            <v>Source</v>
          </cell>
        </row>
      </sheetData>
      <sheetData sheetId="7" refreshError="1">
        <row r="4">
          <cell r="A4" t="str">
            <v>Source</v>
          </cell>
        </row>
      </sheetData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Bud Capital Input"/>
      <sheetName val="Capital Summary By PO Type"/>
      <sheetName val="PO vs Truck Center Recon"/>
      <sheetName val="Truck Center Summary"/>
      <sheetName val="Bud Closure Input"/>
      <sheetName val="Closure Summary By PO Type"/>
      <sheetName val="TruckCenterReference"/>
      <sheetName val="AssetTypeList"/>
      <sheetName val="Reference"/>
      <sheetName val="ClosureReference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6">
          <cell r="F16" t="str">
            <v>OK!: ReportRange Formula OK [jAction{}]</v>
          </cell>
        </row>
        <row r="29">
          <cell r="C29">
            <v>17450</v>
          </cell>
          <cell r="D29">
            <v>2195</v>
          </cell>
        </row>
        <row r="30">
          <cell r="C30">
            <v>17451</v>
          </cell>
          <cell r="D30">
            <v>2195</v>
          </cell>
        </row>
        <row r="31">
          <cell r="C31" t="str">
            <v>Automated</v>
          </cell>
          <cell r="D31" t="str">
            <v>Automated Sideloader</v>
          </cell>
        </row>
        <row r="32">
          <cell r="C32" t="str">
            <v>Container Delivery Truck</v>
          </cell>
          <cell r="D32" t="str">
            <v>Container Delivery</v>
          </cell>
        </row>
        <row r="33">
          <cell r="C33" t="str">
            <v>Front Load</v>
          </cell>
          <cell r="D33" t="str">
            <v>Front Loader</v>
          </cell>
        </row>
        <row r="34">
          <cell r="C34" t="str">
            <v>Grapple Brush Truck</v>
          </cell>
          <cell r="D34" t="str">
            <v>Grapple Truck</v>
          </cell>
        </row>
        <row r="35">
          <cell r="C35" t="str">
            <v>Hook Lift</v>
          </cell>
          <cell r="D35" t="str">
            <v>Hook Lift</v>
          </cell>
        </row>
        <row r="36">
          <cell r="C36" t="str">
            <v>PO Subtype</v>
          </cell>
          <cell r="D36" t="str">
            <v>Truck Center System Type</v>
          </cell>
        </row>
        <row r="37">
          <cell r="C37" t="str">
            <v>Automated</v>
          </cell>
          <cell r="D37" t="str">
            <v>Automated Sideloader</v>
          </cell>
        </row>
        <row r="38">
          <cell r="C38" t="str">
            <v>Container Delivery Truck</v>
          </cell>
          <cell r="D38" t="str">
            <v>Container Delivery</v>
          </cell>
        </row>
        <row r="39">
          <cell r="C39" t="str">
            <v>Front Load</v>
          </cell>
          <cell r="D39" t="str">
            <v>Front Loader</v>
          </cell>
        </row>
        <row r="40">
          <cell r="C40" t="str">
            <v>Grapple Brush Truck</v>
          </cell>
          <cell r="D40" t="str">
            <v>Grapple Truck</v>
          </cell>
        </row>
        <row r="41">
          <cell r="C41" t="str">
            <v>Hook Lift</v>
          </cell>
          <cell r="D41" t="str">
            <v>Hook Lift</v>
          </cell>
        </row>
        <row r="42">
          <cell r="C42" t="str">
            <v>Sideloader</v>
          </cell>
          <cell r="D42" t="str">
            <v>Sideloader</v>
          </cell>
        </row>
        <row r="43">
          <cell r="C43" t="str">
            <v>Sideloader</v>
          </cell>
          <cell r="D43" t="str">
            <v>Sideloader</v>
          </cell>
        </row>
        <row r="44">
          <cell r="C44" t="str">
            <v>Other Truck</v>
          </cell>
          <cell r="D44" t="str">
            <v>Other</v>
          </cell>
        </row>
        <row r="45">
          <cell r="C45" t="str">
            <v>Passenger Car</v>
          </cell>
          <cell r="D45" t="str">
            <v>Other</v>
          </cell>
        </row>
        <row r="46">
          <cell r="C46" t="str">
            <v>Pickup</v>
          </cell>
          <cell r="D46" t="str">
            <v>Pickup</v>
          </cell>
        </row>
        <row r="47">
          <cell r="C47" t="str">
            <v>Pumper Truck</v>
          </cell>
          <cell r="D47" t="str">
            <v>Pumper Truck</v>
          </cell>
        </row>
        <row r="48">
          <cell r="C48" t="str">
            <v>Rear Load</v>
          </cell>
          <cell r="D48" t="str">
            <v>Rear Loader</v>
          </cell>
        </row>
        <row r="49">
          <cell r="C49" t="str">
            <v>Recycle Truck</v>
          </cell>
          <cell r="D49" t="str">
            <v>Recycle</v>
          </cell>
        </row>
        <row r="50">
          <cell r="C50" t="str">
            <v>Retriever</v>
          </cell>
          <cell r="D50" t="str">
            <v>Retriever</v>
          </cell>
        </row>
        <row r="51">
          <cell r="C51" t="str">
            <v>Roll Off</v>
          </cell>
          <cell r="D51" t="str">
            <v>Roll Off</v>
          </cell>
        </row>
        <row r="52">
          <cell r="C52" t="str">
            <v>Service Truck</v>
          </cell>
          <cell r="D52" t="str">
            <v>Service Truck</v>
          </cell>
        </row>
        <row r="53">
          <cell r="C53" t="str">
            <v>Service Truck</v>
          </cell>
          <cell r="D53" t="str">
            <v>Service Truck</v>
          </cell>
        </row>
        <row r="54">
          <cell r="C54" t="str">
            <v>Tipper Trailer</v>
          </cell>
          <cell r="D54" t="str">
            <v>Trailer</v>
          </cell>
        </row>
        <row r="55">
          <cell r="C55" t="str">
            <v>Walking Floor Trailer</v>
          </cell>
          <cell r="D55" t="str">
            <v>Trailer</v>
          </cell>
        </row>
        <row r="56">
          <cell r="C56" t="str">
            <v>Roll Off Pup Trailer</v>
          </cell>
          <cell r="D56" t="str">
            <v>Trailer</v>
          </cell>
        </row>
        <row r="57">
          <cell r="C57" t="str">
            <v>Other Trailer</v>
          </cell>
          <cell r="D57" t="str">
            <v>Trailer</v>
          </cell>
        </row>
        <row r="58">
          <cell r="C58" t="str">
            <v>Container Delivery Trailer</v>
          </cell>
          <cell r="D58" t="str">
            <v>Trailer</v>
          </cell>
        </row>
        <row r="59">
          <cell r="C59" t="str">
            <v>Railroad Cars</v>
          </cell>
          <cell r="D59" t="str">
            <v>Trailer</v>
          </cell>
        </row>
        <row r="60">
          <cell r="C60" t="str">
            <v>Barge</v>
          </cell>
          <cell r="D60" t="str">
            <v>Trailer</v>
          </cell>
        </row>
        <row r="61">
          <cell r="C61" t="str">
            <v>Transfer Tractor</v>
          </cell>
          <cell r="D61" t="str">
            <v>Transfer Tractor</v>
          </cell>
        </row>
        <row r="62">
          <cell r="C62" t="str">
            <v>ATV/Gator</v>
          </cell>
          <cell r="D62" t="str">
            <v>UTV</v>
          </cell>
        </row>
        <row r="63">
          <cell r="C63" t="str">
            <v>Yard Mule</v>
          </cell>
          <cell r="D63" t="str">
            <v>Yard Mule</v>
          </cell>
        </row>
        <row r="64">
          <cell r="C64" t="str">
            <v>Automated</v>
          </cell>
          <cell r="D64" t="str">
            <v>Automated Sideloader</v>
          </cell>
        </row>
        <row r="65">
          <cell r="C65" t="str">
            <v>Container Delivery Truck</v>
          </cell>
          <cell r="D65" t="str">
            <v>Container Delivery</v>
          </cell>
        </row>
        <row r="66">
          <cell r="C66" t="str">
            <v>Front Load</v>
          </cell>
          <cell r="D66" t="str">
            <v>Front Loader</v>
          </cell>
        </row>
        <row r="67">
          <cell r="C67" t="str">
            <v>Grapple Brush Truck</v>
          </cell>
          <cell r="D67" t="str">
            <v>Grapple Truck</v>
          </cell>
        </row>
        <row r="68">
          <cell r="C68" t="str">
            <v>Hook Lift</v>
          </cell>
          <cell r="D68" t="str">
            <v>Hook Lift</v>
          </cell>
        </row>
        <row r="69">
          <cell r="C69" t="str">
            <v>Sideloader</v>
          </cell>
          <cell r="D69" t="str">
            <v>Manual Sideloader</v>
          </cell>
        </row>
        <row r="70">
          <cell r="C70" t="str">
            <v>Other Truck</v>
          </cell>
          <cell r="D70" t="str">
            <v>Other</v>
          </cell>
        </row>
        <row r="71">
          <cell r="C71" t="str">
            <v>Pickup</v>
          </cell>
          <cell r="D71" t="str">
            <v>Pickup</v>
          </cell>
        </row>
        <row r="72">
          <cell r="C72" t="str">
            <v>Pumper Truck</v>
          </cell>
          <cell r="D72" t="str">
            <v>Pumper Truck</v>
          </cell>
        </row>
        <row r="73">
          <cell r="C73" t="str">
            <v>Rear Load</v>
          </cell>
          <cell r="D73" t="str">
            <v>Rear Loader</v>
          </cell>
        </row>
        <row r="74">
          <cell r="C74" t="str">
            <v>Recycle Truck</v>
          </cell>
          <cell r="D74" t="str">
            <v>Recycle</v>
          </cell>
        </row>
        <row r="75">
          <cell r="C75" t="str">
            <v>Retriever</v>
          </cell>
          <cell r="D75" t="str">
            <v>Retriever</v>
          </cell>
        </row>
        <row r="76">
          <cell r="C76" t="str">
            <v>Roll Off</v>
          </cell>
          <cell r="D76" t="str">
            <v>Roll Off</v>
          </cell>
        </row>
        <row r="77">
          <cell r="C77" t="str">
            <v>Service Truck</v>
          </cell>
          <cell r="D77" t="str">
            <v>Serv Trk-Complete</v>
          </cell>
        </row>
        <row r="78">
          <cell r="C78" t="str">
            <v>Tipper Trailer</v>
          </cell>
          <cell r="D78" t="str">
            <v>Trailer</v>
          </cell>
        </row>
        <row r="79">
          <cell r="C79" t="str">
            <v>Walking Floor Trailer</v>
          </cell>
          <cell r="D79" t="str">
            <v>Trailer</v>
          </cell>
        </row>
      </sheetData>
      <sheetData sheetId="8">
        <row r="7">
          <cell r="C7" t="str">
            <v>OK!: ReportRange Formula OK [jAction{}]</v>
          </cell>
        </row>
      </sheetData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ummary"/>
      <sheetName val="Global Site Cost"/>
      <sheetName val="Capacity"/>
      <sheetName val="Cell Costs"/>
      <sheetName val="Cap Costs"/>
      <sheetName val="Post Close"/>
      <sheetName val="Total"/>
      <sheetName val="Cleveland"/>
      <sheetName val="Meadow"/>
      <sheetName val="Woodstock"/>
      <sheetName val="Westside"/>
      <sheetName val="Other"/>
      <sheetName val="PolkCoLF"/>
    </sheetNames>
    <sheetDataSet>
      <sheetData sheetId="0" refreshError="1"/>
      <sheetData sheetId="1" refreshError="1"/>
      <sheetData sheetId="2"/>
      <sheetData sheetId="3">
        <row r="22">
          <cell r="M22">
            <v>6942121.4133333322</v>
          </cell>
        </row>
      </sheetData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endix A"/>
      <sheetName val="Bench Request 4 Summary"/>
      <sheetName val="Bench Request 4 JE Query"/>
      <sheetName val="52142-Fuel Updated"/>
      <sheetName val="LG Public - Regulated"/>
      <sheetName val="2112 IS"/>
      <sheetName val="Master IS"/>
      <sheetName val="Pro forma Adj"/>
      <sheetName val="Staff Calculations"/>
      <sheetName val="List of Staff Adjustments"/>
      <sheetName val="Clallam DF Company Calc"/>
      <sheetName val="Payroll Summary"/>
      <sheetName val="Payroll Summary Validation"/>
      <sheetName val="Manual Entry Detail Validation"/>
      <sheetName val="Payroll Validation JE Query"/>
      <sheetName val="WCN Employee Roster Validation"/>
      <sheetName val="70235 JE Query"/>
      <sheetName val="Region OH"/>
      <sheetName val="Corp-OH"/>
      <sheetName val="Staff Rev-Deprec. Summary"/>
      <sheetName val="Staff Output Summary WAC"/>
      <sheetName val="Staff Input and Calculation WAC"/>
      <sheetName val="Clallam LOB"/>
      <sheetName val="Jefferson LOB"/>
      <sheetName val="Restating Adj"/>
      <sheetName val="Allocators"/>
      <sheetName val="Jefferson Reg Price Out"/>
      <sheetName val="Clallam Reg Price Out"/>
      <sheetName val="CityPA-M Price Out"/>
      <sheetName val="Mill Haul Tie Out"/>
      <sheetName val="Clallam Proposed Rates"/>
      <sheetName val="Jefferson Proposed Rates"/>
      <sheetName val="LG Public - Regulated-LessMill"/>
      <sheetName val="Interject_LastPulledValues"/>
      <sheetName val="LG Public - Mill Hauls"/>
      <sheetName val="LG Public - Clallam Total"/>
      <sheetName val="LG Public - Clallam MSW"/>
      <sheetName val="LG Public - Clallam Recycling"/>
      <sheetName val="LG Public - Jefferson Total"/>
      <sheetName val="LG Public - Jefferson MSW"/>
      <sheetName val="LG Public - Jefferson Recy"/>
      <sheetName val="Recycling 2023"/>
      <sheetName val="DF Schedule"/>
      <sheetName val="52142 JE Query-Fuel"/>
      <sheetName val="Fuel Adj"/>
      <sheetName val="2023 Fuel"/>
      <sheetName val="Current Fuel Index"/>
      <sheetName val="Fuel Adj - Price Increae Calc"/>
      <sheetName val="DVP-DivCon Allocs  (C)"/>
      <sheetName val="Corp IS-BS"/>
      <sheetName val="41201 JE Query"/>
      <sheetName val="52147 JE Query"/>
      <sheetName val="57147 JE Query"/>
      <sheetName val="57176 JE Query"/>
      <sheetName val="59342 JE Query"/>
      <sheetName val="70171 JE Query"/>
      <sheetName val="91010 JE Query"/>
      <sheetName val="2112_BS 07-2022"/>
      <sheetName val="2112_BS 07-2023"/>
      <sheetName val="Asset review selection"/>
      <sheetName val="Summary"/>
      <sheetName val="Sheet11"/>
      <sheetName val="FAR Dep Summary"/>
      <sheetName val="FAR 7.31.23"/>
      <sheetName val="MRF Capital Repairs"/>
      <sheetName val="Bud Capital Input"/>
      <sheetName val="2112 Trks"/>
      <sheetName val="2112 Cont"/>
      <sheetName val="2112 Othe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1">
          <cell r="J21">
            <v>14182930.403724773</v>
          </cell>
        </row>
      </sheetData>
      <sheetData sheetId="5">
        <row r="19">
          <cell r="K19">
            <v>171975.85</v>
          </cell>
          <cell r="M19">
            <v>132564.95000000001</v>
          </cell>
          <cell r="O19">
            <v>135361.35999999999</v>
          </cell>
          <cell r="Q19">
            <v>132811.65</v>
          </cell>
          <cell r="S19">
            <v>124359.92</v>
          </cell>
          <cell r="U19">
            <v>141574.51</v>
          </cell>
          <cell r="W19">
            <v>123646.2</v>
          </cell>
          <cell r="Y19">
            <v>142792.57999999999</v>
          </cell>
          <cell r="AA19">
            <v>121251.53</v>
          </cell>
          <cell r="AC19">
            <v>153672.54</v>
          </cell>
          <cell r="AE19">
            <v>147211.9</v>
          </cell>
          <cell r="AG19">
            <v>125503.95</v>
          </cell>
        </row>
      </sheetData>
      <sheetData sheetId="6">
        <row r="159">
          <cell r="E159">
            <v>6379961.4300000016</v>
          </cell>
        </row>
        <row r="160">
          <cell r="F160">
            <v>1650804.2600000002</v>
          </cell>
        </row>
      </sheetData>
      <sheetData sheetId="7">
        <row r="70">
          <cell r="B70">
            <v>10786.160099999941</v>
          </cell>
        </row>
      </sheetData>
      <sheetData sheetId="8" refreshError="1"/>
      <sheetData sheetId="9" refreshError="1"/>
      <sheetData sheetId="10">
        <row r="124">
          <cell r="E124">
            <v>267965.35229999991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>
        <row r="4">
          <cell r="B4" t="str">
            <v>August 1, 2022 - July 31, 2023</v>
          </cell>
        </row>
        <row r="5">
          <cell r="G5">
            <v>44774</v>
          </cell>
          <cell r="H5">
            <v>44805</v>
          </cell>
          <cell r="I5">
            <v>44836</v>
          </cell>
          <cell r="J5">
            <v>44867</v>
          </cell>
          <cell r="K5">
            <v>44898</v>
          </cell>
          <cell r="L5">
            <v>44929</v>
          </cell>
          <cell r="M5">
            <v>44960</v>
          </cell>
          <cell r="N5">
            <v>44991</v>
          </cell>
          <cell r="O5">
            <v>45022</v>
          </cell>
          <cell r="P5">
            <v>45053</v>
          </cell>
          <cell r="Q5">
            <v>45084</v>
          </cell>
          <cell r="R5">
            <v>45115</v>
          </cell>
        </row>
      </sheetData>
      <sheetData sheetId="28">
        <row r="21">
          <cell r="AV21">
            <v>84119.043915465692</v>
          </cell>
        </row>
      </sheetData>
      <sheetData sheetId="29">
        <row r="10">
          <cell r="AJ10">
            <v>1975985.4218409166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>
        <row r="20">
          <cell r="J20">
            <v>386586.00481290277</v>
          </cell>
        </row>
      </sheetData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erences"/>
      <sheetName val="Staff Calcs "/>
      <sheetName val="Proposed Rates"/>
      <sheetName val="Co Provided Priceout"/>
    </sheetNames>
    <sheetDataSet>
      <sheetData sheetId="0">
        <row r="12">
          <cell r="B12">
            <v>4.333333333333333</v>
          </cell>
        </row>
        <row r="58">
          <cell r="C58">
            <v>1.9649999999999807E-3</v>
          </cell>
        </row>
        <row r="61">
          <cell r="G61">
            <v>0.97740000000000005</v>
          </cell>
        </row>
      </sheetData>
      <sheetData sheetId="1" refreshError="1"/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RptClose"/>
      <sheetName val="Hidden"/>
      <sheetName val="Lookup"/>
      <sheetName val="Lookup "/>
    </sheetNames>
    <sheetDataSet>
      <sheetData sheetId="0"/>
      <sheetData sheetId="1"/>
      <sheetData sheetId="2" refreshError="1"/>
      <sheetData sheetId="3">
        <row r="5">
          <cell r="D5">
            <v>10.71</v>
          </cell>
        </row>
      </sheetData>
      <sheetData sheetId="4">
        <row r="6">
          <cell r="F6" t="str">
            <v>Time Series</v>
          </cell>
        </row>
      </sheetData>
      <sheetData sheetId="5" refreshError="1"/>
      <sheetData sheetId="6">
        <row r="11">
          <cell r="D11">
            <v>10002</v>
          </cell>
          <cell r="E11">
            <v>0</v>
          </cell>
          <cell r="F11">
            <v>0</v>
          </cell>
          <cell r="H11">
            <v>0</v>
          </cell>
          <cell r="I11">
            <v>0</v>
          </cell>
          <cell r="K11">
            <v>0</v>
          </cell>
          <cell r="L11">
            <v>0</v>
          </cell>
          <cell r="O11">
            <v>0</v>
          </cell>
          <cell r="P11">
            <v>0</v>
          </cell>
        </row>
      </sheetData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Open Stub Data"/>
      <sheetName val="Customize Your Invoice"/>
      <sheetName val="Invoice"/>
      <sheetName val="ATW"/>
      <sheetName val="Lock"/>
      <sheetName val="Intl Data Table"/>
      <sheetName val="TemplateInformation"/>
    </sheetNames>
    <sheetDataSet>
      <sheetData sheetId="0" refreshError="1"/>
      <sheetData sheetId="1" refreshError="1">
        <row r="22">
          <cell r="G22" t="str">
            <v>Credit Card #1</v>
          </cell>
        </row>
        <row r="23">
          <cell r="G23" t="str">
            <v>Credit Card #2</v>
          </cell>
        </row>
        <row r="24">
          <cell r="D24" t="b">
            <v>1</v>
          </cell>
          <cell r="G24" t="str">
            <v>Credit Card #3</v>
          </cell>
        </row>
        <row r="28">
          <cell r="D28" t="b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>
        <row r="2">
          <cell r="B2" t="str">
            <v>55000 lbs</v>
          </cell>
          <cell r="E2" t="str">
            <v>YES</v>
          </cell>
        </row>
        <row r="3">
          <cell r="B3" t="str">
            <v>55001 - 56000 lbs</v>
          </cell>
          <cell r="E3" t="str">
            <v>NO</v>
          </cell>
        </row>
        <row r="4">
          <cell r="B4" t="str">
            <v>56001 - 57000 lbs</v>
          </cell>
        </row>
        <row r="5">
          <cell r="B5" t="str">
            <v>57001 - 58000 lbs</v>
          </cell>
        </row>
        <row r="6">
          <cell r="B6" t="str">
            <v>58001 - 59000 lbs</v>
          </cell>
        </row>
        <row r="7">
          <cell r="B7" t="str">
            <v>59001 - 60000 lbs</v>
          </cell>
        </row>
        <row r="8">
          <cell r="B8" t="str">
            <v>60001 - 61000 lbs</v>
          </cell>
        </row>
        <row r="9">
          <cell r="B9" t="str">
            <v>61001 - 62000 lbs</v>
          </cell>
        </row>
        <row r="10">
          <cell r="B10" t="str">
            <v>62001 - 63000 lbs</v>
          </cell>
        </row>
        <row r="11">
          <cell r="B11" t="str">
            <v>63001 - 64000 lbs</v>
          </cell>
        </row>
        <row r="12">
          <cell r="B12" t="str">
            <v>64001 - 65000 lbs</v>
          </cell>
        </row>
        <row r="13">
          <cell r="B13" t="str">
            <v>65001 - 66000 lbs</v>
          </cell>
        </row>
        <row r="14">
          <cell r="B14" t="str">
            <v>66001 - 67000 lbs</v>
          </cell>
        </row>
        <row r="15">
          <cell r="B15" t="str">
            <v>67001 - 68000 lbs</v>
          </cell>
        </row>
        <row r="16">
          <cell r="B16" t="str">
            <v>68001 - 69000 lbs</v>
          </cell>
        </row>
        <row r="17">
          <cell r="B17" t="str">
            <v>69001 - 70000 lbs</v>
          </cell>
        </row>
        <row r="18">
          <cell r="B18" t="str">
            <v>70001 - 71000 lbs</v>
          </cell>
        </row>
        <row r="19">
          <cell r="B19" t="str">
            <v>71001 - 72000 lbs</v>
          </cell>
        </row>
        <row r="20">
          <cell r="B20" t="str">
            <v>72001 - 73000 lbs</v>
          </cell>
        </row>
        <row r="21">
          <cell r="B21" t="str">
            <v>73001 - 74000 lbs</v>
          </cell>
        </row>
        <row r="22">
          <cell r="B22" t="str">
            <v>74001 - 75000 lbs</v>
          </cell>
        </row>
        <row r="23">
          <cell r="B23" t="str">
            <v>Over 75,000 lbs</v>
          </cell>
        </row>
      </sheetData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sk Items"/>
      <sheetName val="Questions &amp; To Dos"/>
      <sheetName val="2189 IS (C)"/>
      <sheetName val="2188 IS"/>
      <sheetName val="Master IS (C)"/>
      <sheetName val="Lewis LOB (C)"/>
      <sheetName val="Joe's LOB (C)"/>
      <sheetName val="Restating Adj (C)"/>
      <sheetName val="Pro forma Adj (C)"/>
      <sheetName val="Allocators (C)"/>
      <sheetName val="Rate Sheet"/>
      <sheetName val="Lewis Co. Regulated - Price Out"/>
      <sheetName val="Joe's Regulated - Price Out "/>
      <sheetName val="LG BRG - Total"/>
      <sheetName val="LG Total"/>
      <sheetName val="LG Lewis"/>
      <sheetName val="LG Lewis MSW"/>
      <sheetName val="LG Lewis Recycling"/>
      <sheetName val="LG Lewis Yard Waste"/>
      <sheetName val="LG Joe's"/>
      <sheetName val="LG Joe's MSW"/>
      <sheetName val="LG Joe's Recycling"/>
      <sheetName val="LG Joe's Yard Waste"/>
      <sheetName val="Interject_LastPulledValues"/>
      <sheetName val="Fuel Log"/>
      <sheetName val="Current Fuel Index"/>
      <sheetName val="Deprec. Summary"/>
      <sheetName val="2023 Lewis Payroll"/>
      <sheetName val="Manual Adjustment"/>
      <sheetName val="40131 Allocation"/>
      <sheetName val="Disposal Summary"/>
      <sheetName val="2188_BS 8.2022 (C)"/>
      <sheetName val="2189_BS 8.2022 (C)"/>
      <sheetName val="2188_BS 8.2023"/>
      <sheetName val="2189_BS 8.2023"/>
      <sheetName val="2184 Pro Forma-Bale Fee (C)"/>
      <sheetName val="40122 JE Query Other Disp"/>
      <sheetName val="41121 JE Query - Brokerage"/>
      <sheetName val="2188 43001 JE Query"/>
      <sheetName val="70195 - Dues &amp; Subs (C)"/>
      <sheetName val="91010 JE Query"/>
      <sheetName val="Region OH (C)"/>
      <sheetName val="Corp-OH (C)"/>
      <sheetName val="Corp IS-BS"/>
      <sheetName val="Deb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2">
          <cell r="R12" t="str">
            <v>Corp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5 Rsrv-Sch of Depr"/>
      <sheetName val="95 Plt Adj"/>
      <sheetName val="95 Plt-OS Addtns"/>
      <sheetName val="95 Plt-IN Addtns"/>
      <sheetName val="95 Rsrv-Sch of Trns"/>
    </sheetNames>
    <sheetDataSet>
      <sheetData sheetId="0" refreshError="1">
        <row r="9">
          <cell r="B9" t="str">
            <v>PS004</v>
          </cell>
          <cell r="F9">
            <v>10319.08</v>
          </cell>
          <cell r="G9">
            <v>22064.69</v>
          </cell>
          <cell r="H9">
            <v>11311.37</v>
          </cell>
          <cell r="I9">
            <v>196.93</v>
          </cell>
          <cell r="J9">
            <v>1531.42</v>
          </cell>
          <cell r="K9">
            <v>21932.81</v>
          </cell>
          <cell r="L9">
            <v>75524.67</v>
          </cell>
          <cell r="M9">
            <v>6813.42</v>
          </cell>
          <cell r="N9">
            <v>3542.9</v>
          </cell>
          <cell r="O9">
            <v>7057.17</v>
          </cell>
          <cell r="P9">
            <v>40.47</v>
          </cell>
          <cell r="Q9">
            <v>9739.49</v>
          </cell>
          <cell r="R9">
            <v>1537.67</v>
          </cell>
          <cell r="S9">
            <v>12209.28</v>
          </cell>
          <cell r="T9">
            <v>191362.83</v>
          </cell>
          <cell r="U9">
            <v>394891.42</v>
          </cell>
          <cell r="V9">
            <v>29729.06</v>
          </cell>
          <cell r="W9">
            <v>3820.67</v>
          </cell>
          <cell r="X9">
            <v>162541.70000000001</v>
          </cell>
          <cell r="Y9">
            <v>28850.55</v>
          </cell>
          <cell r="Z9">
            <v>8650.58</v>
          </cell>
          <cell r="AA9">
            <v>1703.82</v>
          </cell>
          <cell r="AB9">
            <v>126326.87</v>
          </cell>
          <cell r="AC9">
            <v>8776.26</v>
          </cell>
          <cell r="AD9">
            <v>69003.92</v>
          </cell>
          <cell r="AE9">
            <v>6794.41</v>
          </cell>
          <cell r="AF9">
            <v>205588.97</v>
          </cell>
          <cell r="AG9">
            <v>637.12</v>
          </cell>
          <cell r="AH9">
            <v>6638.71</v>
          </cell>
          <cell r="AI9">
            <v>494.02</v>
          </cell>
          <cell r="AJ9">
            <v>22926.04</v>
          </cell>
          <cell r="AK9">
            <v>1452558.32</v>
          </cell>
        </row>
        <row r="10">
          <cell r="B10" t="str">
            <v>Total</v>
          </cell>
          <cell r="F10">
            <v>10319.08</v>
          </cell>
          <cell r="G10">
            <v>22064.69</v>
          </cell>
          <cell r="H10">
            <v>11311.37</v>
          </cell>
          <cell r="I10">
            <v>196.93</v>
          </cell>
          <cell r="J10">
            <v>1531.42</v>
          </cell>
          <cell r="K10">
            <v>21932.81</v>
          </cell>
          <cell r="L10">
            <v>75524.67</v>
          </cell>
          <cell r="M10">
            <v>6813.42</v>
          </cell>
          <cell r="N10">
            <v>3542.9</v>
          </cell>
          <cell r="O10">
            <v>7057.17</v>
          </cell>
          <cell r="P10">
            <v>40.47</v>
          </cell>
          <cell r="Q10">
            <v>9739.49</v>
          </cell>
          <cell r="R10">
            <v>1537.67</v>
          </cell>
          <cell r="S10">
            <v>12209.28</v>
          </cell>
          <cell r="T10">
            <v>191362.83</v>
          </cell>
          <cell r="U10">
            <v>394891.42</v>
          </cell>
          <cell r="V10">
            <v>29729.06</v>
          </cell>
          <cell r="W10">
            <v>3820.67</v>
          </cell>
          <cell r="X10">
            <v>162541.70000000001</v>
          </cell>
          <cell r="Y10">
            <v>28850.55</v>
          </cell>
          <cell r="Z10">
            <v>8650.58</v>
          </cell>
          <cell r="AA10">
            <v>1703.82</v>
          </cell>
          <cell r="AB10">
            <v>126326.87</v>
          </cell>
          <cell r="AC10">
            <v>8776.26</v>
          </cell>
          <cell r="AD10">
            <v>69003.92</v>
          </cell>
          <cell r="AE10">
            <v>6794.41</v>
          </cell>
          <cell r="AF10">
            <v>205588.97</v>
          </cell>
          <cell r="AG10">
            <v>637.12</v>
          </cell>
          <cell r="AH10">
            <v>6638.71</v>
          </cell>
          <cell r="AI10">
            <v>494.02</v>
          </cell>
          <cell r="AJ10">
            <v>22926.04</v>
          </cell>
          <cell r="AK10">
            <v>1452558.32</v>
          </cell>
        </row>
        <row r="13">
          <cell r="B13" t="str">
            <v>PS004</v>
          </cell>
          <cell r="F13">
            <v>10319.08</v>
          </cell>
          <cell r="G13">
            <v>22064.69</v>
          </cell>
          <cell r="H13">
            <v>11311.37</v>
          </cell>
          <cell r="I13">
            <v>196.93</v>
          </cell>
          <cell r="J13">
            <v>1531.42</v>
          </cell>
          <cell r="K13">
            <v>21434.45</v>
          </cell>
          <cell r="L13">
            <v>76116.41</v>
          </cell>
          <cell r="M13">
            <v>5634.51</v>
          </cell>
          <cell r="N13">
            <v>3513.54</v>
          </cell>
          <cell r="O13">
            <v>7057.17</v>
          </cell>
          <cell r="P13">
            <v>0</v>
          </cell>
          <cell r="Q13">
            <v>9735.2000000000007</v>
          </cell>
          <cell r="R13">
            <v>1537.67</v>
          </cell>
          <cell r="S13">
            <v>3560.27</v>
          </cell>
          <cell r="T13">
            <v>184250.22</v>
          </cell>
          <cell r="U13">
            <v>390862.82</v>
          </cell>
          <cell r="V13">
            <v>30133.47</v>
          </cell>
          <cell r="W13">
            <v>3820.67</v>
          </cell>
          <cell r="X13">
            <v>161888.84</v>
          </cell>
          <cell r="Y13">
            <v>28626.26</v>
          </cell>
          <cell r="Z13">
            <v>8669.19</v>
          </cell>
          <cell r="AA13">
            <v>1703.82</v>
          </cell>
          <cell r="AB13">
            <v>126935.18</v>
          </cell>
          <cell r="AC13">
            <v>9008.2000000000007</v>
          </cell>
          <cell r="AD13">
            <v>69650.039999999994</v>
          </cell>
          <cell r="AE13">
            <v>6778.4</v>
          </cell>
          <cell r="AF13">
            <v>209480.68</v>
          </cell>
          <cell r="AG13">
            <v>648.66</v>
          </cell>
          <cell r="AH13">
            <v>6927.1</v>
          </cell>
          <cell r="AI13">
            <v>494.02</v>
          </cell>
          <cell r="AJ13">
            <v>23104.58</v>
          </cell>
          <cell r="AK13">
            <v>1436994.8599999999</v>
          </cell>
        </row>
        <row r="14">
          <cell r="B14" t="str">
            <v>Total</v>
          </cell>
          <cell r="F14">
            <v>10319.08</v>
          </cell>
          <cell r="G14">
            <v>22064.69</v>
          </cell>
          <cell r="H14">
            <v>11311.37</v>
          </cell>
          <cell r="I14">
            <v>196.93</v>
          </cell>
          <cell r="J14">
            <v>1531.42</v>
          </cell>
          <cell r="K14">
            <v>21434.45</v>
          </cell>
          <cell r="L14">
            <v>76116.41</v>
          </cell>
          <cell r="M14">
            <v>5634.51</v>
          </cell>
          <cell r="N14">
            <v>3513.54</v>
          </cell>
          <cell r="O14">
            <v>7057.17</v>
          </cell>
          <cell r="P14">
            <v>0</v>
          </cell>
          <cell r="Q14">
            <v>9735.2000000000007</v>
          </cell>
          <cell r="R14">
            <v>1537.67</v>
          </cell>
          <cell r="S14">
            <v>3560.27</v>
          </cell>
          <cell r="T14">
            <v>184250.22</v>
          </cell>
          <cell r="U14">
            <v>390862.82</v>
          </cell>
          <cell r="V14">
            <v>30133.47</v>
          </cell>
          <cell r="W14">
            <v>3820.67</v>
          </cell>
          <cell r="X14">
            <v>161888.84</v>
          </cell>
          <cell r="Y14">
            <v>28626.26</v>
          </cell>
          <cell r="Z14">
            <v>8669.19</v>
          </cell>
          <cell r="AA14">
            <v>1703.82</v>
          </cell>
          <cell r="AB14">
            <v>126935.18</v>
          </cell>
          <cell r="AC14">
            <v>9008.2000000000007</v>
          </cell>
          <cell r="AD14">
            <v>69650.039999999994</v>
          </cell>
          <cell r="AE14">
            <v>6778.4</v>
          </cell>
          <cell r="AF14">
            <v>209480.68</v>
          </cell>
          <cell r="AG14">
            <v>648.66</v>
          </cell>
          <cell r="AH14">
            <v>6927.1</v>
          </cell>
          <cell r="AI14">
            <v>494.02</v>
          </cell>
          <cell r="AJ14">
            <v>23104.58</v>
          </cell>
          <cell r="AK14">
            <v>1436994.8599999999</v>
          </cell>
        </row>
        <row r="17">
          <cell r="B17" t="str">
            <v>PS004</v>
          </cell>
          <cell r="F17">
            <v>10319.08</v>
          </cell>
          <cell r="G17">
            <v>22064.69</v>
          </cell>
          <cell r="H17">
            <v>11311.37</v>
          </cell>
          <cell r="I17">
            <v>196.93</v>
          </cell>
          <cell r="J17">
            <v>1531.42</v>
          </cell>
          <cell r="K17">
            <v>21434.45</v>
          </cell>
          <cell r="L17">
            <v>76116.41</v>
          </cell>
          <cell r="M17">
            <v>5634.51</v>
          </cell>
          <cell r="N17">
            <v>3513.54</v>
          </cell>
          <cell r="O17">
            <v>7057.17</v>
          </cell>
          <cell r="P17">
            <v>0</v>
          </cell>
          <cell r="Q17">
            <v>9735.2000000000007</v>
          </cell>
          <cell r="R17">
            <v>1537.67</v>
          </cell>
          <cell r="S17">
            <v>3560.27</v>
          </cell>
          <cell r="T17">
            <v>184250.22</v>
          </cell>
          <cell r="U17">
            <v>390862.82</v>
          </cell>
          <cell r="V17">
            <v>30133.47</v>
          </cell>
          <cell r="W17">
            <v>3820.67</v>
          </cell>
          <cell r="X17">
            <v>161888.84</v>
          </cell>
          <cell r="Y17">
            <v>28626.26</v>
          </cell>
          <cell r="Z17">
            <v>8669.19</v>
          </cell>
          <cell r="AA17">
            <v>1703.82</v>
          </cell>
          <cell r="AB17">
            <v>126935.18</v>
          </cell>
          <cell r="AC17">
            <v>9008.2000000000007</v>
          </cell>
          <cell r="AD17">
            <v>69650.039999999994</v>
          </cell>
          <cell r="AE17">
            <v>6778.4</v>
          </cell>
          <cell r="AF17">
            <v>209480.68</v>
          </cell>
          <cell r="AG17">
            <v>648.66</v>
          </cell>
          <cell r="AH17">
            <v>6927.1</v>
          </cell>
          <cell r="AI17">
            <v>494.02</v>
          </cell>
          <cell r="AJ17">
            <v>23104.58</v>
          </cell>
          <cell r="AK17">
            <v>1436994.8599999999</v>
          </cell>
        </row>
        <row r="18">
          <cell r="B18" t="str">
            <v>Total</v>
          </cell>
          <cell r="F18">
            <v>10319.08</v>
          </cell>
          <cell r="G18">
            <v>22064.69</v>
          </cell>
          <cell r="H18">
            <v>11311.37</v>
          </cell>
          <cell r="I18">
            <v>196.93</v>
          </cell>
          <cell r="J18">
            <v>1531.42</v>
          </cell>
          <cell r="K18">
            <v>21434.45</v>
          </cell>
          <cell r="L18">
            <v>76116.41</v>
          </cell>
          <cell r="M18">
            <v>5634.51</v>
          </cell>
          <cell r="N18">
            <v>3513.54</v>
          </cell>
          <cell r="O18">
            <v>7057.17</v>
          </cell>
          <cell r="P18">
            <v>0</v>
          </cell>
          <cell r="Q18">
            <v>9735.2000000000007</v>
          </cell>
          <cell r="R18">
            <v>1537.67</v>
          </cell>
          <cell r="S18">
            <v>3560.27</v>
          </cell>
          <cell r="T18">
            <v>184250.22</v>
          </cell>
          <cell r="U18">
            <v>390862.82</v>
          </cell>
          <cell r="V18">
            <v>30133.47</v>
          </cell>
          <cell r="W18">
            <v>3820.67</v>
          </cell>
          <cell r="X18">
            <v>161888.84</v>
          </cell>
          <cell r="Y18">
            <v>28626.26</v>
          </cell>
          <cell r="Z18">
            <v>8669.19</v>
          </cell>
          <cell r="AA18">
            <v>1703.82</v>
          </cell>
          <cell r="AB18">
            <v>126935.18</v>
          </cell>
          <cell r="AC18">
            <v>9008.2000000000007</v>
          </cell>
          <cell r="AD18">
            <v>69650.039999999994</v>
          </cell>
          <cell r="AE18">
            <v>6778.4</v>
          </cell>
          <cell r="AF18">
            <v>209480.68</v>
          </cell>
          <cell r="AG18">
            <v>648.66</v>
          </cell>
          <cell r="AH18">
            <v>6927.1</v>
          </cell>
          <cell r="AI18">
            <v>494.02</v>
          </cell>
          <cell r="AJ18">
            <v>23104.58</v>
          </cell>
          <cell r="AK18">
            <v>1436994.8599999999</v>
          </cell>
        </row>
        <row r="21">
          <cell r="B21" t="str">
            <v>PS004</v>
          </cell>
          <cell r="F21">
            <v>10192.99</v>
          </cell>
          <cell r="G21">
            <v>22064.69</v>
          </cell>
          <cell r="H21">
            <v>11311.37</v>
          </cell>
          <cell r="I21">
            <v>196.93</v>
          </cell>
          <cell r="J21">
            <v>1545.31</v>
          </cell>
          <cell r="K21">
            <v>21548.19</v>
          </cell>
          <cell r="L21">
            <v>76116.41</v>
          </cell>
          <cell r="M21">
            <v>5636.17</v>
          </cell>
          <cell r="N21">
            <v>3513.54</v>
          </cell>
          <cell r="O21">
            <v>7057.17</v>
          </cell>
          <cell r="P21">
            <v>0</v>
          </cell>
          <cell r="Q21">
            <v>9735.2000000000007</v>
          </cell>
          <cell r="R21">
            <v>1537.67</v>
          </cell>
          <cell r="S21">
            <v>3560.27</v>
          </cell>
          <cell r="T21">
            <v>184267.48</v>
          </cell>
          <cell r="U21">
            <v>390676.64</v>
          </cell>
          <cell r="V21">
            <v>30133.47</v>
          </cell>
          <cell r="W21">
            <v>3820.67</v>
          </cell>
          <cell r="X21">
            <v>162121.35</v>
          </cell>
          <cell r="Y21">
            <v>28626.26</v>
          </cell>
          <cell r="Z21">
            <v>8669.19</v>
          </cell>
          <cell r="AA21">
            <v>1703.82</v>
          </cell>
          <cell r="AB21">
            <v>126935.18</v>
          </cell>
          <cell r="AC21">
            <v>9008.2000000000007</v>
          </cell>
          <cell r="AD21">
            <v>69650.039999999994</v>
          </cell>
          <cell r="AE21">
            <v>6778.4</v>
          </cell>
          <cell r="AF21">
            <v>209480.68</v>
          </cell>
          <cell r="AG21">
            <v>648.66</v>
          </cell>
          <cell r="AH21">
            <v>6927.1</v>
          </cell>
          <cell r="AI21">
            <v>494.02</v>
          </cell>
          <cell r="AJ21">
            <v>23104.58</v>
          </cell>
          <cell r="AK21">
            <v>1437061.65</v>
          </cell>
        </row>
        <row r="22">
          <cell r="B22" t="str">
            <v>Total</v>
          </cell>
          <cell r="F22">
            <v>10192.99</v>
          </cell>
          <cell r="G22">
            <v>22064.69</v>
          </cell>
          <cell r="H22">
            <v>11311.37</v>
          </cell>
          <cell r="I22">
            <v>196.93</v>
          </cell>
          <cell r="J22">
            <v>1545.31</v>
          </cell>
          <cell r="K22">
            <v>21548.19</v>
          </cell>
          <cell r="L22">
            <v>76116.41</v>
          </cell>
          <cell r="M22">
            <v>5636.17</v>
          </cell>
          <cell r="N22">
            <v>3513.54</v>
          </cell>
          <cell r="O22">
            <v>7057.17</v>
          </cell>
          <cell r="P22">
            <v>0</v>
          </cell>
          <cell r="Q22">
            <v>9735.2000000000007</v>
          </cell>
          <cell r="R22">
            <v>1537.67</v>
          </cell>
          <cell r="S22">
            <v>3560.27</v>
          </cell>
          <cell r="T22">
            <v>184267.48</v>
          </cell>
          <cell r="U22">
            <v>390676.64</v>
          </cell>
          <cell r="V22">
            <v>30133.47</v>
          </cell>
          <cell r="W22">
            <v>3820.67</v>
          </cell>
          <cell r="X22">
            <v>162121.35</v>
          </cell>
          <cell r="Y22">
            <v>28626.26</v>
          </cell>
          <cell r="Z22">
            <v>8669.19</v>
          </cell>
          <cell r="AA22">
            <v>1703.82</v>
          </cell>
          <cell r="AB22">
            <v>126935.18</v>
          </cell>
          <cell r="AC22">
            <v>9008.2000000000007</v>
          </cell>
          <cell r="AD22">
            <v>69650.039999999994</v>
          </cell>
          <cell r="AE22">
            <v>6778.4</v>
          </cell>
          <cell r="AF22">
            <v>209480.68</v>
          </cell>
          <cell r="AG22">
            <v>648.66</v>
          </cell>
          <cell r="AH22">
            <v>6927.1</v>
          </cell>
          <cell r="AI22">
            <v>494.02</v>
          </cell>
          <cell r="AJ22">
            <v>23104.58</v>
          </cell>
          <cell r="AK22">
            <v>1437061.65</v>
          </cell>
        </row>
        <row r="25">
          <cell r="B25" t="str">
            <v>PS004</v>
          </cell>
          <cell r="F25">
            <v>10066.91</v>
          </cell>
          <cell r="G25">
            <v>22064.69</v>
          </cell>
          <cell r="H25">
            <v>11311.37</v>
          </cell>
          <cell r="I25">
            <v>196.93</v>
          </cell>
          <cell r="J25">
            <v>1559.2</v>
          </cell>
          <cell r="K25">
            <v>21273.77</v>
          </cell>
          <cell r="L25">
            <v>76162.95</v>
          </cell>
          <cell r="M25">
            <v>5628.69</v>
          </cell>
          <cell r="N25">
            <v>3513.54</v>
          </cell>
          <cell r="O25">
            <v>7057.17</v>
          </cell>
          <cell r="P25">
            <v>0</v>
          </cell>
          <cell r="Q25">
            <v>9746.8700000000008</v>
          </cell>
          <cell r="R25">
            <v>1562.54</v>
          </cell>
          <cell r="S25">
            <v>3560.27</v>
          </cell>
          <cell r="T25">
            <v>184951.67999999999</v>
          </cell>
          <cell r="U25">
            <v>390531.85</v>
          </cell>
          <cell r="V25">
            <v>29929.85</v>
          </cell>
          <cell r="W25">
            <v>3820.67</v>
          </cell>
          <cell r="X25">
            <v>160606.51</v>
          </cell>
          <cell r="Y25">
            <v>28626.26</v>
          </cell>
          <cell r="Z25">
            <v>8669.19</v>
          </cell>
          <cell r="AA25">
            <v>1703.82</v>
          </cell>
          <cell r="AB25">
            <v>126935.18</v>
          </cell>
          <cell r="AC25">
            <v>9008.2000000000007</v>
          </cell>
          <cell r="AD25">
            <v>69650.039999999994</v>
          </cell>
          <cell r="AE25">
            <v>6778.4</v>
          </cell>
          <cell r="AF25">
            <v>209480.68</v>
          </cell>
          <cell r="AG25">
            <v>648.66</v>
          </cell>
          <cell r="AH25">
            <v>6927.1</v>
          </cell>
          <cell r="AI25">
            <v>494.02</v>
          </cell>
          <cell r="AJ25">
            <v>23104.58</v>
          </cell>
          <cell r="AK25">
            <v>1435571.5899999999</v>
          </cell>
        </row>
        <row r="26">
          <cell r="B26" t="str">
            <v>P2328</v>
          </cell>
          <cell r="X26">
            <v>293.94</v>
          </cell>
          <cell r="Z26">
            <v>41.77</v>
          </cell>
          <cell r="AB26">
            <v>501.92</v>
          </cell>
          <cell r="AD26">
            <v>408.61</v>
          </cell>
          <cell r="AF26">
            <v>1796.59</v>
          </cell>
          <cell r="AH26">
            <v>256.16000000000003</v>
          </cell>
          <cell r="AJ26">
            <v>239.61</v>
          </cell>
          <cell r="AK26">
            <v>3538.6</v>
          </cell>
        </row>
        <row r="27">
          <cell r="B27" t="str">
            <v>Total</v>
          </cell>
          <cell r="F27">
            <v>10066.91</v>
          </cell>
          <cell r="G27">
            <v>22064.69</v>
          </cell>
          <cell r="H27">
            <v>11311.37</v>
          </cell>
          <cell r="I27">
            <v>196.93</v>
          </cell>
          <cell r="J27">
            <v>1559.2</v>
          </cell>
          <cell r="K27">
            <v>21273.77</v>
          </cell>
          <cell r="L27">
            <v>76162.95</v>
          </cell>
          <cell r="M27">
            <v>5628.69</v>
          </cell>
          <cell r="N27">
            <v>3513.54</v>
          </cell>
          <cell r="O27">
            <v>7057.17</v>
          </cell>
          <cell r="P27">
            <v>0</v>
          </cell>
          <cell r="Q27">
            <v>9746.8700000000008</v>
          </cell>
          <cell r="R27">
            <v>1562.54</v>
          </cell>
          <cell r="S27">
            <v>3560.27</v>
          </cell>
          <cell r="T27">
            <v>184951.67999999999</v>
          </cell>
          <cell r="U27">
            <v>390531.85</v>
          </cell>
          <cell r="V27">
            <v>29929.85</v>
          </cell>
          <cell r="W27">
            <v>3820.67</v>
          </cell>
          <cell r="X27">
            <v>160900.45000000001</v>
          </cell>
          <cell r="Y27">
            <v>28626.26</v>
          </cell>
          <cell r="Z27">
            <v>8710.9600000000009</v>
          </cell>
          <cell r="AA27">
            <v>1703.82</v>
          </cell>
          <cell r="AB27">
            <v>127437.09999999999</v>
          </cell>
          <cell r="AC27">
            <v>9008.2000000000007</v>
          </cell>
          <cell r="AD27">
            <v>70058.649999999994</v>
          </cell>
          <cell r="AE27">
            <v>6778.4</v>
          </cell>
          <cell r="AF27">
            <v>211277.27</v>
          </cell>
          <cell r="AG27">
            <v>648.66</v>
          </cell>
          <cell r="AH27">
            <v>7183.26</v>
          </cell>
          <cell r="AI27">
            <v>494.02</v>
          </cell>
          <cell r="AJ27">
            <v>23344.190000000002</v>
          </cell>
          <cell r="AK27">
            <v>1439110.19</v>
          </cell>
        </row>
        <row r="30">
          <cell r="B30" t="str">
            <v>PS004</v>
          </cell>
          <cell r="F30">
            <v>8657.3700000000008</v>
          </cell>
          <cell r="G30">
            <v>21908.67</v>
          </cell>
          <cell r="H30">
            <v>11311.37</v>
          </cell>
          <cell r="I30">
            <v>196.93</v>
          </cell>
          <cell r="J30">
            <v>1559.2</v>
          </cell>
          <cell r="K30">
            <v>20882.47</v>
          </cell>
          <cell r="L30">
            <v>76212.759999999995</v>
          </cell>
          <cell r="M30">
            <v>5622</v>
          </cell>
          <cell r="N30">
            <v>3513.54</v>
          </cell>
          <cell r="O30">
            <v>7057.17</v>
          </cell>
          <cell r="P30">
            <v>0</v>
          </cell>
          <cell r="Q30">
            <v>9758.5300000000007</v>
          </cell>
          <cell r="R30">
            <v>1587.42</v>
          </cell>
          <cell r="S30">
            <v>3560.27</v>
          </cell>
          <cell r="T30">
            <v>185622.41</v>
          </cell>
          <cell r="U30">
            <v>390432.18</v>
          </cell>
          <cell r="V30">
            <v>29726.23</v>
          </cell>
          <cell r="W30">
            <v>3820.67</v>
          </cell>
          <cell r="X30">
            <v>158875.38</v>
          </cell>
          <cell r="Y30">
            <v>28626.26</v>
          </cell>
          <cell r="Z30">
            <v>8678.23</v>
          </cell>
          <cell r="AA30">
            <v>1703.82</v>
          </cell>
          <cell r="AB30">
            <v>127003.49</v>
          </cell>
          <cell r="AC30">
            <v>9008.2000000000007</v>
          </cell>
          <cell r="AD30">
            <v>69677.75</v>
          </cell>
          <cell r="AE30">
            <v>6778.4</v>
          </cell>
          <cell r="AF30">
            <v>209686.18</v>
          </cell>
          <cell r="AG30">
            <v>648.66</v>
          </cell>
          <cell r="AH30">
            <v>6935.59</v>
          </cell>
          <cell r="AI30">
            <v>494.02</v>
          </cell>
          <cell r="AJ30">
            <v>23117.119999999999</v>
          </cell>
          <cell r="AK30">
            <v>1432662.29</v>
          </cell>
        </row>
        <row r="31">
          <cell r="B31" t="str">
            <v>P2002</v>
          </cell>
          <cell r="Q31">
            <v>2965</v>
          </cell>
          <cell r="AK31">
            <v>2965</v>
          </cell>
        </row>
        <row r="32">
          <cell r="B32" t="str">
            <v>Total</v>
          </cell>
          <cell r="F32">
            <v>8657.3700000000008</v>
          </cell>
          <cell r="G32">
            <v>21908.67</v>
          </cell>
          <cell r="H32">
            <v>11311.37</v>
          </cell>
          <cell r="I32">
            <v>196.93</v>
          </cell>
          <cell r="J32">
            <v>1559.2</v>
          </cell>
          <cell r="K32">
            <v>20882.47</v>
          </cell>
          <cell r="L32">
            <v>76212.759999999995</v>
          </cell>
          <cell r="M32">
            <v>5622</v>
          </cell>
          <cell r="N32">
            <v>3513.54</v>
          </cell>
          <cell r="O32">
            <v>7057.17</v>
          </cell>
          <cell r="P32">
            <v>0</v>
          </cell>
          <cell r="Q32">
            <v>12723.53</v>
          </cell>
          <cell r="R32">
            <v>1587.42</v>
          </cell>
          <cell r="S32">
            <v>3560.27</v>
          </cell>
          <cell r="T32">
            <v>185622.41</v>
          </cell>
          <cell r="U32">
            <v>390432.18</v>
          </cell>
          <cell r="V32">
            <v>29726.23</v>
          </cell>
          <cell r="W32">
            <v>3820.67</v>
          </cell>
          <cell r="X32">
            <v>158875.38</v>
          </cell>
          <cell r="Y32">
            <v>28626.26</v>
          </cell>
          <cell r="Z32">
            <v>8678.23</v>
          </cell>
          <cell r="AA32">
            <v>1703.82</v>
          </cell>
          <cell r="AB32">
            <v>127003.49</v>
          </cell>
          <cell r="AC32">
            <v>9008.2000000000007</v>
          </cell>
          <cell r="AD32">
            <v>69677.75</v>
          </cell>
          <cell r="AE32">
            <v>6778.4</v>
          </cell>
          <cell r="AF32">
            <v>209686.18</v>
          </cell>
          <cell r="AG32">
            <v>648.66</v>
          </cell>
          <cell r="AH32">
            <v>6935.59</v>
          </cell>
          <cell r="AI32">
            <v>494.02</v>
          </cell>
          <cell r="AJ32">
            <v>23117.119999999999</v>
          </cell>
          <cell r="AK32">
            <v>1435627.29</v>
          </cell>
        </row>
        <row r="35">
          <cell r="B35" t="str">
            <v>PS004</v>
          </cell>
          <cell r="F35">
            <v>7247.83</v>
          </cell>
          <cell r="G35">
            <v>21752.65</v>
          </cell>
          <cell r="H35">
            <v>11311.37</v>
          </cell>
          <cell r="I35">
            <v>196.93</v>
          </cell>
          <cell r="J35">
            <v>1559.2</v>
          </cell>
          <cell r="K35">
            <v>20902.53</v>
          </cell>
          <cell r="L35">
            <v>76232.45</v>
          </cell>
          <cell r="M35">
            <v>5601.95</v>
          </cell>
          <cell r="N35">
            <v>3513.54</v>
          </cell>
          <cell r="O35">
            <v>7057.17</v>
          </cell>
          <cell r="P35">
            <v>0</v>
          </cell>
          <cell r="Q35">
            <v>9464.25</v>
          </cell>
          <cell r="R35">
            <v>1595.56</v>
          </cell>
          <cell r="S35">
            <v>3560.27</v>
          </cell>
          <cell r="T35">
            <v>185733.45</v>
          </cell>
          <cell r="U35">
            <v>390284.47</v>
          </cell>
          <cell r="V35">
            <v>29726.23</v>
          </cell>
          <cell r="W35">
            <v>3820.67</v>
          </cell>
          <cell r="X35">
            <v>158274.32999999999</v>
          </cell>
          <cell r="Y35">
            <v>28626.26</v>
          </cell>
          <cell r="Z35">
            <v>8692.1299999999992</v>
          </cell>
          <cell r="AA35">
            <v>1583.08</v>
          </cell>
          <cell r="AB35">
            <v>127243.68</v>
          </cell>
          <cell r="AC35">
            <v>9231.75</v>
          </cell>
          <cell r="AD35">
            <v>69539.83</v>
          </cell>
          <cell r="AE35">
            <v>6642.87</v>
          </cell>
          <cell r="AF35">
            <v>210176.1</v>
          </cell>
          <cell r="AG35">
            <v>623.54</v>
          </cell>
          <cell r="AH35">
            <v>6972.03</v>
          </cell>
          <cell r="AI35">
            <v>494.02</v>
          </cell>
          <cell r="AJ35">
            <v>23118.54</v>
          </cell>
          <cell r="AK35">
            <v>1430778.6800000004</v>
          </cell>
        </row>
        <row r="36">
          <cell r="B36" t="str">
            <v>Total</v>
          </cell>
          <cell r="F36">
            <v>7247.83</v>
          </cell>
          <cell r="G36">
            <v>21752.65</v>
          </cell>
          <cell r="H36">
            <v>11311.37</v>
          </cell>
          <cell r="I36">
            <v>196.93</v>
          </cell>
          <cell r="J36">
            <v>1559.2</v>
          </cell>
          <cell r="K36">
            <v>20902.53</v>
          </cell>
          <cell r="L36">
            <v>76232.45</v>
          </cell>
          <cell r="M36">
            <v>5601.95</v>
          </cell>
          <cell r="N36">
            <v>3513.54</v>
          </cell>
          <cell r="O36">
            <v>7057.17</v>
          </cell>
          <cell r="P36">
            <v>0</v>
          </cell>
          <cell r="Q36">
            <v>9464.25</v>
          </cell>
          <cell r="R36">
            <v>1595.56</v>
          </cell>
          <cell r="S36">
            <v>3560.27</v>
          </cell>
          <cell r="T36">
            <v>185733.45</v>
          </cell>
          <cell r="U36">
            <v>390284.47</v>
          </cell>
          <cell r="V36">
            <v>29726.23</v>
          </cell>
          <cell r="W36">
            <v>3820.67</v>
          </cell>
          <cell r="X36">
            <v>158274.32999999999</v>
          </cell>
          <cell r="Y36">
            <v>28626.26</v>
          </cell>
          <cell r="Z36">
            <v>8692.1299999999992</v>
          </cell>
          <cell r="AA36">
            <v>1583.08</v>
          </cell>
          <cell r="AB36">
            <v>127243.68</v>
          </cell>
          <cell r="AC36">
            <v>9231.75</v>
          </cell>
          <cell r="AD36">
            <v>69539.83</v>
          </cell>
          <cell r="AE36">
            <v>6642.87</v>
          </cell>
          <cell r="AF36">
            <v>210176.1</v>
          </cell>
          <cell r="AG36">
            <v>623.54</v>
          </cell>
          <cell r="AH36">
            <v>6972.03</v>
          </cell>
          <cell r="AI36">
            <v>494.02</v>
          </cell>
          <cell r="AJ36">
            <v>23118.54</v>
          </cell>
          <cell r="AK36">
            <v>1430778.6800000004</v>
          </cell>
        </row>
        <row r="39">
          <cell r="B39" t="str">
            <v>PS004</v>
          </cell>
          <cell r="F39">
            <v>7373.91</v>
          </cell>
          <cell r="G39">
            <v>21670.75</v>
          </cell>
          <cell r="H39">
            <v>9755.56</v>
          </cell>
          <cell r="I39">
            <v>196.93</v>
          </cell>
          <cell r="J39">
            <v>1559.2</v>
          </cell>
          <cell r="K39">
            <v>20834.810000000001</v>
          </cell>
          <cell r="L39">
            <v>76248.87</v>
          </cell>
          <cell r="M39">
            <v>5579.46</v>
          </cell>
          <cell r="N39">
            <v>3513.54</v>
          </cell>
          <cell r="O39">
            <v>7057.17</v>
          </cell>
          <cell r="P39">
            <v>0</v>
          </cell>
          <cell r="Q39">
            <v>9169.98</v>
          </cell>
          <cell r="R39">
            <v>1603.7</v>
          </cell>
          <cell r="S39">
            <v>3560.27</v>
          </cell>
          <cell r="T39">
            <v>185850.02</v>
          </cell>
          <cell r="U39">
            <v>390277.81</v>
          </cell>
          <cell r="V39">
            <v>29726.23</v>
          </cell>
          <cell r="W39">
            <v>3820.67</v>
          </cell>
          <cell r="X39">
            <v>159057.4</v>
          </cell>
          <cell r="Y39">
            <v>28626.26</v>
          </cell>
          <cell r="Z39">
            <v>8675.09</v>
          </cell>
          <cell r="AA39">
            <v>1462.33</v>
          </cell>
          <cell r="AB39">
            <v>127200.23</v>
          </cell>
          <cell r="AC39">
            <v>9455.2999999999993</v>
          </cell>
          <cell r="AD39">
            <v>69372.36</v>
          </cell>
          <cell r="AE39">
            <v>6507.35</v>
          </cell>
          <cell r="AF39">
            <v>210389.28</v>
          </cell>
          <cell r="AG39">
            <v>598.42999999999995</v>
          </cell>
          <cell r="AH39">
            <v>6999.97</v>
          </cell>
          <cell r="AI39">
            <v>494.02</v>
          </cell>
          <cell r="AJ39">
            <v>23107.41</v>
          </cell>
          <cell r="AK39">
            <v>1429744.31</v>
          </cell>
        </row>
        <row r="40">
          <cell r="B40" t="str">
            <v>P2364</v>
          </cell>
          <cell r="X40">
            <v>2451.19</v>
          </cell>
          <cell r="Z40">
            <v>241.08</v>
          </cell>
          <cell r="AB40">
            <v>4022.28</v>
          </cell>
          <cell r="AC40">
            <v>581.57000000000005</v>
          </cell>
          <cell r="AD40">
            <v>1025.8</v>
          </cell>
          <cell r="AE40">
            <v>10.28</v>
          </cell>
          <cell r="AF40">
            <v>9050.14</v>
          </cell>
          <cell r="AG40">
            <v>943.71</v>
          </cell>
          <cell r="AH40">
            <v>1223.57</v>
          </cell>
          <cell r="AJ40">
            <v>624.54999999999995</v>
          </cell>
          <cell r="AK40">
            <v>20174.169999999998</v>
          </cell>
        </row>
        <row r="41">
          <cell r="B41" t="str">
            <v>Total</v>
          </cell>
          <cell r="F41">
            <v>7373.91</v>
          </cell>
          <cell r="G41">
            <v>21670.75</v>
          </cell>
          <cell r="H41">
            <v>9755.56</v>
          </cell>
          <cell r="I41">
            <v>196.93</v>
          </cell>
          <cell r="J41">
            <v>1559.2</v>
          </cell>
          <cell r="K41">
            <v>20834.810000000001</v>
          </cell>
          <cell r="L41">
            <v>76248.87</v>
          </cell>
          <cell r="M41">
            <v>5579.46</v>
          </cell>
          <cell r="N41">
            <v>3513.54</v>
          </cell>
          <cell r="O41">
            <v>7057.17</v>
          </cell>
          <cell r="P41">
            <v>0</v>
          </cell>
          <cell r="Q41">
            <v>9169.98</v>
          </cell>
          <cell r="R41">
            <v>1603.7</v>
          </cell>
          <cell r="S41">
            <v>3560.27</v>
          </cell>
          <cell r="T41">
            <v>185850.02</v>
          </cell>
          <cell r="U41">
            <v>390277.81</v>
          </cell>
          <cell r="V41">
            <v>29726.23</v>
          </cell>
          <cell r="W41">
            <v>3820.67</v>
          </cell>
          <cell r="X41">
            <v>161508.59</v>
          </cell>
          <cell r="Y41">
            <v>28626.26</v>
          </cell>
          <cell r="Z41">
            <v>8916.17</v>
          </cell>
          <cell r="AA41">
            <v>1462.33</v>
          </cell>
          <cell r="AB41">
            <v>131222.51</v>
          </cell>
          <cell r="AC41">
            <v>10036.869999999999</v>
          </cell>
          <cell r="AD41">
            <v>70398.16</v>
          </cell>
          <cell r="AE41">
            <v>6517.63</v>
          </cell>
          <cell r="AF41">
            <v>219439.41999999998</v>
          </cell>
          <cell r="AG41">
            <v>1542.1399999999999</v>
          </cell>
          <cell r="AH41">
            <v>8223.5400000000009</v>
          </cell>
          <cell r="AI41">
            <v>494.02</v>
          </cell>
          <cell r="AJ41">
            <v>23731.96</v>
          </cell>
          <cell r="AK41">
            <v>1449918.48</v>
          </cell>
        </row>
        <row r="44">
          <cell r="B44" t="str">
            <v>PS004</v>
          </cell>
          <cell r="F44">
            <v>7300.43</v>
          </cell>
          <cell r="G44">
            <v>22220.91</v>
          </cell>
          <cell r="H44">
            <v>9928.82</v>
          </cell>
          <cell r="I44">
            <v>196.93</v>
          </cell>
          <cell r="J44">
            <v>1559.2</v>
          </cell>
          <cell r="K44">
            <v>20727.04</v>
          </cell>
          <cell r="L44">
            <v>76331.81</v>
          </cell>
          <cell r="M44">
            <v>5579.46</v>
          </cell>
          <cell r="N44">
            <v>3513.54</v>
          </cell>
          <cell r="O44">
            <v>7057.17</v>
          </cell>
          <cell r="P44">
            <v>0</v>
          </cell>
          <cell r="Q44">
            <v>4917.1899999999996</v>
          </cell>
          <cell r="R44">
            <v>1606.67</v>
          </cell>
          <cell r="S44">
            <v>3560.27</v>
          </cell>
          <cell r="T44">
            <v>185864.05</v>
          </cell>
          <cell r="U44">
            <v>378735.29</v>
          </cell>
          <cell r="V44">
            <v>29726.23</v>
          </cell>
          <cell r="W44">
            <v>3820.67</v>
          </cell>
          <cell r="X44">
            <v>160864.93</v>
          </cell>
          <cell r="Y44">
            <v>28626.26</v>
          </cell>
          <cell r="Z44">
            <v>8684.7800000000007</v>
          </cell>
          <cell r="AA44">
            <v>1462.33</v>
          </cell>
          <cell r="AB44">
            <v>127400.55</v>
          </cell>
          <cell r="AC44">
            <v>9528</v>
          </cell>
          <cell r="AD44">
            <v>69468.41</v>
          </cell>
          <cell r="AE44">
            <v>6508.2</v>
          </cell>
          <cell r="AF44">
            <v>211475.01</v>
          </cell>
          <cell r="AG44">
            <v>686.45</v>
          </cell>
          <cell r="AH44">
            <v>7120.21</v>
          </cell>
          <cell r="AI44">
            <v>494.02</v>
          </cell>
          <cell r="AJ44">
            <v>23183.96</v>
          </cell>
          <cell r="AK44">
            <v>1418148.7899999998</v>
          </cell>
        </row>
        <row r="45">
          <cell r="B45" t="str">
            <v>P2321</v>
          </cell>
          <cell r="X45">
            <v>152.24</v>
          </cell>
          <cell r="Z45">
            <v>2915.73</v>
          </cell>
          <cell r="AB45">
            <v>804.48</v>
          </cell>
          <cell r="AC45">
            <v>426.31</v>
          </cell>
          <cell r="AD45">
            <v>4119.21</v>
          </cell>
          <cell r="AE45">
            <v>28.69</v>
          </cell>
          <cell r="AF45">
            <v>592.15</v>
          </cell>
          <cell r="AG45">
            <v>103.12</v>
          </cell>
          <cell r="AH45">
            <v>353.5</v>
          </cell>
          <cell r="AJ45">
            <v>350.78</v>
          </cell>
          <cell r="AK45">
            <v>9846.2100000000028</v>
          </cell>
        </row>
        <row r="46">
          <cell r="B46" t="str">
            <v>Total</v>
          </cell>
          <cell r="F46">
            <v>7300.43</v>
          </cell>
          <cell r="G46">
            <v>22220.91</v>
          </cell>
          <cell r="H46">
            <v>9928.82</v>
          </cell>
          <cell r="I46">
            <v>196.93</v>
          </cell>
          <cell r="J46">
            <v>1559.2</v>
          </cell>
          <cell r="K46">
            <v>20727.04</v>
          </cell>
          <cell r="L46">
            <v>76331.81</v>
          </cell>
          <cell r="M46">
            <v>5579.46</v>
          </cell>
          <cell r="N46">
            <v>3513.54</v>
          </cell>
          <cell r="O46">
            <v>7057.17</v>
          </cell>
          <cell r="P46">
            <v>0</v>
          </cell>
          <cell r="Q46">
            <v>4917.1899999999996</v>
          </cell>
          <cell r="R46">
            <v>1606.67</v>
          </cell>
          <cell r="S46">
            <v>3560.27</v>
          </cell>
          <cell r="T46">
            <v>185864.05</v>
          </cell>
          <cell r="U46">
            <v>378735.29</v>
          </cell>
          <cell r="V46">
            <v>29726.23</v>
          </cell>
          <cell r="W46">
            <v>3820.67</v>
          </cell>
          <cell r="X46">
            <v>161017.16999999998</v>
          </cell>
          <cell r="Y46">
            <v>28626.26</v>
          </cell>
          <cell r="Z46">
            <v>11600.51</v>
          </cell>
          <cell r="AA46">
            <v>1462.33</v>
          </cell>
          <cell r="AB46">
            <v>128205.03</v>
          </cell>
          <cell r="AC46">
            <v>9954.31</v>
          </cell>
          <cell r="AD46">
            <v>73587.62000000001</v>
          </cell>
          <cell r="AE46">
            <v>6536.8899999999994</v>
          </cell>
          <cell r="AF46">
            <v>212067.16</v>
          </cell>
          <cell r="AG46">
            <v>789.57</v>
          </cell>
          <cell r="AH46">
            <v>7473.71</v>
          </cell>
          <cell r="AI46">
            <v>494.02</v>
          </cell>
          <cell r="AJ46">
            <v>23534.739999999998</v>
          </cell>
          <cell r="AK46">
            <v>1427994.9999999998</v>
          </cell>
        </row>
        <row r="49">
          <cell r="B49" t="str">
            <v>PS004</v>
          </cell>
          <cell r="F49">
            <v>7100.86</v>
          </cell>
          <cell r="G49">
            <v>23043.49</v>
          </cell>
          <cell r="H49">
            <v>11657.87</v>
          </cell>
          <cell r="I49">
            <v>196.93</v>
          </cell>
          <cell r="J49">
            <v>1596.62</v>
          </cell>
          <cell r="K49">
            <v>20907.59</v>
          </cell>
          <cell r="L49">
            <v>76712.7</v>
          </cell>
          <cell r="M49">
            <v>5911.06</v>
          </cell>
          <cell r="N49">
            <v>3516.66</v>
          </cell>
          <cell r="O49">
            <v>7057.17</v>
          </cell>
          <cell r="Q49">
            <v>664.41</v>
          </cell>
          <cell r="R49">
            <v>1624.25</v>
          </cell>
          <cell r="S49">
            <v>3560.27</v>
          </cell>
          <cell r="T49">
            <v>186957.43</v>
          </cell>
          <cell r="U49">
            <v>367342.82</v>
          </cell>
          <cell r="V49">
            <v>29726.23</v>
          </cell>
          <cell r="W49">
            <v>3820.67</v>
          </cell>
          <cell r="X49">
            <v>159111.12</v>
          </cell>
          <cell r="Y49">
            <v>28819.17</v>
          </cell>
          <cell r="Z49">
            <v>9001.15</v>
          </cell>
          <cell r="AA49">
            <v>1462.33</v>
          </cell>
          <cell r="AB49">
            <v>127856.43</v>
          </cell>
          <cell r="AC49">
            <v>9671.74</v>
          </cell>
          <cell r="AD49">
            <v>69909.759999999995</v>
          </cell>
          <cell r="AE49">
            <v>6513.84</v>
          </cell>
          <cell r="AF49">
            <v>212739.49</v>
          </cell>
          <cell r="AG49">
            <v>791.66</v>
          </cell>
          <cell r="AH49">
            <v>7269.6</v>
          </cell>
          <cell r="AI49">
            <v>494.02</v>
          </cell>
          <cell r="AJ49">
            <v>23311.59</v>
          </cell>
          <cell r="AK49">
            <v>1408348.9300000002</v>
          </cell>
        </row>
        <row r="51">
          <cell r="B51" t="str">
            <v>Total</v>
          </cell>
          <cell r="F51">
            <v>7100.86</v>
          </cell>
          <cell r="G51">
            <v>23043.49</v>
          </cell>
          <cell r="H51">
            <v>11657.87</v>
          </cell>
          <cell r="I51">
            <v>196.93</v>
          </cell>
          <cell r="J51">
            <v>1596.62</v>
          </cell>
          <cell r="K51">
            <v>20907.59</v>
          </cell>
          <cell r="L51">
            <v>76712.7</v>
          </cell>
          <cell r="M51">
            <v>5911.06</v>
          </cell>
          <cell r="N51">
            <v>3516.66</v>
          </cell>
          <cell r="O51">
            <v>7057.17</v>
          </cell>
          <cell r="P51">
            <v>0</v>
          </cell>
          <cell r="Q51">
            <v>664.41</v>
          </cell>
          <cell r="R51">
            <v>1624.25</v>
          </cell>
          <cell r="S51">
            <v>3560.27</v>
          </cell>
          <cell r="T51">
            <v>186957.43</v>
          </cell>
          <cell r="U51">
            <v>367342.82</v>
          </cell>
          <cell r="V51">
            <v>29726.23</v>
          </cell>
          <cell r="W51">
            <v>3820.67</v>
          </cell>
          <cell r="X51">
            <v>159111.12</v>
          </cell>
          <cell r="Y51">
            <v>28819.17</v>
          </cell>
          <cell r="Z51">
            <v>9001.15</v>
          </cell>
          <cell r="AA51">
            <v>1462.33</v>
          </cell>
          <cell r="AB51">
            <v>127856.43</v>
          </cell>
          <cell r="AC51">
            <v>9671.74</v>
          </cell>
          <cell r="AD51">
            <v>69909.759999999995</v>
          </cell>
          <cell r="AE51">
            <v>6513.84</v>
          </cell>
          <cell r="AF51">
            <v>212739.49</v>
          </cell>
          <cell r="AG51">
            <v>791.66</v>
          </cell>
          <cell r="AH51">
            <v>7269.6</v>
          </cell>
          <cell r="AI51">
            <v>494.02</v>
          </cell>
          <cell r="AJ51">
            <v>23311.59</v>
          </cell>
          <cell r="AK51">
            <v>1408348.9300000002</v>
          </cell>
        </row>
        <row r="53">
          <cell r="B53" t="str">
            <v>PS004</v>
          </cell>
          <cell r="F53">
            <v>6901.29</v>
          </cell>
          <cell r="G53">
            <v>23234.01</v>
          </cell>
          <cell r="H53">
            <v>11657.87</v>
          </cell>
          <cell r="I53">
            <v>196.93</v>
          </cell>
          <cell r="J53">
            <v>1634.03</v>
          </cell>
          <cell r="K53">
            <v>21102.54</v>
          </cell>
          <cell r="L53">
            <v>77010.63</v>
          </cell>
          <cell r="M53">
            <v>6242.67</v>
          </cell>
          <cell r="N53">
            <v>3519.78</v>
          </cell>
          <cell r="O53">
            <v>7057.17</v>
          </cell>
          <cell r="Q53">
            <v>664.41</v>
          </cell>
          <cell r="R53">
            <v>1638.86</v>
          </cell>
          <cell r="S53">
            <v>3560.27</v>
          </cell>
          <cell r="T53">
            <v>188186.87</v>
          </cell>
          <cell r="U53">
            <v>367131.07</v>
          </cell>
          <cell r="V53">
            <v>29726.23</v>
          </cell>
          <cell r="W53">
            <v>3820.67</v>
          </cell>
          <cell r="X53">
            <v>155870.51999999999</v>
          </cell>
          <cell r="Y53">
            <v>29012.080000000002</v>
          </cell>
          <cell r="Z53">
            <v>9296.9</v>
          </cell>
          <cell r="AA53">
            <v>1462.33</v>
          </cell>
          <cell r="AB53">
            <v>127894.42</v>
          </cell>
          <cell r="AC53">
            <v>9744.94</v>
          </cell>
          <cell r="AD53">
            <v>70273.289999999994</v>
          </cell>
          <cell r="AE53">
            <v>6518.62</v>
          </cell>
          <cell r="AF53">
            <v>212913.69</v>
          </cell>
          <cell r="AG53">
            <v>808.84</v>
          </cell>
          <cell r="AH53">
            <v>7304.67</v>
          </cell>
          <cell r="AI53">
            <v>494.02</v>
          </cell>
          <cell r="AJ53">
            <v>23435.74</v>
          </cell>
          <cell r="AK53">
            <v>1408315.3599999999</v>
          </cell>
        </row>
        <row r="54">
          <cell r="B54" t="str">
            <v>P2461</v>
          </cell>
          <cell r="X54">
            <v>5075.8599999999997</v>
          </cell>
          <cell r="Z54">
            <v>107.34</v>
          </cell>
          <cell r="AB54">
            <v>3822.39</v>
          </cell>
          <cell r="AC54">
            <v>8796.85</v>
          </cell>
          <cell r="AD54">
            <v>2862.75</v>
          </cell>
          <cell r="AE54">
            <v>672.21</v>
          </cell>
          <cell r="AF54">
            <v>10587.72</v>
          </cell>
          <cell r="AG54">
            <v>749.61</v>
          </cell>
          <cell r="AH54">
            <v>184.59</v>
          </cell>
          <cell r="AJ54">
            <v>524.01</v>
          </cell>
          <cell r="AK54">
            <v>33383.33</v>
          </cell>
        </row>
        <row r="55">
          <cell r="B55" t="str">
            <v>Total</v>
          </cell>
          <cell r="F55">
            <v>6901.29</v>
          </cell>
          <cell r="G55">
            <v>23234.01</v>
          </cell>
          <cell r="H55">
            <v>11657.87</v>
          </cell>
          <cell r="I55">
            <v>196.93</v>
          </cell>
          <cell r="J55">
            <v>1634.03</v>
          </cell>
          <cell r="K55">
            <v>21102.54</v>
          </cell>
          <cell r="L55">
            <v>77010.63</v>
          </cell>
          <cell r="M55">
            <v>6242.67</v>
          </cell>
          <cell r="N55">
            <v>3519.78</v>
          </cell>
          <cell r="O55">
            <v>7057.17</v>
          </cell>
          <cell r="P55">
            <v>0</v>
          </cell>
          <cell r="Q55">
            <v>664.41</v>
          </cell>
          <cell r="R55">
            <v>1638.86</v>
          </cell>
          <cell r="S55">
            <v>3560.27</v>
          </cell>
          <cell r="T55">
            <v>188186.87</v>
          </cell>
          <cell r="U55">
            <v>367131.07</v>
          </cell>
          <cell r="V55">
            <v>29726.23</v>
          </cell>
          <cell r="W55">
            <v>3820.67</v>
          </cell>
          <cell r="X55">
            <v>160946.37999999998</v>
          </cell>
          <cell r="Y55">
            <v>29012.080000000002</v>
          </cell>
          <cell r="Z55">
            <v>9404.24</v>
          </cell>
          <cell r="AA55">
            <v>1462.33</v>
          </cell>
          <cell r="AB55">
            <v>131716.81</v>
          </cell>
          <cell r="AC55">
            <v>18541.79</v>
          </cell>
          <cell r="AD55">
            <v>73136.039999999994</v>
          </cell>
          <cell r="AE55">
            <v>7190.83</v>
          </cell>
          <cell r="AF55">
            <v>223501.41</v>
          </cell>
          <cell r="AG55">
            <v>1558.45</v>
          </cell>
          <cell r="AH55">
            <v>7489.26</v>
          </cell>
          <cell r="AI55">
            <v>494.02</v>
          </cell>
          <cell r="AJ55">
            <v>23959.75</v>
          </cell>
          <cell r="AK55">
            <v>1441698.69</v>
          </cell>
        </row>
        <row r="57">
          <cell r="B57" t="str">
            <v>PS004</v>
          </cell>
          <cell r="F57">
            <v>6701.73</v>
          </cell>
          <cell r="G57">
            <v>23234.01</v>
          </cell>
          <cell r="H57">
            <v>11681.21</v>
          </cell>
          <cell r="I57">
            <v>196.93</v>
          </cell>
          <cell r="J57">
            <v>1615.33</v>
          </cell>
          <cell r="K57">
            <v>21145.4</v>
          </cell>
          <cell r="L57">
            <v>76970</v>
          </cell>
          <cell r="M57">
            <v>6214.52</v>
          </cell>
          <cell r="N57">
            <v>3527.88</v>
          </cell>
          <cell r="O57">
            <v>7057.17</v>
          </cell>
          <cell r="Q57">
            <v>677.28</v>
          </cell>
          <cell r="R57">
            <v>1638.86</v>
          </cell>
          <cell r="S57">
            <v>3560.27</v>
          </cell>
          <cell r="T57">
            <v>186557.61</v>
          </cell>
          <cell r="U57">
            <v>367044.23</v>
          </cell>
          <cell r="V57">
            <v>29726.23</v>
          </cell>
          <cell r="W57">
            <v>3820.67</v>
          </cell>
          <cell r="X57">
            <v>155717.89000000001</v>
          </cell>
          <cell r="Y57">
            <v>29012.080000000002</v>
          </cell>
          <cell r="Z57">
            <v>9311.18</v>
          </cell>
          <cell r="AA57">
            <v>1462.33</v>
          </cell>
          <cell r="AB57">
            <v>128281.22</v>
          </cell>
          <cell r="AC57">
            <v>10701.11</v>
          </cell>
          <cell r="AD57">
            <v>70570.86</v>
          </cell>
          <cell r="AE57">
            <v>6649.91</v>
          </cell>
          <cell r="AF57">
            <v>214454.01</v>
          </cell>
          <cell r="AG57">
            <v>1015.6</v>
          </cell>
          <cell r="AH57">
            <v>7283.2</v>
          </cell>
          <cell r="AI57">
            <v>494.02</v>
          </cell>
          <cell r="AJ57">
            <v>23616.560000000001</v>
          </cell>
          <cell r="AK57">
            <v>1409939.3000000003</v>
          </cell>
        </row>
        <row r="58">
          <cell r="B58" t="str">
            <v>P2359</v>
          </cell>
          <cell r="X58">
            <v>1147.1199999999999</v>
          </cell>
          <cell r="Z58">
            <v>0.15</v>
          </cell>
          <cell r="AB58">
            <v>106.47</v>
          </cell>
          <cell r="AC58">
            <v>335.31</v>
          </cell>
          <cell r="AD58">
            <v>279.87</v>
          </cell>
          <cell r="AF58">
            <v>851.72</v>
          </cell>
          <cell r="AG58">
            <v>17.02</v>
          </cell>
          <cell r="AH58">
            <v>0.76</v>
          </cell>
          <cell r="AJ58">
            <v>214.27</v>
          </cell>
          <cell r="AK58">
            <v>2952.6900000000005</v>
          </cell>
        </row>
        <row r="59">
          <cell r="B59" t="str">
            <v>P2304</v>
          </cell>
          <cell r="X59">
            <v>24427.62</v>
          </cell>
          <cell r="AB59">
            <v>15240.63</v>
          </cell>
          <cell r="AD59">
            <v>1585.67</v>
          </cell>
          <cell r="AF59">
            <v>20057.59</v>
          </cell>
          <cell r="AH59">
            <v>1881.22</v>
          </cell>
          <cell r="AJ59">
            <v>73.239999999999995</v>
          </cell>
          <cell r="AK59">
            <v>63265.969999999994</v>
          </cell>
        </row>
        <row r="60">
          <cell r="B60" t="str">
            <v>Total</v>
          </cell>
          <cell r="F60">
            <v>6701.73</v>
          </cell>
          <cell r="G60">
            <v>23234.01</v>
          </cell>
          <cell r="H60">
            <v>11681.21</v>
          </cell>
          <cell r="I60">
            <v>196.93</v>
          </cell>
          <cell r="J60">
            <v>1615.33</v>
          </cell>
          <cell r="K60">
            <v>21145.4</v>
          </cell>
          <cell r="L60">
            <v>76970</v>
          </cell>
          <cell r="M60">
            <v>6214.52</v>
          </cell>
          <cell r="N60">
            <v>3527.88</v>
          </cell>
          <cell r="O60">
            <v>7057.17</v>
          </cell>
          <cell r="P60">
            <v>0</v>
          </cell>
          <cell r="Q60">
            <v>677.28</v>
          </cell>
          <cell r="R60">
            <v>1638.86</v>
          </cell>
          <cell r="S60">
            <v>3560.27</v>
          </cell>
          <cell r="T60">
            <v>186557.61</v>
          </cell>
          <cell r="U60">
            <v>367044.23</v>
          </cell>
          <cell r="V60">
            <v>29726.23</v>
          </cell>
          <cell r="W60">
            <v>3820.67</v>
          </cell>
          <cell r="X60">
            <v>181292.63</v>
          </cell>
          <cell r="Y60">
            <v>29012.080000000002</v>
          </cell>
          <cell r="Z60">
            <v>9311.33</v>
          </cell>
          <cell r="AA60">
            <v>1462.33</v>
          </cell>
          <cell r="AB60">
            <v>143628.32</v>
          </cell>
          <cell r="AC60">
            <v>11036.42</v>
          </cell>
          <cell r="AD60">
            <v>72436.399999999994</v>
          </cell>
          <cell r="AE60">
            <v>6649.91</v>
          </cell>
          <cell r="AF60">
            <v>235363.32</v>
          </cell>
          <cell r="AG60">
            <v>1032.6200000000001</v>
          </cell>
          <cell r="AH60">
            <v>9165.18</v>
          </cell>
          <cell r="AI60">
            <v>494.02</v>
          </cell>
          <cell r="AJ60">
            <v>23904.070000000003</v>
          </cell>
          <cell r="AK60">
            <v>1476157.9600000002</v>
          </cell>
        </row>
        <row r="63">
          <cell r="B63" t="str">
            <v>P2443</v>
          </cell>
          <cell r="X63">
            <v>2058.77</v>
          </cell>
          <cell r="Z63">
            <v>165.56</v>
          </cell>
          <cell r="AB63">
            <v>1524.91</v>
          </cell>
          <cell r="AD63">
            <v>1445.25</v>
          </cell>
          <cell r="AE63">
            <v>4.12</v>
          </cell>
          <cell r="AF63">
            <v>5476.04</v>
          </cell>
          <cell r="AG63">
            <v>252.93</v>
          </cell>
          <cell r="AH63">
            <v>94.26</v>
          </cell>
          <cell r="AJ63">
            <v>1780.37</v>
          </cell>
          <cell r="AK63">
            <v>12802.21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2058.77</v>
          </cell>
          <cell r="Y64">
            <v>0</v>
          </cell>
          <cell r="Z64">
            <v>165.56</v>
          </cell>
          <cell r="AA64">
            <v>0</v>
          </cell>
          <cell r="AB64">
            <v>1524.91</v>
          </cell>
          <cell r="AC64">
            <v>0</v>
          </cell>
          <cell r="AD64">
            <v>1445.25</v>
          </cell>
          <cell r="AE64">
            <v>4.12</v>
          </cell>
          <cell r="AF64">
            <v>5476.04</v>
          </cell>
          <cell r="AG64">
            <v>252.93</v>
          </cell>
          <cell r="AH64">
            <v>94.26</v>
          </cell>
          <cell r="AI64">
            <v>0</v>
          </cell>
          <cell r="AJ64">
            <v>1780.37</v>
          </cell>
          <cell r="AK64">
            <v>12802.21</v>
          </cell>
        </row>
        <row r="66">
          <cell r="F66">
            <v>102500.56000000001</v>
          </cell>
          <cell r="G66">
            <v>267387.94</v>
          </cell>
          <cell r="H66">
            <v>133860.91999999998</v>
          </cell>
          <cell r="I66">
            <v>2363.1600000000003</v>
          </cell>
          <cell r="J66">
            <v>18781.550000000003</v>
          </cell>
          <cell r="K66">
            <v>254126.05000000002</v>
          </cell>
          <cell r="L66">
            <v>915756.07000000007</v>
          </cell>
          <cell r="M66">
            <v>70098.42</v>
          </cell>
          <cell r="N66">
            <v>42215.540000000008</v>
          </cell>
          <cell r="O66">
            <v>84686.04</v>
          </cell>
          <cell r="P66">
            <v>40.47</v>
          </cell>
          <cell r="Q66">
            <v>86973.01</v>
          </cell>
          <cell r="R66">
            <v>19008.54</v>
          </cell>
          <cell r="S66">
            <v>51372.249999999993</v>
          </cell>
          <cell r="T66">
            <v>2233854.2699999996</v>
          </cell>
          <cell r="U66">
            <v>4609073.4200000009</v>
          </cell>
          <cell r="V66">
            <v>358142.93</v>
          </cell>
          <cell r="W66">
            <v>45848.039999999986</v>
          </cell>
          <cell r="X66">
            <v>1952425.55</v>
          </cell>
          <cell r="Y66">
            <v>344703.96</v>
          </cell>
          <cell r="Z66">
            <v>109138.43000000001</v>
          </cell>
          <cell r="AA66">
            <v>19117.649999999998</v>
          </cell>
          <cell r="AB66">
            <v>1552970.69</v>
          </cell>
          <cell r="AC66">
            <v>122290.13999999997</v>
          </cell>
          <cell r="AD66">
            <v>848143.50000000012</v>
          </cell>
          <cell r="AE66">
            <v>80742.5</v>
          </cell>
          <cell r="AF66">
            <v>2573757.4000000004</v>
          </cell>
          <cell r="AG66">
            <v>10471.33</v>
          </cell>
          <cell r="AH66">
            <v>88226.440000000017</v>
          </cell>
          <cell r="AI66">
            <v>5928.2400000000016</v>
          </cell>
          <cell r="AJ66">
            <v>282042.11</v>
          </cell>
          <cell r="AK66">
            <v>17286047.120000001</v>
          </cell>
        </row>
        <row r="69">
          <cell r="F69">
            <v>102500.56</v>
          </cell>
          <cell r="G69">
            <v>267387.94</v>
          </cell>
          <cell r="H69">
            <v>133860.92000000001</v>
          </cell>
          <cell r="I69">
            <v>2363.16</v>
          </cell>
          <cell r="J69">
            <v>18781.55</v>
          </cell>
          <cell r="K69">
            <v>254126.05</v>
          </cell>
          <cell r="L69">
            <v>915756.07</v>
          </cell>
          <cell r="M69">
            <v>70098.42</v>
          </cell>
          <cell r="N69">
            <v>42215.54</v>
          </cell>
          <cell r="O69">
            <v>84686.04</v>
          </cell>
          <cell r="P69">
            <v>40.47</v>
          </cell>
          <cell r="Q69">
            <v>86973.01</v>
          </cell>
          <cell r="R69">
            <v>19008.54</v>
          </cell>
          <cell r="S69">
            <v>51372.25</v>
          </cell>
          <cell r="T69">
            <v>2233854.27</v>
          </cell>
          <cell r="U69">
            <v>4609073.42</v>
          </cell>
          <cell r="V69">
            <v>358142.93</v>
          </cell>
          <cell r="W69">
            <v>45848.04</v>
          </cell>
          <cell r="X69">
            <v>1952425.55</v>
          </cell>
          <cell r="Y69">
            <v>344703.96</v>
          </cell>
          <cell r="Z69">
            <v>109138.43</v>
          </cell>
          <cell r="AA69">
            <v>19117.650000000001</v>
          </cell>
          <cell r="AB69">
            <v>1552970.69</v>
          </cell>
          <cell r="AC69">
            <v>122290.14</v>
          </cell>
          <cell r="AD69">
            <v>848143.5</v>
          </cell>
          <cell r="AE69">
            <v>80742.5</v>
          </cell>
          <cell r="AF69">
            <v>2573757.4</v>
          </cell>
          <cell r="AG69">
            <v>10471.33</v>
          </cell>
          <cell r="AH69">
            <v>88226.44</v>
          </cell>
          <cell r="AI69">
            <v>5928.24</v>
          </cell>
          <cell r="AJ69">
            <v>282042.11</v>
          </cell>
          <cell r="AK69">
            <v>17286047.119999997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me Study Comparison"/>
      <sheetName val="Pivot"/>
      <sheetName val="RO Tons"/>
      <sheetName val="April B Week"/>
      <sheetName val="May A Week"/>
      <sheetName val="All Batches"/>
      <sheetName val="Jan Batches"/>
      <sheetName val="Feb Batches"/>
      <sheetName val="Mar Batches"/>
      <sheetName val="April Batches"/>
      <sheetName val="May Batches"/>
      <sheetName val="Jun Batches"/>
      <sheetName val="Jul Batches"/>
      <sheetName val="Aug Batches"/>
      <sheetName val="Sept Batches"/>
      <sheetName val="Oct Batches"/>
      <sheetName val="Nov Batches"/>
      <sheetName val="Dec Batches"/>
      <sheetName val="Sheet1"/>
    </sheetNames>
    <sheetDataSet>
      <sheetData sheetId="0"/>
      <sheetData sheetId="1">
        <row r="8">
          <cell r="B8">
            <v>5.32</v>
          </cell>
        </row>
      </sheetData>
      <sheetData sheetId="2">
        <row r="10">
          <cell r="K10">
            <v>1127349.0200000003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Tongass (2)"/>
      <sheetName val="Trial Bal"/>
      <sheetName val="P&amp;L"/>
      <sheetName val="1-HQ"/>
      <sheetName val="2-Arrow"/>
      <sheetName val="3-Tongass"/>
      <sheetName val="4-Nome"/>
      <sheetName val="Sheet1"/>
      <sheetName val="5-DH"/>
      <sheetName val="6-Sitka"/>
      <sheetName val="Formu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5">
          <cell r="C5">
            <v>21</v>
          </cell>
          <cell r="D5">
            <v>0</v>
          </cell>
        </row>
        <row r="6">
          <cell r="C6">
            <v>22</v>
          </cell>
          <cell r="D6">
            <v>1</v>
          </cell>
        </row>
        <row r="7">
          <cell r="C7">
            <v>23</v>
          </cell>
          <cell r="D7">
            <v>7.5020204748904473E-2</v>
          </cell>
        </row>
        <row r="8">
          <cell r="C8">
            <v>24</v>
          </cell>
          <cell r="D8">
            <v>0.31294034758102396</v>
          </cell>
        </row>
        <row r="9">
          <cell r="C9">
            <v>25</v>
          </cell>
          <cell r="D9">
            <v>0</v>
          </cell>
        </row>
        <row r="10">
          <cell r="C10">
            <v>26</v>
          </cell>
          <cell r="D10">
            <v>0</v>
          </cell>
        </row>
        <row r="11">
          <cell r="C11">
            <v>27</v>
          </cell>
          <cell r="D11">
            <v>0</v>
          </cell>
        </row>
        <row r="12">
          <cell r="C12">
            <v>31</v>
          </cell>
          <cell r="D12">
            <v>0</v>
          </cell>
        </row>
        <row r="13">
          <cell r="C13">
            <v>32</v>
          </cell>
          <cell r="D13">
            <v>1</v>
          </cell>
        </row>
        <row r="14">
          <cell r="C14">
            <v>33</v>
          </cell>
          <cell r="D14">
            <v>0.21340634279621229</v>
          </cell>
        </row>
        <row r="15">
          <cell r="C15">
            <v>34</v>
          </cell>
          <cell r="D15">
            <v>0.24281150159744413</v>
          </cell>
        </row>
        <row r="16">
          <cell r="C16">
            <v>35</v>
          </cell>
          <cell r="D16">
            <v>0</v>
          </cell>
        </row>
        <row r="17">
          <cell r="C17">
            <v>36</v>
          </cell>
          <cell r="D17">
            <v>5.4823225337620407E-2</v>
          </cell>
        </row>
        <row r="18">
          <cell r="C18">
            <v>37</v>
          </cell>
          <cell r="D18">
            <v>5.4823225337620407E-2</v>
          </cell>
        </row>
        <row r="19">
          <cell r="C19">
            <v>38</v>
          </cell>
          <cell r="D19">
            <v>0.29869592216932311</v>
          </cell>
        </row>
        <row r="20">
          <cell r="C20">
            <v>41</v>
          </cell>
          <cell r="D20">
            <v>0</v>
          </cell>
        </row>
        <row r="21">
          <cell r="C21">
            <v>42</v>
          </cell>
          <cell r="D21">
            <v>1</v>
          </cell>
        </row>
        <row r="22">
          <cell r="C22">
            <v>43</v>
          </cell>
          <cell r="D22">
            <v>0.20038134822662279</v>
          </cell>
        </row>
        <row r="23">
          <cell r="C23">
            <v>44</v>
          </cell>
          <cell r="D23">
            <v>0</v>
          </cell>
        </row>
        <row r="24">
          <cell r="C24">
            <v>45</v>
          </cell>
          <cell r="D24">
            <v>0</v>
          </cell>
        </row>
        <row r="25">
          <cell r="C25">
            <v>46</v>
          </cell>
          <cell r="D25">
            <v>0</v>
          </cell>
        </row>
        <row r="26">
          <cell r="C26">
            <v>47</v>
          </cell>
          <cell r="D26">
            <v>0</v>
          </cell>
        </row>
        <row r="27">
          <cell r="C27">
            <v>51</v>
          </cell>
          <cell r="D27">
            <v>0</v>
          </cell>
        </row>
        <row r="28">
          <cell r="C28">
            <v>52</v>
          </cell>
          <cell r="D28">
            <v>1</v>
          </cell>
        </row>
        <row r="29">
          <cell r="C29">
            <v>53</v>
          </cell>
          <cell r="D29">
            <v>0.15770386408463555</v>
          </cell>
        </row>
        <row r="30">
          <cell r="C30">
            <v>54</v>
          </cell>
          <cell r="D30">
            <v>0</v>
          </cell>
        </row>
        <row r="31">
          <cell r="C31">
            <v>55</v>
          </cell>
          <cell r="D31">
            <v>0</v>
          </cell>
        </row>
        <row r="32">
          <cell r="C32">
            <v>56</v>
          </cell>
          <cell r="D32">
            <v>0</v>
          </cell>
        </row>
        <row r="33">
          <cell r="C33">
            <v>57</v>
          </cell>
          <cell r="D33">
            <v>0</v>
          </cell>
        </row>
        <row r="34">
          <cell r="C34">
            <v>61</v>
          </cell>
          <cell r="D34">
            <v>0</v>
          </cell>
        </row>
        <row r="35">
          <cell r="C35">
            <v>62</v>
          </cell>
          <cell r="D35">
            <v>1</v>
          </cell>
        </row>
        <row r="36">
          <cell r="C36">
            <v>63</v>
          </cell>
          <cell r="D36">
            <v>1</v>
          </cell>
        </row>
        <row r="37">
          <cell r="C37">
            <v>64</v>
          </cell>
          <cell r="D37">
            <v>1</v>
          </cell>
        </row>
        <row r="38">
          <cell r="C38">
            <v>65</v>
          </cell>
          <cell r="D38">
            <v>1</v>
          </cell>
        </row>
        <row r="39">
          <cell r="C39">
            <v>66</v>
          </cell>
          <cell r="D39">
            <v>1</v>
          </cell>
        </row>
        <row r="40">
          <cell r="C40">
            <v>67</v>
          </cell>
          <cell r="D40">
            <v>1</v>
          </cell>
        </row>
        <row r="41">
          <cell r="C41">
            <v>101</v>
          </cell>
          <cell r="D41">
            <v>0</v>
          </cell>
        </row>
        <row r="42">
          <cell r="C42">
            <v>102</v>
          </cell>
          <cell r="D42">
            <v>1</v>
          </cell>
        </row>
        <row r="43">
          <cell r="C43">
            <v>104</v>
          </cell>
          <cell r="D43">
            <v>0.21460283177345807</v>
          </cell>
        </row>
        <row r="44">
          <cell r="C44">
            <v>105</v>
          </cell>
          <cell r="D44">
            <v>0</v>
          </cell>
        </row>
        <row r="45">
          <cell r="C45">
            <v>106</v>
          </cell>
          <cell r="D45">
            <v>6.8897386473817379E-3</v>
          </cell>
        </row>
        <row r="46">
          <cell r="C46">
            <v>107</v>
          </cell>
          <cell r="D46">
            <v>7.2711060215945311E-3</v>
          </cell>
        </row>
        <row r="47">
          <cell r="C47">
            <v>131</v>
          </cell>
          <cell r="D47">
            <v>0.10360377511310681</v>
          </cell>
        </row>
        <row r="48">
          <cell r="C48">
            <v>132</v>
          </cell>
          <cell r="D48">
            <v>7.5020204748904473E-2</v>
          </cell>
        </row>
        <row r="49">
          <cell r="C49">
            <v>133</v>
          </cell>
          <cell r="D49">
            <v>0.21340634279621229</v>
          </cell>
        </row>
        <row r="50">
          <cell r="C50">
            <v>134</v>
          </cell>
          <cell r="D50">
            <v>0.20038134822662279</v>
          </cell>
        </row>
        <row r="51">
          <cell r="C51">
            <v>135</v>
          </cell>
          <cell r="D51">
            <v>0.15770386408463555</v>
          </cell>
        </row>
        <row r="52">
          <cell r="C52">
            <v>136</v>
          </cell>
          <cell r="D52">
            <v>1</v>
          </cell>
        </row>
        <row r="53">
          <cell r="C53">
            <v>191</v>
          </cell>
          <cell r="D53">
            <v>1.5498426720169135E-3</v>
          </cell>
        </row>
        <row r="54">
          <cell r="C54">
            <v>192</v>
          </cell>
          <cell r="D54">
            <v>0.73446358573499293</v>
          </cell>
        </row>
        <row r="55">
          <cell r="C55">
            <v>193</v>
          </cell>
          <cell r="D55">
            <v>0.11204823995690731</v>
          </cell>
        </row>
        <row r="56">
          <cell r="C56">
            <v>194</v>
          </cell>
          <cell r="D56">
            <v>6.5689300537482925E-2</v>
          </cell>
        </row>
        <row r="57">
          <cell r="C57">
            <v>195</v>
          </cell>
          <cell r="D57">
            <v>7.6869731565675642E-2</v>
          </cell>
        </row>
        <row r="58">
          <cell r="C58">
            <v>196</v>
          </cell>
          <cell r="D58">
            <v>1.0929142204941275E-2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001 Piv"/>
      <sheetName val="MM001 Detail"/>
      <sheetName val="JE_Month00"/>
      <sheetName val="JE_Month01"/>
      <sheetName val="JE_Month02"/>
      <sheetName val="JE_Month03"/>
      <sheetName val="JE_Month04"/>
      <sheetName val="JE_Month05"/>
      <sheetName val="JE_Month06"/>
      <sheetName val="JE_Month07"/>
      <sheetName val="JE_Month08"/>
      <sheetName val="JE_Month09"/>
      <sheetName val="JE_Month10"/>
      <sheetName val="JE_Month11"/>
      <sheetName val="JE_Month12"/>
    </sheetNames>
    <sheetDataSet>
      <sheetData sheetId="0"/>
      <sheetData sheetId="1"/>
      <sheetData sheetId="2">
        <row r="21">
          <cell r="I21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4"/>
  <sheetViews>
    <sheetView tabSelected="1" view="pageBreakPreview" topLeftCell="A3" zoomScale="85" zoomScaleNormal="85" zoomScaleSheetLayoutView="85" workbookViewId="0">
      <selection activeCell="G22" sqref="G22"/>
    </sheetView>
  </sheetViews>
  <sheetFormatPr defaultRowHeight="15"/>
  <cols>
    <col min="1" max="1" width="36.28515625" bestFit="1" customWidth="1"/>
    <col min="2" max="2" width="19" bestFit="1" customWidth="1"/>
    <col min="3" max="3" width="16" bestFit="1" customWidth="1"/>
    <col min="4" max="4" width="10.5703125" bestFit="1" customWidth="1"/>
    <col min="5" max="5" width="7" bestFit="1" customWidth="1"/>
    <col min="6" max="6" width="11.42578125" bestFit="1" customWidth="1"/>
    <col min="7" max="7" width="10" bestFit="1" customWidth="1"/>
    <col min="8" max="8" width="8" bestFit="1" customWidth="1"/>
    <col min="9" max="9" width="15.85546875" bestFit="1" customWidth="1"/>
    <col min="10" max="10" width="12" bestFit="1" customWidth="1"/>
  </cols>
  <sheetData>
    <row r="1" spans="1:8">
      <c r="A1" s="30" t="s">
        <v>214</v>
      </c>
      <c r="B1" s="74"/>
    </row>
    <row r="2" spans="1:8">
      <c r="A2" s="30" t="s">
        <v>290</v>
      </c>
      <c r="B2" s="74"/>
    </row>
    <row r="3" spans="1:8">
      <c r="A3" s="30" t="s">
        <v>291</v>
      </c>
      <c r="B3" s="74"/>
    </row>
    <row r="4" spans="1:8" ht="32.25" customHeight="1">
      <c r="A4" s="272" t="s">
        <v>294</v>
      </c>
      <c r="B4" s="272"/>
      <c r="C4" s="272"/>
      <c r="D4" s="272"/>
      <c r="E4" s="272"/>
      <c r="F4" s="272"/>
      <c r="G4" s="272"/>
      <c r="H4" s="272"/>
    </row>
    <row r="6" spans="1:8">
      <c r="A6" s="269" t="s">
        <v>18</v>
      </c>
      <c r="B6" s="269"/>
      <c r="C6" s="269"/>
      <c r="D6" s="269"/>
      <c r="E6" s="269"/>
      <c r="F6" s="269"/>
      <c r="G6" s="269"/>
      <c r="H6" s="269"/>
    </row>
    <row r="7" spans="1:8">
      <c r="A7" t="s">
        <v>59</v>
      </c>
      <c r="B7" s="21" t="s">
        <v>46</v>
      </c>
      <c r="C7" s="21" t="s">
        <v>47</v>
      </c>
      <c r="D7" s="21" t="s">
        <v>48</v>
      </c>
      <c r="E7" s="21" t="s">
        <v>50</v>
      </c>
      <c r="F7" s="21" t="s">
        <v>51</v>
      </c>
      <c r="G7" s="21" t="s">
        <v>52</v>
      </c>
      <c r="H7" s="21" t="s">
        <v>55</v>
      </c>
    </row>
    <row r="8" spans="1:8">
      <c r="A8" t="s">
        <v>56</v>
      </c>
      <c r="B8" s="1">
        <f>52*5/12</f>
        <v>21.666666666666668</v>
      </c>
      <c r="C8" s="22">
        <f>$B$8*2</f>
        <v>43.333333333333336</v>
      </c>
      <c r="D8" s="22">
        <f>$B$8*3</f>
        <v>65</v>
      </c>
      <c r="E8" s="22">
        <f>$B$8*4</f>
        <v>86.666666666666671</v>
      </c>
      <c r="F8" s="22">
        <f>$B$8*5</f>
        <v>108.33333333333334</v>
      </c>
      <c r="G8" s="22">
        <f>$B$8*6</f>
        <v>130</v>
      </c>
      <c r="H8" s="22">
        <f>$B$8*7</f>
        <v>151.66666666666669</v>
      </c>
    </row>
    <row r="9" spans="1:8">
      <c r="A9" t="s">
        <v>93</v>
      </c>
      <c r="B9" s="1">
        <f>52*4/12</f>
        <v>17.333333333333332</v>
      </c>
      <c r="C9" s="22">
        <f>$B$9*2</f>
        <v>34.666666666666664</v>
      </c>
      <c r="D9" s="22">
        <f>$B$9*3</f>
        <v>52</v>
      </c>
      <c r="E9" s="22">
        <f>$B$9*4</f>
        <v>69.333333333333329</v>
      </c>
      <c r="F9" s="22">
        <f>$B$9*5</f>
        <v>86.666666666666657</v>
      </c>
      <c r="G9" s="22">
        <f>$B$9*6</f>
        <v>104</v>
      </c>
      <c r="H9" s="22">
        <f>$B$9*7</f>
        <v>121.33333333333333</v>
      </c>
    </row>
    <row r="10" spans="1:8">
      <c r="A10" t="s">
        <v>57</v>
      </c>
      <c r="B10" s="1">
        <f>52*3/12</f>
        <v>13</v>
      </c>
      <c r="C10" s="22">
        <f>$B$10*2</f>
        <v>26</v>
      </c>
      <c r="D10" s="22">
        <f>$B$10*3</f>
        <v>39</v>
      </c>
      <c r="E10" s="22">
        <f>$B$10*4</f>
        <v>52</v>
      </c>
      <c r="F10" s="22">
        <f>$B$10*5</f>
        <v>65</v>
      </c>
      <c r="G10" s="22">
        <f>$B$10*6</f>
        <v>78</v>
      </c>
      <c r="H10" s="22">
        <f>$B$10*7</f>
        <v>91</v>
      </c>
    </row>
    <row r="11" spans="1:8">
      <c r="A11" t="s">
        <v>58</v>
      </c>
      <c r="B11" s="1">
        <f>52*2/12</f>
        <v>8.6666666666666661</v>
      </c>
      <c r="C11" s="18">
        <f>$B$11*2</f>
        <v>17.333333333333332</v>
      </c>
      <c r="D11" s="18">
        <f>$B$11*3</f>
        <v>26</v>
      </c>
      <c r="E11" s="18">
        <f>$B$11*4</f>
        <v>34.666666666666664</v>
      </c>
      <c r="F11" s="18">
        <f>$B$11*5</f>
        <v>43.333333333333329</v>
      </c>
      <c r="G11" s="18">
        <f>$B$11*6</f>
        <v>52</v>
      </c>
      <c r="H11" s="18">
        <f>$B$11*7</f>
        <v>60.666666666666664</v>
      </c>
    </row>
    <row r="12" spans="1:8">
      <c r="A12" t="s">
        <v>21</v>
      </c>
      <c r="B12" s="1">
        <f>52/12</f>
        <v>4.333333333333333</v>
      </c>
      <c r="C12" s="18">
        <f>$B$12*2</f>
        <v>8.6666666666666661</v>
      </c>
      <c r="D12" s="18">
        <f>$B$12*3</f>
        <v>13</v>
      </c>
      <c r="E12" s="18">
        <f>$B$12*4</f>
        <v>17.333333333333332</v>
      </c>
      <c r="F12" s="18">
        <f>$B$12*5</f>
        <v>21.666666666666664</v>
      </c>
      <c r="G12" s="18">
        <f>$B$12*6</f>
        <v>26</v>
      </c>
      <c r="H12" s="18">
        <f>$B$12*7</f>
        <v>30.333333333333332</v>
      </c>
    </row>
    <row r="13" spans="1:8">
      <c r="A13" t="s">
        <v>23</v>
      </c>
      <c r="B13" s="1">
        <f>26/12</f>
        <v>2.1666666666666665</v>
      </c>
      <c r="C13" s="18">
        <f>$B$13*2</f>
        <v>4.333333333333333</v>
      </c>
      <c r="D13" s="18">
        <f>$B$13*3</f>
        <v>6.5</v>
      </c>
      <c r="E13" s="18">
        <f>$B$13*4</f>
        <v>8.6666666666666661</v>
      </c>
      <c r="F13" s="18">
        <f>$B$13*5</f>
        <v>10.833333333333332</v>
      </c>
      <c r="G13" s="18">
        <f>$B$13*6</f>
        <v>13</v>
      </c>
      <c r="H13" s="18">
        <f>$B$13*7</f>
        <v>15.166666666666666</v>
      </c>
    </row>
    <row r="14" spans="1:8">
      <c r="A14" t="s">
        <v>22</v>
      </c>
      <c r="B14" s="1">
        <f>12/12</f>
        <v>1</v>
      </c>
      <c r="C14" s="18">
        <f>$B$14*2</f>
        <v>2</v>
      </c>
      <c r="D14" s="18">
        <f>$B$14*3</f>
        <v>3</v>
      </c>
      <c r="E14" s="18">
        <f>$B$14*4</f>
        <v>4</v>
      </c>
      <c r="F14" s="18">
        <f>$B$14*5</f>
        <v>5</v>
      </c>
      <c r="G14" s="18">
        <f>$B$14*6</f>
        <v>6</v>
      </c>
      <c r="H14" s="18">
        <f>$B$14*7</f>
        <v>7</v>
      </c>
    </row>
    <row r="15" spans="1:8">
      <c r="B15" s="1"/>
      <c r="C15" s="18"/>
      <c r="D15" s="18"/>
      <c r="E15" s="18"/>
      <c r="F15" s="18"/>
      <c r="G15" s="18"/>
      <c r="H15" s="18"/>
    </row>
    <row r="16" spans="1:8">
      <c r="A16" s="269" t="s">
        <v>10</v>
      </c>
      <c r="B16" s="269"/>
      <c r="C16" s="18"/>
      <c r="D16" s="18"/>
      <c r="E16" s="18"/>
      <c r="F16" s="18"/>
      <c r="G16" s="18"/>
      <c r="H16" s="18"/>
    </row>
    <row r="17" spans="1:8">
      <c r="A17" s="30" t="s">
        <v>54</v>
      </c>
      <c r="B17" s="33" t="s">
        <v>84</v>
      </c>
      <c r="C17" s="18"/>
      <c r="D17" s="18"/>
      <c r="E17" s="18"/>
      <c r="F17" s="18"/>
      <c r="G17" s="18"/>
      <c r="H17" s="18"/>
    </row>
    <row r="18" spans="1:8">
      <c r="A18" s="32" t="s">
        <v>85</v>
      </c>
      <c r="B18" s="31">
        <v>20</v>
      </c>
      <c r="C18" s="18"/>
      <c r="D18" s="18"/>
      <c r="E18" s="18"/>
      <c r="F18" s="18"/>
      <c r="G18" s="18"/>
      <c r="H18" s="18"/>
    </row>
    <row r="19" spans="1:8">
      <c r="A19" s="32" t="s">
        <v>60</v>
      </c>
      <c r="B19" s="31">
        <v>34</v>
      </c>
      <c r="C19" s="18"/>
      <c r="D19" s="18"/>
      <c r="E19" s="18"/>
      <c r="F19" s="18"/>
      <c r="G19" s="18"/>
      <c r="H19" s="18"/>
    </row>
    <row r="20" spans="1:8">
      <c r="A20" s="32" t="s">
        <v>61</v>
      </c>
      <c r="B20" s="31">
        <v>51</v>
      </c>
      <c r="C20" s="18"/>
      <c r="D20" s="18"/>
      <c r="E20" s="18"/>
      <c r="F20" s="18"/>
      <c r="G20" s="18"/>
      <c r="H20" s="18"/>
    </row>
    <row r="21" spans="1:8">
      <c r="A21" s="32" t="s">
        <v>62</v>
      </c>
      <c r="B21" s="31">
        <v>77</v>
      </c>
      <c r="C21" s="18"/>
      <c r="D21" s="18"/>
      <c r="E21" s="18"/>
      <c r="F21" t="s">
        <v>19</v>
      </c>
      <c r="G21" s="31">
        <v>2000</v>
      </c>
      <c r="H21" s="18"/>
    </row>
    <row r="22" spans="1:8">
      <c r="A22" s="32" t="s">
        <v>63</v>
      </c>
      <c r="B22" s="31">
        <v>97</v>
      </c>
      <c r="C22" s="18"/>
      <c r="D22" s="18"/>
      <c r="E22" s="18"/>
      <c r="F22" t="s">
        <v>20</v>
      </c>
      <c r="G22" s="355" t="s">
        <v>49</v>
      </c>
      <c r="H22" s="18"/>
    </row>
    <row r="23" spans="1:8">
      <c r="A23" s="32" t="s">
        <v>64</v>
      </c>
      <c r="B23" s="31">
        <v>117</v>
      </c>
      <c r="C23" s="18"/>
      <c r="D23" s="18"/>
      <c r="E23" s="18"/>
      <c r="H23" s="18"/>
    </row>
    <row r="24" spans="1:8">
      <c r="A24" s="32" t="s">
        <v>65</v>
      </c>
      <c r="B24" s="31">
        <v>157</v>
      </c>
      <c r="C24" s="18"/>
      <c r="D24" s="18"/>
      <c r="E24" s="18"/>
      <c r="F24" s="14"/>
      <c r="G24" s="15"/>
      <c r="H24" s="18"/>
    </row>
    <row r="25" spans="1:8">
      <c r="A25" s="32" t="s">
        <v>190</v>
      </c>
      <c r="B25" s="31">
        <v>37</v>
      </c>
      <c r="C25" s="18" t="s">
        <v>191</v>
      </c>
      <c r="D25" s="18"/>
      <c r="E25" s="18"/>
      <c r="F25" s="14"/>
      <c r="G25" s="15"/>
      <c r="H25" s="18"/>
    </row>
    <row r="26" spans="1:8">
      <c r="A26" s="32" t="s">
        <v>66</v>
      </c>
      <c r="B26" s="31">
        <v>47</v>
      </c>
      <c r="C26" s="18"/>
      <c r="D26" s="18"/>
      <c r="E26" s="18"/>
      <c r="F26" s="18"/>
      <c r="G26" s="18"/>
      <c r="H26" s="18"/>
    </row>
    <row r="27" spans="1:8">
      <c r="A27" s="32" t="s">
        <v>67</v>
      </c>
      <c r="B27" s="31">
        <v>68</v>
      </c>
      <c r="C27" s="18"/>
      <c r="D27" s="18"/>
      <c r="E27" s="18"/>
      <c r="F27" s="18"/>
      <c r="G27" s="18"/>
      <c r="H27" s="18"/>
    </row>
    <row r="28" spans="1:8">
      <c r="A28" s="32" t="s">
        <v>68</v>
      </c>
      <c r="B28" s="31">
        <v>34</v>
      </c>
      <c r="C28" s="18"/>
      <c r="D28" s="18"/>
      <c r="E28" s="18"/>
      <c r="F28" s="18"/>
      <c r="G28" s="18"/>
      <c r="H28" s="18"/>
    </row>
    <row r="29" spans="1:8">
      <c r="A29" s="32" t="s">
        <v>31</v>
      </c>
      <c r="B29" s="31">
        <v>34</v>
      </c>
      <c r="C29" s="18"/>
      <c r="D29" s="18"/>
      <c r="E29" s="18"/>
      <c r="F29" s="18"/>
      <c r="G29" s="18"/>
      <c r="H29" s="18"/>
    </row>
    <row r="30" spans="1:8">
      <c r="A30" s="30" t="s">
        <v>69</v>
      </c>
      <c r="B30" s="31"/>
      <c r="C30" s="18"/>
      <c r="D30" s="18"/>
      <c r="E30" s="18"/>
      <c r="F30" s="18"/>
      <c r="G30" s="18"/>
      <c r="H30" s="18"/>
    </row>
    <row r="31" spans="1:8">
      <c r="A31" s="32" t="s">
        <v>70</v>
      </c>
      <c r="B31" s="31">
        <v>29</v>
      </c>
      <c r="C31" s="18"/>
      <c r="D31" s="18"/>
      <c r="E31" s="18"/>
      <c r="F31" s="18"/>
      <c r="G31" s="18"/>
      <c r="H31" s="18"/>
    </row>
    <row r="32" spans="1:8">
      <c r="A32" s="32" t="s">
        <v>71</v>
      </c>
      <c r="B32" s="31">
        <v>175</v>
      </c>
      <c r="C32" s="18"/>
      <c r="D32" s="18"/>
      <c r="E32" s="18"/>
      <c r="F32" s="18"/>
      <c r="G32" s="18"/>
      <c r="H32" s="18"/>
    </row>
    <row r="33" spans="1:8">
      <c r="A33" s="32" t="s">
        <v>72</v>
      </c>
      <c r="B33" s="31">
        <v>250</v>
      </c>
      <c r="C33" s="18"/>
      <c r="D33" s="18"/>
      <c r="E33" s="18"/>
      <c r="F33" s="18"/>
      <c r="G33" s="18"/>
      <c r="H33" s="18"/>
    </row>
    <row r="34" spans="1:8">
      <c r="A34" s="32" t="s">
        <v>104</v>
      </c>
      <c r="B34" s="31">
        <v>375</v>
      </c>
      <c r="C34" s="18" t="s">
        <v>86</v>
      </c>
      <c r="D34" s="18"/>
      <c r="E34" s="18"/>
      <c r="F34" s="18"/>
      <c r="G34" s="18"/>
      <c r="H34" s="18"/>
    </row>
    <row r="35" spans="1:8">
      <c r="A35" s="32" t="s">
        <v>73</v>
      </c>
      <c r="B35" s="31">
        <v>324</v>
      </c>
      <c r="C35" s="18"/>
      <c r="D35" s="18"/>
      <c r="E35" s="18"/>
      <c r="F35" s="18"/>
      <c r="G35" s="18"/>
      <c r="H35" s="18"/>
    </row>
    <row r="36" spans="1:8">
      <c r="A36" s="32" t="s">
        <v>74</v>
      </c>
      <c r="B36" s="31">
        <v>473</v>
      </c>
      <c r="C36" s="18"/>
      <c r="D36" s="18"/>
      <c r="E36" s="18"/>
      <c r="F36" s="18"/>
      <c r="G36" s="18"/>
      <c r="H36" s="18"/>
    </row>
    <row r="37" spans="1:8">
      <c r="A37" s="32" t="s">
        <v>103</v>
      </c>
      <c r="B37" s="31">
        <v>710</v>
      </c>
      <c r="C37" s="18" t="s">
        <v>86</v>
      </c>
      <c r="D37" s="18"/>
      <c r="E37" s="18"/>
      <c r="F37" s="18"/>
      <c r="G37" s="18"/>
      <c r="H37" s="18"/>
    </row>
    <row r="38" spans="1:8">
      <c r="A38" s="32" t="s">
        <v>75</v>
      </c>
      <c r="B38" s="31">
        <v>613</v>
      </c>
      <c r="C38" s="18"/>
      <c r="D38" s="18"/>
      <c r="E38" s="18"/>
      <c r="F38" s="18"/>
      <c r="G38" s="18"/>
      <c r="H38" s="18"/>
    </row>
    <row r="39" spans="1:8">
      <c r="A39" s="32" t="s">
        <v>102</v>
      </c>
      <c r="B39" s="31">
        <v>920</v>
      </c>
      <c r="C39" s="18" t="s">
        <v>86</v>
      </c>
      <c r="D39" s="18"/>
      <c r="E39" s="18"/>
      <c r="F39" s="18"/>
      <c r="G39" s="18"/>
      <c r="H39" s="18"/>
    </row>
    <row r="40" spans="1:8">
      <c r="A40" s="32" t="s">
        <v>76</v>
      </c>
      <c r="B40" s="31">
        <v>840</v>
      </c>
      <c r="C40" s="18"/>
      <c r="D40" s="18"/>
      <c r="E40" s="18"/>
      <c r="F40" s="18"/>
      <c r="G40" s="18"/>
      <c r="H40" s="18"/>
    </row>
    <row r="41" spans="1:8">
      <c r="A41" s="32" t="s">
        <v>101</v>
      </c>
      <c r="B41" s="31">
        <v>1260</v>
      </c>
      <c r="C41" s="18" t="s">
        <v>86</v>
      </c>
      <c r="D41" s="18"/>
      <c r="E41" s="18"/>
      <c r="F41" s="18"/>
      <c r="G41" s="18"/>
      <c r="H41" s="18"/>
    </row>
    <row r="42" spans="1:8">
      <c r="A42" s="32" t="s">
        <v>77</v>
      </c>
      <c r="B42" s="31">
        <v>980</v>
      </c>
      <c r="C42" s="18"/>
      <c r="D42" s="18"/>
      <c r="E42" s="18"/>
      <c r="F42" s="18"/>
      <c r="G42" s="18"/>
      <c r="H42" s="18"/>
    </row>
    <row r="43" spans="1:8">
      <c r="A43" s="32" t="s">
        <v>94</v>
      </c>
      <c r="B43" s="31">
        <v>482</v>
      </c>
      <c r="C43" s="18" t="s">
        <v>86</v>
      </c>
      <c r="D43" s="18"/>
      <c r="E43" s="18"/>
      <c r="F43" s="18"/>
      <c r="G43" s="18"/>
      <c r="H43" s="18"/>
    </row>
    <row r="44" spans="1:8">
      <c r="A44" s="32" t="s">
        <v>95</v>
      </c>
      <c r="B44" s="31">
        <v>689</v>
      </c>
      <c r="C44" s="18" t="s">
        <v>86</v>
      </c>
      <c r="D44" s="18"/>
      <c r="E44" s="18"/>
      <c r="F44" s="18"/>
      <c r="G44" s="18"/>
      <c r="H44" s="18"/>
    </row>
    <row r="45" spans="1:8">
      <c r="A45" s="32" t="s">
        <v>79</v>
      </c>
      <c r="B45" s="31">
        <v>892</v>
      </c>
      <c r="C45" s="18" t="s">
        <v>86</v>
      </c>
      <c r="D45" s="18"/>
      <c r="E45" s="18"/>
      <c r="F45" s="18"/>
      <c r="G45" s="18"/>
      <c r="H45" s="18"/>
    </row>
    <row r="46" spans="1:8">
      <c r="A46" s="32" t="s">
        <v>78</v>
      </c>
      <c r="B46" s="31">
        <v>1301</v>
      </c>
      <c r="C46" s="18"/>
      <c r="D46" s="18"/>
      <c r="E46" s="18"/>
      <c r="F46" s="18"/>
      <c r="G46" s="18"/>
      <c r="H46" s="18"/>
    </row>
    <row r="47" spans="1:8">
      <c r="A47" s="32" t="s">
        <v>80</v>
      </c>
      <c r="B47" s="31">
        <v>1686</v>
      </c>
      <c r="C47" s="18"/>
      <c r="D47" s="18"/>
      <c r="E47" s="18"/>
      <c r="F47" s="18"/>
      <c r="G47" s="18"/>
      <c r="H47" s="18"/>
    </row>
    <row r="48" spans="1:8">
      <c r="A48" s="32" t="s">
        <v>81</v>
      </c>
      <c r="B48" s="31">
        <v>2046</v>
      </c>
      <c r="C48" s="18"/>
      <c r="D48" s="18"/>
      <c r="E48" s="18"/>
      <c r="F48" s="18"/>
      <c r="G48" s="18"/>
      <c r="H48" s="18"/>
    </row>
    <row r="49" spans="1:8">
      <c r="A49" s="32" t="s">
        <v>82</v>
      </c>
      <c r="B49" s="31">
        <v>2310</v>
      </c>
      <c r="C49" s="18"/>
      <c r="D49" s="18"/>
      <c r="E49" s="18"/>
      <c r="F49" s="18"/>
      <c r="G49" s="18"/>
      <c r="H49" s="18"/>
    </row>
    <row r="50" spans="1:8">
      <c r="A50" s="32" t="s">
        <v>96</v>
      </c>
      <c r="B50" s="31">
        <v>2800</v>
      </c>
      <c r="C50" s="18" t="s">
        <v>86</v>
      </c>
      <c r="D50" s="18"/>
      <c r="E50" s="18"/>
      <c r="F50" s="18"/>
      <c r="G50" s="18"/>
      <c r="H50" s="18"/>
    </row>
    <row r="51" spans="1:8">
      <c r="A51" s="32" t="s">
        <v>83</v>
      </c>
      <c r="B51" s="31">
        <v>125</v>
      </c>
      <c r="C51" s="18"/>
      <c r="D51" s="18"/>
      <c r="E51" s="18"/>
      <c r="F51" s="18"/>
      <c r="G51" s="18"/>
      <c r="H51" s="18"/>
    </row>
    <row r="52" spans="1:8">
      <c r="B52" s="271" t="s">
        <v>100</v>
      </c>
      <c r="C52" s="271"/>
    </row>
    <row r="55" spans="1:8">
      <c r="A55" s="27" t="s">
        <v>105</v>
      </c>
      <c r="B55" s="26" t="s">
        <v>6</v>
      </c>
      <c r="C55" s="26" t="s">
        <v>7</v>
      </c>
      <c r="F55" s="270" t="s">
        <v>26</v>
      </c>
      <c r="G55" s="270"/>
    </row>
    <row r="56" spans="1:8">
      <c r="A56" s="19" t="s">
        <v>8</v>
      </c>
      <c r="B56" s="85">
        <v>161.19999999999999</v>
      </c>
      <c r="C56" s="86">
        <f>B56/2000</f>
        <v>8.0599999999999991E-2</v>
      </c>
      <c r="F56" t="s">
        <v>27</v>
      </c>
      <c r="G56" s="8">
        <f>0.0175</f>
        <v>1.7500000000000002E-2</v>
      </c>
    </row>
    <row r="57" spans="1:8">
      <c r="A57" s="19" t="s">
        <v>295</v>
      </c>
      <c r="B57" s="85">
        <v>165.23</v>
      </c>
      <c r="C57" s="86">
        <f>B57/2000</f>
        <v>8.2614999999999994E-2</v>
      </c>
      <c r="F57" t="s">
        <v>28</v>
      </c>
      <c r="G57" s="9">
        <v>5.1000000000000004E-3</v>
      </c>
    </row>
    <row r="58" spans="1:8">
      <c r="A58" s="32" t="s">
        <v>9</v>
      </c>
      <c r="B58" s="87">
        <f>B57-B56</f>
        <v>4.0300000000000011</v>
      </c>
      <c r="C58" s="88">
        <f>C57-C56</f>
        <v>2.0150000000000029E-3</v>
      </c>
      <c r="D58" s="69">
        <f>B58/B56</f>
        <v>2.5000000000000008E-2</v>
      </c>
      <c r="F58" t="s">
        <v>53</v>
      </c>
      <c r="G58" s="10"/>
    </row>
    <row r="59" spans="1:8">
      <c r="C59" s="70"/>
      <c r="F59" t="s">
        <v>16</v>
      </c>
      <c r="G59" s="23">
        <f>SUM(G56:G58)</f>
        <v>2.2600000000000002E-2</v>
      </c>
    </row>
    <row r="60" spans="1:8">
      <c r="B60" s="26" t="s">
        <v>106</v>
      </c>
    </row>
    <row r="61" spans="1:8">
      <c r="A61" t="s">
        <v>4</v>
      </c>
      <c r="B61" s="20">
        <f>B58</f>
        <v>4.0300000000000011</v>
      </c>
      <c r="F61" t="s">
        <v>29</v>
      </c>
      <c r="G61" s="25">
        <f>1-G59</f>
        <v>0.97740000000000005</v>
      </c>
    </row>
    <row r="62" spans="1:8">
      <c r="A62" t="s">
        <v>25</v>
      </c>
      <c r="B62" s="20">
        <f>B61/$G$61</f>
        <v>4.1231839574381022</v>
      </c>
      <c r="C62">
        <f>157.27*1.025</f>
        <v>161.20175</v>
      </c>
    </row>
    <row r="63" spans="1:8">
      <c r="A63" t="s">
        <v>24</v>
      </c>
      <c r="B63" s="13">
        <f>'Staff Calcs '!E88</f>
        <v>5718.1</v>
      </c>
      <c r="C63">
        <f>+B57*1.036</f>
        <v>171.17828</v>
      </c>
    </row>
    <row r="64" spans="1:8">
      <c r="A64" s="30" t="s">
        <v>30</v>
      </c>
      <c r="B64" s="5">
        <f>B62*B63</f>
        <v>23576.778187026812</v>
      </c>
      <c r="E64" s="20"/>
    </row>
    <row r="65" spans="1:7">
      <c r="G65" s="20"/>
    </row>
    <row r="66" spans="1:7">
      <c r="G66" s="20"/>
    </row>
    <row r="67" spans="1:7" ht="15.75" thickBot="1"/>
    <row r="68" spans="1:7">
      <c r="A68" s="65" t="s">
        <v>91</v>
      </c>
      <c r="B68" s="66" t="s">
        <v>89</v>
      </c>
      <c r="D68" s="20"/>
    </row>
    <row r="69" spans="1:7">
      <c r="A69" s="67" t="s">
        <v>90</v>
      </c>
      <c r="B69" s="68">
        <f>'Staff Calcs '!S64</f>
        <v>21561.778976928952</v>
      </c>
    </row>
    <row r="70" spans="1:7">
      <c r="A70" s="67" t="s">
        <v>12</v>
      </c>
      <c r="B70" s="68">
        <f>B69-B64</f>
        <v>-2014.9992100978598</v>
      </c>
    </row>
    <row r="71" spans="1:7" ht="15.75" thickBot="1">
      <c r="A71" s="73"/>
      <c r="B71" s="89"/>
    </row>
    <row r="72" spans="1:7">
      <c r="A72" s="30"/>
      <c r="B72" s="37"/>
    </row>
    <row r="73" spans="1:7">
      <c r="B73" s="61"/>
    </row>
    <row r="74" spans="1:7">
      <c r="A74" s="19"/>
      <c r="B74" s="61"/>
    </row>
  </sheetData>
  <mergeCells count="5">
    <mergeCell ref="A6:H6"/>
    <mergeCell ref="F55:G55"/>
    <mergeCell ref="A16:B16"/>
    <mergeCell ref="B52:C52"/>
    <mergeCell ref="A4:H4"/>
  </mergeCells>
  <pageMargins left="0.7" right="0.7" top="0.75" bottom="0.75" header="0.3" footer="0.3"/>
  <pageSetup scale="48" orientation="landscape" r:id="rId1"/>
  <headerFooter>
    <oddFooter>&amp;L&amp;F - &amp;A&amp;R&amp;P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91"/>
  <sheetViews>
    <sheetView tabSelected="1" topLeftCell="A34" zoomScale="85" zoomScaleNormal="85" zoomScaleSheetLayoutView="85" workbookViewId="0">
      <selection activeCell="G22" sqref="G22"/>
    </sheetView>
  </sheetViews>
  <sheetFormatPr defaultColWidth="8.85546875" defaultRowHeight="15"/>
  <cols>
    <col min="1" max="1" width="4.5703125" customWidth="1"/>
    <col min="2" max="2" width="13.42578125" style="37" bestFit="1" customWidth="1"/>
    <col min="3" max="3" width="13.42578125" style="37" customWidth="1"/>
    <col min="4" max="4" width="29.28515625" bestFit="1" customWidth="1"/>
    <col min="5" max="5" width="12.28515625" style="35" bestFit="1" customWidth="1"/>
    <col min="6" max="6" width="10.28515625" bestFit="1" customWidth="1"/>
    <col min="7" max="7" width="11.7109375" bestFit="1" customWidth="1"/>
    <col min="8" max="8" width="15.140625" bestFit="1" customWidth="1"/>
    <col min="9" max="9" width="17.28515625" bestFit="1" customWidth="1"/>
    <col min="10" max="10" width="16.28515625" style="34" bestFit="1" customWidth="1"/>
    <col min="11" max="12" width="12.28515625" style="255" bestFit="1" customWidth="1"/>
    <col min="13" max="13" width="10.7109375" bestFit="1" customWidth="1"/>
    <col min="14" max="14" width="16.5703125" bestFit="1" customWidth="1"/>
    <col min="15" max="15" width="20.140625" bestFit="1" customWidth="1"/>
    <col min="16" max="16" width="18.140625" bestFit="1" customWidth="1"/>
    <col min="17" max="17" width="16.5703125" bestFit="1" customWidth="1"/>
    <col min="18" max="18" width="18.42578125" bestFit="1" customWidth="1"/>
    <col min="19" max="19" width="18.7109375" bestFit="1" customWidth="1"/>
    <col min="20" max="20" width="15.28515625" bestFit="1" customWidth="1"/>
    <col min="21" max="21" width="22.85546875" bestFit="1" customWidth="1"/>
  </cols>
  <sheetData>
    <row r="1" spans="1:21">
      <c r="A1" s="30" t="s">
        <v>214</v>
      </c>
      <c r="B1" s="74"/>
      <c r="C1" s="74"/>
      <c r="E1"/>
      <c r="J1"/>
    </row>
    <row r="2" spans="1:21">
      <c r="A2" s="30" t="s">
        <v>290</v>
      </c>
      <c r="B2" s="74"/>
      <c r="C2" s="74"/>
      <c r="E2"/>
      <c r="J2"/>
    </row>
    <row r="3" spans="1:21">
      <c r="A3" s="30" t="s">
        <v>292</v>
      </c>
      <c r="B3" s="74"/>
      <c r="C3" s="74"/>
      <c r="E3"/>
      <c r="J3"/>
    </row>
    <row r="4" spans="1:21">
      <c r="A4" s="30" t="s">
        <v>541</v>
      </c>
      <c r="B4" s="74"/>
      <c r="C4" s="74"/>
      <c r="E4"/>
      <c r="J4"/>
    </row>
    <row r="5" spans="1:21" ht="31.5" customHeight="1">
      <c r="A5" s="272" t="s">
        <v>543</v>
      </c>
      <c r="B5" s="272"/>
      <c r="C5" s="272"/>
      <c r="D5" s="272"/>
      <c r="E5" s="272"/>
      <c r="F5" s="272"/>
      <c r="G5" s="272"/>
      <c r="H5" s="272"/>
      <c r="I5" s="272"/>
      <c r="J5" s="272"/>
      <c r="K5" s="256"/>
    </row>
    <row r="6" spans="1:21" ht="30">
      <c r="A6" s="27"/>
      <c r="B6" s="53" t="s">
        <v>15</v>
      </c>
      <c r="C6" s="53"/>
      <c r="D6" s="92" t="s">
        <v>17</v>
      </c>
      <c r="E6" s="53" t="s">
        <v>42</v>
      </c>
      <c r="F6" s="53" t="s">
        <v>0</v>
      </c>
      <c r="G6" s="53" t="s">
        <v>1</v>
      </c>
      <c r="H6" s="53" t="s">
        <v>10</v>
      </c>
      <c r="I6" s="53" t="s">
        <v>34</v>
      </c>
      <c r="J6" s="90" t="s">
        <v>35</v>
      </c>
      <c r="K6" s="257" t="s">
        <v>9</v>
      </c>
      <c r="L6" s="257" t="s">
        <v>2</v>
      </c>
      <c r="M6" s="53" t="s">
        <v>44</v>
      </c>
      <c r="N6" s="91" t="s">
        <v>39</v>
      </c>
      <c r="O6" s="53" t="s">
        <v>36</v>
      </c>
      <c r="P6" s="53" t="s">
        <v>37</v>
      </c>
      <c r="Q6" s="53" t="s">
        <v>40</v>
      </c>
      <c r="R6" s="53" t="s">
        <v>38</v>
      </c>
      <c r="S6" s="53" t="s">
        <v>45</v>
      </c>
      <c r="T6" s="53" t="s">
        <v>41</v>
      </c>
      <c r="U6" s="53" t="s">
        <v>43</v>
      </c>
    </row>
    <row r="7" spans="1:21" ht="15" customHeight="1">
      <c r="A7" s="273" t="s">
        <v>13</v>
      </c>
      <c r="B7" s="24">
        <v>21</v>
      </c>
      <c r="C7" s="24"/>
      <c r="D7" t="s">
        <v>312</v>
      </c>
      <c r="E7" s="7">
        <f>SUMIF('Jefferson Reg Price Out'!C:C,D7,'Jefferson Reg Price Out'!AH:AH)</f>
        <v>15.957785087719296</v>
      </c>
      <c r="F7" s="3">
        <f>References!B12</f>
        <v>4.333333333333333</v>
      </c>
      <c r="G7" s="43">
        <f>E7*F7*12</f>
        <v>829.80482456140339</v>
      </c>
      <c r="H7" s="43">
        <f>References!B18</f>
        <v>20</v>
      </c>
      <c r="I7" s="43">
        <f>G7*H7</f>
        <v>16596.096491228069</v>
      </c>
      <c r="J7" s="75">
        <f t="shared" ref="J7:J28" si="0">$E$91*I7</f>
        <v>10621.80202209319</v>
      </c>
      <c r="K7" s="258">
        <f>(References!$C$58*J7)</f>
        <v>21.402931074517809</v>
      </c>
      <c r="L7" s="258">
        <f>K7/References!$G$61</f>
        <v>21.897821848289144</v>
      </c>
      <c r="M7" s="42">
        <f>L7/G7*F7</f>
        <v>0.11435286772734909</v>
      </c>
      <c r="N7" s="61">
        <f>'Proposed Rates'!B11</f>
        <v>18.38392283058657</v>
      </c>
      <c r="O7" s="42">
        <f>M7+N7</f>
        <v>18.498275698313918</v>
      </c>
      <c r="P7" s="61">
        <f>'Proposed Rates'!D11</f>
        <v>18.498275698313918</v>
      </c>
      <c r="Q7" s="258">
        <f>E7*N7*12</f>
        <v>3520.4002751966</v>
      </c>
      <c r="R7" s="258">
        <f>E7*P7*12</f>
        <v>3542.2980970448893</v>
      </c>
      <c r="S7" s="258">
        <f>R7-Q7</f>
        <v>21.897821848289368</v>
      </c>
      <c r="T7" s="258">
        <f>E7*O7*12</f>
        <v>3542.2980970448893</v>
      </c>
      <c r="U7" s="42">
        <f>R7-T7</f>
        <v>0</v>
      </c>
    </row>
    <row r="8" spans="1:21" ht="15" customHeight="1">
      <c r="A8" s="273"/>
      <c r="B8" s="24">
        <v>21</v>
      </c>
      <c r="C8" s="24"/>
      <c r="D8" t="s">
        <v>107</v>
      </c>
      <c r="E8" s="7">
        <f>SUMIF('Jefferson Reg Price Out'!C:C,D8,'Jefferson Reg Price Out'!AH:AH)</f>
        <v>1.4062897077509531</v>
      </c>
      <c r="F8" s="3">
        <f>References!B12</f>
        <v>4.333333333333333</v>
      </c>
      <c r="G8" s="43">
        <f t="shared" ref="G8:G19" si="1">E8*F8*12</f>
        <v>73.127064803049549</v>
      </c>
      <c r="H8" s="43">
        <f>References!B19</f>
        <v>34</v>
      </c>
      <c r="I8" s="43">
        <f t="shared" ref="I8:I28" si="2">G8*H8</f>
        <v>2486.3202033036846</v>
      </c>
      <c r="J8" s="75">
        <f t="shared" si="0"/>
        <v>1591.2899142868273</v>
      </c>
      <c r="K8" s="258">
        <f>(References!$C$58*J8)</f>
        <v>3.2064491772879617</v>
      </c>
      <c r="L8" s="258">
        <f>K8/References!$G$61</f>
        <v>3.2805905231102535</v>
      </c>
      <c r="M8" s="42">
        <f t="shared" ref="M8:M16" si="3">L8/G8*F8</f>
        <v>0.19439987513649343</v>
      </c>
      <c r="N8" s="61">
        <f>'Proposed Rates'!B12</f>
        <v>23.854668811997172</v>
      </c>
      <c r="O8" s="42">
        <f t="shared" ref="O8:O62" si="4">M8+N8</f>
        <v>24.049068687133666</v>
      </c>
      <c r="P8" s="61">
        <f>'Proposed Rates'!D12</f>
        <v>24.049068687133666</v>
      </c>
      <c r="Q8" s="258">
        <f t="shared" ref="Q8" si="5">E8*N8*12</f>
        <v>402.55890278543137</v>
      </c>
      <c r="R8" s="258">
        <f t="shared" ref="R8" si="6">E8*P8*12</f>
        <v>405.83949330854159</v>
      </c>
      <c r="S8" s="258">
        <f>R8-Q8</f>
        <v>3.2805905231102201</v>
      </c>
      <c r="T8" s="258">
        <f t="shared" ref="T8" si="7">E8*O8*12</f>
        <v>405.83949330854159</v>
      </c>
      <c r="U8" s="42">
        <f t="shared" ref="U8" si="8">R8-T8</f>
        <v>0</v>
      </c>
    </row>
    <row r="9" spans="1:21">
      <c r="A9" s="273"/>
      <c r="B9" s="24">
        <v>21</v>
      </c>
      <c r="C9" s="24"/>
      <c r="D9" t="s">
        <v>108</v>
      </c>
      <c r="E9" s="7">
        <f>SUMIF('Jefferson Reg Price Out'!C:C,D9,'Jefferson Reg Price Out'!AH:AH)</f>
        <v>2.7499761564139242</v>
      </c>
      <c r="F9" s="3">
        <f>References!B12</f>
        <v>4.333333333333333</v>
      </c>
      <c r="G9" s="43">
        <f t="shared" si="1"/>
        <v>142.99876013352406</v>
      </c>
      <c r="H9" s="43">
        <f>References!B20</f>
        <v>51</v>
      </c>
      <c r="I9" s="43">
        <f t="shared" si="2"/>
        <v>7292.9367668097266</v>
      </c>
      <c r="J9" s="75">
        <f t="shared" si="0"/>
        <v>4667.6114794609257</v>
      </c>
      <c r="K9" s="258">
        <f>(References!$C$58*J9)</f>
        <v>9.405237131113779</v>
      </c>
      <c r="L9" s="258">
        <f>K9/References!$G$61</f>
        <v>9.6227103858336189</v>
      </c>
      <c r="M9" s="42">
        <f t="shared" si="3"/>
        <v>0.29159981270474017</v>
      </c>
      <c r="N9" s="61">
        <f>'Proposed Rates'!B13</f>
        <v>35.317003217995762</v>
      </c>
      <c r="O9" s="42">
        <f t="shared" si="4"/>
        <v>35.6086030307005</v>
      </c>
      <c r="P9" s="61">
        <f>'Proposed Rates'!D13</f>
        <v>35.6086030307005</v>
      </c>
      <c r="Q9" s="258">
        <f t="shared" ref="Q9:Q19" si="9">E9*N9*12</f>
        <v>1165.451001185786</v>
      </c>
      <c r="R9" s="258">
        <f t="shared" ref="R9:R16" si="10">E9*P9*12</f>
        <v>1175.0737115716197</v>
      </c>
      <c r="S9" s="258">
        <f t="shared" ref="S9:S28" si="11">R9-Q9</f>
        <v>9.6227103858336704</v>
      </c>
      <c r="T9" s="258">
        <f t="shared" ref="T9:T16" si="12">E9*O9*12</f>
        <v>1175.0737115716197</v>
      </c>
      <c r="U9" s="42">
        <f t="shared" ref="U9:U28" si="13">R9-T9</f>
        <v>0</v>
      </c>
    </row>
    <row r="10" spans="1:21">
      <c r="A10" s="273"/>
      <c r="B10" s="24">
        <v>21</v>
      </c>
      <c r="C10" s="24"/>
      <c r="D10" t="s">
        <v>110</v>
      </c>
      <c r="E10" s="7">
        <f>SUMIF('Jefferson Reg Price Out'!C:C,D10,'Jefferson Reg Price Out'!AH:AH)</f>
        <v>1311.1642090285864</v>
      </c>
      <c r="F10" s="3">
        <f>References!B12</f>
        <v>4.333333333333333</v>
      </c>
      <c r="G10" s="43">
        <f t="shared" si="1"/>
        <v>68180.538869486481</v>
      </c>
      <c r="H10" s="43">
        <f>References!B25</f>
        <v>37</v>
      </c>
      <c r="I10" s="43">
        <f t="shared" si="2"/>
        <v>2522679.9381709998</v>
      </c>
      <c r="J10" s="75">
        <f t="shared" si="0"/>
        <v>1614560.8024466154</v>
      </c>
      <c r="K10" s="258">
        <f>(References!$C$58*J10)</f>
        <v>3253.3400169299348</v>
      </c>
      <c r="L10" s="258">
        <f>K10/References!$G$61</f>
        <v>3328.5655994781405</v>
      </c>
      <c r="M10" s="42">
        <f t="shared" si="3"/>
        <v>0.21155280529559581</v>
      </c>
      <c r="N10" s="61">
        <f>'Proposed Rates'!B17</f>
        <v>26.036257236585158</v>
      </c>
      <c r="O10" s="42">
        <f t="shared" si="4"/>
        <v>26.247810041880754</v>
      </c>
      <c r="P10" s="61">
        <f>'Proposed Rates'!D17</f>
        <v>26.247810041880754</v>
      </c>
      <c r="Q10" s="258">
        <f t="shared" si="9"/>
        <v>409653.7035080638</v>
      </c>
      <c r="R10" s="258">
        <f t="shared" si="10"/>
        <v>412982.269107542</v>
      </c>
      <c r="S10" s="258">
        <f t="shared" si="11"/>
        <v>3328.5655994781991</v>
      </c>
      <c r="T10" s="258">
        <f t="shared" si="12"/>
        <v>412982.269107542</v>
      </c>
      <c r="U10" s="42">
        <f t="shared" si="13"/>
        <v>0</v>
      </c>
    </row>
    <row r="11" spans="1:21">
      <c r="A11" s="273"/>
      <c r="B11" s="24">
        <v>21</v>
      </c>
      <c r="C11" s="24"/>
      <c r="D11" t="s">
        <v>111</v>
      </c>
      <c r="E11" s="7">
        <f>SUMIF('Jefferson Reg Price Out'!C:C,D11,'Jefferson Reg Price Out'!AH:AH)</f>
        <v>844.81068594958322</v>
      </c>
      <c r="F11" s="3">
        <f>References!B12</f>
        <v>4.333333333333333</v>
      </c>
      <c r="G11" s="43">
        <f t="shared" si="1"/>
        <v>43930.15566937832</v>
      </c>
      <c r="H11" s="43">
        <f>References!B26</f>
        <v>47</v>
      </c>
      <c r="I11" s="43">
        <f t="shared" si="2"/>
        <v>2064717.316460781</v>
      </c>
      <c r="J11" s="75">
        <f t="shared" si="0"/>
        <v>1321456.4387852093</v>
      </c>
      <c r="K11" s="258">
        <f>(References!$C$58*J11)</f>
        <v>2662.7347241522007</v>
      </c>
      <c r="L11" s="258">
        <f>K11/References!$G$61</f>
        <v>2724.3039944262332</v>
      </c>
      <c r="M11" s="42">
        <f t="shared" si="3"/>
        <v>0.26872923915927033</v>
      </c>
      <c r="N11" s="61">
        <f>'Proposed Rates'!B18</f>
        <v>33.52821865187844</v>
      </c>
      <c r="O11" s="42">
        <f t="shared" si="4"/>
        <v>33.796947891037711</v>
      </c>
      <c r="P11" s="61">
        <f>'Proposed Rates'!D18</f>
        <v>33.796947891037711</v>
      </c>
      <c r="Q11" s="258">
        <f t="shared" si="9"/>
        <v>339899.96877553244</v>
      </c>
      <c r="R11" s="258">
        <f t="shared" si="10"/>
        <v>342624.27276995865</v>
      </c>
      <c r="S11" s="258">
        <f t="shared" si="11"/>
        <v>2724.3039944262127</v>
      </c>
      <c r="T11" s="258">
        <f t="shared" si="12"/>
        <v>342624.27276995865</v>
      </c>
      <c r="U11" s="42">
        <f t="shared" si="13"/>
        <v>0</v>
      </c>
    </row>
    <row r="12" spans="1:21">
      <c r="A12" s="273"/>
      <c r="B12" s="24">
        <v>21</v>
      </c>
      <c r="C12" s="24"/>
      <c r="D12" t="s">
        <v>325</v>
      </c>
      <c r="E12" s="7">
        <f>SUMIF('Jefferson Reg Price Out'!C:C,D12,'Jefferson Reg Price Out'!AH:AH)</f>
        <v>4.708333333333333</v>
      </c>
      <c r="F12" s="3">
        <f>References!B11</f>
        <v>8.6666666666666661</v>
      </c>
      <c r="G12" s="43">
        <f t="shared" ref="G12" si="14">E12*F12*12</f>
        <v>489.66666666666663</v>
      </c>
      <c r="H12" s="43">
        <f>References!B26</f>
        <v>47</v>
      </c>
      <c r="I12" s="43">
        <f t="shared" ref="I12" si="15">G12*H12</f>
        <v>23014.333333333332</v>
      </c>
      <c r="J12" s="75">
        <f t="shared" si="0"/>
        <v>14729.589724085639</v>
      </c>
      <c r="K12" s="258">
        <f>(References!$C$58*J12)</f>
        <v>29.680123294032605</v>
      </c>
      <c r="L12" s="258">
        <f>K12/References!$G$61</f>
        <v>30.366404024997546</v>
      </c>
      <c r="M12" s="42">
        <f t="shared" ref="M12" si="16">L12/G12*F12</f>
        <v>0.53745847831854066</v>
      </c>
      <c r="N12" s="61">
        <f>+N11*2</f>
        <v>67.05643730375688</v>
      </c>
      <c r="O12" s="42">
        <f t="shared" ref="O12" si="17">M12+N12</f>
        <v>67.593895782075421</v>
      </c>
      <c r="P12" s="61">
        <f>+P11*2</f>
        <v>67.593895782075421</v>
      </c>
      <c r="Q12" s="258">
        <f t="shared" ref="Q12" si="18">E12*N12*12</f>
        <v>3788.6887076622634</v>
      </c>
      <c r="R12" s="258">
        <f t="shared" ref="R12" si="19">E12*P12*12</f>
        <v>3819.0551116872612</v>
      </c>
      <c r="S12" s="258">
        <f t="shared" ref="S12" si="20">R12-Q12</f>
        <v>30.366404024997792</v>
      </c>
      <c r="T12" s="258">
        <f t="shared" ref="T12" si="21">E12*O12*12</f>
        <v>3819.0551116872612</v>
      </c>
      <c r="U12" s="42">
        <f t="shared" ref="U12" si="22">R12-T12</f>
        <v>0</v>
      </c>
    </row>
    <row r="13" spans="1:21">
      <c r="A13" s="273"/>
      <c r="B13" s="24">
        <v>21</v>
      </c>
      <c r="C13" s="24"/>
      <c r="D13" t="s">
        <v>315</v>
      </c>
      <c r="E13" s="7">
        <f>SUMIF('Jefferson Reg Price Out'!C:C,D13,'Jefferson Reg Price Out'!AH:AH)</f>
        <v>253.45737913486008</v>
      </c>
      <c r="F13" s="3">
        <f>References!B12</f>
        <v>4.333333333333333</v>
      </c>
      <c r="G13" s="43">
        <f t="shared" si="1"/>
        <v>13179.783715012723</v>
      </c>
      <c r="H13" s="43">
        <f>+References!B21</f>
        <v>77</v>
      </c>
      <c r="I13" s="43">
        <f t="shared" si="2"/>
        <v>1014843.3460559797</v>
      </c>
      <c r="J13" s="75">
        <f t="shared" si="0"/>
        <v>649518.10270220786</v>
      </c>
      <c r="K13" s="258">
        <f>(References!$C$58*J13)</f>
        <v>1308.7789769449507</v>
      </c>
      <c r="L13" s="258">
        <f>K13/References!$G$61</f>
        <v>1339.0413105636901</v>
      </c>
      <c r="M13" s="42">
        <f>L13/G13*F13</f>
        <v>0.44025854075029403</v>
      </c>
      <c r="N13" s="61">
        <f>+'Proposed Rates'!B19</f>
        <v>43.719337623994342</v>
      </c>
      <c r="O13" s="42">
        <f t="shared" si="4"/>
        <v>44.159596164744634</v>
      </c>
      <c r="P13" s="61">
        <f>'Proposed Rates'!D19</f>
        <v>44.159596164744634</v>
      </c>
      <c r="Q13" s="258">
        <f t="shared" si="9"/>
        <v>132971.86478027626</v>
      </c>
      <c r="R13" s="258">
        <f t="shared" si="10"/>
        <v>134310.90609083994</v>
      </c>
      <c r="S13" s="258">
        <f t="shared" si="11"/>
        <v>1339.0413105636835</v>
      </c>
      <c r="T13" s="258">
        <f t="shared" si="12"/>
        <v>134310.90609083994</v>
      </c>
      <c r="U13" s="42">
        <f t="shared" si="13"/>
        <v>0</v>
      </c>
    </row>
    <row r="14" spans="1:21">
      <c r="A14" s="273"/>
      <c r="B14" s="24">
        <v>21</v>
      </c>
      <c r="C14" s="24"/>
      <c r="D14" t="s">
        <v>112</v>
      </c>
      <c r="E14" s="7">
        <f>SUMIF('Jefferson Reg Price Out'!C:C,D14,'Jefferson Reg Price Out'!AH:AH)</f>
        <v>6.541666666666667</v>
      </c>
      <c r="F14" s="3">
        <f>References!B13</f>
        <v>2.1666666666666665</v>
      </c>
      <c r="G14" s="43">
        <f t="shared" si="1"/>
        <v>170.08333333333331</v>
      </c>
      <c r="H14" s="43">
        <f>References!B19</f>
        <v>34</v>
      </c>
      <c r="I14" s="43">
        <f t="shared" si="2"/>
        <v>5782.833333333333</v>
      </c>
      <c r="J14" s="75">
        <f t="shared" si="0"/>
        <v>3701.1179602320253</v>
      </c>
      <c r="K14" s="258">
        <f>(References!$C$58*J14)</f>
        <v>7.4577526898675419</v>
      </c>
      <c r="L14" s="258">
        <f>K14/References!$G$61</f>
        <v>7.6301950991073682</v>
      </c>
      <c r="M14" s="42">
        <f>L14/G14*F14</f>
        <v>9.7199937568246728E-2</v>
      </c>
      <c r="N14" s="61">
        <f>'Proposed Rates'!B20</f>
        <v>13.942334405998587</v>
      </c>
      <c r="O14" s="42">
        <f t="shared" si="4"/>
        <v>14.039534343566833</v>
      </c>
      <c r="P14" s="61">
        <f>'Proposed Rates'!D20</f>
        <v>14.039534343566833</v>
      </c>
      <c r="Q14" s="258">
        <f t="shared" si="9"/>
        <v>1094.4732508708892</v>
      </c>
      <c r="R14" s="258">
        <f t="shared" si="10"/>
        <v>1102.1034459699963</v>
      </c>
      <c r="S14" s="258">
        <f t="shared" si="11"/>
        <v>7.6301950991071408</v>
      </c>
      <c r="T14" s="258">
        <f t="shared" si="12"/>
        <v>1102.1034459699963</v>
      </c>
      <c r="U14" s="42">
        <f t="shared" si="13"/>
        <v>0</v>
      </c>
    </row>
    <row r="15" spans="1:21" ht="14.45" customHeight="1">
      <c r="A15" s="273"/>
      <c r="B15" s="24">
        <v>21</v>
      </c>
      <c r="C15" s="24"/>
      <c r="D15" t="s">
        <v>113</v>
      </c>
      <c r="E15" s="7">
        <f>SUMIF('Jefferson Reg Price Out'!C:C,D15,'Jefferson Reg Price Out'!AH:AH)</f>
        <v>806.77986385595079</v>
      </c>
      <c r="F15" s="3">
        <f>References!B13</f>
        <v>2.1666666666666665</v>
      </c>
      <c r="G15" s="43">
        <f t="shared" si="1"/>
        <v>20976.276460254718</v>
      </c>
      <c r="H15" s="43">
        <f>References!B25</f>
        <v>37</v>
      </c>
      <c r="I15" s="43">
        <f t="shared" si="2"/>
        <v>776122.2290294246</v>
      </c>
      <c r="J15" s="75">
        <f t="shared" si="0"/>
        <v>496732.26870267466</v>
      </c>
      <c r="K15" s="258">
        <f>(References!$C$58*J15)</f>
        <v>1000.9155214358909</v>
      </c>
      <c r="L15" s="258">
        <f>K15/References!$G$61</f>
        <v>1024.0592607283515</v>
      </c>
      <c r="M15" s="42">
        <f t="shared" si="3"/>
        <v>0.10577640264779792</v>
      </c>
      <c r="N15" s="61">
        <f>'Proposed Rates'!B21</f>
        <v>15.313128618292579</v>
      </c>
      <c r="O15" s="42">
        <f t="shared" si="4"/>
        <v>15.418905020940377</v>
      </c>
      <c r="P15" s="61">
        <f>'Proposed Rates'!D21</f>
        <v>15.418905020940377</v>
      </c>
      <c r="Q15" s="258">
        <f t="shared" si="9"/>
        <v>148251.885862497</v>
      </c>
      <c r="R15" s="258">
        <f t="shared" si="10"/>
        <v>149275.94512322536</v>
      </c>
      <c r="S15" s="258">
        <f t="shared" si="11"/>
        <v>1024.0592607283616</v>
      </c>
      <c r="T15" s="258">
        <f t="shared" si="12"/>
        <v>149275.94512322536</v>
      </c>
      <c r="U15" s="42">
        <f t="shared" si="13"/>
        <v>0</v>
      </c>
    </row>
    <row r="16" spans="1:21">
      <c r="A16" s="273"/>
      <c r="B16" s="24">
        <v>21</v>
      </c>
      <c r="C16" s="24"/>
      <c r="D16" t="s">
        <v>114</v>
      </c>
      <c r="E16" s="7">
        <f>SUMIF('Jefferson Reg Price Out'!C:C,D16,'Jefferson Reg Price Out'!AH:AH)</f>
        <v>870.4033189033189</v>
      </c>
      <c r="F16" s="3">
        <f>References!B13</f>
        <v>2.1666666666666665</v>
      </c>
      <c r="G16" s="43">
        <f t="shared" si="1"/>
        <v>22630.48629148629</v>
      </c>
      <c r="H16" s="43">
        <f>References!B26</f>
        <v>47</v>
      </c>
      <c r="I16" s="43">
        <f t="shared" si="2"/>
        <v>1063632.8556998556</v>
      </c>
      <c r="J16" s="75">
        <f t="shared" si="0"/>
        <v>680744.27160681563</v>
      </c>
      <c r="K16" s="258">
        <f>(References!$C$58*J16)</f>
        <v>1371.6997072877355</v>
      </c>
      <c r="L16" s="258">
        <f>K16/References!$G$61</f>
        <v>1403.4169299035557</v>
      </c>
      <c r="M16" s="42">
        <f t="shared" si="3"/>
        <v>0.13436461957963516</v>
      </c>
      <c r="N16" s="61">
        <f>'Proposed Rates'!B22</f>
        <v>18.649109325939222</v>
      </c>
      <c r="O16" s="42">
        <f t="shared" si="4"/>
        <v>18.783473945518857</v>
      </c>
      <c r="P16" s="61">
        <f>'Proposed Rates'!D22</f>
        <v>18.783473945518857</v>
      </c>
      <c r="Q16" s="258">
        <f t="shared" si="9"/>
        <v>194786.95982266002</v>
      </c>
      <c r="R16" s="258">
        <f t="shared" si="10"/>
        <v>196190.37675256358</v>
      </c>
      <c r="S16" s="258">
        <f t="shared" si="11"/>
        <v>1403.4169299035566</v>
      </c>
      <c r="T16" s="258">
        <f t="shared" si="12"/>
        <v>196190.37675256358</v>
      </c>
      <c r="U16" s="42">
        <f t="shared" si="13"/>
        <v>0</v>
      </c>
    </row>
    <row r="17" spans="1:21">
      <c r="A17" s="273"/>
      <c r="B17" s="24">
        <v>21</v>
      </c>
      <c r="C17" s="24"/>
      <c r="D17" t="s">
        <v>321</v>
      </c>
      <c r="E17" s="7">
        <f>SUMIF('Jefferson Reg Price Out'!C:C,D17,'Jefferson Reg Price Out'!AH:AH)</f>
        <v>3</v>
      </c>
      <c r="F17" s="3">
        <f>References!B12</f>
        <v>4.333333333333333</v>
      </c>
      <c r="G17" s="43">
        <f t="shared" ref="G17" si="23">E17*F17*12</f>
        <v>156</v>
      </c>
      <c r="H17" s="43">
        <f>References!B26</f>
        <v>47</v>
      </c>
      <c r="I17" s="43">
        <f t="shared" ref="I17" si="24">G17*H17</f>
        <v>7332</v>
      </c>
      <c r="J17" s="75">
        <f t="shared" si="0"/>
        <v>4692.6126554609118</v>
      </c>
      <c r="K17" s="258">
        <f>(References!$C$58*J17)</f>
        <v>9.4556145007537502</v>
      </c>
      <c r="L17" s="258">
        <f>K17/References!$G$61</f>
        <v>9.6742526097337329</v>
      </c>
      <c r="M17" s="42">
        <f t="shared" ref="M17" si="25">L17/G17*F17</f>
        <v>0.26872923915927033</v>
      </c>
      <c r="N17" s="61">
        <f>N16*2</f>
        <v>37.298218651878443</v>
      </c>
      <c r="O17" s="42">
        <f t="shared" ref="O17" si="26">M17+N17</f>
        <v>37.566947891037714</v>
      </c>
      <c r="P17" s="61">
        <f>P16*2</f>
        <v>37.566947891037714</v>
      </c>
      <c r="Q17" s="258">
        <f t="shared" ref="Q17" si="27">E17*N17*12</f>
        <v>1342.7358714676238</v>
      </c>
      <c r="R17" s="258">
        <f t="shared" ref="R17" si="28">E17*P17*12</f>
        <v>1352.4101240773578</v>
      </c>
      <c r="S17" s="258">
        <f t="shared" ref="S17" si="29">R17-Q17</f>
        <v>9.6742526097339123</v>
      </c>
      <c r="T17" s="258">
        <f t="shared" ref="T17" si="30">E17*O17*12</f>
        <v>1352.4101240773578</v>
      </c>
      <c r="U17" s="42">
        <f t="shared" ref="U17" si="31">R17-T17</f>
        <v>0</v>
      </c>
    </row>
    <row r="18" spans="1:21">
      <c r="A18" s="273"/>
      <c r="B18" s="24">
        <v>21</v>
      </c>
      <c r="C18" s="24"/>
      <c r="D18" t="s">
        <v>327</v>
      </c>
      <c r="E18" s="7">
        <f>SUMIF('Jefferson Reg Price Out'!C:C,D18,'Jefferson Reg Price Out'!AH:AH)</f>
        <v>192.91666666666666</v>
      </c>
      <c r="F18" s="3">
        <f>References!B13</f>
        <v>2.1666666666666665</v>
      </c>
      <c r="G18" s="43">
        <f t="shared" ref="G18" si="32">E18*F18*12</f>
        <v>5015.833333333333</v>
      </c>
      <c r="H18" s="43">
        <f>References!B21</f>
        <v>77</v>
      </c>
      <c r="I18" s="43">
        <f t="shared" ref="I18" si="33">G18*H18</f>
        <v>386219.16666666663</v>
      </c>
      <c r="J18" s="75">
        <f t="shared" si="0"/>
        <v>247187.25440283239</v>
      </c>
      <c r="K18" s="258">
        <f>(References!$C$58*J18)</f>
        <v>498.082317621708</v>
      </c>
      <c r="L18" s="258">
        <f>K18/References!$G$61</f>
        <v>509.59926091846529</v>
      </c>
      <c r="M18" s="42">
        <f t="shared" ref="M18" si="34">L18/G18*F18</f>
        <v>0.22012927037514701</v>
      </c>
      <c r="N18" s="61">
        <f>+'Proposed Rates'!B23</f>
        <v>24.684668811997174</v>
      </c>
      <c r="O18" s="42">
        <f t="shared" ref="O18" si="35">M18+N18</f>
        <v>24.90479808237232</v>
      </c>
      <c r="P18" s="61">
        <f>+'Proposed Rates'!D23</f>
        <v>24.90479808237232</v>
      </c>
      <c r="Q18" s="258">
        <f t="shared" ref="Q18" si="36">E18*N18*12</f>
        <v>57145.00829977345</v>
      </c>
      <c r="R18" s="258">
        <f t="shared" ref="R18" si="37">E18*P18*12</f>
        <v>57654.607560691918</v>
      </c>
      <c r="S18" s="258">
        <f t="shared" ref="S18" si="38">R18-Q18</f>
        <v>509.59926091846864</v>
      </c>
      <c r="T18" s="258">
        <f t="shared" ref="T18" si="39">E18*O18*12</f>
        <v>57654.607560691918</v>
      </c>
      <c r="U18" s="42">
        <f t="shared" ref="U18" si="40">R18-T18</f>
        <v>0</v>
      </c>
    </row>
    <row r="19" spans="1:21">
      <c r="A19" s="273"/>
      <c r="B19" s="24">
        <v>21</v>
      </c>
      <c r="C19" s="24"/>
      <c r="D19" t="s">
        <v>115</v>
      </c>
      <c r="E19" s="7">
        <f>SUMIF('Jefferson Reg Price Out'!C:C,D19,'Jefferson Reg Price Out'!AH:AH)</f>
        <v>1.8</v>
      </c>
      <c r="F19" s="3">
        <f>References!B14</f>
        <v>1</v>
      </c>
      <c r="G19" s="43">
        <f t="shared" si="1"/>
        <v>21.6</v>
      </c>
      <c r="H19" s="43">
        <f>References!B19</f>
        <v>34</v>
      </c>
      <c r="I19" s="43">
        <f t="shared" si="2"/>
        <v>734.40000000000009</v>
      </c>
      <c r="J19" s="75">
        <f t="shared" si="0"/>
        <v>470.02928725729601</v>
      </c>
      <c r="K19" s="258">
        <f>(References!$C$58*J19)</f>
        <v>0.94710901382345281</v>
      </c>
      <c r="L19" s="258">
        <f>K19/References!$G$61</f>
        <v>0.96900860837267522</v>
      </c>
      <c r="M19" s="42">
        <f>L19/G19*F19</f>
        <v>4.486150964688311E-2</v>
      </c>
      <c r="N19" s="61">
        <f>'Proposed Rates'!B24</f>
        <v>8.4564620335378091</v>
      </c>
      <c r="O19" s="42">
        <f t="shared" si="4"/>
        <v>8.501323543184693</v>
      </c>
      <c r="P19" s="61">
        <f>'Proposed Rates'!D24</f>
        <v>8.501323543184693</v>
      </c>
      <c r="Q19" s="258">
        <f t="shared" si="9"/>
        <v>182.65957992441668</v>
      </c>
      <c r="R19" s="258">
        <f>E19*P19*12</f>
        <v>183.62858853278937</v>
      </c>
      <c r="S19" s="258">
        <f t="shared" si="11"/>
        <v>0.96900860837268965</v>
      </c>
      <c r="T19" s="258">
        <f>E19*O19*12</f>
        <v>183.62858853278937</v>
      </c>
      <c r="U19" s="42">
        <f>R19-T19</f>
        <v>0</v>
      </c>
    </row>
    <row r="20" spans="1:21">
      <c r="A20" s="273"/>
      <c r="B20" s="24">
        <v>21</v>
      </c>
      <c r="C20" s="24"/>
      <c r="D20" t="s">
        <v>319</v>
      </c>
      <c r="E20" s="7">
        <f>SUMIF('Jefferson Reg Price Out'!C:C,D20,'Jefferson Reg Price Out'!AH:AH)</f>
        <v>113.58333333333333</v>
      </c>
      <c r="F20" s="3">
        <f>References!B12</f>
        <v>4.333333333333333</v>
      </c>
      <c r="G20" s="43">
        <f t="shared" ref="G20:G21" si="41">E20*F20*12</f>
        <v>5906.333333333333</v>
      </c>
      <c r="H20" s="43">
        <f>+References!B25</f>
        <v>37</v>
      </c>
      <c r="I20" s="43">
        <f t="shared" ref="I20:I21" si="42">G20*H20</f>
        <v>218534.33333333331</v>
      </c>
      <c r="J20" s="75">
        <f t="shared" si="0"/>
        <v>139865.92720304328</v>
      </c>
      <c r="K20" s="258">
        <f>(References!$C$58*J20)</f>
        <v>281.82984331413263</v>
      </c>
      <c r="L20" s="258">
        <f>K20/References!$G$61</f>
        <v>288.34647361789712</v>
      </c>
      <c r="M20" s="42">
        <f>L20/G20*F20</f>
        <v>0.21155280529559584</v>
      </c>
      <c r="N20" s="61">
        <f>+'Proposed Rates'!B25</f>
        <v>9.5914439776734977</v>
      </c>
      <c r="O20" s="42">
        <f t="shared" ref="O20:O21" si="43">M20+N20</f>
        <v>9.8029967829690943</v>
      </c>
      <c r="P20" s="61">
        <f>'Proposed Rates'!D25</f>
        <v>9.8029967829690943</v>
      </c>
      <c r="Q20" s="258">
        <f t="shared" ref="Q20:Q21" si="44">E20*N20*12</f>
        <v>13073.138141568976</v>
      </c>
      <c r="R20" s="258">
        <f t="shared" ref="R20" si="45">E20*P20*12</f>
        <v>13361.484615186877</v>
      </c>
      <c r="S20" s="258">
        <f t="shared" ref="S20:S21" si="46">R20-Q20</f>
        <v>288.34647361790121</v>
      </c>
      <c r="T20" s="258">
        <f t="shared" ref="T20" si="47">E20*O20*12</f>
        <v>13361.484615186877</v>
      </c>
      <c r="U20" s="42">
        <f t="shared" ref="U20" si="48">R20-T20</f>
        <v>0</v>
      </c>
    </row>
    <row r="21" spans="1:21">
      <c r="A21" s="273"/>
      <c r="B21" s="24">
        <v>21</v>
      </c>
      <c r="C21" s="24"/>
      <c r="D21" t="s">
        <v>323</v>
      </c>
      <c r="E21" s="7">
        <f>SUMIF('Jefferson Reg Price Out'!C:C,D21,'Jefferson Reg Price Out'!AH:AH)</f>
        <v>44.916666666666664</v>
      </c>
      <c r="F21" s="3">
        <f>References!B14</f>
        <v>1</v>
      </c>
      <c r="G21" s="43">
        <f t="shared" si="41"/>
        <v>539</v>
      </c>
      <c r="H21" s="43">
        <f>References!B26</f>
        <v>47</v>
      </c>
      <c r="I21" s="43">
        <f t="shared" si="42"/>
        <v>25333</v>
      </c>
      <c r="J21" s="75">
        <f t="shared" si="0"/>
        <v>16213.578341624561</v>
      </c>
      <c r="K21" s="258">
        <f>(References!$C$58*J21)</f>
        <v>32.670360358373536</v>
      </c>
      <c r="L21" s="258">
        <f>K21/References!$G$61</f>
        <v>33.425783055426166</v>
      </c>
      <c r="M21" s="42">
        <f>L21/G21*F21</f>
        <v>6.2014439805985463E-2</v>
      </c>
      <c r="N21" s="61">
        <f>+'Proposed Rates'!B26</f>
        <v>12.568050458125795</v>
      </c>
      <c r="O21" s="42">
        <f t="shared" si="43"/>
        <v>12.63006489793178</v>
      </c>
      <c r="P21" s="61">
        <f>+'Proposed Rates'!D26</f>
        <v>12.63006489793178</v>
      </c>
      <c r="Q21" s="258">
        <f t="shared" si="44"/>
        <v>6774.1791969298029</v>
      </c>
      <c r="R21" s="258">
        <f>E21*P21*12</f>
        <v>6807.6049799852281</v>
      </c>
      <c r="S21" s="258">
        <f t="shared" si="46"/>
        <v>33.4257830554252</v>
      </c>
      <c r="T21" s="258">
        <f>E21*O21*12</f>
        <v>6807.6049799852281</v>
      </c>
      <c r="U21" s="42">
        <f>R21-T21</f>
        <v>0</v>
      </c>
    </row>
    <row r="22" spans="1:21">
      <c r="A22" s="273"/>
      <c r="B22" s="24">
        <v>21</v>
      </c>
      <c r="C22" s="24"/>
      <c r="D22" t="s">
        <v>329</v>
      </c>
      <c r="E22" s="7">
        <f>SUMIF('Jefferson Reg Price Out'!C:C,D22,'Jefferson Reg Price Out'!AH:AH)</f>
        <v>9.8333333333333339</v>
      </c>
      <c r="F22" s="3">
        <f>References!B14</f>
        <v>1</v>
      </c>
      <c r="G22" s="43">
        <f t="shared" ref="G22" si="49">E22*F22*12</f>
        <v>118</v>
      </c>
      <c r="H22" s="43">
        <f>References!B21</f>
        <v>77</v>
      </c>
      <c r="I22" s="43">
        <f t="shared" ref="I22" si="50">G22*H22</f>
        <v>9086</v>
      </c>
      <c r="J22" s="75">
        <f t="shared" si="0"/>
        <v>5815.2043900051622</v>
      </c>
      <c r="K22" s="258">
        <f>(References!$C$58*J22)</f>
        <v>11.717636845860419</v>
      </c>
      <c r="L22" s="258">
        <f>K22/References!$G$61</f>
        <v>11.988578725046468</v>
      </c>
      <c r="M22" s="42">
        <f>L22/G22*F22</f>
        <v>0.10159812478852939</v>
      </c>
      <c r="N22" s="61">
        <f>+'Proposed Rates'!B27</f>
        <v>16.442924067075616</v>
      </c>
      <c r="O22" s="42">
        <f t="shared" ref="O22" si="51">M22+N22</f>
        <v>16.544522191864147</v>
      </c>
      <c r="P22" s="61">
        <f>+'Proposed Rates'!D27</f>
        <v>16.544522191864147</v>
      </c>
      <c r="Q22" s="258">
        <f t="shared" ref="Q22" si="52">E22*N22*12</f>
        <v>1940.2650399149227</v>
      </c>
      <c r="R22" s="258">
        <f>E22*P22*12</f>
        <v>1952.2536186399693</v>
      </c>
      <c r="S22" s="258">
        <f t="shared" ref="S22" si="53">R22-Q22</f>
        <v>11.988578725046636</v>
      </c>
      <c r="T22" s="258">
        <f>E22*O22*12</f>
        <v>1952.2536186399693</v>
      </c>
      <c r="U22" s="42">
        <f>R22-T22</f>
        <v>0</v>
      </c>
    </row>
    <row r="23" spans="1:21">
      <c r="A23" s="273"/>
      <c r="B23" s="24" t="s">
        <v>203</v>
      </c>
      <c r="C23" s="24"/>
      <c r="D23" t="s">
        <v>348</v>
      </c>
      <c r="E23" s="7">
        <f>SUMIF('Jefferson Reg Price Out'!C:C,D23,'Jefferson Reg Price Out'!AH:AH)</f>
        <v>1.3636363636363635</v>
      </c>
      <c r="F23" s="3">
        <f>References!B14</f>
        <v>1</v>
      </c>
      <c r="G23" s="43">
        <v>41</v>
      </c>
      <c r="H23" s="43">
        <f>References!B19</f>
        <v>34</v>
      </c>
      <c r="I23" s="43">
        <f t="shared" si="2"/>
        <v>1394</v>
      </c>
      <c r="J23" s="75">
        <f t="shared" si="0"/>
        <v>892.18522118283022</v>
      </c>
      <c r="K23" s="258">
        <f>(References!$C$58*J23)</f>
        <v>1.7977532206834055</v>
      </c>
      <c r="L23" s="258">
        <f>K23/References!$G$61</f>
        <v>1.8393218955222073</v>
      </c>
      <c r="M23" s="42">
        <f>L23/G23</f>
        <v>4.4861509646883103E-2</v>
      </c>
      <c r="N23" s="61">
        <f>'Proposed Rates'!B34</f>
        <v>8.4564620335378091</v>
      </c>
      <c r="O23" s="42">
        <f t="shared" si="4"/>
        <v>8.501323543184693</v>
      </c>
      <c r="P23" s="61">
        <f>'Proposed Rates'!D34</f>
        <v>8.501323543184693</v>
      </c>
      <c r="Q23" s="258">
        <f>G23*N23</f>
        <v>346.71494337505015</v>
      </c>
      <c r="R23" s="258">
        <f>G23*P23</f>
        <v>348.55426527057239</v>
      </c>
      <c r="S23" s="258">
        <f t="shared" si="11"/>
        <v>1.8393218955222324</v>
      </c>
      <c r="T23" s="258">
        <f>G23*O23</f>
        <v>348.55426527057239</v>
      </c>
      <c r="U23" s="42">
        <f t="shared" si="13"/>
        <v>0</v>
      </c>
    </row>
    <row r="24" spans="1:21">
      <c r="A24" s="273"/>
      <c r="B24" s="24" t="s">
        <v>203</v>
      </c>
      <c r="C24" s="24"/>
      <c r="D24" t="s">
        <v>116</v>
      </c>
      <c r="E24" s="7">
        <f>SUMIF('Jefferson Reg Price Out'!C:C,D24,'Jefferson Reg Price Out'!AH:AH)</f>
        <v>124.67150537634409</v>
      </c>
      <c r="F24" s="3"/>
      <c r="G24" s="43">
        <v>1300.9100000000001</v>
      </c>
      <c r="H24" s="43">
        <f>References!B29</f>
        <v>34</v>
      </c>
      <c r="I24" s="43">
        <f t="shared" si="2"/>
        <v>44230.94</v>
      </c>
      <c r="J24" s="75">
        <f t="shared" si="0"/>
        <v>28308.60185582819</v>
      </c>
      <c r="K24" s="258">
        <f>(References!$C$58*J24)</f>
        <v>57.041832739493884</v>
      </c>
      <c r="L24" s="258">
        <f>K24/References!$G$61</f>
        <v>58.360786514726705</v>
      </c>
      <c r="M24" s="42">
        <f>L24/G24</f>
        <v>4.4861509646883103E-2</v>
      </c>
      <c r="N24" s="61">
        <f>'Proposed Rates'!B30</f>
        <v>7.8064620335378088</v>
      </c>
      <c r="O24" s="42">
        <f t="shared" si="4"/>
        <v>7.8513235431846917</v>
      </c>
      <c r="P24" s="61">
        <f>'Proposed Rates'!D30</f>
        <v>7.8513235431846917</v>
      </c>
      <c r="Q24" s="258">
        <f t="shared" ref="Q24:Q28" si="54">G24*N24</f>
        <v>10155.504524049671</v>
      </c>
      <c r="R24" s="258">
        <f t="shared" ref="R24:R28" si="55">G24*P24</f>
        <v>10213.865310564397</v>
      </c>
      <c r="S24" s="258">
        <f t="shared" si="11"/>
        <v>58.360786514725987</v>
      </c>
      <c r="T24" s="258">
        <f t="shared" ref="T24:T28" si="56">G24*O24</f>
        <v>10213.865310564397</v>
      </c>
      <c r="U24" s="42">
        <f t="shared" si="13"/>
        <v>0</v>
      </c>
    </row>
    <row r="25" spans="1:21">
      <c r="A25" s="273"/>
      <c r="B25" s="24" t="s">
        <v>203</v>
      </c>
      <c r="C25" s="24"/>
      <c r="D25" t="s">
        <v>334</v>
      </c>
      <c r="E25" s="7">
        <f>SUMIF('Jefferson Reg Price Out'!C:C,D25,'Jefferson Reg Price Out'!AH:AH)</f>
        <v>6.75</v>
      </c>
      <c r="F25" s="3">
        <f>References!B24</f>
        <v>157</v>
      </c>
      <c r="G25" s="43">
        <f t="shared" ref="G25:G27" si="57">E25*F25*12</f>
        <v>12717</v>
      </c>
      <c r="H25" s="43">
        <f>References!B25</f>
        <v>37</v>
      </c>
      <c r="I25" s="43">
        <f t="shared" ref="I25:I27" si="58">G25*H25</f>
        <v>470529</v>
      </c>
      <c r="J25" s="75">
        <f t="shared" si="0"/>
        <v>301147.07312620943</v>
      </c>
      <c r="K25" s="258">
        <f>(References!$C$58*J25)</f>
        <v>606.81135234931287</v>
      </c>
      <c r="L25" s="258">
        <f>K25/References!$G$61</f>
        <v>620.84239037171358</v>
      </c>
      <c r="M25" s="42">
        <f>+M23</f>
        <v>4.4861509646883103E-2</v>
      </c>
      <c r="N25" s="61">
        <f>+'Proposed Rates'!B$34</f>
        <v>8.4564620335378091</v>
      </c>
      <c r="O25" s="42">
        <f t="shared" ref="O25:O27" si="59">M25+N25</f>
        <v>8.501323543184693</v>
      </c>
      <c r="P25" s="61">
        <f>'Proposed Rates'!D34</f>
        <v>8.501323543184693</v>
      </c>
      <c r="Q25" s="258">
        <f t="shared" ref="Q25:Q27" si="60">E25*N25*12</f>
        <v>684.97342471656248</v>
      </c>
      <c r="R25" s="258">
        <f t="shared" ref="R25:R27" si="61">E25*P25*12</f>
        <v>688.60720699796013</v>
      </c>
      <c r="S25" s="258">
        <f t="shared" ref="S25:S27" si="62">R25-Q25</f>
        <v>3.6337822813976572</v>
      </c>
      <c r="T25" s="258">
        <f t="shared" ref="T25:T27" si="63">E25*O25*12</f>
        <v>688.60720699796013</v>
      </c>
      <c r="U25" s="42">
        <f t="shared" ref="U25:U27" si="64">R25-T25</f>
        <v>0</v>
      </c>
    </row>
    <row r="26" spans="1:21">
      <c r="A26" s="273"/>
      <c r="B26" s="24" t="s">
        <v>203</v>
      </c>
      <c r="C26" s="24"/>
      <c r="D26" t="s">
        <v>336</v>
      </c>
      <c r="E26" s="7">
        <f>SUMIF('Jefferson Reg Price Out'!C:C,D26,'Jefferson Reg Price Out'!AH:AH)</f>
        <v>7.916666666666667</v>
      </c>
      <c r="F26" s="3">
        <f>References!B24</f>
        <v>157</v>
      </c>
      <c r="G26" s="43">
        <f t="shared" si="57"/>
        <v>14915</v>
      </c>
      <c r="H26" s="43">
        <f>References!B26</f>
        <v>47</v>
      </c>
      <c r="I26" s="43">
        <f t="shared" si="58"/>
        <v>701005</v>
      </c>
      <c r="J26" s="75">
        <f t="shared" si="0"/>
        <v>448655.88305256091</v>
      </c>
      <c r="K26" s="258">
        <f>(References!$C$58*J26)</f>
        <v>904.04160435091148</v>
      </c>
      <c r="L26" s="258">
        <f>K26/References!$G$61</f>
        <v>924.94536970627325</v>
      </c>
      <c r="M26" s="42">
        <f>+M23</f>
        <v>4.4861509646883103E-2</v>
      </c>
      <c r="N26" s="61">
        <f>+'Proposed Rates'!B$34</f>
        <v>8.4564620335378091</v>
      </c>
      <c r="O26" s="42">
        <f t="shared" si="59"/>
        <v>8.501323543184693</v>
      </c>
      <c r="P26" s="61">
        <f>'Proposed Rates'!D34</f>
        <v>8.501323543184693</v>
      </c>
      <c r="Q26" s="258">
        <f t="shared" si="60"/>
        <v>803.3638931860919</v>
      </c>
      <c r="R26" s="258">
        <f t="shared" si="61"/>
        <v>807.62573660254589</v>
      </c>
      <c r="S26" s="258">
        <f t="shared" si="62"/>
        <v>4.2618434164539849</v>
      </c>
      <c r="T26" s="258">
        <f t="shared" si="63"/>
        <v>807.62573660254589</v>
      </c>
      <c r="U26" s="42">
        <f t="shared" si="64"/>
        <v>0</v>
      </c>
    </row>
    <row r="27" spans="1:21">
      <c r="A27" s="273"/>
      <c r="B27" s="24" t="s">
        <v>203</v>
      </c>
      <c r="C27" s="24"/>
      <c r="D27" t="s">
        <v>338</v>
      </c>
      <c r="E27" s="7">
        <f>SUMIF('Jefferson Reg Price Out'!C:C,D27,'Jefferson Reg Price Out'!AH:AH)</f>
        <v>2.5</v>
      </c>
      <c r="F27" s="3">
        <f>References!B24</f>
        <v>157</v>
      </c>
      <c r="G27" s="43">
        <f t="shared" si="57"/>
        <v>4710</v>
      </c>
      <c r="H27" s="43">
        <f>+References!B21</f>
        <v>77</v>
      </c>
      <c r="I27" s="43">
        <f t="shared" si="58"/>
        <v>362670</v>
      </c>
      <c r="J27" s="75">
        <f t="shared" si="0"/>
        <v>232115.36166885012</v>
      </c>
      <c r="K27" s="258">
        <f>(References!$C$58*J27)</f>
        <v>467.71245376273367</v>
      </c>
      <c r="L27" s="258">
        <f>K27/References!$G$61</f>
        <v>478.52716775397346</v>
      </c>
      <c r="M27" s="42">
        <f>+M23</f>
        <v>4.4861509646883103E-2</v>
      </c>
      <c r="N27" s="61">
        <f>+'Proposed Rates'!B$34</f>
        <v>8.4564620335378091</v>
      </c>
      <c r="O27" s="42">
        <f t="shared" si="59"/>
        <v>8.501323543184693</v>
      </c>
      <c r="P27" s="61">
        <f>'Proposed Rates'!D34</f>
        <v>8.501323543184693</v>
      </c>
      <c r="Q27" s="258">
        <f t="shared" si="60"/>
        <v>253.69386100613428</v>
      </c>
      <c r="R27" s="258">
        <f t="shared" si="61"/>
        <v>255.03970629554081</v>
      </c>
      <c r="S27" s="258">
        <f t="shared" si="62"/>
        <v>1.345845289406526</v>
      </c>
      <c r="T27" s="258">
        <f t="shared" si="63"/>
        <v>255.03970629554081</v>
      </c>
      <c r="U27" s="42">
        <f t="shared" si="64"/>
        <v>0</v>
      </c>
    </row>
    <row r="28" spans="1:21">
      <c r="A28" s="273"/>
      <c r="B28" s="24">
        <v>16</v>
      </c>
      <c r="C28" s="24"/>
      <c r="D28" t="s">
        <v>117</v>
      </c>
      <c r="E28" s="7">
        <f>SUMIF('Jefferson Reg Price Out'!C:C,D28,'Jefferson Reg Price Out'!AH:AH)</f>
        <v>25.818181818181817</v>
      </c>
      <c r="F28" s="3"/>
      <c r="G28" s="43">
        <v>13</v>
      </c>
      <c r="H28" s="43">
        <f>References!B29</f>
        <v>34</v>
      </c>
      <c r="I28" s="43">
        <f t="shared" si="2"/>
        <v>442</v>
      </c>
      <c r="J28" s="75">
        <f t="shared" si="0"/>
        <v>282.88799696040957</v>
      </c>
      <c r="K28" s="258">
        <f>(References!$C$58*J28)</f>
        <v>0.57001931387522609</v>
      </c>
      <c r="L28" s="258">
        <f>K28/References!$G$61</f>
        <v>0.58319962540948034</v>
      </c>
      <c r="M28" s="42">
        <f>L28/G28</f>
        <v>4.4861509646883103E-2</v>
      </c>
      <c r="N28" s="61">
        <f>'Proposed Rates'!B8</f>
        <v>7.3564620335378086</v>
      </c>
      <c r="O28" s="42">
        <f t="shared" si="4"/>
        <v>7.4013235431846915</v>
      </c>
      <c r="P28" s="61">
        <f>'Proposed Rates'!D8</f>
        <v>7.4013235431846915</v>
      </c>
      <c r="Q28" s="258">
        <f t="shared" si="54"/>
        <v>95.634006435991509</v>
      </c>
      <c r="R28" s="258">
        <f t="shared" si="55"/>
        <v>96.217206061400987</v>
      </c>
      <c r="S28" s="258">
        <f t="shared" si="11"/>
        <v>0.58319962540947756</v>
      </c>
      <c r="T28" s="258">
        <f t="shared" si="56"/>
        <v>96.217206061400987</v>
      </c>
      <c r="U28" s="42">
        <f t="shared" si="13"/>
        <v>0</v>
      </c>
    </row>
    <row r="29" spans="1:21">
      <c r="A29" s="28"/>
      <c r="B29" s="54"/>
      <c r="C29" s="54"/>
      <c r="D29" s="78" t="s">
        <v>16</v>
      </c>
      <c r="E29" s="79">
        <f>SUM(E7:E28)</f>
        <v>4653.049498049013</v>
      </c>
      <c r="F29" s="80"/>
      <c r="G29" s="81">
        <f>SUM(G7:G28)</f>
        <v>216056.59832178324</v>
      </c>
      <c r="H29" s="82"/>
      <c r="I29" s="83">
        <f>SUM(I7:I28)</f>
        <v>9724678.045545049</v>
      </c>
      <c r="J29" s="84">
        <f>SUM(J7:J28)</f>
        <v>6223969.8945454974</v>
      </c>
      <c r="K29" s="259"/>
      <c r="L29" s="259"/>
      <c r="M29" s="45"/>
      <c r="N29" s="45"/>
      <c r="O29" s="45"/>
      <c r="P29" s="45"/>
      <c r="Q29" s="260">
        <f>SUM(Q7:Q28)</f>
        <v>1328333.8256690796</v>
      </c>
      <c r="R29" s="260">
        <f>SUM(R7:R28)</f>
        <v>1339150.0386226184</v>
      </c>
      <c r="S29" s="260">
        <f>SUM(S7:S28)</f>
        <v>10816.212953539216</v>
      </c>
      <c r="T29" s="260">
        <f>SUM(T7:T28)</f>
        <v>1339150.0386226184</v>
      </c>
      <c r="U29" s="44">
        <f>SUM(U7:U28)</f>
        <v>0</v>
      </c>
    </row>
    <row r="30" spans="1:21" ht="14.45" customHeight="1">
      <c r="A30" s="273" t="s">
        <v>14</v>
      </c>
      <c r="B30" s="24">
        <v>35</v>
      </c>
      <c r="C30" s="24"/>
      <c r="D30" t="s">
        <v>118</v>
      </c>
      <c r="E30" s="7">
        <f>SUMIF('Jefferson Reg Price Out'!C:C,D30,'Jefferson Reg Price Out'!AH:AH)</f>
        <v>86.999899939963981</v>
      </c>
      <c r="F30" s="3">
        <f>References!B$12</f>
        <v>4.333333333333333</v>
      </c>
      <c r="G30" s="43">
        <f t="shared" ref="G30:G62" si="65">E30*F30*12</f>
        <v>4523.9947968781271</v>
      </c>
      <c r="H30" s="43">
        <f>References!$B$32</f>
        <v>175</v>
      </c>
      <c r="I30" s="43">
        <f>G30*H30</f>
        <v>791699.08945367229</v>
      </c>
      <c r="J30" s="75">
        <f t="shared" ref="J30:J39" si="66">$E$91*I30</f>
        <v>506701.74120119796</v>
      </c>
      <c r="K30" s="258">
        <f>(References!$C$58*J30)</f>
        <v>1021.0040085204154</v>
      </c>
      <c r="L30" s="258">
        <f>K30/References!$G$61</f>
        <v>1044.6122452633674</v>
      </c>
      <c r="M30" s="42">
        <f>L30/G30</f>
        <v>0.23090482906483953</v>
      </c>
      <c r="N30" s="42">
        <f>'Proposed Rates'!$B$48</f>
        <v>23.37061340791519</v>
      </c>
      <c r="O30" s="42">
        <f t="shared" si="4"/>
        <v>23.601518236980031</v>
      </c>
      <c r="P30" s="42">
        <f>'Proposed Rates'!$D$48</f>
        <v>23.601518236980031</v>
      </c>
      <c r="Q30" s="258">
        <f>G30*N30</f>
        <v>105728.53345725851</v>
      </c>
      <c r="R30" s="258">
        <f>G30*P30</f>
        <v>106773.14570252188</v>
      </c>
      <c r="S30" s="258">
        <f t="shared" ref="S30" si="67">R30-Q30</f>
        <v>1044.6122452633717</v>
      </c>
      <c r="T30" s="258">
        <f>G30*O30</f>
        <v>106773.14570252188</v>
      </c>
      <c r="U30" s="42">
        <f t="shared" ref="U30" si="68">R30-T30</f>
        <v>0</v>
      </c>
    </row>
    <row r="31" spans="1:21" ht="14.45" customHeight="1">
      <c r="A31" s="273"/>
      <c r="B31" s="24">
        <v>35</v>
      </c>
      <c r="C31" s="24"/>
      <c r="D31" t="s">
        <v>193</v>
      </c>
      <c r="E31" s="7">
        <f>SUMIF('Jefferson Reg Price Out'!C:C,D31,'Jefferson Reg Price Out'!AH:AH)</f>
        <v>6.9999999999999991</v>
      </c>
      <c r="F31" s="3">
        <f>+References!B$11</f>
        <v>8.6666666666666661</v>
      </c>
      <c r="G31" s="43">
        <f t="shared" si="65"/>
        <v>727.99999999999989</v>
      </c>
      <c r="H31" s="43">
        <f>References!$B$32</f>
        <v>175</v>
      </c>
      <c r="I31" s="43">
        <f t="shared" ref="I31:I56" si="69">G31*H31</f>
        <v>127399.99999999999</v>
      </c>
      <c r="J31" s="75">
        <f t="shared" si="66"/>
        <v>81538.305006235692</v>
      </c>
      <c r="K31" s="258">
        <f>(References!$C$58*J31)</f>
        <v>164.29968458756517</v>
      </c>
      <c r="L31" s="258">
        <f>K31/References!$G$61</f>
        <v>168.09871555920316</v>
      </c>
      <c r="M31" s="42">
        <f t="shared" ref="M31:M62" si="70">L31/G31</f>
        <v>0.23090482906483953</v>
      </c>
      <c r="N31" s="42">
        <f>'Proposed Rates'!$B$48</f>
        <v>23.37061340791519</v>
      </c>
      <c r="O31" s="42">
        <f t="shared" si="4"/>
        <v>23.601518236980031</v>
      </c>
      <c r="P31" s="42">
        <f>'Proposed Rates'!$D$48</f>
        <v>23.601518236980031</v>
      </c>
      <c r="Q31" s="258">
        <f t="shared" ref="Q31:Q62" si="71">G31*N31</f>
        <v>17013.806560962257</v>
      </c>
      <c r="R31" s="258">
        <f t="shared" ref="R31:R62" si="72">G31*P31</f>
        <v>17181.905276521458</v>
      </c>
      <c r="S31" s="258">
        <f t="shared" ref="S31" si="73">R31-Q31</f>
        <v>168.09871555920108</v>
      </c>
      <c r="T31" s="258">
        <f t="shared" ref="T31:T62" si="74">G31*O31</f>
        <v>17181.905276521458</v>
      </c>
      <c r="U31" s="42">
        <f t="shared" ref="U31" si="75">R31-T31</f>
        <v>0</v>
      </c>
    </row>
    <row r="32" spans="1:21" ht="14.45" customHeight="1">
      <c r="A32" s="273"/>
      <c r="B32" s="24">
        <v>35</v>
      </c>
      <c r="C32" s="24"/>
      <c r="D32" t="s">
        <v>378</v>
      </c>
      <c r="E32" s="7">
        <f>SUMIF('Jefferson Reg Price Out'!C:C,D32,'Jefferson Reg Price Out'!AH:AH)</f>
        <v>28.166666666666668</v>
      </c>
      <c r="F32" s="3">
        <f>+References!B$14</f>
        <v>1</v>
      </c>
      <c r="G32" s="43">
        <f t="shared" ref="G32" si="76">E32*F32*12</f>
        <v>338</v>
      </c>
      <c r="H32" s="43">
        <f>References!$B$32</f>
        <v>175</v>
      </c>
      <c r="I32" s="43">
        <f t="shared" ref="I32" si="77">G32*H32</f>
        <v>59150</v>
      </c>
      <c r="J32" s="75">
        <f t="shared" si="66"/>
        <v>37857.070181466581</v>
      </c>
      <c r="K32" s="258">
        <f>(References!$C$58*J32)</f>
        <v>76.281996415655271</v>
      </c>
      <c r="L32" s="258">
        <f>K32/References!$G$61</f>
        <v>78.045832223915767</v>
      </c>
      <c r="M32" s="42">
        <f t="shared" ref="M32" si="78">L32/G32</f>
        <v>0.23090482906483956</v>
      </c>
      <c r="N32" s="42">
        <f>'Proposed Rates'!B48</f>
        <v>23.37061340791519</v>
      </c>
      <c r="O32" s="42">
        <f t="shared" ref="O32" si="79">M32+N32</f>
        <v>23.601518236980031</v>
      </c>
      <c r="P32" s="42">
        <f>'Proposed Rates'!D48</f>
        <v>23.601518236980031</v>
      </c>
      <c r="Q32" s="258">
        <f t="shared" ref="Q32" si="80">G32*N32</f>
        <v>7899.2673318753341</v>
      </c>
      <c r="R32" s="258">
        <f t="shared" ref="R32" si="81">G32*P32</f>
        <v>7977.3131640992506</v>
      </c>
      <c r="S32" s="258">
        <f t="shared" ref="S32" si="82">R32-Q32</f>
        <v>78.045832223916477</v>
      </c>
      <c r="T32" s="258">
        <f t="shared" ref="T32" si="83">G32*O32</f>
        <v>7977.3131640992506</v>
      </c>
      <c r="U32" s="42">
        <f t="shared" ref="U32" si="84">R32-T32</f>
        <v>0</v>
      </c>
    </row>
    <row r="33" spans="1:21" ht="14.45" customHeight="1">
      <c r="A33" s="273"/>
      <c r="B33" s="24">
        <v>35</v>
      </c>
      <c r="C33" s="24"/>
      <c r="D33" t="s">
        <v>122</v>
      </c>
      <c r="E33" s="7">
        <f>SUMIF('Jefferson Reg Price Out'!C:C,D33,'Jefferson Reg Price Out'!AH:AH)</f>
        <v>203.95790069222579</v>
      </c>
      <c r="F33" s="3">
        <f>+References!B$13</f>
        <v>2.1666666666666665</v>
      </c>
      <c r="G33" s="43">
        <f t="shared" si="65"/>
        <v>5302.9054179978702</v>
      </c>
      <c r="H33" s="43">
        <f>References!$B$32</f>
        <v>175</v>
      </c>
      <c r="I33" s="43">
        <f t="shared" si="69"/>
        <v>928008.44814962731</v>
      </c>
      <c r="J33" s="75">
        <f t="shared" si="66"/>
        <v>593942.19696693704</v>
      </c>
      <c r="K33" s="258">
        <f>(References!$C$58*J33)</f>
        <v>1196.7935268883798</v>
      </c>
      <c r="L33" s="258">
        <f>K33/References!$G$61</f>
        <v>1224.4664690898094</v>
      </c>
      <c r="M33" s="42">
        <f t="shared" si="70"/>
        <v>0.23090482906483947</v>
      </c>
      <c r="N33" s="42">
        <f>'Proposed Rates'!$B$48</f>
        <v>23.37061340791519</v>
      </c>
      <c r="O33" s="42">
        <f t="shared" si="4"/>
        <v>23.601518236980031</v>
      </c>
      <c r="P33" s="42">
        <f>'Proposed Rates'!$D$48</f>
        <v>23.601518236980031</v>
      </c>
      <c r="Q33" s="258">
        <f t="shared" si="71"/>
        <v>123932.15246276713</v>
      </c>
      <c r="R33" s="258">
        <f t="shared" si="72"/>
        <v>125156.61893185695</v>
      </c>
      <c r="S33" s="258">
        <f t="shared" ref="S33:S56" si="85">R33-Q33</f>
        <v>1224.4664690898207</v>
      </c>
      <c r="T33" s="258">
        <f t="shared" si="74"/>
        <v>125156.61893185695</v>
      </c>
      <c r="U33" s="42">
        <f t="shared" ref="U33:U56" si="86">R33-T33</f>
        <v>0</v>
      </c>
    </row>
    <row r="34" spans="1:21" ht="14.45" customHeight="1">
      <c r="A34" s="273"/>
      <c r="B34" s="24">
        <v>35</v>
      </c>
      <c r="C34" s="24"/>
      <c r="D34" t="s">
        <v>125</v>
      </c>
      <c r="E34" s="7">
        <f>SUMIF('Jefferson Reg Price Out'!C:C,D34,'Jefferson Reg Price Out'!AH:AH)</f>
        <v>1</v>
      </c>
      <c r="F34" s="3">
        <f>+References!B$14</f>
        <v>1</v>
      </c>
      <c r="G34" s="43">
        <f t="shared" si="65"/>
        <v>12</v>
      </c>
      <c r="H34" s="43">
        <f>References!$B$32</f>
        <v>175</v>
      </c>
      <c r="I34" s="43">
        <f t="shared" si="69"/>
        <v>2100</v>
      </c>
      <c r="J34" s="75">
        <f t="shared" si="66"/>
        <v>1344.0379946082808</v>
      </c>
      <c r="K34" s="258">
        <f>(References!$C$58*J34)</f>
        <v>2.7082365591356896</v>
      </c>
      <c r="L34" s="258">
        <f>K34/References!$G$61</f>
        <v>2.7708579487780738</v>
      </c>
      <c r="M34" s="42">
        <f t="shared" si="70"/>
        <v>0.23090482906483947</v>
      </c>
      <c r="N34" s="42">
        <f>'Proposed Rates'!B62</f>
        <v>26.380613407915192</v>
      </c>
      <c r="O34" s="42">
        <f t="shared" si="4"/>
        <v>26.611518236980032</v>
      </c>
      <c r="P34" s="42">
        <f>'Proposed Rates'!D62</f>
        <v>26.611518236980032</v>
      </c>
      <c r="Q34" s="258">
        <f t="shared" si="71"/>
        <v>316.5673608949823</v>
      </c>
      <c r="R34" s="258">
        <f t="shared" si="72"/>
        <v>319.33821884376039</v>
      </c>
      <c r="S34" s="258">
        <f t="shared" si="85"/>
        <v>2.7708579487780867</v>
      </c>
      <c r="T34" s="258">
        <f t="shared" si="74"/>
        <v>319.33821884376039</v>
      </c>
      <c r="U34" s="42">
        <f t="shared" si="86"/>
        <v>0</v>
      </c>
    </row>
    <row r="35" spans="1:21" ht="14.45" customHeight="1">
      <c r="A35" s="273"/>
      <c r="B35" s="24">
        <v>35</v>
      </c>
      <c r="C35" s="24"/>
      <c r="D35" t="s">
        <v>404</v>
      </c>
      <c r="E35" s="7">
        <f>SUMIF('Jefferson Reg Price Out'!C:C,D35,'Jefferson Reg Price Out'!AH:AH)</f>
        <v>1</v>
      </c>
      <c r="F35" s="3">
        <f>+References!B$14</f>
        <v>1</v>
      </c>
      <c r="G35" s="43">
        <f t="shared" ref="G35" si="87">E35*F35*12</f>
        <v>12</v>
      </c>
      <c r="H35" s="43">
        <f>References!$B$32</f>
        <v>175</v>
      </c>
      <c r="I35" s="43">
        <f t="shared" ref="I35" si="88">G35*H35</f>
        <v>2100</v>
      </c>
      <c r="J35" s="75">
        <f t="shared" si="66"/>
        <v>1344.0379946082808</v>
      </c>
      <c r="K35" s="258">
        <f>(References!$C$58*J35)</f>
        <v>2.7082365591356896</v>
      </c>
      <c r="L35" s="258">
        <f>K35/References!$G$61</f>
        <v>2.7708579487780738</v>
      </c>
      <c r="M35" s="42">
        <f t="shared" ref="M35" si="89">L35/G35</f>
        <v>0.23090482906483947</v>
      </c>
      <c r="N35" s="42">
        <f>+'Proposed Rates'!B48</f>
        <v>23.37061340791519</v>
      </c>
      <c r="O35" s="42">
        <f t="shared" ref="O35" si="90">M35+N35</f>
        <v>23.601518236980031</v>
      </c>
      <c r="P35" s="42">
        <f>'Proposed Rates'!D48</f>
        <v>23.601518236980031</v>
      </c>
      <c r="Q35" s="258">
        <f t="shared" ref="Q35" si="91">G35*N35</f>
        <v>280.4473608949823</v>
      </c>
      <c r="R35" s="258">
        <f t="shared" ref="R35" si="92">G35*P35</f>
        <v>283.21821884376038</v>
      </c>
      <c r="S35" s="258">
        <f t="shared" ref="S35" si="93">R35-Q35</f>
        <v>2.7708579487780867</v>
      </c>
      <c r="T35" s="258">
        <f t="shared" ref="T35" si="94">G35*O35</f>
        <v>283.21821884376038</v>
      </c>
      <c r="U35" s="42">
        <f t="shared" ref="U35" si="95">R35-T35</f>
        <v>0</v>
      </c>
    </row>
    <row r="36" spans="1:21" ht="14.45" customHeight="1">
      <c r="A36" s="273"/>
      <c r="B36" s="24">
        <v>35</v>
      </c>
      <c r="C36" s="24"/>
      <c r="D36" t="s">
        <v>397</v>
      </c>
      <c r="E36" s="7">
        <f>SUMIF('Jefferson Reg Price Out'!C:C,D36,'Jefferson Reg Price Out'!AH:AH)</f>
        <v>4.5999999999999996</v>
      </c>
      <c r="F36" s="3">
        <f>+References!B$14</f>
        <v>1</v>
      </c>
      <c r="G36" s="43">
        <f t="shared" ref="G36" si="96">E36*F36*12</f>
        <v>55.199999999999996</v>
      </c>
      <c r="H36" s="43">
        <f>References!$B$32</f>
        <v>175</v>
      </c>
      <c r="I36" s="43">
        <f t="shared" ref="I36" si="97">G36*H36</f>
        <v>9660</v>
      </c>
      <c r="J36" s="75">
        <f t="shared" si="66"/>
        <v>6182.5747751980916</v>
      </c>
      <c r="K36" s="258">
        <f>(References!$C$58*J36)</f>
        <v>12.457888172024173</v>
      </c>
      <c r="L36" s="258">
        <f>K36/References!$G$61</f>
        <v>12.745946564379141</v>
      </c>
      <c r="M36" s="42">
        <f t="shared" ref="M36" si="98">L36/G36</f>
        <v>0.23090482906483953</v>
      </c>
      <c r="N36" s="42">
        <f>+'Proposed Rates'!B55</f>
        <v>26.37061340791519</v>
      </c>
      <c r="O36" s="42">
        <f t="shared" ref="O36" si="99">M36+N36</f>
        <v>26.601518236980031</v>
      </c>
      <c r="P36" s="42">
        <f>+'Proposed Rates'!D55</f>
        <v>26.601518236980031</v>
      </c>
      <c r="Q36" s="258">
        <f t="shared" ref="Q36" si="100">G36*N36</f>
        <v>1455.6578601169183</v>
      </c>
      <c r="R36" s="258">
        <f t="shared" ref="R36" si="101">G36*P36</f>
        <v>1468.4038066812975</v>
      </c>
      <c r="S36" s="258">
        <f t="shared" ref="S36" si="102">R36-Q36</f>
        <v>12.74594656437921</v>
      </c>
      <c r="T36" s="258">
        <f t="shared" ref="T36" si="103">G36*O36</f>
        <v>1468.4038066812975</v>
      </c>
      <c r="U36" s="42">
        <f t="shared" ref="U36" si="104">R36-T36</f>
        <v>0</v>
      </c>
    </row>
    <row r="37" spans="1:21" ht="14.45" customHeight="1">
      <c r="A37" s="273"/>
      <c r="B37" s="24">
        <v>35</v>
      </c>
      <c r="C37" s="24"/>
      <c r="D37" t="s">
        <v>119</v>
      </c>
      <c r="E37" s="7">
        <f>SUMIF('Jefferson Reg Price Out'!C:C,D37,'Jefferson Reg Price Out'!AH:AH)</f>
        <v>40.791666666666671</v>
      </c>
      <c r="F37" s="3">
        <f>References!B$12</f>
        <v>4.333333333333333</v>
      </c>
      <c r="G37" s="43">
        <f t="shared" si="65"/>
        <v>2121.1666666666665</v>
      </c>
      <c r="H37" s="43">
        <f>References!$B$33</f>
        <v>250</v>
      </c>
      <c r="I37" s="43">
        <f t="shared" si="69"/>
        <v>530291.66666666663</v>
      </c>
      <c r="J37" s="75">
        <f t="shared" si="66"/>
        <v>339396.26105911884</v>
      </c>
      <c r="K37" s="258">
        <f>(References!$C$58*J37)</f>
        <v>683.88346603412549</v>
      </c>
      <c r="L37" s="258">
        <f>K37/References!$G$61</f>
        <v>699.69660940671724</v>
      </c>
      <c r="M37" s="42">
        <f t="shared" si="70"/>
        <v>0.3298640415211993</v>
      </c>
      <c r="N37" s="42">
        <f>'Proposed Rates'!$B$49</f>
        <v>32.775162011307415</v>
      </c>
      <c r="O37" s="42">
        <f t="shared" si="4"/>
        <v>33.105026052828613</v>
      </c>
      <c r="P37" s="42">
        <f>'Proposed Rates'!$D$49</f>
        <v>33.105026052828613</v>
      </c>
      <c r="Q37" s="258">
        <f t="shared" si="71"/>
        <v>69521.581152984902</v>
      </c>
      <c r="R37" s="258">
        <f t="shared" si="72"/>
        <v>70221.277762391619</v>
      </c>
      <c r="S37" s="258">
        <f t="shared" si="85"/>
        <v>699.69660940671747</v>
      </c>
      <c r="T37" s="258">
        <f t="shared" si="74"/>
        <v>70221.277762391619</v>
      </c>
      <c r="U37" s="42">
        <f t="shared" si="86"/>
        <v>0</v>
      </c>
    </row>
    <row r="38" spans="1:21" ht="14.45" customHeight="1">
      <c r="A38" s="273"/>
      <c r="B38" s="24">
        <v>35</v>
      </c>
      <c r="C38" s="24"/>
      <c r="D38" t="s">
        <v>195</v>
      </c>
      <c r="E38" s="7">
        <f>SUMIF('Jefferson Reg Price Out'!C:C,D38,'Jefferson Reg Price Out'!AH:AH)</f>
        <v>1</v>
      </c>
      <c r="F38" s="3">
        <f>+References!B$11</f>
        <v>8.6666666666666661</v>
      </c>
      <c r="G38" s="43">
        <f t="shared" si="65"/>
        <v>104</v>
      </c>
      <c r="H38" s="43">
        <f>References!$B$33</f>
        <v>250</v>
      </c>
      <c r="I38" s="43">
        <f t="shared" si="69"/>
        <v>26000</v>
      </c>
      <c r="J38" s="75">
        <f t="shared" si="66"/>
        <v>16640.470409435857</v>
      </c>
      <c r="K38" s="258">
        <f>(References!$C$58*J38)</f>
        <v>33.530547875013298</v>
      </c>
      <c r="L38" s="258">
        <f>K38/References!$G$61</f>
        <v>34.305860318204722</v>
      </c>
      <c r="M38" s="42">
        <f t="shared" si="70"/>
        <v>0.32986404152119925</v>
      </c>
      <c r="N38" s="42">
        <f>'Proposed Rates'!$B$49</f>
        <v>32.775162011307415</v>
      </c>
      <c r="O38" s="42">
        <f t="shared" si="4"/>
        <v>33.105026052828613</v>
      </c>
      <c r="P38" s="42">
        <f>'Proposed Rates'!$D$49</f>
        <v>33.105026052828613</v>
      </c>
      <c r="Q38" s="258">
        <f t="shared" si="71"/>
        <v>3408.6168491759713</v>
      </c>
      <c r="R38" s="258">
        <f t="shared" si="72"/>
        <v>3442.9227094941757</v>
      </c>
      <c r="S38" s="258">
        <f t="shared" si="85"/>
        <v>34.305860318204395</v>
      </c>
      <c r="T38" s="258">
        <f t="shared" si="74"/>
        <v>3442.9227094941757</v>
      </c>
      <c r="U38" s="42">
        <f t="shared" si="86"/>
        <v>0</v>
      </c>
    </row>
    <row r="39" spans="1:21" ht="14.45" customHeight="1">
      <c r="A39" s="273"/>
      <c r="B39" s="24">
        <v>35</v>
      </c>
      <c r="C39" s="24"/>
      <c r="D39" t="s">
        <v>123</v>
      </c>
      <c r="E39" s="7">
        <f>SUMIF('Jefferson Reg Price Out'!C:C,D39,'Jefferson Reg Price Out'!AH:AH)</f>
        <v>38.166666666666664</v>
      </c>
      <c r="F39" s="3">
        <f>+References!B$13</f>
        <v>2.1666666666666665</v>
      </c>
      <c r="G39" s="43">
        <f t="shared" si="65"/>
        <v>992.33333333333314</v>
      </c>
      <c r="H39" s="43">
        <f>References!$B$33</f>
        <v>250</v>
      </c>
      <c r="I39" s="43">
        <f>G39*H39</f>
        <v>248083.33333333328</v>
      </c>
      <c r="J39" s="75">
        <f t="shared" si="66"/>
        <v>158777.82182336712</v>
      </c>
      <c r="K39" s="258">
        <f>(References!$C$58*J39)</f>
        <v>319.93731097408522</v>
      </c>
      <c r="L39" s="258">
        <f>K39/References!$G$61</f>
        <v>327.33508386953673</v>
      </c>
      <c r="M39" s="42">
        <f t="shared" si="70"/>
        <v>0.3298640415211993</v>
      </c>
      <c r="N39" s="42">
        <f>'Proposed Rates'!$B$49</f>
        <v>32.775162011307415</v>
      </c>
      <c r="O39" s="42">
        <f t="shared" si="4"/>
        <v>33.105026052828613</v>
      </c>
      <c r="P39" s="42">
        <f>'Proposed Rates'!$D$49</f>
        <v>33.105026052828613</v>
      </c>
      <c r="Q39" s="258">
        <f t="shared" si="71"/>
        <v>32523.88576922072</v>
      </c>
      <c r="R39" s="258">
        <f t="shared" si="72"/>
        <v>32851.220853090257</v>
      </c>
      <c r="S39" s="258">
        <f t="shared" si="85"/>
        <v>327.3350838695369</v>
      </c>
      <c r="T39" s="258">
        <f t="shared" si="74"/>
        <v>32851.220853090257</v>
      </c>
      <c r="U39" s="42">
        <f t="shared" si="86"/>
        <v>0</v>
      </c>
    </row>
    <row r="40" spans="1:21" ht="14.45" customHeight="1">
      <c r="A40" s="273"/>
      <c r="B40" s="24">
        <v>35</v>
      </c>
      <c r="C40" s="24"/>
      <c r="D40" t="s">
        <v>417</v>
      </c>
      <c r="E40" s="7">
        <f>SUMIF('Jefferson Reg Price Out'!C:C,D40,'Jefferson Reg Price Out'!AH:AH)</f>
        <v>18.583333333333332</v>
      </c>
      <c r="F40" s="3">
        <v>1</v>
      </c>
      <c r="G40" s="43">
        <v>12</v>
      </c>
      <c r="H40" s="43">
        <v>250</v>
      </c>
      <c r="I40" s="43">
        <v>3000</v>
      </c>
      <c r="J40" s="75">
        <v>1956.0685560681354</v>
      </c>
      <c r="K40" s="258">
        <v>3.9414781404772987</v>
      </c>
      <c r="L40" s="258">
        <v>4.0326152450146289</v>
      </c>
      <c r="M40" s="42">
        <v>0.33605127041788574</v>
      </c>
      <c r="N40" s="42">
        <v>37.035162011307413</v>
      </c>
      <c r="O40" s="42">
        <v>37.371213281725296</v>
      </c>
      <c r="P40" s="42">
        <v>37.371213281725296</v>
      </c>
      <c r="Q40" s="258">
        <v>444.42194413568893</v>
      </c>
      <c r="R40" s="258">
        <v>448.45455938070359</v>
      </c>
      <c r="S40" s="258">
        <v>4.0326152450146537</v>
      </c>
      <c r="T40" s="258">
        <v>448.45455938070359</v>
      </c>
      <c r="U40" s="42">
        <v>0</v>
      </c>
    </row>
    <row r="41" spans="1:21" ht="14.45" customHeight="1">
      <c r="A41" s="273"/>
      <c r="B41" s="24">
        <v>35</v>
      </c>
      <c r="C41" s="24"/>
      <c r="D41" t="s">
        <v>126</v>
      </c>
      <c r="E41" s="7">
        <f>SUMIF('Jefferson Reg Price Out'!C:C,D41,'Jefferson Reg Price Out'!AH:AH)</f>
        <v>1</v>
      </c>
      <c r="F41" s="3">
        <f>+References!B$14</f>
        <v>1</v>
      </c>
      <c r="G41" s="43">
        <f t="shared" si="65"/>
        <v>12</v>
      </c>
      <c r="H41" s="43">
        <f>References!$B$33</f>
        <v>250</v>
      </c>
      <c r="I41" s="43">
        <f t="shared" si="69"/>
        <v>3000</v>
      </c>
      <c r="J41" s="75">
        <f t="shared" ref="J41:J62" si="105">$E$91*I41</f>
        <v>1920.0542780118299</v>
      </c>
      <c r="K41" s="258">
        <f>(References!$C$58*J41)</f>
        <v>3.8689093701938426</v>
      </c>
      <c r="L41" s="258">
        <f>K41/References!$G$61</f>
        <v>3.9583684982543916</v>
      </c>
      <c r="M41" s="42">
        <f t="shared" si="70"/>
        <v>0.3298640415211993</v>
      </c>
      <c r="N41" s="42">
        <f>'Proposed Rates'!B49</f>
        <v>32.775162011307415</v>
      </c>
      <c r="O41" s="42">
        <f t="shared" si="4"/>
        <v>33.105026052828613</v>
      </c>
      <c r="P41" s="42">
        <f>'Proposed Rates'!D49</f>
        <v>33.105026052828613</v>
      </c>
      <c r="Q41" s="258">
        <f t="shared" si="71"/>
        <v>393.30194413568898</v>
      </c>
      <c r="R41" s="258">
        <f t="shared" si="72"/>
        <v>397.26031263394339</v>
      </c>
      <c r="S41" s="258">
        <f t="shared" si="85"/>
        <v>3.9583684982544014</v>
      </c>
      <c r="T41" s="258">
        <f t="shared" si="74"/>
        <v>397.26031263394339</v>
      </c>
      <c r="U41" s="42">
        <f t="shared" si="86"/>
        <v>0</v>
      </c>
    </row>
    <row r="42" spans="1:21" ht="14.45" customHeight="1">
      <c r="A42" s="273"/>
      <c r="B42" s="24">
        <v>35</v>
      </c>
      <c r="C42" s="24"/>
      <c r="D42" t="s">
        <v>127</v>
      </c>
      <c r="E42" s="7">
        <f>SUMIF('Jefferson Reg Price Out'!C:C,D42,'Jefferson Reg Price Out'!AH:AH)</f>
        <v>1.25</v>
      </c>
      <c r="F42" s="3">
        <f>+References!B$14</f>
        <v>1</v>
      </c>
      <c r="G42" s="43">
        <f t="shared" si="65"/>
        <v>15</v>
      </c>
      <c r="H42" s="43">
        <f>References!$B$33</f>
        <v>250</v>
      </c>
      <c r="I42" s="43">
        <f t="shared" si="69"/>
        <v>3750</v>
      </c>
      <c r="J42" s="75">
        <f t="shared" si="105"/>
        <v>2400.0678475147874</v>
      </c>
      <c r="K42" s="258">
        <f>(References!$C$58*J42)</f>
        <v>4.8361367127423041</v>
      </c>
      <c r="L42" s="258">
        <f>K42/References!$G$61</f>
        <v>4.9479606228179902</v>
      </c>
      <c r="M42" s="42">
        <f t="shared" si="70"/>
        <v>0.32986404152119936</v>
      </c>
      <c r="N42" s="42">
        <f>N41</f>
        <v>32.775162011307415</v>
      </c>
      <c r="O42" s="42">
        <f t="shared" si="4"/>
        <v>33.105026052828613</v>
      </c>
      <c r="P42" s="42">
        <f>P41</f>
        <v>33.105026052828613</v>
      </c>
      <c r="Q42" s="258">
        <f t="shared" si="71"/>
        <v>491.62743016961122</v>
      </c>
      <c r="R42" s="258">
        <f t="shared" si="72"/>
        <v>496.57539079242918</v>
      </c>
      <c r="S42" s="258">
        <f t="shared" si="85"/>
        <v>4.9479606228179591</v>
      </c>
      <c r="T42" s="258">
        <f t="shared" si="74"/>
        <v>496.57539079242918</v>
      </c>
      <c r="U42" s="42">
        <f t="shared" si="86"/>
        <v>0</v>
      </c>
    </row>
    <row r="43" spans="1:21" ht="14.45" customHeight="1">
      <c r="A43" s="273"/>
      <c r="B43" s="24">
        <v>35</v>
      </c>
      <c r="C43" s="24"/>
      <c r="D43" t="s">
        <v>391</v>
      </c>
      <c r="E43" s="7">
        <f>SUMIF('Jefferson Reg Price Out'!C:C,D43,'Jefferson Reg Price Out'!AH:AH)</f>
        <v>1.4285714285714286</v>
      </c>
      <c r="F43" s="3">
        <f>+References!B$14</f>
        <v>1</v>
      </c>
      <c r="G43" s="43">
        <f t="shared" ref="G43" si="106">E43*F43*12</f>
        <v>17.142857142857142</v>
      </c>
      <c r="H43" s="43">
        <f>References!$B$33</f>
        <v>250</v>
      </c>
      <c r="I43" s="43">
        <f t="shared" ref="I43" si="107">G43*H43</f>
        <v>4285.7142857142853</v>
      </c>
      <c r="J43" s="75">
        <f t="shared" si="105"/>
        <v>2742.9346828740422</v>
      </c>
      <c r="K43" s="258">
        <f>(References!$C$58*J43)</f>
        <v>5.5270133859912027</v>
      </c>
      <c r="L43" s="258">
        <f>K43/References!$G$61</f>
        <v>5.6548121403634157</v>
      </c>
      <c r="M43" s="42">
        <f t="shared" ref="M43" si="108">L43/G43</f>
        <v>0.32986404152119925</v>
      </c>
      <c r="N43" s="42">
        <f>+'Proposed Rates'!B56</f>
        <v>35.775162011307415</v>
      </c>
      <c r="O43" s="42">
        <f t="shared" ref="O43" si="109">M43+N43</f>
        <v>36.105026052828613</v>
      </c>
      <c r="P43" s="42">
        <f>+'Proposed Rates'!D56</f>
        <v>36.105026052828613</v>
      </c>
      <c r="Q43" s="258">
        <f t="shared" ref="Q43" si="110">G43*N43</f>
        <v>613.28849162241283</v>
      </c>
      <c r="R43" s="258">
        <f t="shared" ref="R43" si="111">G43*P43</f>
        <v>618.94330376277617</v>
      </c>
      <c r="S43" s="258">
        <f t="shared" ref="S43" si="112">R43-Q43</f>
        <v>5.6548121403633331</v>
      </c>
      <c r="T43" s="258">
        <f t="shared" ref="T43" si="113">G43*O43</f>
        <v>618.94330376277617</v>
      </c>
      <c r="U43" s="42">
        <f t="shared" ref="U43" si="114">R43-T43</f>
        <v>0</v>
      </c>
    </row>
    <row r="44" spans="1:21" ht="14.45" customHeight="1">
      <c r="A44" s="273"/>
      <c r="B44" s="24">
        <v>35</v>
      </c>
      <c r="C44" s="24"/>
      <c r="D44" t="s">
        <v>120</v>
      </c>
      <c r="E44" s="7">
        <f>SUMIF('Jefferson Reg Price Out'!C:C,D44,'Jefferson Reg Price Out'!AH:AH)</f>
        <v>136.81218200690864</v>
      </c>
      <c r="F44" s="3">
        <f>References!B$12</f>
        <v>4.333333333333333</v>
      </c>
      <c r="G44" s="43">
        <f t="shared" si="65"/>
        <v>7114.2334643592494</v>
      </c>
      <c r="H44" s="43">
        <f>References!$B$35</f>
        <v>324</v>
      </c>
      <c r="I44" s="43">
        <f t="shared" si="69"/>
        <v>2305011.6424523969</v>
      </c>
      <c r="J44" s="75">
        <f t="shared" si="105"/>
        <v>1475249.1549859331</v>
      </c>
      <c r="K44" s="258">
        <f>(References!$C$58*J44)</f>
        <v>2972.6270472966594</v>
      </c>
      <c r="L44" s="258">
        <f>K44/References!$G$61</f>
        <v>3041.3618245310613</v>
      </c>
      <c r="M44" s="42">
        <f t="shared" si="70"/>
        <v>0.42750379781147435</v>
      </c>
      <c r="N44" s="42">
        <f>'Proposed Rates'!$B$50</f>
        <v>45.778049966654415</v>
      </c>
      <c r="O44" s="42">
        <f t="shared" si="4"/>
        <v>46.20555376446589</v>
      </c>
      <c r="P44" s="42">
        <f>'Proposed Rates'!$D$50</f>
        <v>46.20555376446589</v>
      </c>
      <c r="Q44" s="258">
        <f t="shared" si="71"/>
        <v>325675.73500588269</v>
      </c>
      <c r="R44" s="258">
        <f t="shared" si="72"/>
        <v>328717.09683041374</v>
      </c>
      <c r="S44" s="258">
        <f t="shared" si="85"/>
        <v>3041.3618245310499</v>
      </c>
      <c r="T44" s="258">
        <f t="shared" si="74"/>
        <v>328717.09683041374</v>
      </c>
      <c r="U44" s="42">
        <f t="shared" si="86"/>
        <v>0</v>
      </c>
    </row>
    <row r="45" spans="1:21" ht="14.45" customHeight="1">
      <c r="A45" s="273"/>
      <c r="B45" s="24">
        <v>35</v>
      </c>
      <c r="C45" s="24"/>
      <c r="D45" t="s">
        <v>121</v>
      </c>
      <c r="E45" s="7">
        <f>SUMIF('Jefferson Reg Price Out'!C:C,D45,'Jefferson Reg Price Out'!AH:AH)</f>
        <v>26.156186720438342</v>
      </c>
      <c r="F45" s="3">
        <f>+References!B$11</f>
        <v>8.6666666666666661</v>
      </c>
      <c r="G45" s="43">
        <f t="shared" si="65"/>
        <v>2720.2434189255873</v>
      </c>
      <c r="H45" s="43">
        <f>References!$B$35</f>
        <v>324</v>
      </c>
      <c r="I45" s="43">
        <f t="shared" si="69"/>
        <v>881358.86773189029</v>
      </c>
      <c r="J45" s="75">
        <f t="shared" si="105"/>
        <v>564085.62148409279</v>
      </c>
      <c r="K45" s="258">
        <f>(References!$C$58*J45)</f>
        <v>1136.6325272904487</v>
      </c>
      <c r="L45" s="258">
        <f>K45/References!$G$61</f>
        <v>1162.914392562358</v>
      </c>
      <c r="M45" s="42">
        <f t="shared" si="70"/>
        <v>0.42750379781147435</v>
      </c>
      <c r="N45" s="42">
        <f>'Proposed Rates'!$B$50</f>
        <v>45.778049966654415</v>
      </c>
      <c r="O45" s="42">
        <f t="shared" si="4"/>
        <v>46.20555376446589</v>
      </c>
      <c r="P45" s="42">
        <f>'Proposed Rates'!$D$50</f>
        <v>46.20555376446589</v>
      </c>
      <c r="Q45" s="258">
        <f t="shared" si="71"/>
        <v>124527.43915303837</v>
      </c>
      <c r="R45" s="258">
        <f t="shared" si="72"/>
        <v>125690.35354560074</v>
      </c>
      <c r="S45" s="258">
        <f t="shared" si="85"/>
        <v>1162.9143925623648</v>
      </c>
      <c r="T45" s="258">
        <f t="shared" si="74"/>
        <v>125690.35354560074</v>
      </c>
      <c r="U45" s="42">
        <f t="shared" si="86"/>
        <v>0</v>
      </c>
    </row>
    <row r="46" spans="1:21" ht="14.45" customHeight="1">
      <c r="A46" s="273"/>
      <c r="B46" s="24">
        <v>35</v>
      </c>
      <c r="C46" s="24"/>
      <c r="D46" t="s">
        <v>124</v>
      </c>
      <c r="E46" s="7">
        <f>SUMIF('Jefferson Reg Price Out'!C:C,D46,'Jefferson Reg Price Out'!AH:AH)</f>
        <v>74.083214491867835</v>
      </c>
      <c r="F46" s="3">
        <f>+References!B$13</f>
        <v>2.1666666666666665</v>
      </c>
      <c r="G46" s="43">
        <f t="shared" si="65"/>
        <v>1926.1635767885637</v>
      </c>
      <c r="H46" s="43">
        <f>References!$B$35</f>
        <v>324</v>
      </c>
      <c r="I46" s="43">
        <f t="shared" si="69"/>
        <v>624076.99887949461</v>
      </c>
      <c r="J46" s="75">
        <f t="shared" si="105"/>
        <v>399420.57050245249</v>
      </c>
      <c r="K46" s="258">
        <f>(References!$C$58*J46)</f>
        <v>804.83244956244289</v>
      </c>
      <c r="L46" s="258">
        <f>K46/References!$G$61</f>
        <v>823.44224428324412</v>
      </c>
      <c r="M46" s="42">
        <f t="shared" si="70"/>
        <v>0.42750379781147424</v>
      </c>
      <c r="N46" s="42">
        <f>'Proposed Rates'!$B$50</f>
        <v>45.778049966654415</v>
      </c>
      <c r="O46" s="42">
        <f t="shared" si="4"/>
        <v>46.20555376446589</v>
      </c>
      <c r="P46" s="42">
        <f>'Proposed Rates'!$D$50</f>
        <v>46.20555376446589</v>
      </c>
      <c r="Q46" s="258">
        <f t="shared" si="71"/>
        <v>88176.012462176659</v>
      </c>
      <c r="R46" s="258">
        <f t="shared" si="72"/>
        <v>88999.454706459903</v>
      </c>
      <c r="S46" s="258">
        <f t="shared" si="85"/>
        <v>823.44224428324378</v>
      </c>
      <c r="T46" s="258">
        <f t="shared" si="74"/>
        <v>88999.454706459903</v>
      </c>
      <c r="U46" s="42">
        <f t="shared" si="86"/>
        <v>0</v>
      </c>
    </row>
    <row r="47" spans="1:21" ht="14.45" customHeight="1">
      <c r="A47" s="273"/>
      <c r="B47" s="24">
        <v>35</v>
      </c>
      <c r="C47" s="24"/>
      <c r="D47" t="s">
        <v>415</v>
      </c>
      <c r="E47" s="7">
        <f>SUMIF('Jefferson Reg Price Out'!C:C,D47,'Jefferson Reg Price Out'!AH:AH)</f>
        <v>27.25</v>
      </c>
      <c r="F47" s="3">
        <f>+References!B$14</f>
        <v>1</v>
      </c>
      <c r="G47" s="43">
        <f t="shared" ref="G47" si="115">E47*F47*12</f>
        <v>327</v>
      </c>
      <c r="H47" s="43">
        <f>References!$B$35</f>
        <v>324</v>
      </c>
      <c r="I47" s="43">
        <f t="shared" ref="I47" si="116">G47*H47</f>
        <v>105948</v>
      </c>
      <c r="J47" s="75">
        <f t="shared" si="105"/>
        <v>67808.636882265782</v>
      </c>
      <c r="K47" s="258">
        <f>(References!$C$58*J47)</f>
        <v>136.63440331776576</v>
      </c>
      <c r="L47" s="258">
        <f>K47/References!$G$61</f>
        <v>139.7937418843521</v>
      </c>
      <c r="M47" s="42">
        <f t="shared" ref="M47" si="117">L47/G47</f>
        <v>0.4275037978114743</v>
      </c>
      <c r="N47" s="42">
        <f>'Proposed Rates'!$B$50</f>
        <v>45.778049966654415</v>
      </c>
      <c r="O47" s="42">
        <f t="shared" ref="O47" si="118">M47+N47</f>
        <v>46.20555376446589</v>
      </c>
      <c r="P47" s="42">
        <f>'Proposed Rates'!$D$50</f>
        <v>46.20555376446589</v>
      </c>
      <c r="Q47" s="258">
        <f t="shared" ref="Q47" si="119">G47*N47</f>
        <v>14969.422339095994</v>
      </c>
      <c r="R47" s="258">
        <f t="shared" ref="R47" si="120">G47*P47</f>
        <v>15109.216080980346</v>
      </c>
      <c r="S47" s="258">
        <f t="shared" ref="S47" si="121">R47-Q47</f>
        <v>139.79374188435213</v>
      </c>
      <c r="T47" s="258">
        <f t="shared" ref="T47" si="122">G47*O47</f>
        <v>15109.216080980346</v>
      </c>
      <c r="U47" s="42">
        <f t="shared" ref="U47" si="123">R47-T47</f>
        <v>0</v>
      </c>
    </row>
    <row r="48" spans="1:21" ht="14.45" customHeight="1">
      <c r="A48" s="273"/>
      <c r="B48" s="24">
        <v>35</v>
      </c>
      <c r="C48" s="24"/>
      <c r="D48" t="s">
        <v>128</v>
      </c>
      <c r="E48" s="7">
        <f>SUMIF('Jefferson Reg Price Out'!C:C,D48,'Jefferson Reg Price Out'!AH:AH)</f>
        <v>1</v>
      </c>
      <c r="F48" s="3">
        <f>+References!B$14</f>
        <v>1</v>
      </c>
      <c r="G48" s="43">
        <f t="shared" si="65"/>
        <v>12</v>
      </c>
      <c r="H48" s="43">
        <f>References!$B$35</f>
        <v>324</v>
      </c>
      <c r="I48" s="43">
        <f t="shared" si="69"/>
        <v>3888</v>
      </c>
      <c r="J48" s="75">
        <f t="shared" si="105"/>
        <v>2488.3903443033314</v>
      </c>
      <c r="K48" s="258">
        <f>(References!$C$58*J48)</f>
        <v>5.01410654377122</v>
      </c>
      <c r="L48" s="258">
        <f>K48/References!$G$61</f>
        <v>5.130045573737692</v>
      </c>
      <c r="M48" s="42">
        <f t="shared" si="70"/>
        <v>0.42750379781147435</v>
      </c>
      <c r="N48" s="42">
        <f>'Proposed Rates'!B57</f>
        <v>50.778049966654415</v>
      </c>
      <c r="O48" s="42">
        <f t="shared" si="4"/>
        <v>51.20555376446589</v>
      </c>
      <c r="P48" s="42">
        <f>'Proposed Rates'!D57</f>
        <v>51.20555376446589</v>
      </c>
      <c r="Q48" s="258">
        <f t="shared" si="71"/>
        <v>609.336599599853</v>
      </c>
      <c r="R48" s="258">
        <f t="shared" si="72"/>
        <v>614.46664517359068</v>
      </c>
      <c r="S48" s="258">
        <f t="shared" si="85"/>
        <v>5.1300455737376751</v>
      </c>
      <c r="T48" s="258">
        <f t="shared" si="74"/>
        <v>614.46664517359068</v>
      </c>
      <c r="U48" s="42">
        <f t="shared" si="86"/>
        <v>0</v>
      </c>
    </row>
    <row r="49" spans="1:21" ht="14.45" customHeight="1">
      <c r="A49" s="273"/>
      <c r="B49" s="24">
        <v>35</v>
      </c>
      <c r="C49" s="24"/>
      <c r="D49" t="s">
        <v>129</v>
      </c>
      <c r="E49" s="7">
        <f>SUMIF('Jefferson Reg Price Out'!C:C,D49,'Jefferson Reg Price Out'!AH:AH)</f>
        <v>10.916666666666666</v>
      </c>
      <c r="F49" s="3">
        <f>+References!B$14</f>
        <v>1</v>
      </c>
      <c r="G49" s="43">
        <f t="shared" si="65"/>
        <v>131</v>
      </c>
      <c r="H49" s="43">
        <f>References!$B$35</f>
        <v>324</v>
      </c>
      <c r="I49" s="43">
        <f t="shared" si="69"/>
        <v>42444</v>
      </c>
      <c r="J49" s="75">
        <f t="shared" si="105"/>
        <v>27164.927925311367</v>
      </c>
      <c r="K49" s="258">
        <f>(References!$C$58*J49)</f>
        <v>54.737329769502487</v>
      </c>
      <c r="L49" s="258">
        <f>K49/References!$G$61</f>
        <v>56.002997513303136</v>
      </c>
      <c r="M49" s="42">
        <f t="shared" si="70"/>
        <v>0.4275037978114743</v>
      </c>
      <c r="N49" s="42">
        <f>'Proposed Rates'!B64</f>
        <v>52.108049966654413</v>
      </c>
      <c r="O49" s="42">
        <f t="shared" si="4"/>
        <v>52.535553764465888</v>
      </c>
      <c r="P49" s="42">
        <f>'Proposed Rates'!D64</f>
        <v>52.535553764465888</v>
      </c>
      <c r="Q49" s="258">
        <f t="shared" si="71"/>
        <v>6826.1545456317281</v>
      </c>
      <c r="R49" s="258">
        <f t="shared" si="72"/>
        <v>6882.157543145031</v>
      </c>
      <c r="S49" s="258">
        <f t="shared" si="85"/>
        <v>56.002997513302944</v>
      </c>
      <c r="T49" s="258">
        <f t="shared" si="74"/>
        <v>6882.157543145031</v>
      </c>
      <c r="U49" s="42">
        <f t="shared" si="86"/>
        <v>0</v>
      </c>
    </row>
    <row r="50" spans="1:21" ht="14.45" customHeight="1">
      <c r="A50" s="273"/>
      <c r="B50" s="24">
        <v>35</v>
      </c>
      <c r="C50" s="24"/>
      <c r="D50" t="s">
        <v>393</v>
      </c>
      <c r="E50" s="7">
        <f>SUMIF('Jefferson Reg Price Out'!C:C,D50,'Jefferson Reg Price Out'!AH:AH)</f>
        <v>2.6</v>
      </c>
      <c r="F50" s="3">
        <f>+References!B$14</f>
        <v>1</v>
      </c>
      <c r="G50" s="43">
        <f t="shared" ref="G50" si="124">E50*F50*12</f>
        <v>31.200000000000003</v>
      </c>
      <c r="H50" s="43">
        <f>References!$B$35</f>
        <v>324</v>
      </c>
      <c r="I50" s="43">
        <f t="shared" ref="I50" si="125">G50*H50</f>
        <v>10108.800000000001</v>
      </c>
      <c r="J50" s="75">
        <f t="shared" si="105"/>
        <v>6469.8148951886624</v>
      </c>
      <c r="K50" s="258">
        <f>(References!$C$58*J50)</f>
        <v>13.036677013805173</v>
      </c>
      <c r="L50" s="258">
        <f>K50/References!$G$61</f>
        <v>13.338118491717999</v>
      </c>
      <c r="M50" s="42">
        <f t="shared" ref="M50" si="126">L50/G50</f>
        <v>0.4275037978114743</v>
      </c>
      <c r="N50" s="42">
        <f>+'Proposed Rates'!B57</f>
        <v>50.778049966654415</v>
      </c>
      <c r="O50" s="42">
        <f t="shared" ref="O50" si="127">M50+N50</f>
        <v>51.20555376446589</v>
      </c>
      <c r="P50" s="42">
        <f>+'Proposed Rates'!D57</f>
        <v>51.20555376446589</v>
      </c>
      <c r="Q50" s="258">
        <f t="shared" ref="Q50" si="128">G50*N50</f>
        <v>1584.2751589596178</v>
      </c>
      <c r="R50" s="258">
        <f t="shared" ref="R50" si="129">G50*P50</f>
        <v>1597.613277451336</v>
      </c>
      <c r="S50" s="258">
        <f t="shared" ref="S50" si="130">R50-Q50</f>
        <v>13.338118491718205</v>
      </c>
      <c r="T50" s="258">
        <f t="shared" ref="T50" si="131">G50*O50</f>
        <v>1597.613277451336</v>
      </c>
      <c r="U50" s="42">
        <f t="shared" ref="U50" si="132">R50-T50</f>
        <v>0</v>
      </c>
    </row>
    <row r="51" spans="1:21" ht="14.45" customHeight="1">
      <c r="A51" s="273"/>
      <c r="B51" s="24">
        <v>35</v>
      </c>
      <c r="C51" s="24"/>
      <c r="D51" t="s">
        <v>384</v>
      </c>
      <c r="E51" s="7">
        <f>SUMIF('Jefferson Reg Price Out'!C:C,D51,'Jefferson Reg Price Out'!AH:AH)</f>
        <v>8.7291666666666661</v>
      </c>
      <c r="F51" s="3">
        <f>+References!B$12</f>
        <v>4.333333333333333</v>
      </c>
      <c r="G51" s="43">
        <f t="shared" ref="G51:G53" si="133">E51*F51*12</f>
        <v>453.91666666666663</v>
      </c>
      <c r="H51" s="43">
        <f>References!$B$36</f>
        <v>473</v>
      </c>
      <c r="I51" s="43">
        <f t="shared" ref="I51:I53" si="134">G51*H51</f>
        <v>214702.58333333331</v>
      </c>
      <c r="J51" s="75">
        <f t="shared" si="105"/>
        <v>137413.53787645267</v>
      </c>
      <c r="K51" s="258">
        <f>(References!$C$58*J51)</f>
        <v>276.88827882105255</v>
      </c>
      <c r="L51" s="258">
        <f>K51/References!$G$61</f>
        <v>283.29064745350166</v>
      </c>
      <c r="M51" s="42">
        <f t="shared" ref="M51:M53" si="135">L51/G51</f>
        <v>0.62410276655810915</v>
      </c>
      <c r="N51" s="42">
        <f>+'Proposed Rates'!B51</f>
        <v>60.165486525393639</v>
      </c>
      <c r="O51" s="42">
        <f t="shared" ref="O51:O53" si="136">M51+N51</f>
        <v>60.789589291951749</v>
      </c>
      <c r="P51" s="42">
        <f>'Proposed Rates'!$D$51</f>
        <v>60.789589291951749</v>
      </c>
      <c r="Q51" s="258">
        <f t="shared" ref="Q51:Q53" si="137">G51*N51</f>
        <v>27310.117091984928</v>
      </c>
      <c r="R51" s="258">
        <f t="shared" ref="R51:R53" si="138">G51*P51</f>
        <v>27593.407739438429</v>
      </c>
      <c r="S51" s="258">
        <f t="shared" ref="S51:S53" si="139">R51-Q51</f>
        <v>283.29064745350115</v>
      </c>
      <c r="T51" s="258">
        <f t="shared" ref="T51:T53" si="140">G51*O51</f>
        <v>27593.407739438429</v>
      </c>
      <c r="U51" s="42">
        <f t="shared" ref="U51:U53" si="141">R51-T51</f>
        <v>0</v>
      </c>
    </row>
    <row r="52" spans="1:21" ht="14.45" customHeight="1">
      <c r="A52" s="273"/>
      <c r="B52" s="24">
        <v>35</v>
      </c>
      <c r="C52" s="24"/>
      <c r="D52" t="s">
        <v>387</v>
      </c>
      <c r="E52" s="7">
        <f>SUMIF('Jefferson Reg Price Out'!C:C,D52,'Jefferson Reg Price Out'!AH:AH)</f>
        <v>1.25</v>
      </c>
      <c r="F52" s="3">
        <f>+References!B$13</f>
        <v>2.1666666666666665</v>
      </c>
      <c r="G52" s="43">
        <f t="shared" si="133"/>
        <v>32.5</v>
      </c>
      <c r="H52" s="43">
        <f>References!$B$36</f>
        <v>473</v>
      </c>
      <c r="I52" s="43">
        <f t="shared" si="134"/>
        <v>15372.5</v>
      </c>
      <c r="J52" s="75">
        <f t="shared" si="105"/>
        <v>9838.6781295789515</v>
      </c>
      <c r="K52" s="258">
        <f>(References!$C$58*J52)</f>
        <v>19.824936431101616</v>
      </c>
      <c r="L52" s="258">
        <f>K52/References!$G$61</f>
        <v>20.283339913138548</v>
      </c>
      <c r="M52" s="42">
        <f t="shared" si="135"/>
        <v>0.62410276655810915</v>
      </c>
      <c r="N52" s="42">
        <f>+'Proposed Rates'!B51</f>
        <v>60.165486525393639</v>
      </c>
      <c r="O52" s="42">
        <f t="shared" si="136"/>
        <v>60.789589291951749</v>
      </c>
      <c r="P52" s="42">
        <f>'Proposed Rates'!$D$51</f>
        <v>60.789589291951749</v>
      </c>
      <c r="Q52" s="258">
        <f t="shared" si="137"/>
        <v>1955.3783120752933</v>
      </c>
      <c r="R52" s="258">
        <f t="shared" si="138"/>
        <v>1975.6616519884319</v>
      </c>
      <c r="S52" s="258">
        <f t="shared" si="139"/>
        <v>20.283339913138661</v>
      </c>
      <c r="T52" s="258">
        <f t="shared" si="140"/>
        <v>1975.6616519884319</v>
      </c>
      <c r="U52" s="42">
        <f t="shared" si="141"/>
        <v>0</v>
      </c>
    </row>
    <row r="53" spans="1:21" ht="14.45" customHeight="1">
      <c r="A53" s="273"/>
      <c r="B53" s="24">
        <v>35</v>
      </c>
      <c r="C53" s="24"/>
      <c r="D53" t="s">
        <v>389</v>
      </c>
      <c r="E53" s="7">
        <f>SUMIF('Jefferson Reg Price Out'!C:C,D53,'Jefferson Reg Price Out'!AH:AH)</f>
        <v>2.9166666666666665</v>
      </c>
      <c r="F53" s="3">
        <f>+References!B$13</f>
        <v>2.1666666666666665</v>
      </c>
      <c r="G53" s="43">
        <f t="shared" si="133"/>
        <v>75.833333333333329</v>
      </c>
      <c r="H53" s="43">
        <f>References!$B$38</f>
        <v>613</v>
      </c>
      <c r="I53" s="43">
        <f t="shared" si="134"/>
        <v>46485.833333333328</v>
      </c>
      <c r="J53" s="75">
        <f t="shared" si="105"/>
        <v>29751.774386203859</v>
      </c>
      <c r="K53" s="258">
        <f>(References!$C$58*J53)</f>
        <v>59.949825388200864</v>
      </c>
      <c r="L53" s="258">
        <f>K53/References!$G$61</f>
        <v>61.336019427256865</v>
      </c>
      <c r="M53" s="42">
        <f t="shared" si="135"/>
        <v>0.80882662980998066</v>
      </c>
      <c r="N53" s="42">
        <f>'Proposed Rates'!$B$52</f>
        <v>82.017977251725796</v>
      </c>
      <c r="O53" s="42">
        <f t="shared" si="136"/>
        <v>82.826803881535781</v>
      </c>
      <c r="P53" s="42">
        <f>'Proposed Rates'!$D$52</f>
        <v>82.826803881535781</v>
      </c>
      <c r="Q53" s="258">
        <f t="shared" si="137"/>
        <v>6219.6966082558729</v>
      </c>
      <c r="R53" s="258">
        <f t="shared" si="138"/>
        <v>6281.0326276831292</v>
      </c>
      <c r="S53" s="258">
        <f t="shared" si="139"/>
        <v>61.33601942725636</v>
      </c>
      <c r="T53" s="258">
        <f t="shared" si="140"/>
        <v>6281.0326276831292</v>
      </c>
      <c r="U53" s="42">
        <f t="shared" si="141"/>
        <v>0</v>
      </c>
    </row>
    <row r="54" spans="1:21" ht="14.45" customHeight="1">
      <c r="A54" s="273"/>
      <c r="B54" s="24">
        <v>35</v>
      </c>
      <c r="C54" s="24"/>
      <c r="D54" t="s">
        <v>369</v>
      </c>
      <c r="E54" s="7">
        <f>SUMIF('Jefferson Reg Price Out'!C:C,D54,'Jefferson Reg Price Out'!AH:AH)</f>
        <v>21.791663102671567</v>
      </c>
      <c r="F54" s="3">
        <f>+References!B$12</f>
        <v>4.333333333333333</v>
      </c>
      <c r="G54" s="43">
        <f t="shared" ref="G54:G55" si="142">E54*F54*12</f>
        <v>1133.1664813389216</v>
      </c>
      <c r="H54" s="43">
        <f>+References!B38</f>
        <v>613</v>
      </c>
      <c r="I54" s="43">
        <f t="shared" ref="I54:I55" si="143">G54*H54</f>
        <v>694631.05306075898</v>
      </c>
      <c r="J54" s="75">
        <f t="shared" si="105"/>
        <v>444576.44168972422</v>
      </c>
      <c r="K54" s="258">
        <f>(References!$C$58*J54)</f>
        <v>895.82153000479559</v>
      </c>
      <c r="L54" s="258">
        <f>K54/References!$G$61</f>
        <v>916.53522611499443</v>
      </c>
      <c r="M54" s="42">
        <f t="shared" ref="M54:M55" si="144">L54/G54</f>
        <v>0.80882662980998077</v>
      </c>
      <c r="N54" s="42">
        <f>+'Proposed Rates'!B52</f>
        <v>82.017977251725796</v>
      </c>
      <c r="O54" s="42">
        <f t="shared" ref="O54:O55" si="145">M54+N54</f>
        <v>82.826803881535781</v>
      </c>
      <c r="P54" s="42">
        <f>'Proposed Rates'!D52</f>
        <v>82.826803881535781</v>
      </c>
      <c r="Q54" s="258">
        <f t="shared" ref="Q54:Q55" si="146">G54*N54</f>
        <v>92940.02268887384</v>
      </c>
      <c r="R54" s="258">
        <f t="shared" ref="R54:R55" si="147">G54*P54</f>
        <v>93856.557914988836</v>
      </c>
      <c r="S54" s="258">
        <f t="shared" ref="S54:S55" si="148">R54-Q54</f>
        <v>916.53522611499648</v>
      </c>
      <c r="T54" s="258">
        <f t="shared" ref="T54:T55" si="149">G54*O54</f>
        <v>93856.557914988836</v>
      </c>
      <c r="U54" s="42">
        <f t="shared" ref="U54:U55" si="150">R54-T54</f>
        <v>0</v>
      </c>
    </row>
    <row r="55" spans="1:21" ht="14.45" customHeight="1">
      <c r="A55" s="273"/>
      <c r="B55" s="24">
        <v>35</v>
      </c>
      <c r="C55" s="24"/>
      <c r="D55" t="s">
        <v>372</v>
      </c>
      <c r="E55" s="7">
        <f>SUMIF('Jefferson Reg Price Out'!C:C,D55,'Jefferson Reg Price Out'!AH:AH)</f>
        <v>4</v>
      </c>
      <c r="F55" s="3">
        <f>+References!B$12</f>
        <v>4.333333333333333</v>
      </c>
      <c r="G55" s="43">
        <f t="shared" si="142"/>
        <v>208</v>
      </c>
      <c r="H55" s="43">
        <f>+References!B40</f>
        <v>840</v>
      </c>
      <c r="I55" s="43">
        <f t="shared" si="143"/>
        <v>174720</v>
      </c>
      <c r="J55" s="75">
        <f t="shared" si="105"/>
        <v>111823.96115140896</v>
      </c>
      <c r="K55" s="258">
        <f>(References!$C$58*J55)</f>
        <v>225.32528172008938</v>
      </c>
      <c r="L55" s="258">
        <f>K55/References!$G$61</f>
        <v>230.53538133833575</v>
      </c>
      <c r="M55" s="42">
        <f t="shared" si="144"/>
        <v>1.1083431795112295</v>
      </c>
      <c r="N55" s="42">
        <f>+'Proposed Rates'!B53</f>
        <v>123.65494435799293</v>
      </c>
      <c r="O55" s="42">
        <f t="shared" si="145"/>
        <v>124.76328753750416</v>
      </c>
      <c r="P55" s="42">
        <f>'Proposed Rates'!D53</f>
        <v>124.76328753750416</v>
      </c>
      <c r="Q55" s="258">
        <f t="shared" si="146"/>
        <v>25720.22842646253</v>
      </c>
      <c r="R55" s="258">
        <f t="shared" si="147"/>
        <v>25950.763807800864</v>
      </c>
      <c r="S55" s="258">
        <f t="shared" si="148"/>
        <v>230.53538133833354</v>
      </c>
      <c r="T55" s="258">
        <f t="shared" si="149"/>
        <v>25950.763807800864</v>
      </c>
      <c r="U55" s="42">
        <f t="shared" si="150"/>
        <v>0</v>
      </c>
    </row>
    <row r="56" spans="1:21" ht="14.45" customHeight="1">
      <c r="A56" s="273"/>
      <c r="B56" s="24" t="s">
        <v>208</v>
      </c>
      <c r="C56" s="24"/>
      <c r="D56" t="s">
        <v>173</v>
      </c>
      <c r="E56" s="7">
        <f>SUMIF('Jefferson Reg Price Out'!C:C,D56,'Jefferson Reg Price Out'!AH:AH)</f>
        <v>27.878304030618349</v>
      </c>
      <c r="F56" s="3">
        <f>+References!B$14</f>
        <v>1</v>
      </c>
      <c r="G56" s="43">
        <f t="shared" si="65"/>
        <v>334.53964836742017</v>
      </c>
      <c r="H56" s="43">
        <f>References!B51</f>
        <v>125</v>
      </c>
      <c r="I56" s="43">
        <f t="shared" si="69"/>
        <v>41817.456045927524</v>
      </c>
      <c r="J56" s="75">
        <f t="shared" si="105"/>
        <v>26763.928458851598</v>
      </c>
      <c r="K56" s="258">
        <f>(References!$C$58*J56)</f>
        <v>53.92931584458605</v>
      </c>
      <c r="L56" s="258">
        <f>K56/References!$G$61</f>
        <v>55.176300229779052</v>
      </c>
      <c r="M56" s="42">
        <f t="shared" si="70"/>
        <v>0.16493202076059965</v>
      </c>
      <c r="N56" s="42">
        <f>'Proposed Rates'!B81</f>
        <v>28.077581005653709</v>
      </c>
      <c r="O56" s="42">
        <f t="shared" si="4"/>
        <v>28.242513026414308</v>
      </c>
      <c r="P56" s="42">
        <f>'Proposed Rates'!D81</f>
        <v>28.242513026414308</v>
      </c>
      <c r="Q56" s="258">
        <f t="shared" si="71"/>
        <v>9393.064076639148</v>
      </c>
      <c r="R56" s="258">
        <f t="shared" si="72"/>
        <v>9448.2403768689255</v>
      </c>
      <c r="S56" s="258">
        <f t="shared" si="85"/>
        <v>55.176300229777553</v>
      </c>
      <c r="T56" s="258">
        <f t="shared" si="74"/>
        <v>9448.2403768689255</v>
      </c>
      <c r="U56" s="42">
        <f t="shared" si="86"/>
        <v>0</v>
      </c>
    </row>
    <row r="57" spans="1:21" ht="14.45" customHeight="1">
      <c r="A57" s="273"/>
      <c r="B57" s="24">
        <v>36</v>
      </c>
      <c r="C57" s="24"/>
      <c r="D57" t="s">
        <v>399</v>
      </c>
      <c r="E57" s="7">
        <f>SUMIF('Jefferson Reg Price Out'!C:C,D57,'Jefferson Reg Price Out'!AH:AH)</f>
        <v>14.285714285714286</v>
      </c>
      <c r="F57" s="3">
        <f>References!B$14</f>
        <v>1</v>
      </c>
      <c r="G57" s="43">
        <f t="shared" ref="G57:G59" si="151">E57*F57*12</f>
        <v>171.42857142857144</v>
      </c>
      <c r="H57" s="43">
        <f>References!$B$35</f>
        <v>324</v>
      </c>
      <c r="I57" s="43">
        <f t="shared" ref="I57:I59" si="152">G57*H57</f>
        <v>55542.857142857145</v>
      </c>
      <c r="J57" s="75">
        <f t="shared" si="105"/>
        <v>35548.433490047595</v>
      </c>
      <c r="K57" s="258">
        <f>(References!$C$58*J57)</f>
        <v>71.630093482446014</v>
      </c>
      <c r="L57" s="258">
        <f>K57/References!$G$61</f>
        <v>73.286365339109892</v>
      </c>
      <c r="M57" s="42">
        <f t="shared" ref="M57:M58" si="153">L57/G57</f>
        <v>0.42750379781147435</v>
      </c>
      <c r="N57" s="42">
        <f>+'Proposed Rates'!B93</f>
        <v>45.778049966654415</v>
      </c>
      <c r="O57" s="42">
        <f>M57+N57</f>
        <v>46.20555376446589</v>
      </c>
      <c r="P57" s="42">
        <f>'Proposed Rates'!$D$93</f>
        <v>46.20555376446589</v>
      </c>
      <c r="Q57" s="258">
        <f t="shared" ref="Q57:Q59" si="154">G57*N57</f>
        <v>7847.6657085693287</v>
      </c>
      <c r="R57" s="258">
        <f t="shared" ref="R57:R59" si="155">G57*P57</f>
        <v>7920.9520739084392</v>
      </c>
      <c r="S57" s="258">
        <f t="shared" ref="S57:S59" si="156">R57-Q57</f>
        <v>73.286365339110489</v>
      </c>
      <c r="T57" s="258">
        <f t="shared" ref="T57:T59" si="157">G57*O57</f>
        <v>7920.9520739084392</v>
      </c>
      <c r="U57" s="42">
        <f t="shared" ref="U57:U59" si="158">R57-T57</f>
        <v>0</v>
      </c>
    </row>
    <row r="58" spans="1:21" ht="14.45" customHeight="1">
      <c r="A58" s="273"/>
      <c r="B58" s="24">
        <v>36</v>
      </c>
      <c r="C58" s="24"/>
      <c r="D58" t="s">
        <v>401</v>
      </c>
      <c r="E58" s="7">
        <f>SUMIF('Jefferson Reg Price Out'!C:C,D58,'Jefferson Reg Price Out'!AH:AH)</f>
        <v>1.6999948950941857</v>
      </c>
      <c r="F58" s="3">
        <f>+References!B$12</f>
        <v>4.333333333333333</v>
      </c>
      <c r="G58" s="43">
        <f t="shared" si="151"/>
        <v>88.399734544897655</v>
      </c>
      <c r="H58" s="43">
        <f>References!$B$35</f>
        <v>324</v>
      </c>
      <c r="I58" s="43">
        <f t="shared" si="152"/>
        <v>28641.513992546839</v>
      </c>
      <c r="J58" s="75">
        <f t="shared" si="105"/>
        <v>18331.087156708414</v>
      </c>
      <c r="K58" s="258">
        <f>(References!$C$58*J58)</f>
        <v>36.937140620767508</v>
      </c>
      <c r="L58" s="258">
        <f>K58/References!$G$61</f>
        <v>37.791222243469925</v>
      </c>
      <c r="M58" s="42">
        <f t="shared" si="153"/>
        <v>0.4275037978114743</v>
      </c>
      <c r="N58" s="42">
        <f>+'Proposed Rates'!B93</f>
        <v>45.778049966654415</v>
      </c>
      <c r="O58" s="42">
        <f t="shared" ref="O58" si="159">M58+N58</f>
        <v>46.20555376446589</v>
      </c>
      <c r="P58" s="42">
        <f>'Proposed Rates'!$D$93</f>
        <v>46.20555376446589</v>
      </c>
      <c r="Q58" s="258">
        <f t="shared" si="154"/>
        <v>4046.767465035311</v>
      </c>
      <c r="R58" s="258">
        <f t="shared" si="155"/>
        <v>4084.5586872787812</v>
      </c>
      <c r="S58" s="258">
        <f t="shared" si="156"/>
        <v>37.791222243470202</v>
      </c>
      <c r="T58" s="258">
        <f t="shared" si="157"/>
        <v>4084.5586872787812</v>
      </c>
      <c r="U58" s="42">
        <f t="shared" si="158"/>
        <v>0</v>
      </c>
    </row>
    <row r="59" spans="1:21" ht="14.45" customHeight="1">
      <c r="A59" s="273"/>
      <c r="B59" s="24">
        <v>36</v>
      </c>
      <c r="C59" s="24"/>
      <c r="D59" t="s">
        <v>410</v>
      </c>
      <c r="E59" s="7">
        <f>SUMIF('Jefferson Reg Price Out'!C:C,D59,'Jefferson Reg Price Out'!AH:AH)</f>
        <v>46.06244576670386</v>
      </c>
      <c r="F59" s="3">
        <f>References!B$12</f>
        <v>4.333333333333333</v>
      </c>
      <c r="G59" s="43">
        <f t="shared" si="151"/>
        <v>2395.2471798686006</v>
      </c>
      <c r="H59" s="77">
        <f>+References!B25</f>
        <v>37</v>
      </c>
      <c r="I59" s="43">
        <f t="shared" si="152"/>
        <v>88624.145655138229</v>
      </c>
      <c r="J59" s="75">
        <f t="shared" si="105"/>
        <v>56721.056666763892</v>
      </c>
      <c r="K59" s="258">
        <f>(References!$C$58*J59)</f>
        <v>114.29292918352941</v>
      </c>
      <c r="L59" s="258">
        <f>K59/References!$G$61</f>
        <v>116.93567544866933</v>
      </c>
      <c r="M59" s="42">
        <f>L59/G59</f>
        <v>4.8819878145137503E-2</v>
      </c>
      <c r="N59" s="42">
        <f>+'Proposed Rates'!B72</f>
        <v>6.2714439776734983</v>
      </c>
      <c r="O59" s="42">
        <f>M59+N59</f>
        <v>6.3202638558186361</v>
      </c>
      <c r="P59" s="42">
        <f>+'Proposed Rates'!D72</f>
        <v>6.3202638558186361</v>
      </c>
      <c r="Q59" s="258">
        <f t="shared" si="154"/>
        <v>15021.658501226366</v>
      </c>
      <c r="R59" s="258">
        <f t="shared" si="155"/>
        <v>15138.594176675037</v>
      </c>
      <c r="S59" s="258">
        <f t="shared" si="156"/>
        <v>116.93567544867074</v>
      </c>
      <c r="T59" s="258">
        <f t="shared" si="157"/>
        <v>15138.594176675037</v>
      </c>
      <c r="U59" s="42">
        <f t="shared" si="158"/>
        <v>0</v>
      </c>
    </row>
    <row r="60" spans="1:21" ht="14.45" customHeight="1">
      <c r="A60" s="273"/>
      <c r="B60" s="24">
        <v>36</v>
      </c>
      <c r="C60" s="24"/>
      <c r="D60" t="s">
        <v>408</v>
      </c>
      <c r="E60" s="7">
        <f>SUMIF('Jefferson Reg Price Out'!C:C,D60,'Jefferson Reg Price Out'!AH:AH)</f>
        <v>13.958249571885935</v>
      </c>
      <c r="F60" s="3">
        <f>References!B$12</f>
        <v>4.333333333333333</v>
      </c>
      <c r="G60" s="43">
        <f t="shared" si="65"/>
        <v>725.82897773806849</v>
      </c>
      <c r="H60" s="77">
        <f>References!$B$21</f>
        <v>77</v>
      </c>
      <c r="I60" s="43">
        <f t="shared" ref="I60" si="160">G60*H60</f>
        <v>55888.831285831271</v>
      </c>
      <c r="J60" s="75">
        <f t="shared" si="105"/>
        <v>35769.863201147244</v>
      </c>
      <c r="K60" s="258">
        <f>(References!$C$58*J60)</f>
        <v>72.076274350311806</v>
      </c>
      <c r="L60" s="258">
        <f>K60/References!$G$61</f>
        <v>73.742863055363003</v>
      </c>
      <c r="M60" s="42">
        <f>L60/G60</f>
        <v>0.10159812478852939</v>
      </c>
      <c r="N60" s="42">
        <f>+'Proposed Rates'!B78</f>
        <v>10.452924067075617</v>
      </c>
      <c r="O60" s="42">
        <f>M60+N60</f>
        <v>10.554522191864146</v>
      </c>
      <c r="P60" s="42">
        <f>+'Proposed Rates'!D78</f>
        <v>10.554522191864146</v>
      </c>
      <c r="Q60" s="258">
        <f t="shared" ref="Q60" si="161">G60*N60</f>
        <v>7587.0351899791485</v>
      </c>
      <c r="R60" s="258">
        <f t="shared" ref="R60" si="162">G60*P60</f>
        <v>7660.7780530345117</v>
      </c>
      <c r="S60" s="258">
        <f t="shared" ref="S60" si="163">R60-Q60</f>
        <v>73.742863055363159</v>
      </c>
      <c r="T60" s="258">
        <f t="shared" ref="T60" si="164">G60*O60</f>
        <v>7660.7780530345117</v>
      </c>
      <c r="U60" s="42">
        <f t="shared" ref="U60" si="165">R60-T60</f>
        <v>0</v>
      </c>
    </row>
    <row r="61" spans="1:21" ht="14.45" customHeight="1">
      <c r="A61" s="273"/>
      <c r="B61" s="24">
        <v>36</v>
      </c>
      <c r="C61" s="24"/>
      <c r="D61" t="s">
        <v>131</v>
      </c>
      <c r="E61" s="7">
        <f>SUMIF('Jefferson Reg Price Out'!C:C,D61,'Jefferson Reg Price Out'!AH:AH)</f>
        <v>5.4791240378057102</v>
      </c>
      <c r="F61" s="3">
        <f>References!B$12</f>
        <v>4.333333333333333</v>
      </c>
      <c r="G61" s="43">
        <f t="shared" si="65"/>
        <v>284.91444996589689</v>
      </c>
      <c r="H61" s="43">
        <f>References!B26</f>
        <v>47</v>
      </c>
      <c r="I61" s="43">
        <f t="shared" ref="I61:I62" si="166">G61*H61</f>
        <v>13390.979148397153</v>
      </c>
      <c r="J61" s="75">
        <f t="shared" si="105"/>
        <v>8570.4689335490548</v>
      </c>
      <c r="K61" s="258">
        <f>(References!$C$58*J61)</f>
        <v>17.269494901101371</v>
      </c>
      <c r="L61" s="258">
        <f>K61/References!$G$61</f>
        <v>17.668810007265574</v>
      </c>
      <c r="M61" s="42">
        <f t="shared" si="70"/>
        <v>6.2014439805985477E-2</v>
      </c>
      <c r="N61" s="42">
        <f>'Proposed Rates'!B75</f>
        <v>7.9780504581257947</v>
      </c>
      <c r="O61" s="42">
        <f t="shared" si="4"/>
        <v>8.0400648979317797</v>
      </c>
      <c r="P61" s="42">
        <f>'Proposed Rates'!D75</f>
        <v>8.0400648979317797</v>
      </c>
      <c r="Q61" s="258">
        <f t="shared" si="71"/>
        <v>2273.0618580770824</v>
      </c>
      <c r="R61" s="258">
        <f t="shared" si="72"/>
        <v>2290.7306680843481</v>
      </c>
      <c r="S61" s="258">
        <f t="shared" ref="S61:S62" si="167">R61-Q61</f>
        <v>17.66881000726562</v>
      </c>
      <c r="T61" s="258">
        <f t="shared" si="74"/>
        <v>2290.7306680843481</v>
      </c>
      <c r="U61" s="42">
        <f t="shared" ref="U61:U62" si="168">R61-T61</f>
        <v>0</v>
      </c>
    </row>
    <row r="62" spans="1:21" ht="14.45" customHeight="1">
      <c r="A62" s="273"/>
      <c r="B62" s="24" t="s">
        <v>209</v>
      </c>
      <c r="C62" s="24"/>
      <c r="D62" t="s">
        <v>197</v>
      </c>
      <c r="E62" s="7">
        <f>SUMIF('Jefferson Reg Price Out'!C:C,D62,'Jefferson Reg Price Out'!AH:AH)</f>
        <v>7.75</v>
      </c>
      <c r="F62" s="3">
        <f>+References!B$14</f>
        <v>1</v>
      </c>
      <c r="G62" s="43">
        <f t="shared" si="65"/>
        <v>93</v>
      </c>
      <c r="H62" s="43">
        <f>References!B31</f>
        <v>29</v>
      </c>
      <c r="I62" s="43">
        <f t="shared" si="166"/>
        <v>2697</v>
      </c>
      <c r="J62" s="75">
        <f t="shared" si="105"/>
        <v>1726.1287959326351</v>
      </c>
      <c r="K62" s="258">
        <f>(References!$C$58*J62)</f>
        <v>3.4781495238042646</v>
      </c>
      <c r="L62" s="258">
        <f>K62/References!$G$61</f>
        <v>3.5585732799306982</v>
      </c>
      <c r="M62" s="42">
        <f t="shared" si="70"/>
        <v>3.826422881645912E-2</v>
      </c>
      <c r="N62" s="42">
        <f>'Proposed Rates'!B83</f>
        <v>7.6981587933116611</v>
      </c>
      <c r="O62" s="42">
        <f t="shared" si="4"/>
        <v>7.7364230221281201</v>
      </c>
      <c r="P62" s="42">
        <f>'Proposed Rates'!D83</f>
        <v>7.7364230221281201</v>
      </c>
      <c r="Q62" s="258">
        <f t="shared" si="71"/>
        <v>715.92876777798449</v>
      </c>
      <c r="R62" s="258">
        <f t="shared" si="72"/>
        <v>719.48734105791516</v>
      </c>
      <c r="S62" s="258">
        <f t="shared" si="167"/>
        <v>3.5585732799306697</v>
      </c>
      <c r="T62" s="258">
        <f t="shared" si="74"/>
        <v>719.48734105791516</v>
      </c>
      <c r="U62" s="42">
        <f t="shared" si="168"/>
        <v>0</v>
      </c>
    </row>
    <row r="63" spans="1:21">
      <c r="A63" s="28"/>
      <c r="B63" s="26"/>
      <c r="C63" s="26"/>
      <c r="D63" s="78" t="s">
        <v>16</v>
      </c>
      <c r="E63" s="79">
        <f>SUM(E30:E62)</f>
        <v>869.56428430380322</v>
      </c>
      <c r="F63" s="80"/>
      <c r="G63" s="81">
        <f>SUM(G30:G62)</f>
        <v>32504.358575344635</v>
      </c>
      <c r="H63" s="82"/>
      <c r="I63" s="81">
        <f>SUM(I30:I62)</f>
        <v>8143879.3139509205</v>
      </c>
      <c r="J63" s="84">
        <f>SUM(J30:J62)</f>
        <v>5212266.1197325569</v>
      </c>
      <c r="K63" s="260"/>
      <c r="L63" s="260"/>
      <c r="M63" s="44"/>
      <c r="N63" s="44"/>
      <c r="O63" s="44"/>
      <c r="P63" s="44"/>
      <c r="Q63" s="260">
        <f>SUM(Q30:Q62)</f>
        <v>1127422.1559355569</v>
      </c>
      <c r="R63" s="260">
        <f>SUM(R30:R62)</f>
        <v>1138167.7219589467</v>
      </c>
      <c r="S63" s="260">
        <f>SUM(S30:S62)</f>
        <v>10745.566023389738</v>
      </c>
      <c r="T63" s="260">
        <f>SUM(T30:T62)</f>
        <v>1138167.7219589467</v>
      </c>
      <c r="U63" s="44">
        <f>SUM(U30:U62)</f>
        <v>0</v>
      </c>
    </row>
    <row r="64" spans="1:21">
      <c r="D64" s="39" t="s">
        <v>3</v>
      </c>
      <c r="E64" s="40">
        <f>E29+E63</f>
        <v>5522.6137823528161</v>
      </c>
      <c r="F64" s="40"/>
      <c r="G64" s="40">
        <f>G29+G63</f>
        <v>248560.95689712788</v>
      </c>
      <c r="H64" s="40"/>
      <c r="I64" s="40">
        <f>I29+I63</f>
        <v>17868557.359495968</v>
      </c>
      <c r="J64" s="40">
        <f>J29+J63</f>
        <v>11436236.014278054</v>
      </c>
      <c r="K64" s="258"/>
      <c r="L64" s="261"/>
      <c r="M64" s="46"/>
      <c r="N64" s="46"/>
      <c r="O64" s="46"/>
      <c r="P64" s="46"/>
      <c r="Q64" s="261">
        <f>Q29+Q63</f>
        <v>2455755.9816046366</v>
      </c>
      <c r="R64" s="261">
        <f>R29+R63</f>
        <v>2477317.7605815651</v>
      </c>
      <c r="S64" s="261">
        <f>S29+S63</f>
        <v>21561.778976928952</v>
      </c>
      <c r="T64" s="261">
        <f>T29+T63</f>
        <v>2477317.7605815651</v>
      </c>
      <c r="U64" s="46">
        <f>U29+U63</f>
        <v>0</v>
      </c>
    </row>
    <row r="65" spans="1:20">
      <c r="K65" s="258"/>
      <c r="M65" s="20"/>
      <c r="T65" s="36"/>
    </row>
    <row r="66" spans="1:20">
      <c r="K66" s="258"/>
      <c r="R66" t="s">
        <v>13</v>
      </c>
      <c r="S66" s="69">
        <f>S29/S64</f>
        <v>0.50163824446547456</v>
      </c>
      <c r="T66" s="36"/>
    </row>
    <row r="67" spans="1:20">
      <c r="A67" s="47"/>
      <c r="B67" s="48"/>
      <c r="C67" s="48"/>
      <c r="D67" s="51" t="s">
        <v>97</v>
      </c>
      <c r="E67" s="49"/>
      <c r="F67" s="47"/>
      <c r="G67" s="47"/>
      <c r="H67" s="47"/>
      <c r="I67" s="47"/>
      <c r="J67" s="50"/>
      <c r="K67" s="262"/>
      <c r="L67" s="263"/>
      <c r="M67" s="47"/>
      <c r="N67" s="47"/>
      <c r="O67" s="47"/>
      <c r="P67" s="47"/>
      <c r="R67" t="s">
        <v>14</v>
      </c>
      <c r="S67" s="69">
        <f>S63/S64</f>
        <v>0.4983617555345255</v>
      </c>
      <c r="T67" s="36"/>
    </row>
    <row r="68" spans="1:20" ht="15" customHeight="1">
      <c r="A68" s="273" t="s">
        <v>13</v>
      </c>
      <c r="B68" s="37">
        <v>21</v>
      </c>
      <c r="D68" s="56" t="s">
        <v>276</v>
      </c>
      <c r="E68" s="7">
        <f>SUMIF('Jefferson Reg Price Out'!C:C,D68,'Jefferson Reg Price Out'!AH:AH)</f>
        <v>0</v>
      </c>
      <c r="F68" s="4">
        <f>References!B12</f>
        <v>4.333333333333333</v>
      </c>
      <c r="G68" s="34">
        <f t="shared" ref="G68:G72" si="169">F68*12</f>
        <v>52</v>
      </c>
      <c r="H68" s="34">
        <f>References!B23</f>
        <v>117</v>
      </c>
      <c r="I68" s="43">
        <f t="shared" ref="I68:I70" si="170">G68*H68</f>
        <v>6084</v>
      </c>
      <c r="J68" s="34">
        <f t="shared" ref="J68:J82" si="171">I68*$E$91</f>
        <v>3893.8700758079908</v>
      </c>
      <c r="K68" s="258">
        <f>(References!$C$58*J68)</f>
        <v>7.8461482027531124</v>
      </c>
      <c r="L68" s="264">
        <f>K68/References!$G$61</f>
        <v>8.0275713144599052</v>
      </c>
      <c r="M68" s="42">
        <f t="shared" ref="M68:M71" si="172">L68/G68*F68</f>
        <v>0.6689642762049921</v>
      </c>
      <c r="N68" s="61">
        <f>'Proposed Rates'!B16</f>
        <v>72.221948558931444</v>
      </c>
      <c r="O68" s="61">
        <f>M68+N68</f>
        <v>72.890912835136433</v>
      </c>
      <c r="P68" s="61">
        <f>'Proposed Rates'!D16</f>
        <v>72.890912835136433</v>
      </c>
      <c r="S68" s="69">
        <f>SUM(S66:S67)</f>
        <v>1</v>
      </c>
      <c r="T68" s="36"/>
    </row>
    <row r="69" spans="1:20">
      <c r="A69" s="273"/>
      <c r="B69" s="37">
        <v>21</v>
      </c>
      <c r="D69" t="s">
        <v>109</v>
      </c>
      <c r="E69" s="7">
        <f>SUMIF('Jefferson Reg Price Out'!C:C,D69,'Jefferson Reg Price Out'!AH:AH)</f>
        <v>0</v>
      </c>
      <c r="F69" s="4">
        <f>References!B12</f>
        <v>4.333333333333333</v>
      </c>
      <c r="G69" s="34">
        <f>F69*12</f>
        <v>52</v>
      </c>
      <c r="H69" s="34">
        <f>References!B20</f>
        <v>51</v>
      </c>
      <c r="I69" s="43">
        <f t="shared" si="170"/>
        <v>2652</v>
      </c>
      <c r="J69" s="34">
        <f t="shared" si="171"/>
        <v>1697.3279817624575</v>
      </c>
      <c r="K69" s="258">
        <f>(References!$C$58*J69)</f>
        <v>3.420115883251357</v>
      </c>
      <c r="L69" s="264">
        <f>K69/References!$G$61</f>
        <v>3.4991977524568822</v>
      </c>
      <c r="M69" s="42">
        <f>L69/G69*F69</f>
        <v>0.29159981270474017</v>
      </c>
      <c r="N69" s="61">
        <f>+'Proposed Rates'!B14</f>
        <v>47.624102897758299</v>
      </c>
      <c r="O69" s="61">
        <f t="shared" ref="O69:O82" si="173">M69+N69</f>
        <v>47.915702710463037</v>
      </c>
      <c r="P69" s="61">
        <f>'Proposed Rates'!D14</f>
        <v>47.915702710463037</v>
      </c>
      <c r="T69" s="36"/>
    </row>
    <row r="70" spans="1:20">
      <c r="A70" s="273"/>
      <c r="B70" s="37">
        <v>21</v>
      </c>
      <c r="D70" t="s">
        <v>189</v>
      </c>
      <c r="E70" s="7">
        <f>SUMIF('Jefferson Reg Price Out'!C:C,D70,'Jefferson Reg Price Out'!AH:AH)</f>
        <v>0</v>
      </c>
      <c r="F70" s="4">
        <f>References!B12</f>
        <v>4.333333333333333</v>
      </c>
      <c r="G70" s="34">
        <f>F70*12</f>
        <v>52</v>
      </c>
      <c r="H70" s="34">
        <f>References!B21</f>
        <v>77</v>
      </c>
      <c r="I70" s="43">
        <f t="shared" si="170"/>
        <v>4004</v>
      </c>
      <c r="J70" s="34">
        <f t="shared" si="171"/>
        <v>2562.6324430531222</v>
      </c>
      <c r="K70" s="258">
        <f>(References!$C$58*J70)</f>
        <v>5.1637043727520489</v>
      </c>
      <c r="L70" s="264">
        <f>K70/References!$G$61</f>
        <v>5.2831024890035287</v>
      </c>
      <c r="M70" s="42">
        <f t="shared" si="172"/>
        <v>0.44025854075029403</v>
      </c>
      <c r="N70" s="61">
        <f>+'Proposed Rates'!B15</f>
        <v>59.888025728344871</v>
      </c>
      <c r="O70" s="61">
        <f t="shared" si="173"/>
        <v>60.328284269095164</v>
      </c>
      <c r="P70" s="61">
        <f>'Proposed Rates'!D15</f>
        <v>60.328284269095164</v>
      </c>
      <c r="R70" t="s">
        <v>285</v>
      </c>
      <c r="T70" s="69"/>
    </row>
    <row r="71" spans="1:20" ht="15" customHeight="1">
      <c r="A71" s="274" t="s">
        <v>14</v>
      </c>
      <c r="B71" s="37">
        <v>35</v>
      </c>
      <c r="D71" s="59" t="s">
        <v>202</v>
      </c>
      <c r="E71" s="7">
        <f>SUMIF('Jefferson Reg Price Out'!C:C,D71,'Jefferson Reg Price Out'!AH:AH)</f>
        <v>0</v>
      </c>
      <c r="F71" s="3">
        <v>1</v>
      </c>
      <c r="G71" s="34">
        <f t="shared" si="169"/>
        <v>12</v>
      </c>
      <c r="H71" s="43">
        <f>References!B32</f>
        <v>175</v>
      </c>
      <c r="I71" s="43">
        <f t="shared" ref="I71:I82" si="174">G71*H71</f>
        <v>2100</v>
      </c>
      <c r="J71" s="34">
        <f t="shared" si="171"/>
        <v>1344.0379946082808</v>
      </c>
      <c r="K71" s="258">
        <f>(References!$C$58*J71)</f>
        <v>2.7082365591356896</v>
      </c>
      <c r="L71" s="264">
        <f>K71/References!$G$61</f>
        <v>2.7708579487780738</v>
      </c>
      <c r="M71" s="42">
        <f t="shared" si="172"/>
        <v>0.23090482906483947</v>
      </c>
      <c r="N71" s="61">
        <f>'Proposed Rates'!B55</f>
        <v>26.37061340791519</v>
      </c>
      <c r="O71" s="61">
        <f t="shared" si="173"/>
        <v>26.601518236980031</v>
      </c>
      <c r="P71" s="61">
        <f>'Proposed Rates'!D55</f>
        <v>26.601518236980031</v>
      </c>
      <c r="R71" t="s">
        <v>13</v>
      </c>
      <c r="S71" s="71">
        <f>+S29</f>
        <v>10816.212953539216</v>
      </c>
      <c r="T71" s="69">
        <f>+S71/Q29</f>
        <v>8.1426918027108948E-3</v>
      </c>
    </row>
    <row r="72" spans="1:20" ht="15" customHeight="1">
      <c r="A72" s="273"/>
      <c r="B72" s="37">
        <v>35</v>
      </c>
      <c r="D72" s="55" t="s">
        <v>211</v>
      </c>
      <c r="E72" s="7">
        <f>SUMIF('Jefferson Reg Price Out'!C:C,D72,'Jefferson Reg Price Out'!AH:AH)</f>
        <v>0</v>
      </c>
      <c r="F72" s="4">
        <v>4.33</v>
      </c>
      <c r="G72" s="34">
        <f t="shared" si="169"/>
        <v>51.96</v>
      </c>
      <c r="H72" s="43">
        <f>References!B36</f>
        <v>473</v>
      </c>
      <c r="I72" s="43">
        <f t="shared" si="174"/>
        <v>24577.08</v>
      </c>
      <c r="J72" s="34">
        <f t="shared" si="171"/>
        <v>15729.775865012994</v>
      </c>
      <c r="K72" s="258">
        <f>(References!$C$58*J72)</f>
        <v>31.695498368001228</v>
      </c>
      <c r="L72" s="264">
        <f>K72/References!$G$61</f>
        <v>32.428379750359348</v>
      </c>
      <c r="M72" s="42">
        <f>L72/G72</f>
        <v>0.62410276655810903</v>
      </c>
      <c r="N72" s="61">
        <f>'Proposed Rates'!B51</f>
        <v>60.165486525393639</v>
      </c>
      <c r="O72" s="61">
        <f t="shared" si="173"/>
        <v>60.789589291951749</v>
      </c>
      <c r="P72" s="61">
        <f>'Proposed Rates'!D51</f>
        <v>60.789589291951749</v>
      </c>
      <c r="R72" t="s">
        <v>14</v>
      </c>
      <c r="S72" s="71">
        <f>+S63</f>
        <v>10745.566023389738</v>
      </c>
      <c r="T72" s="69">
        <f>+S72/Q63</f>
        <v>9.53109353654032E-3</v>
      </c>
    </row>
    <row r="73" spans="1:20">
      <c r="A73" s="273"/>
      <c r="B73" s="37">
        <v>35.5</v>
      </c>
      <c r="D73" s="55" t="s">
        <v>205</v>
      </c>
      <c r="E73" s="7">
        <f>SUMIF('Jefferson Reg Price Out'!C:C,D73,'Jefferson Reg Price Out'!AH:AH)</f>
        <v>0</v>
      </c>
      <c r="F73" s="3">
        <v>1</v>
      </c>
      <c r="G73" s="34">
        <f t="shared" ref="G73:G82" si="175">F73*12</f>
        <v>12</v>
      </c>
      <c r="H73" s="43">
        <f>References!B25</f>
        <v>37</v>
      </c>
      <c r="I73" s="43">
        <f t="shared" si="174"/>
        <v>444</v>
      </c>
      <c r="J73" s="34">
        <f t="shared" si="171"/>
        <v>284.16803314575083</v>
      </c>
      <c r="K73" s="258">
        <f>(References!$C$58*J73)</f>
        <v>0.57259858678868869</v>
      </c>
      <c r="L73" s="264">
        <f>K73/References!$G$61</f>
        <v>0.58583853774164996</v>
      </c>
      <c r="M73" s="42">
        <f t="shared" ref="M73:M81" si="176">L73/G73*F73</f>
        <v>4.8819878145137496E-2</v>
      </c>
      <c r="N73" s="61">
        <f>'Proposed Rates'!B72</f>
        <v>6.2714439776734983</v>
      </c>
      <c r="O73" s="61">
        <f t="shared" si="173"/>
        <v>6.3202638558186361</v>
      </c>
      <c r="P73" s="61">
        <f>'Proposed Rates'!D72</f>
        <v>6.3202638558186361</v>
      </c>
      <c r="R73" s="30" t="s">
        <v>16</v>
      </c>
      <c r="S73" s="72">
        <f>SUM(S71:S72)</f>
        <v>21561.778976928952</v>
      </c>
      <c r="T73" s="36"/>
    </row>
    <row r="74" spans="1:20">
      <c r="A74" s="273"/>
      <c r="B74" s="37">
        <v>35.5</v>
      </c>
      <c r="D74" s="55" t="s">
        <v>206</v>
      </c>
      <c r="E74" s="7">
        <f>SUMIF('Jefferson Reg Price Out'!C:C,D74,'Jefferson Reg Price Out'!AH:AH)</f>
        <v>0</v>
      </c>
      <c r="F74" s="3">
        <v>1</v>
      </c>
      <c r="G74" s="34">
        <f t="shared" si="175"/>
        <v>12</v>
      </c>
      <c r="H74" s="43">
        <f>References!B25</f>
        <v>37</v>
      </c>
      <c r="I74" s="43">
        <f t="shared" si="174"/>
        <v>444</v>
      </c>
      <c r="J74" s="34">
        <f t="shared" si="171"/>
        <v>284.16803314575083</v>
      </c>
      <c r="K74" s="258">
        <f>(References!$C$58*J74)</f>
        <v>0.57259858678868869</v>
      </c>
      <c r="L74" s="264">
        <f>K74/References!$G$61</f>
        <v>0.58583853774164996</v>
      </c>
      <c r="M74" s="42">
        <f t="shared" si="176"/>
        <v>4.8819878145137496E-2</v>
      </c>
      <c r="N74" s="61">
        <f>'Proposed Rates'!B73</f>
        <v>9.2714439776734991</v>
      </c>
      <c r="O74" s="61">
        <f t="shared" si="173"/>
        <v>9.3202638558186361</v>
      </c>
      <c r="P74" s="61">
        <f>'Proposed Rates'!D73</f>
        <v>9.3202638558186361</v>
      </c>
      <c r="R74" s="30"/>
      <c r="S74" s="72"/>
      <c r="T74" s="36"/>
    </row>
    <row r="75" spans="1:20">
      <c r="A75" s="273"/>
      <c r="B75" s="37">
        <v>35.5</v>
      </c>
      <c r="D75" s="55" t="s">
        <v>207</v>
      </c>
      <c r="E75" s="7">
        <f>SUMIF('Jefferson Reg Price Out'!C:C,D75,'Jefferson Reg Price Out'!AH:AH)</f>
        <v>0</v>
      </c>
      <c r="F75" s="3">
        <v>1</v>
      </c>
      <c r="G75" s="34">
        <f t="shared" si="175"/>
        <v>12</v>
      </c>
      <c r="H75" s="43">
        <f>References!B26</f>
        <v>47</v>
      </c>
      <c r="I75" s="43">
        <f t="shared" si="174"/>
        <v>564</v>
      </c>
      <c r="J75" s="34">
        <f t="shared" si="171"/>
        <v>360.97020426622402</v>
      </c>
      <c r="K75" s="258">
        <f>(References!$C$58*J75)</f>
        <v>0.72735496159644242</v>
      </c>
      <c r="L75" s="264">
        <f>K75/References!$G$61</f>
        <v>0.74417327767182562</v>
      </c>
      <c r="M75" s="42">
        <f t="shared" si="176"/>
        <v>6.201443980598547E-2</v>
      </c>
      <c r="N75" s="61">
        <f>'Proposed Rates'!B76</f>
        <v>10.978050458125795</v>
      </c>
      <c r="O75" s="61">
        <f t="shared" si="173"/>
        <v>11.04006489793178</v>
      </c>
      <c r="P75" s="61">
        <f>'Proposed Rates'!D76</f>
        <v>11.04006489793178</v>
      </c>
      <c r="R75" t="s">
        <v>286</v>
      </c>
      <c r="S75" s="267">
        <f>+'DF Schedule'!N33</f>
        <v>1529.6299999999999</v>
      </c>
      <c r="T75" s="36" t="s">
        <v>542</v>
      </c>
    </row>
    <row r="76" spans="1:20">
      <c r="A76" s="273"/>
      <c r="B76" s="37">
        <v>35.5</v>
      </c>
      <c r="D76" s="55" t="s">
        <v>284</v>
      </c>
      <c r="E76" s="7">
        <f>SUMIF('Jefferson Reg Price Out'!C:C,D76,'Jefferson Reg Price Out'!AH:AH)</f>
        <v>0</v>
      </c>
      <c r="F76" s="3">
        <v>1</v>
      </c>
      <c r="G76" s="34">
        <f t="shared" si="175"/>
        <v>12</v>
      </c>
      <c r="H76" s="43">
        <f>References!B27</f>
        <v>68</v>
      </c>
      <c r="I76" s="43">
        <f t="shared" si="174"/>
        <v>816</v>
      </c>
      <c r="J76" s="34">
        <f t="shared" si="171"/>
        <v>522.25476361921767</v>
      </c>
      <c r="K76" s="258">
        <f>(References!$C$58*J76)</f>
        <v>1.0523433486927252</v>
      </c>
      <c r="L76" s="264">
        <f>K76/References!$G$61</f>
        <v>1.0766762315251945</v>
      </c>
      <c r="M76" s="42">
        <f t="shared" si="176"/>
        <v>8.9723019293766207E-2</v>
      </c>
      <c r="N76" s="61">
        <f>'Proposed Rates'!B78</f>
        <v>10.452924067075617</v>
      </c>
      <c r="O76" s="61">
        <f t="shared" si="173"/>
        <v>10.542647086369383</v>
      </c>
      <c r="P76" s="61">
        <f>'Proposed Rates'!D78</f>
        <v>10.554522191864146</v>
      </c>
    </row>
    <row r="77" spans="1:20">
      <c r="A77" s="273"/>
      <c r="B77" s="37">
        <v>35.5</v>
      </c>
      <c r="D77" s="55" t="s">
        <v>278</v>
      </c>
      <c r="E77" s="7">
        <f>SUMIF('Jefferson Reg Price Out'!C:C,D77,'Jefferson Reg Price Out'!AH:AH)</f>
        <v>0</v>
      </c>
      <c r="F77" s="3">
        <v>1</v>
      </c>
      <c r="G77" s="34">
        <f t="shared" si="175"/>
        <v>12</v>
      </c>
      <c r="H77" s="43">
        <f>References!B27</f>
        <v>68</v>
      </c>
      <c r="I77" s="43">
        <f t="shared" si="174"/>
        <v>816</v>
      </c>
      <c r="J77" s="34">
        <f t="shared" si="171"/>
        <v>522.25476361921767</v>
      </c>
      <c r="K77" s="258">
        <f>(References!$C$58*J77)</f>
        <v>1.0523433486927252</v>
      </c>
      <c r="L77" s="264">
        <f>K77/References!$G$61</f>
        <v>1.0766762315251945</v>
      </c>
      <c r="M77" s="42">
        <f t="shared" si="176"/>
        <v>8.9723019293766207E-2</v>
      </c>
      <c r="N77" s="61">
        <f>'Proposed Rates'!B79</f>
        <v>13.452924067075617</v>
      </c>
      <c r="O77" s="61">
        <f t="shared" si="173"/>
        <v>13.542647086369383</v>
      </c>
      <c r="P77" s="61">
        <f>'Proposed Rates'!D79</f>
        <v>13.554522191864146</v>
      </c>
      <c r="T77" s="36"/>
    </row>
    <row r="78" spans="1:20">
      <c r="A78" s="273"/>
      <c r="B78" s="37">
        <v>36</v>
      </c>
      <c r="D78" s="55" t="s">
        <v>211</v>
      </c>
      <c r="E78" s="12">
        <v>0</v>
      </c>
      <c r="F78" s="4">
        <f>[15]References!$B$12</f>
        <v>4.333333333333333</v>
      </c>
      <c r="G78" s="34">
        <f t="shared" si="175"/>
        <v>52</v>
      </c>
      <c r="H78" s="43">
        <f>+References!B36</f>
        <v>473</v>
      </c>
      <c r="I78" s="43">
        <f>G78*H78</f>
        <v>24596</v>
      </c>
      <c r="J78" s="34">
        <f t="shared" si="171"/>
        <v>15741.885007326322</v>
      </c>
      <c r="K78" s="258">
        <f>([15]References!$C$58*J78)</f>
        <v>30.932804039395918</v>
      </c>
      <c r="L78" s="264">
        <f>K78/[15]References!$G$61</f>
        <v>31.648049968688273</v>
      </c>
      <c r="M78" s="42">
        <f>L78/G78</f>
        <v>0.60861634555169752</v>
      </c>
      <c r="N78" s="61">
        <f>+'Proposed Rates'!B94</f>
        <v>60.165486525393639</v>
      </c>
      <c r="O78" s="61">
        <f t="shared" si="173"/>
        <v>60.774102870945335</v>
      </c>
      <c r="P78" s="61">
        <f>+'Proposed Rates'!D94</f>
        <v>60.774102870945335</v>
      </c>
      <c r="R78" s="30" t="s">
        <v>9</v>
      </c>
      <c r="S78" s="72">
        <f>+S75*References!B61</f>
        <v>6164.4089000000013</v>
      </c>
      <c r="T78" s="69">
        <f>References!D58</f>
        <v>2.5000000000000008E-2</v>
      </c>
    </row>
    <row r="79" spans="1:20">
      <c r="A79" s="273"/>
      <c r="B79" s="37">
        <v>36</v>
      </c>
      <c r="D79" s="55" t="s">
        <v>212</v>
      </c>
      <c r="E79" s="12">
        <v>0</v>
      </c>
      <c r="F79" s="4">
        <f>[15]References!$B$12</f>
        <v>4.333333333333333</v>
      </c>
      <c r="G79" s="34">
        <f t="shared" si="175"/>
        <v>52</v>
      </c>
      <c r="H79" s="43">
        <f>+References!B38</f>
        <v>613</v>
      </c>
      <c r="I79" s="43">
        <f t="shared" si="174"/>
        <v>31876</v>
      </c>
      <c r="J79" s="34">
        <f t="shared" si="171"/>
        <v>20401.216721968362</v>
      </c>
      <c r="K79" s="258">
        <f>([15]References!$C$58*J79)</f>
        <v>40.088390858667438</v>
      </c>
      <c r="L79" s="264">
        <f>K79/[15]References!$G$61</f>
        <v>41.015337485847589</v>
      </c>
      <c r="M79" s="42">
        <f t="shared" ref="M79:M80" si="177">L79/G79</f>
        <v>0.78875649011245363</v>
      </c>
      <c r="N79" s="61">
        <f>+'Proposed Rates'!B95</f>
        <v>82.017977251725796</v>
      </c>
      <c r="O79" s="61">
        <f t="shared" si="173"/>
        <v>82.806733741838244</v>
      </c>
      <c r="P79" s="61">
        <f>+'Proposed Rates'!D95</f>
        <v>82.806733741838244</v>
      </c>
      <c r="T79" s="36"/>
    </row>
    <row r="80" spans="1:20">
      <c r="A80" s="273"/>
      <c r="B80" s="37">
        <v>36</v>
      </c>
      <c r="D80" s="63" t="s">
        <v>277</v>
      </c>
      <c r="E80" s="52">
        <v>0</v>
      </c>
      <c r="F80" s="60">
        <f>[15]References!$B$12</f>
        <v>4.333333333333333</v>
      </c>
      <c r="G80" s="13">
        <f t="shared" si="175"/>
        <v>52</v>
      </c>
      <c r="H80" s="64">
        <f>+References!B40</f>
        <v>840</v>
      </c>
      <c r="I80" s="64">
        <f t="shared" si="174"/>
        <v>43680</v>
      </c>
      <c r="J80" s="13">
        <f t="shared" si="171"/>
        <v>27955.990287852241</v>
      </c>
      <c r="K80" s="265">
        <f>([15]References!$C$58*J80)</f>
        <v>54.93352091562911</v>
      </c>
      <c r="L80" s="266">
        <f>K80/[15]References!$G$61</f>
        <v>56.203725102955914</v>
      </c>
      <c r="M80" s="62">
        <f t="shared" si="177"/>
        <v>1.0808408673645369</v>
      </c>
      <c r="N80" s="58">
        <f>+'Proposed Rates'!B96</f>
        <v>123.65494435799293</v>
      </c>
      <c r="O80" s="58">
        <f t="shared" si="173"/>
        <v>124.73578522535747</v>
      </c>
      <c r="P80" s="61">
        <f>+'Proposed Rates'!D96</f>
        <v>124.73578522535747</v>
      </c>
      <c r="S80" s="72">
        <f>S73+S78</f>
        <v>27726.187876928954</v>
      </c>
      <c r="T80" s="36"/>
    </row>
    <row r="81" spans="1:20">
      <c r="A81" s="273"/>
      <c r="B81" s="37">
        <v>36</v>
      </c>
      <c r="D81" s="55" t="s">
        <v>204</v>
      </c>
      <c r="E81" s="7">
        <f>SUMIF('Jefferson Reg Price Out'!C:C,D81,'Jefferson Reg Price Out'!AH:AH)</f>
        <v>0</v>
      </c>
      <c r="F81" s="3">
        <v>1</v>
      </c>
      <c r="G81" s="34">
        <f t="shared" si="175"/>
        <v>12</v>
      </c>
      <c r="H81" s="43">
        <f>References!B31</f>
        <v>29</v>
      </c>
      <c r="I81" s="43">
        <f t="shared" si="174"/>
        <v>348</v>
      </c>
      <c r="J81" s="34">
        <f t="shared" si="171"/>
        <v>222.72629624937227</v>
      </c>
      <c r="K81" s="258">
        <f>(References!$C$58*J81)</f>
        <v>0.44879348694248578</v>
      </c>
      <c r="L81" s="264">
        <f>K81/References!$G$61</f>
        <v>0.45917074579750949</v>
      </c>
      <c r="M81" s="42">
        <f t="shared" si="176"/>
        <v>3.8264228816459127E-2</v>
      </c>
      <c r="N81" s="61">
        <f>'Proposed Rates'!B91</f>
        <v>7.7081587933116609</v>
      </c>
      <c r="O81" s="61">
        <f t="shared" si="173"/>
        <v>7.7464230221281198</v>
      </c>
      <c r="P81" s="61">
        <f>'Proposed Rates'!D91</f>
        <v>7.7464230221281198</v>
      </c>
      <c r="S81" s="72"/>
      <c r="T81" s="36"/>
    </row>
    <row r="82" spans="1:20">
      <c r="A82" s="273"/>
      <c r="B82" s="37">
        <v>36</v>
      </c>
      <c r="D82" s="55" t="s">
        <v>130</v>
      </c>
      <c r="E82" s="7">
        <f>SUMIF('Jefferson Reg Price Out'!C:C,D82,'Jefferson Reg Price Out'!AH:AH)</f>
        <v>0</v>
      </c>
      <c r="F82" s="4">
        <f>References!$B$12</f>
        <v>4.333333333333333</v>
      </c>
      <c r="G82" s="34">
        <f t="shared" si="175"/>
        <v>52</v>
      </c>
      <c r="H82" s="43">
        <f>References!B31</f>
        <v>29</v>
      </c>
      <c r="I82" s="43">
        <f t="shared" si="174"/>
        <v>1508</v>
      </c>
      <c r="J82" s="34">
        <f t="shared" si="171"/>
        <v>965.14728374727974</v>
      </c>
      <c r="K82" s="258">
        <f>(References!$C$58*J82)</f>
        <v>1.9447717767507715</v>
      </c>
      <c r="L82" s="264">
        <f>K82/References!$G$61</f>
        <v>1.9897398984558741</v>
      </c>
      <c r="M82" s="42">
        <f t="shared" ref="M82" si="178">L82/G82</f>
        <v>3.826422881645912E-2</v>
      </c>
      <c r="N82" s="61">
        <f>'Proposed Rates'!B90</f>
        <v>5.7081587933116609</v>
      </c>
      <c r="O82" s="61">
        <f t="shared" si="173"/>
        <v>5.7464230221281198</v>
      </c>
      <c r="P82" s="61">
        <f>'Proposed Rates'!D90</f>
        <v>5.7464230221281198</v>
      </c>
      <c r="T82" s="36"/>
    </row>
    <row r="83" spans="1:20">
      <c r="A83" s="38"/>
      <c r="D83" s="55"/>
      <c r="E83" s="12"/>
      <c r="F83" s="3"/>
      <c r="G83" s="34"/>
      <c r="H83" s="43"/>
      <c r="I83" s="34"/>
      <c r="K83" s="258"/>
      <c r="L83" s="264"/>
      <c r="M83" s="42"/>
      <c r="N83" s="61"/>
      <c r="O83" s="61"/>
      <c r="P83" s="42"/>
      <c r="S83" s="31"/>
      <c r="T83" s="36"/>
    </row>
    <row r="84" spans="1:20">
      <c r="A84" s="38"/>
      <c r="D84" s="55"/>
      <c r="E84" s="12"/>
      <c r="F84" s="3"/>
      <c r="G84" s="34"/>
      <c r="H84" s="43"/>
      <c r="I84" s="34"/>
      <c r="K84" s="258"/>
      <c r="L84" s="264"/>
      <c r="M84" s="42"/>
      <c r="N84" s="61"/>
      <c r="O84" s="61"/>
      <c r="P84" s="42"/>
      <c r="S84" s="268"/>
      <c r="T84" s="36"/>
    </row>
    <row r="85" spans="1:20">
      <c r="A85" s="38"/>
      <c r="D85" s="41"/>
      <c r="T85" s="36"/>
    </row>
    <row r="86" spans="1:20">
      <c r="A86" s="38"/>
      <c r="D86" s="269" t="s">
        <v>92</v>
      </c>
      <c r="E86" s="269"/>
      <c r="I86" s="19"/>
    </row>
    <row r="87" spans="1:20">
      <c r="A87" s="38"/>
      <c r="E87" s="29" t="s">
        <v>16</v>
      </c>
      <c r="F87" s="11"/>
      <c r="G87" s="11"/>
      <c r="I87" s="19"/>
      <c r="Q87" s="35"/>
      <c r="R87" s="18"/>
    </row>
    <row r="88" spans="1:20">
      <c r="A88" s="38"/>
      <c r="D88" t="s">
        <v>32</v>
      </c>
      <c r="E88" s="254">
        <f>+'DF Schedule'!N41+'DF Schedule'!N42</f>
        <v>5718.1</v>
      </c>
      <c r="F88" s="36" t="s">
        <v>287</v>
      </c>
      <c r="H88" s="253"/>
      <c r="I88" s="57"/>
      <c r="Q88" s="35"/>
      <c r="R88" s="61"/>
    </row>
    <row r="89" spans="1:20">
      <c r="A89" s="38"/>
      <c r="D89" t="s">
        <v>33</v>
      </c>
      <c r="E89" s="7">
        <f>E88*2000</f>
        <v>11436200</v>
      </c>
      <c r="F89" s="36" t="s">
        <v>542</v>
      </c>
      <c r="H89" s="76"/>
      <c r="I89" s="7"/>
      <c r="R89" s="61"/>
    </row>
    <row r="90" spans="1:20">
      <c r="A90" s="38"/>
      <c r="D90" t="s">
        <v>5</v>
      </c>
      <c r="E90" s="7">
        <f>G29+G63</f>
        <v>248560.95689712788</v>
      </c>
      <c r="F90" s="34"/>
      <c r="G90" s="34"/>
      <c r="H90" s="34"/>
      <c r="I90" s="34"/>
      <c r="Q90" s="35"/>
      <c r="R90" s="61"/>
    </row>
    <row r="91" spans="1:20">
      <c r="D91" s="19" t="s">
        <v>11</v>
      </c>
      <c r="E91" s="6">
        <f>E89/$I$64</f>
        <v>0.64001809267060994</v>
      </c>
      <c r="F91" s="6"/>
      <c r="G91" s="6"/>
      <c r="H91" s="6"/>
      <c r="I91" s="2"/>
      <c r="N91" s="17"/>
      <c r="O91" s="17"/>
      <c r="P91" s="17"/>
      <c r="Q91" s="16"/>
      <c r="R91" s="16"/>
    </row>
  </sheetData>
  <mergeCells count="6">
    <mergeCell ref="A5:J5"/>
    <mergeCell ref="A30:A62"/>
    <mergeCell ref="D86:E86"/>
    <mergeCell ref="A7:A28"/>
    <mergeCell ref="A68:A70"/>
    <mergeCell ref="A71:A82"/>
  </mergeCells>
  <pageMargins left="0.7" right="0.7" top="0.75" bottom="0.75" header="0.3" footer="0.3"/>
  <pageSetup scale="52" fitToWidth="2" fitToHeight="2" pageOrder="overThenDown" orientation="landscape" r:id="rId1"/>
  <headerFooter>
    <oddFooter>&amp;L&amp;F - &amp;A&amp;R&amp;P of &amp;N</oddFooter>
  </headerFooter>
  <rowBreaks count="1" manualBreakCount="1">
    <brk id="64" max="16383" man="1"/>
  </rowBreaks>
  <colBreaks count="2" manualBreakCount="2">
    <brk id="14" max="47" man="1"/>
    <brk id="14" min="64" max="9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117"/>
  <sheetViews>
    <sheetView tabSelected="1" zoomScale="115" zoomScaleNormal="115" workbookViewId="0">
      <selection activeCell="G22" sqref="G22"/>
    </sheetView>
  </sheetViews>
  <sheetFormatPr defaultRowHeight="15"/>
  <cols>
    <col min="1" max="1" width="32" customWidth="1"/>
    <col min="2" max="2" width="11.42578125" style="74" customWidth="1"/>
    <col min="3" max="3" width="11.42578125" customWidth="1"/>
    <col min="4" max="4" width="12.42578125" customWidth="1"/>
    <col min="6" max="6" width="18.140625" customWidth="1"/>
  </cols>
  <sheetData>
    <row r="1" spans="1:6">
      <c r="A1" s="30" t="s">
        <v>214</v>
      </c>
    </row>
    <row r="2" spans="1:6">
      <c r="A2" s="30" t="s">
        <v>290</v>
      </c>
    </row>
    <row r="3" spans="1:6">
      <c r="A3" s="30" t="s">
        <v>293</v>
      </c>
      <c r="B3" s="94">
        <v>45658</v>
      </c>
    </row>
    <row r="4" spans="1:6">
      <c r="A4" s="30"/>
    </row>
    <row r="5" spans="1:6">
      <c r="B5" s="95"/>
      <c r="C5" s="11"/>
      <c r="D5" s="11"/>
    </row>
    <row r="6" spans="1:6" ht="45">
      <c r="B6" s="96" t="s">
        <v>288</v>
      </c>
      <c r="C6" s="97" t="s">
        <v>289</v>
      </c>
      <c r="D6" s="97" t="s">
        <v>540</v>
      </c>
    </row>
    <row r="7" spans="1:6">
      <c r="A7" s="30" t="s">
        <v>215</v>
      </c>
    </row>
    <row r="8" spans="1:6">
      <c r="A8" t="s">
        <v>216</v>
      </c>
      <c r="B8" s="93">
        <v>7.3564620335378086</v>
      </c>
      <c r="C8" s="18">
        <f>'Staff Calcs '!M28</f>
        <v>4.4861509646883103E-2</v>
      </c>
      <c r="D8" s="18">
        <f>SUM(B8:C8)</f>
        <v>7.4013235431846915</v>
      </c>
      <c r="F8" s="74"/>
    </row>
    <row r="10" spans="1:6">
      <c r="A10" s="30" t="s">
        <v>217</v>
      </c>
      <c r="D10" s="18"/>
    </row>
    <row r="11" spans="1:6">
      <c r="A11" t="s">
        <v>218</v>
      </c>
      <c r="B11" s="93">
        <v>18.38392283058657</v>
      </c>
      <c r="C11" s="18">
        <f>'Staff Calcs '!M7</f>
        <v>0.11435286772734909</v>
      </c>
      <c r="D11" s="18">
        <f t="shared" ref="D11:D27" si="0">SUM(B11:C11)</f>
        <v>18.498275698313918</v>
      </c>
      <c r="F11" s="74"/>
    </row>
    <row r="12" spans="1:6">
      <c r="A12" t="s">
        <v>219</v>
      </c>
      <c r="B12" s="93">
        <v>23.854668811997172</v>
      </c>
      <c r="C12" s="18">
        <f>'Staff Calcs '!M8</f>
        <v>0.19439987513649343</v>
      </c>
      <c r="D12" s="18">
        <f t="shared" si="0"/>
        <v>24.049068687133666</v>
      </c>
      <c r="F12" s="74"/>
    </row>
    <row r="13" spans="1:6">
      <c r="A13" t="s">
        <v>220</v>
      </c>
      <c r="B13" s="93">
        <v>35.317003217995762</v>
      </c>
      <c r="C13" s="18">
        <f>'Staff Calcs '!M9</f>
        <v>0.29159981270474017</v>
      </c>
      <c r="D13" s="18">
        <f t="shared" si="0"/>
        <v>35.6086030307005</v>
      </c>
      <c r="F13" s="74"/>
    </row>
    <row r="14" spans="1:6">
      <c r="A14" t="s">
        <v>221</v>
      </c>
      <c r="B14" s="93">
        <v>47.624102897758299</v>
      </c>
      <c r="C14" s="18">
        <f>+'Staff Calcs '!M69</f>
        <v>0.29159981270474017</v>
      </c>
      <c r="D14" s="18">
        <f t="shared" si="0"/>
        <v>47.915702710463037</v>
      </c>
      <c r="F14" s="74"/>
    </row>
    <row r="15" spans="1:6">
      <c r="A15" t="s">
        <v>222</v>
      </c>
      <c r="B15" s="93">
        <v>59.888025728344871</v>
      </c>
      <c r="C15" s="18">
        <f>+'Staff Calcs '!M70</f>
        <v>0.44025854075029403</v>
      </c>
      <c r="D15" s="18">
        <f t="shared" si="0"/>
        <v>60.328284269095164</v>
      </c>
      <c r="F15" s="74"/>
    </row>
    <row r="16" spans="1:6">
      <c r="A16" t="s">
        <v>223</v>
      </c>
      <c r="B16" s="93">
        <v>72.221948558931444</v>
      </c>
      <c r="C16" s="18">
        <f>'Staff Calcs '!M68</f>
        <v>0.6689642762049921</v>
      </c>
      <c r="D16" s="18">
        <f t="shared" si="0"/>
        <v>72.890912835136433</v>
      </c>
      <c r="F16" s="74"/>
    </row>
    <row r="17" spans="1:6">
      <c r="A17" t="s">
        <v>224</v>
      </c>
      <c r="B17" s="93">
        <v>26.036257236585158</v>
      </c>
      <c r="C17" s="18">
        <f>'Staff Calcs '!M10</f>
        <v>0.21155280529559581</v>
      </c>
      <c r="D17" s="18">
        <f t="shared" si="0"/>
        <v>26.247810041880754</v>
      </c>
      <c r="F17" s="74"/>
    </row>
    <row r="18" spans="1:6">
      <c r="A18" t="s">
        <v>225</v>
      </c>
      <c r="B18" s="93">
        <v>33.52821865187844</v>
      </c>
      <c r="C18" s="18">
        <f>'Staff Calcs '!M11</f>
        <v>0.26872923915927033</v>
      </c>
      <c r="D18" s="18">
        <f t="shared" si="0"/>
        <v>33.796947891037711</v>
      </c>
      <c r="F18" s="74"/>
    </row>
    <row r="19" spans="1:6">
      <c r="A19" t="s">
        <v>226</v>
      </c>
      <c r="B19" s="74">
        <v>43.719337623994342</v>
      </c>
      <c r="C19" s="18">
        <f>+'Staff Calcs '!M13</f>
        <v>0.44025854075029403</v>
      </c>
      <c r="D19" s="18">
        <f t="shared" si="0"/>
        <v>44.159596164744634</v>
      </c>
      <c r="F19" s="74"/>
    </row>
    <row r="20" spans="1:6">
      <c r="A20" t="s">
        <v>227</v>
      </c>
      <c r="B20" s="93">
        <v>13.942334405998587</v>
      </c>
      <c r="C20" s="18">
        <f>'Staff Calcs '!M14</f>
        <v>9.7199937568246728E-2</v>
      </c>
      <c r="D20" s="18">
        <f t="shared" si="0"/>
        <v>14.039534343566833</v>
      </c>
      <c r="F20" s="74"/>
    </row>
    <row r="21" spans="1:6">
      <c r="A21" t="s">
        <v>228</v>
      </c>
      <c r="B21" s="93">
        <v>15.313128618292579</v>
      </c>
      <c r="C21" s="18">
        <f>'Staff Calcs '!M15</f>
        <v>0.10577640264779792</v>
      </c>
      <c r="D21" s="18">
        <f t="shared" si="0"/>
        <v>15.418905020940377</v>
      </c>
      <c r="F21" s="74"/>
    </row>
    <row r="22" spans="1:6">
      <c r="A22" t="s">
        <v>229</v>
      </c>
      <c r="B22" s="93">
        <v>18.649109325939222</v>
      </c>
      <c r="C22" s="18">
        <f>'Staff Calcs '!M16</f>
        <v>0.13436461957963516</v>
      </c>
      <c r="D22" s="18">
        <f t="shared" si="0"/>
        <v>18.783473945518857</v>
      </c>
      <c r="F22" s="74"/>
    </row>
    <row r="23" spans="1:6">
      <c r="A23" t="s">
        <v>230</v>
      </c>
      <c r="B23" s="74">
        <v>24.684668811997174</v>
      </c>
      <c r="C23" s="18">
        <f>+'Staff Calcs '!M18</f>
        <v>0.22012927037514701</v>
      </c>
      <c r="D23" s="18">
        <f t="shared" si="0"/>
        <v>24.90479808237232</v>
      </c>
      <c r="F23" s="74"/>
    </row>
    <row r="24" spans="1:6">
      <c r="A24" t="s">
        <v>231</v>
      </c>
      <c r="B24" s="93">
        <v>8.4564620335378091</v>
      </c>
      <c r="C24" s="18">
        <f>'Staff Calcs '!M19</f>
        <v>4.486150964688311E-2</v>
      </c>
      <c r="D24" s="18">
        <f t="shared" si="0"/>
        <v>8.501323543184693</v>
      </c>
      <c r="F24" s="74"/>
    </row>
    <row r="25" spans="1:6">
      <c r="A25" t="s">
        <v>232</v>
      </c>
      <c r="B25" s="93">
        <v>9.5914439776734977</v>
      </c>
      <c r="C25" s="18">
        <f>+'Staff Calcs '!M20</f>
        <v>0.21155280529559584</v>
      </c>
      <c r="D25" s="18">
        <f t="shared" si="0"/>
        <v>9.8029967829690943</v>
      </c>
      <c r="F25" s="74"/>
    </row>
    <row r="26" spans="1:6">
      <c r="A26" t="s">
        <v>233</v>
      </c>
      <c r="B26" s="93">
        <v>12.568050458125795</v>
      </c>
      <c r="C26" s="18">
        <f>+'Staff Calcs '!M21</f>
        <v>6.2014439805985463E-2</v>
      </c>
      <c r="D26" s="18">
        <f t="shared" si="0"/>
        <v>12.63006489793178</v>
      </c>
      <c r="F26" s="74"/>
    </row>
    <row r="27" spans="1:6">
      <c r="A27" t="s">
        <v>234</v>
      </c>
      <c r="B27" s="74">
        <v>16.442924067075616</v>
      </c>
      <c r="C27" s="18">
        <f>+'Staff Calcs '!M22</f>
        <v>0.10159812478852939</v>
      </c>
      <c r="D27" s="18">
        <f t="shared" si="0"/>
        <v>16.544522191864147</v>
      </c>
      <c r="E27" s="18"/>
      <c r="F27" s="74"/>
    </row>
    <row r="28" spans="1:6">
      <c r="C28" s="18"/>
    </row>
    <row r="29" spans="1:6">
      <c r="A29" s="30" t="s">
        <v>235</v>
      </c>
    </row>
    <row r="30" spans="1:6">
      <c r="A30" t="s">
        <v>236</v>
      </c>
      <c r="B30" s="93">
        <v>7.8064620335378088</v>
      </c>
      <c r="C30" s="18">
        <f>'Staff Calcs '!M24</f>
        <v>4.4861509646883103E-2</v>
      </c>
      <c r="D30" s="18">
        <f t="shared" ref="D30:D34" si="1">SUM(B30:C30)</f>
        <v>7.8513235431846917</v>
      </c>
      <c r="F30" s="74"/>
    </row>
    <row r="31" spans="1:6">
      <c r="A31" t="s">
        <v>237</v>
      </c>
      <c r="B31" s="93">
        <v>7.8064620335378088</v>
      </c>
      <c r="C31" s="18">
        <f>C30</f>
        <v>4.4861509646883103E-2</v>
      </c>
      <c r="D31" s="18">
        <f t="shared" si="1"/>
        <v>7.8513235431846917</v>
      </c>
      <c r="F31" s="74"/>
    </row>
    <row r="32" spans="1:6">
      <c r="A32" t="s">
        <v>238</v>
      </c>
      <c r="B32" s="93">
        <v>7.8064620335378088</v>
      </c>
      <c r="C32" s="18">
        <f t="shared" ref="C32:C33" si="2">C31</f>
        <v>4.4861509646883103E-2</v>
      </c>
      <c r="D32" s="18">
        <f t="shared" si="1"/>
        <v>7.8513235431846917</v>
      </c>
      <c r="F32" s="74"/>
    </row>
    <row r="33" spans="1:6">
      <c r="A33" t="s">
        <v>239</v>
      </c>
      <c r="B33" s="93">
        <v>7.8064620335378088</v>
      </c>
      <c r="C33" s="18">
        <f t="shared" si="2"/>
        <v>4.4861509646883103E-2</v>
      </c>
      <c r="D33" s="18">
        <f t="shared" si="1"/>
        <v>7.8513235431846917</v>
      </c>
      <c r="F33" s="74"/>
    </row>
    <row r="34" spans="1:6">
      <c r="A34" t="s">
        <v>240</v>
      </c>
      <c r="B34" s="93">
        <v>8.4564620335378091</v>
      </c>
      <c r="C34" s="18">
        <f>C30</f>
        <v>4.4861509646883103E-2</v>
      </c>
      <c r="D34" s="18">
        <f t="shared" si="1"/>
        <v>8.501323543184693</v>
      </c>
      <c r="F34" s="74"/>
    </row>
    <row r="36" spans="1:6">
      <c r="A36" s="30" t="s">
        <v>241</v>
      </c>
    </row>
    <row r="37" spans="1:6">
      <c r="A37" t="s">
        <v>242</v>
      </c>
      <c r="B37" s="93">
        <v>28.077581005653709</v>
      </c>
      <c r="C37" s="18">
        <f>'Staff Calcs '!M56</f>
        <v>0.16493202076059965</v>
      </c>
      <c r="D37" s="18">
        <f t="shared" ref="D37:D39" si="3">SUM(B37:C37)</f>
        <v>28.242513026414308</v>
      </c>
      <c r="F37" s="74"/>
    </row>
    <row r="38" spans="1:6">
      <c r="A38" t="s">
        <v>243</v>
      </c>
      <c r="B38" s="93">
        <v>28.077581005653709</v>
      </c>
      <c r="C38" s="18">
        <f>C37</f>
        <v>0.16493202076059965</v>
      </c>
      <c r="D38" s="18">
        <f t="shared" si="3"/>
        <v>28.242513026414308</v>
      </c>
      <c r="F38" s="74"/>
    </row>
    <row r="39" spans="1:6">
      <c r="A39" t="s">
        <v>244</v>
      </c>
      <c r="B39" s="93">
        <v>28.077581005653709</v>
      </c>
      <c r="C39" s="18">
        <f>C37</f>
        <v>0.16493202076059965</v>
      </c>
      <c r="D39" s="18">
        <f t="shared" si="3"/>
        <v>28.242513026414308</v>
      </c>
      <c r="F39" s="74"/>
    </row>
    <row r="41" spans="1:6">
      <c r="A41" s="30" t="s">
        <v>245</v>
      </c>
    </row>
    <row r="42" spans="1:6">
      <c r="A42" t="s">
        <v>246</v>
      </c>
      <c r="B42" s="93">
        <v>28.077581005653709</v>
      </c>
      <c r="C42" s="18">
        <f>C37</f>
        <v>0.16493202076059965</v>
      </c>
      <c r="D42" s="18">
        <f t="shared" ref="D42" si="4">SUM(B42:C42)</f>
        <v>28.242513026414308</v>
      </c>
      <c r="F42" s="74"/>
    </row>
    <row r="44" spans="1:6">
      <c r="A44" s="30" t="s">
        <v>247</v>
      </c>
    </row>
    <row r="45" spans="1:6">
      <c r="A45" t="s">
        <v>105</v>
      </c>
      <c r="B45" s="93">
        <v>161.19999999999999</v>
      </c>
      <c r="C45" s="3">
        <f>References!B58</f>
        <v>4.0300000000000011</v>
      </c>
      <c r="D45" s="18">
        <f>SUM(B45:C45)</f>
        <v>165.23</v>
      </c>
      <c r="F45" s="74"/>
    </row>
    <row r="47" spans="1:6">
      <c r="A47" s="30" t="s">
        <v>248</v>
      </c>
    </row>
    <row r="48" spans="1:6">
      <c r="A48" t="s">
        <v>249</v>
      </c>
      <c r="B48" s="93">
        <v>23.37061340791519</v>
      </c>
      <c r="C48" s="18">
        <f>'Staff Calcs '!M30</f>
        <v>0.23090482906483953</v>
      </c>
      <c r="D48" s="18">
        <f t="shared" ref="D48:D53" si="5">SUM(B48:C48)</f>
        <v>23.601518236980031</v>
      </c>
      <c r="F48" s="74"/>
    </row>
    <row r="49" spans="1:6">
      <c r="A49" t="s">
        <v>250</v>
      </c>
      <c r="B49" s="93">
        <v>32.775162011307415</v>
      </c>
      <c r="C49" s="18">
        <f>'Staff Calcs '!M37</f>
        <v>0.3298640415211993</v>
      </c>
      <c r="D49" s="18">
        <f t="shared" si="5"/>
        <v>33.105026052828613</v>
      </c>
      <c r="F49" s="74"/>
    </row>
    <row r="50" spans="1:6">
      <c r="A50" t="s">
        <v>210</v>
      </c>
      <c r="B50" s="93">
        <v>45.778049966654415</v>
      </c>
      <c r="C50" s="18">
        <f>'Staff Calcs '!M44</f>
        <v>0.42750379781147435</v>
      </c>
      <c r="D50" s="18">
        <f t="shared" si="5"/>
        <v>46.20555376446589</v>
      </c>
      <c r="F50" s="74"/>
    </row>
    <row r="51" spans="1:6">
      <c r="A51" t="s">
        <v>211</v>
      </c>
      <c r="B51" s="93">
        <v>60.165486525393639</v>
      </c>
      <c r="C51" s="18">
        <f>+'Staff Calcs '!M51</f>
        <v>0.62410276655810915</v>
      </c>
      <c r="D51" s="18">
        <f t="shared" si="5"/>
        <v>60.789589291951749</v>
      </c>
      <c r="F51" s="74"/>
    </row>
    <row r="52" spans="1:6">
      <c r="A52" t="s">
        <v>212</v>
      </c>
      <c r="B52" s="93">
        <v>82.017977251725796</v>
      </c>
      <c r="C52" s="18">
        <f>+'Staff Calcs '!M54</f>
        <v>0.80882662980998077</v>
      </c>
      <c r="D52" s="18">
        <f t="shared" si="5"/>
        <v>82.826803881535781</v>
      </c>
      <c r="F52" s="74"/>
    </row>
    <row r="53" spans="1:6">
      <c r="A53" t="s">
        <v>251</v>
      </c>
      <c r="B53" s="93">
        <v>123.65494435799293</v>
      </c>
      <c r="C53" s="18">
        <f>+'Staff Calcs '!M55</f>
        <v>1.1083431795112295</v>
      </c>
      <c r="D53" s="18">
        <f t="shared" si="5"/>
        <v>124.76328753750416</v>
      </c>
      <c r="F53" s="74"/>
    </row>
    <row r="55" spans="1:6">
      <c r="A55" t="s">
        <v>252</v>
      </c>
      <c r="B55" s="93">
        <v>26.37061340791519</v>
      </c>
      <c r="C55" s="18">
        <f>+'Staff Calcs '!M36</f>
        <v>0.23090482906483953</v>
      </c>
      <c r="D55" s="18">
        <f>SUM(B55:C55)</f>
        <v>26.601518236980031</v>
      </c>
      <c r="F55" s="74"/>
    </row>
    <row r="56" spans="1:6">
      <c r="A56" t="s">
        <v>253</v>
      </c>
      <c r="B56" s="93">
        <v>35.775162011307415</v>
      </c>
      <c r="C56" s="18">
        <f>+'Staff Calcs '!M43</f>
        <v>0.32986404152119925</v>
      </c>
      <c r="D56" s="18">
        <f t="shared" ref="D56:D59" si="6">SUM(B56:C56)</f>
        <v>36.105026052828613</v>
      </c>
      <c r="F56" s="74"/>
    </row>
    <row r="57" spans="1:6">
      <c r="A57" t="s">
        <v>254</v>
      </c>
      <c r="B57" s="93">
        <v>50.778049966654415</v>
      </c>
      <c r="C57" s="18">
        <f>+'Staff Calcs '!M50</f>
        <v>0.4275037978114743</v>
      </c>
      <c r="D57" s="18">
        <f t="shared" si="6"/>
        <v>51.20555376446589</v>
      </c>
      <c r="F57" s="74"/>
    </row>
    <row r="58" spans="1:6">
      <c r="A58" t="s">
        <v>281</v>
      </c>
      <c r="B58" s="93">
        <v>63.165486525393639</v>
      </c>
      <c r="C58" s="18">
        <f t="shared" ref="C58:C60" si="7">C51</f>
        <v>0.62410276655810915</v>
      </c>
      <c r="D58" s="18">
        <f t="shared" si="6"/>
        <v>63.789589291951749</v>
      </c>
      <c r="F58" s="74"/>
    </row>
    <row r="59" spans="1:6">
      <c r="A59" t="s">
        <v>282</v>
      </c>
      <c r="B59" s="93">
        <v>85.017977251725796</v>
      </c>
      <c r="C59" s="18">
        <f t="shared" si="7"/>
        <v>0.80882662980998077</v>
      </c>
      <c r="D59" s="18">
        <f t="shared" si="6"/>
        <v>85.826803881535781</v>
      </c>
      <c r="F59" s="74"/>
    </row>
    <row r="60" spans="1:6">
      <c r="A60" t="s">
        <v>255</v>
      </c>
      <c r="B60" s="93">
        <v>129.65494435799292</v>
      </c>
      <c r="C60" s="18">
        <f t="shared" si="7"/>
        <v>1.1083431795112295</v>
      </c>
      <c r="D60" s="18">
        <f>SUM(B60:C60)</f>
        <v>130.76328753750414</v>
      </c>
      <c r="F60" s="74"/>
    </row>
    <row r="62" spans="1:6">
      <c r="A62" t="s">
        <v>256</v>
      </c>
      <c r="B62" s="93">
        <v>26.380613407915192</v>
      </c>
      <c r="C62" s="18">
        <f>C48</f>
        <v>0.23090482906483953</v>
      </c>
      <c r="D62" s="18">
        <f>SUM(B62:C62)</f>
        <v>26.611518236980032</v>
      </c>
      <c r="F62" s="74"/>
    </row>
    <row r="63" spans="1:6">
      <c r="A63" t="s">
        <v>257</v>
      </c>
      <c r="B63" s="93">
        <v>37.035162011307413</v>
      </c>
      <c r="C63" s="18">
        <f t="shared" ref="C63:C64" si="8">C49</f>
        <v>0.3298640415211993</v>
      </c>
      <c r="D63" s="18">
        <f t="shared" ref="D63:D64" si="9">SUM(B63:C63)</f>
        <v>37.365026052828611</v>
      </c>
      <c r="F63" s="74"/>
    </row>
    <row r="64" spans="1:6">
      <c r="A64" t="s">
        <v>258</v>
      </c>
      <c r="B64" s="93">
        <v>52.108049966654413</v>
      </c>
      <c r="C64" s="18">
        <f t="shared" si="8"/>
        <v>0.42750379781147435</v>
      </c>
      <c r="D64" s="18">
        <f t="shared" si="9"/>
        <v>52.535553764465888</v>
      </c>
      <c r="F64" s="74"/>
    </row>
    <row r="65" spans="1:6">
      <c r="A65" t="s">
        <v>279</v>
      </c>
      <c r="B65" s="93">
        <v>60.165486525393639</v>
      </c>
      <c r="C65" s="18">
        <f>C58</f>
        <v>0.62410276655810915</v>
      </c>
      <c r="D65" s="18">
        <f>SUM(B65:C65)</f>
        <v>60.789589291951749</v>
      </c>
      <c r="F65" s="74"/>
    </row>
    <row r="66" spans="1:6">
      <c r="A66" t="s">
        <v>280</v>
      </c>
      <c r="B66" s="93">
        <v>82.017977251725796</v>
      </c>
      <c r="C66" s="18">
        <f>C59</f>
        <v>0.80882662980998077</v>
      </c>
      <c r="D66" s="18">
        <f>SUM(B66:C66)</f>
        <v>82.826803881535781</v>
      </c>
      <c r="F66" s="74"/>
    </row>
    <row r="67" spans="1:6">
      <c r="B67" s="93"/>
      <c r="C67" s="18"/>
      <c r="D67" s="18"/>
    </row>
    <row r="68" spans="1:6">
      <c r="A68" t="s">
        <v>246</v>
      </c>
      <c r="B68" s="93">
        <v>28.077581005653709</v>
      </c>
      <c r="C68" s="18">
        <f>C37</f>
        <v>0.16493202076059965</v>
      </c>
      <c r="D68" s="18">
        <f t="shared" ref="D68" si="10">SUM(B68:C68)</f>
        <v>28.242513026414308</v>
      </c>
      <c r="F68" s="74"/>
    </row>
    <row r="70" spans="1:6">
      <c r="A70" s="30" t="s">
        <v>259</v>
      </c>
    </row>
    <row r="71" spans="1:6">
      <c r="C71" s="18"/>
      <c r="D71" s="18"/>
    </row>
    <row r="72" spans="1:6">
      <c r="A72" t="s">
        <v>260</v>
      </c>
      <c r="B72" s="74">
        <v>6.2714439776734983</v>
      </c>
      <c r="C72" s="18">
        <f>+'Staff Calcs '!M59</f>
        <v>4.8819878145137503E-2</v>
      </c>
      <c r="D72" s="18">
        <f>SUM(B72:C72)</f>
        <v>6.3202638558186361</v>
      </c>
      <c r="F72" s="74"/>
    </row>
    <row r="73" spans="1:6">
      <c r="A73" t="s">
        <v>261</v>
      </c>
      <c r="B73" s="74">
        <v>9.2714439776734991</v>
      </c>
      <c r="C73" s="18">
        <f>C72</f>
        <v>4.8819878145137503E-2</v>
      </c>
      <c r="D73" s="18">
        <f>SUM(B73:C73)</f>
        <v>9.3202638558186361</v>
      </c>
      <c r="F73" s="74"/>
    </row>
    <row r="75" spans="1:6">
      <c r="A75" t="s">
        <v>135</v>
      </c>
      <c r="B75" s="93">
        <v>7.9780504581257947</v>
      </c>
      <c r="C75" s="18">
        <f>'Staff Calcs '!M61</f>
        <v>6.2014439805985477E-2</v>
      </c>
      <c r="D75" s="18">
        <f t="shared" ref="D75" si="11">SUM(B75:C75)</f>
        <v>8.0400648979317797</v>
      </c>
      <c r="F75" s="74"/>
    </row>
    <row r="76" spans="1:6">
      <c r="A76" t="s">
        <v>262</v>
      </c>
      <c r="B76" s="93">
        <v>10.978050458125795</v>
      </c>
      <c r="C76" s="18">
        <f>C75</f>
        <v>6.2014439805985477E-2</v>
      </c>
      <c r="D76" s="18">
        <f>SUM(B76:C76)</f>
        <v>11.04006489793178</v>
      </c>
      <c r="F76" s="74"/>
    </row>
    <row r="78" spans="1:6">
      <c r="A78" t="s">
        <v>263</v>
      </c>
      <c r="B78" s="74">
        <v>10.452924067075617</v>
      </c>
      <c r="C78" s="18">
        <f>+'Staff Calcs '!M60</f>
        <v>0.10159812478852939</v>
      </c>
      <c r="D78" s="18">
        <f t="shared" ref="D78:D79" si="12">SUM(B78:C78)</f>
        <v>10.554522191864146</v>
      </c>
      <c r="F78" s="74"/>
    </row>
    <row r="79" spans="1:6">
      <c r="A79" t="s">
        <v>264</v>
      </c>
      <c r="B79" s="74">
        <v>13.452924067075617</v>
      </c>
      <c r="C79" s="1">
        <f>+'Staff Calcs '!M60</f>
        <v>0.10159812478852939</v>
      </c>
      <c r="D79" s="18">
        <f t="shared" si="12"/>
        <v>13.554522191864146</v>
      </c>
      <c r="F79" s="74"/>
    </row>
    <row r="80" spans="1:6">
      <c r="D80" s="18"/>
    </row>
    <row r="81" spans="1:6">
      <c r="A81" t="s">
        <v>265</v>
      </c>
      <c r="B81" s="93">
        <v>28.077581005653709</v>
      </c>
      <c r="C81" s="18">
        <f>C37</f>
        <v>0.16493202076059965</v>
      </c>
      <c r="D81" s="18">
        <f t="shared" ref="D81:D83" si="13">SUM(B81:C81)</f>
        <v>28.242513026414308</v>
      </c>
      <c r="F81" s="74"/>
    </row>
    <row r="82" spans="1:6">
      <c r="C82" s="18"/>
      <c r="D82" s="18"/>
    </row>
    <row r="83" spans="1:6">
      <c r="A83" t="s">
        <v>266</v>
      </c>
      <c r="B83" s="93">
        <v>7.6981587933116611</v>
      </c>
      <c r="C83" s="18">
        <f>'Staff Calcs '!M62</f>
        <v>3.826422881645912E-2</v>
      </c>
      <c r="D83" s="18">
        <f t="shared" si="13"/>
        <v>7.7364230221281201</v>
      </c>
      <c r="F83" s="74"/>
    </row>
    <row r="84" spans="1:6">
      <c r="D84" s="18"/>
    </row>
    <row r="85" spans="1:6">
      <c r="A85" t="s">
        <v>267</v>
      </c>
      <c r="B85" s="74">
        <v>27.126257236585158</v>
      </c>
      <c r="C85" s="98">
        <f>+'Staff Calcs '!M74*4.33</f>
        <v>0.21139007236844537</v>
      </c>
      <c r="D85" s="18">
        <f>SUM(B85:C85)</f>
        <v>27.337647308953603</v>
      </c>
    </row>
    <row r="86" spans="1:6">
      <c r="A86" t="s">
        <v>268</v>
      </c>
      <c r="B86" s="74">
        <v>34.668218651878441</v>
      </c>
      <c r="C86" s="98">
        <f>'Staff Calcs '!M61*References!B12</f>
        <v>0.26872923915927038</v>
      </c>
      <c r="D86" s="18">
        <f t="shared" ref="D86:D87" si="14">SUM(B86:C86)</f>
        <v>34.936947891037711</v>
      </c>
      <c r="F86" s="74"/>
    </row>
    <row r="87" spans="1:6">
      <c r="A87" t="s">
        <v>269</v>
      </c>
      <c r="B87" s="74">
        <v>45.259337623994348</v>
      </c>
      <c r="C87" s="98">
        <f>'Staff Calcs '!M60*4.33</f>
        <v>0.43991988033433227</v>
      </c>
      <c r="D87" s="18">
        <f t="shared" si="14"/>
        <v>45.699257504328678</v>
      </c>
      <c r="F87" s="74"/>
    </row>
    <row r="89" spans="1:6">
      <c r="A89" s="30" t="s">
        <v>270</v>
      </c>
    </row>
    <row r="90" spans="1:6">
      <c r="A90" t="s">
        <v>271</v>
      </c>
      <c r="B90" s="93">
        <v>5.7081587933116609</v>
      </c>
      <c r="C90" s="18">
        <f>+'Staff Calcs '!M82</f>
        <v>3.826422881645912E-2</v>
      </c>
      <c r="D90" s="18">
        <f>SUM(B90:C90)</f>
        <v>5.7464230221281198</v>
      </c>
      <c r="F90" s="74"/>
    </row>
    <row r="91" spans="1:6">
      <c r="A91" t="s">
        <v>272</v>
      </c>
      <c r="B91" s="93">
        <v>7.7081587933116609</v>
      </c>
      <c r="C91" s="18">
        <f>'Staff Calcs '!M62</f>
        <v>3.826422881645912E-2</v>
      </c>
      <c r="D91" s="18">
        <f>SUM(B91:C91)</f>
        <v>7.7464230221281198</v>
      </c>
      <c r="F91" s="74"/>
    </row>
    <row r="93" spans="1:6">
      <c r="A93" t="s">
        <v>210</v>
      </c>
      <c r="B93" s="74">
        <v>45.778049966654415</v>
      </c>
      <c r="C93" s="18">
        <f>+'Staff Calcs '!M57</f>
        <v>0.42750379781147435</v>
      </c>
      <c r="D93" s="18">
        <f>SUM(B93:C93)</f>
        <v>46.20555376446589</v>
      </c>
      <c r="F93" s="74"/>
    </row>
    <row r="94" spans="1:6">
      <c r="A94" t="s">
        <v>211</v>
      </c>
      <c r="B94" s="74">
        <v>60.165486525393639</v>
      </c>
      <c r="C94" s="18">
        <f>+'Staff Calcs '!M78</f>
        <v>0.60861634555169752</v>
      </c>
      <c r="D94" s="18">
        <f t="shared" ref="D94:D96" si="15">SUM(B94:C94)</f>
        <v>60.774102870945335</v>
      </c>
      <c r="F94" s="74"/>
    </row>
    <row r="95" spans="1:6">
      <c r="A95" t="s">
        <v>212</v>
      </c>
      <c r="B95" s="74">
        <v>82.017977251725796</v>
      </c>
      <c r="C95" s="18">
        <f>+'Staff Calcs '!M79</f>
        <v>0.78875649011245363</v>
      </c>
      <c r="D95" s="18">
        <f t="shared" si="15"/>
        <v>82.806733741838244</v>
      </c>
      <c r="F95" s="74"/>
    </row>
    <row r="96" spans="1:6">
      <c r="A96" t="s">
        <v>251</v>
      </c>
      <c r="B96" s="74">
        <v>123.65494435799293</v>
      </c>
      <c r="C96" s="18">
        <f>+'Staff Calcs '!M80</f>
        <v>1.0808408673645369</v>
      </c>
      <c r="D96" s="18">
        <f t="shared" si="15"/>
        <v>124.73578522535747</v>
      </c>
      <c r="F96" s="74"/>
    </row>
    <row r="97" spans="1:6">
      <c r="C97" s="18"/>
      <c r="D97" s="18"/>
    </row>
    <row r="98" spans="1:6">
      <c r="A98" s="30" t="s">
        <v>283</v>
      </c>
      <c r="C98" s="18"/>
      <c r="D98" s="18"/>
    </row>
    <row r="99" spans="1:6">
      <c r="A99" t="s">
        <v>210</v>
      </c>
      <c r="B99" s="74">
        <v>50.778049966654415</v>
      </c>
      <c r="C99" s="18">
        <f>+'Staff Calcs '!M58</f>
        <v>0.4275037978114743</v>
      </c>
      <c r="D99" s="18">
        <f>SUM(B99:C99)</f>
        <v>51.20555376446589</v>
      </c>
      <c r="F99" s="74"/>
    </row>
    <row r="100" spans="1:6">
      <c r="A100" t="s">
        <v>211</v>
      </c>
      <c r="B100" s="74">
        <v>65.165486525393632</v>
      </c>
      <c r="C100" s="18">
        <f t="shared" ref="C100:C102" si="16">C94</f>
        <v>0.60861634555169752</v>
      </c>
      <c r="D100" s="18">
        <f t="shared" ref="D100:D102" si="17">SUM(B100:C100)</f>
        <v>65.774102870945327</v>
      </c>
      <c r="F100" s="74"/>
    </row>
    <row r="101" spans="1:6">
      <c r="A101" t="s">
        <v>212</v>
      </c>
      <c r="B101" s="74">
        <v>87.017977251725796</v>
      </c>
      <c r="C101" s="18">
        <f t="shared" si="16"/>
        <v>0.78875649011245363</v>
      </c>
      <c r="D101" s="18">
        <f t="shared" si="17"/>
        <v>87.806733741838244</v>
      </c>
      <c r="F101" s="74"/>
    </row>
    <row r="102" spans="1:6">
      <c r="A102" t="s">
        <v>213</v>
      </c>
      <c r="B102" s="74">
        <v>129.65494435799292</v>
      </c>
      <c r="C102" s="18">
        <f t="shared" si="16"/>
        <v>1.0808408673645369</v>
      </c>
      <c r="D102" s="18">
        <f t="shared" si="17"/>
        <v>130.73578522535746</v>
      </c>
      <c r="F102" s="74"/>
    </row>
    <row r="104" spans="1:6">
      <c r="A104" t="s">
        <v>273</v>
      </c>
      <c r="B104" s="93">
        <v>28.077581005653709</v>
      </c>
      <c r="C104" s="18">
        <f>C37</f>
        <v>0.16493202076059965</v>
      </c>
      <c r="D104" s="18">
        <f>SUM(B104:C104)</f>
        <v>28.242513026414308</v>
      </c>
      <c r="F104" s="74"/>
    </row>
    <row r="106" spans="1:6">
      <c r="A106" t="s">
        <v>274</v>
      </c>
      <c r="B106" s="93">
        <v>7.6981587933116611</v>
      </c>
      <c r="C106" s="18">
        <f>'Staff Calcs '!M62</f>
        <v>3.826422881645912E-2</v>
      </c>
      <c r="D106" s="18">
        <f>SUM(B106:C106)</f>
        <v>7.7364230221281201</v>
      </c>
      <c r="F106" s="74"/>
    </row>
    <row r="108" spans="1:6">
      <c r="A108" t="s">
        <v>275</v>
      </c>
      <c r="B108" s="93">
        <v>24.848688104350529</v>
      </c>
      <c r="C108" s="18">
        <f>'Staff Calcs '!M82*References!B12</f>
        <v>0.16581165820465618</v>
      </c>
      <c r="D108" s="18">
        <f>SUM(B108:C108)</f>
        <v>25.014499762555186</v>
      </c>
      <c r="F108" s="74"/>
    </row>
    <row r="109" spans="1:6">
      <c r="D109" s="18"/>
    </row>
    <row r="110" spans="1:6">
      <c r="C110" s="18"/>
      <c r="D110" s="18"/>
    </row>
    <row r="112" spans="1:6">
      <c r="A112" s="30"/>
    </row>
    <row r="113" spans="3:4">
      <c r="C113" s="18"/>
      <c r="D113" s="18"/>
    </row>
    <row r="114" spans="3:4">
      <c r="C114" s="18"/>
      <c r="D114" s="18"/>
    </row>
    <row r="117" spans="3:4">
      <c r="C117" s="18"/>
    </row>
  </sheetData>
  <pageMargins left="0.7" right="0.7" top="0.75" bottom="0.75" header="0.3" footer="0.3"/>
  <pageSetup scale="54" fitToHeight="2" orientation="landscape" r:id="rId1"/>
  <headerFooter>
    <oddFooter>&amp;L&amp;F - &amp;A&amp;R&amp;P of &amp;N</oddFooter>
  </headerFooter>
  <rowBreaks count="2" manualBreakCount="2">
    <brk id="43" max="16383" man="1"/>
    <brk id="8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80170-9498-4E4A-A055-EABCE0E3F1F8}">
  <sheetPr>
    <tabColor theme="9" tint="0.59999389629810485"/>
    <pageSetUpPr fitToPage="1"/>
  </sheetPr>
  <dimension ref="A1:AT186"/>
  <sheetViews>
    <sheetView tabSelected="1" topLeftCell="B156" workbookViewId="0">
      <selection activeCell="G22" sqref="G22"/>
    </sheetView>
  </sheetViews>
  <sheetFormatPr defaultColWidth="9.140625" defaultRowHeight="15" outlineLevelCol="1"/>
  <cols>
    <col min="1" max="1" width="20.5703125" style="275" hidden="1" customWidth="1" outlineLevel="1"/>
    <col min="2" max="2" width="22.7109375" style="275" customWidth="1" collapsed="1"/>
    <col min="3" max="3" width="29.140625" style="275" bestFit="1" customWidth="1"/>
    <col min="4" max="4" width="9" style="300" bestFit="1" customWidth="1"/>
    <col min="5" max="5" width="9" style="352" customWidth="1"/>
    <col min="6" max="6" width="2" style="275" customWidth="1"/>
    <col min="7" max="18" width="14.42578125" style="275" customWidth="1" outlineLevel="1"/>
    <col min="19" max="19" width="14.42578125" style="275" customWidth="1"/>
    <col min="20" max="20" width="10" style="275" customWidth="1"/>
    <col min="21" max="21" width="2" style="275" customWidth="1"/>
    <col min="22" max="28" width="15" style="275" customWidth="1" outlineLevel="1"/>
    <col min="29" max="33" width="11.85546875" style="275" customWidth="1" outlineLevel="1"/>
    <col min="34" max="34" width="15" style="307" customWidth="1"/>
    <col min="35" max="35" width="9.140625" style="280"/>
    <col min="36" max="36" width="9.85546875" style="275" bestFit="1" customWidth="1"/>
    <col min="37" max="37" width="11" style="281" customWidth="1" outlineLevel="1"/>
    <col min="38" max="38" width="17.7109375" style="275" customWidth="1" outlineLevel="1"/>
    <col min="39" max="40" width="9.140625" style="275" customWidth="1" outlineLevel="1"/>
    <col min="41" max="41" width="9.85546875" style="275" customWidth="1" outlineLevel="1"/>
    <col min="42" max="43" width="9.140625" style="275" customWidth="1" outlineLevel="1"/>
    <col min="44" max="44" width="29.28515625" style="282" bestFit="1" customWidth="1"/>
    <col min="45" max="45" width="16.5703125" style="282" bestFit="1" customWidth="1"/>
    <col min="46" max="16384" width="9.140625" style="275"/>
  </cols>
  <sheetData>
    <row r="1" spans="1:46" ht="12" customHeight="1">
      <c r="B1" s="276" t="s">
        <v>296</v>
      </c>
      <c r="D1" s="277"/>
      <c r="E1" s="278"/>
      <c r="F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79"/>
      <c r="W1" s="279"/>
      <c r="X1" s="279"/>
      <c r="Y1" s="279"/>
      <c r="Z1" s="279"/>
      <c r="AA1" s="279"/>
      <c r="AB1" s="279"/>
      <c r="AC1" s="279"/>
      <c r="AD1" s="279"/>
      <c r="AE1" s="279"/>
      <c r="AF1" s="279"/>
      <c r="AG1" s="279"/>
      <c r="AH1" s="279"/>
    </row>
    <row r="2" spans="1:46" ht="12" customHeight="1">
      <c r="B2" s="276" t="s">
        <v>290</v>
      </c>
      <c r="C2" s="283" t="s">
        <v>543</v>
      </c>
      <c r="D2" s="277"/>
      <c r="E2" s="278"/>
      <c r="F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79"/>
      <c r="S2" s="279"/>
      <c r="T2" s="279"/>
      <c r="U2" s="279"/>
      <c r="V2" s="279"/>
      <c r="W2" s="279"/>
      <c r="X2" s="279"/>
      <c r="Y2" s="279"/>
      <c r="Z2" s="279"/>
      <c r="AA2" s="279"/>
      <c r="AB2" s="279"/>
      <c r="AC2" s="279"/>
      <c r="AD2" s="279"/>
      <c r="AE2" s="279"/>
      <c r="AF2" s="279"/>
      <c r="AG2" s="279"/>
      <c r="AH2" s="279"/>
    </row>
    <row r="3" spans="1:46" ht="12" customHeight="1">
      <c r="B3" s="276" t="s">
        <v>297</v>
      </c>
      <c r="D3" s="277"/>
      <c r="E3" s="278"/>
      <c r="F3" s="279"/>
      <c r="H3" s="279"/>
      <c r="I3" s="279"/>
      <c r="J3" s="279"/>
      <c r="K3" s="279"/>
      <c r="L3" s="279"/>
      <c r="M3" s="279"/>
      <c r="N3" s="279"/>
      <c r="O3" s="279"/>
      <c r="P3" s="279"/>
      <c r="Q3" s="279"/>
      <c r="R3" s="279"/>
      <c r="S3" s="279"/>
      <c r="T3" s="279"/>
      <c r="U3" s="279"/>
      <c r="V3" s="279"/>
      <c r="W3" s="279"/>
      <c r="X3" s="279"/>
      <c r="Y3" s="279"/>
      <c r="Z3" s="279"/>
      <c r="AA3" s="279"/>
      <c r="AB3" s="279"/>
      <c r="AC3" s="279"/>
      <c r="AD3" s="279"/>
      <c r="AE3" s="279"/>
      <c r="AF3" s="279"/>
      <c r="AG3" s="279"/>
      <c r="AH3" s="279"/>
    </row>
    <row r="4" spans="1:46" ht="12" customHeight="1">
      <c r="B4" s="284" t="str">
        <f>'[14]Clallam Reg Price Out'!B4</f>
        <v>August 1, 2022 - July 31, 2023</v>
      </c>
      <c r="C4" s="279"/>
      <c r="D4" s="277"/>
      <c r="E4" s="278"/>
      <c r="F4" s="279"/>
      <c r="G4" s="279"/>
      <c r="H4" s="279"/>
      <c r="I4" s="279"/>
      <c r="J4" s="285"/>
      <c r="K4" s="279"/>
      <c r="L4" s="279"/>
      <c r="M4" s="279"/>
      <c r="N4" s="279"/>
      <c r="O4" s="279"/>
      <c r="P4" s="279"/>
      <c r="Q4" s="279"/>
      <c r="R4" s="279"/>
      <c r="S4" s="279"/>
      <c r="T4" s="279"/>
      <c r="U4" s="279"/>
      <c r="V4" s="279"/>
      <c r="W4" s="279"/>
      <c r="X4" s="279"/>
      <c r="Y4" s="279"/>
      <c r="Z4" s="279"/>
      <c r="AA4" s="279"/>
      <c r="AB4" s="279"/>
      <c r="AC4" s="279"/>
      <c r="AD4" s="279"/>
      <c r="AE4" s="279"/>
      <c r="AF4" s="279"/>
      <c r="AG4" s="279"/>
      <c r="AH4" s="279"/>
      <c r="AL4" s="286" t="s">
        <v>298</v>
      </c>
      <c r="AM4" s="287"/>
      <c r="AN4" s="286" t="s">
        <v>299</v>
      </c>
      <c r="AO4" s="287"/>
      <c r="AP4" s="286" t="s">
        <v>300</v>
      </c>
      <c r="AQ4" s="287"/>
    </row>
    <row r="5" spans="1:46" ht="12" customHeight="1">
      <c r="B5" s="279"/>
      <c r="C5" s="289"/>
      <c r="D5" s="290" t="s">
        <v>301</v>
      </c>
      <c r="E5" s="291" t="s">
        <v>302</v>
      </c>
      <c r="F5" s="279"/>
      <c r="G5" s="292">
        <f>+'[14]Clallam Reg Price Out'!G5</f>
        <v>44774</v>
      </c>
      <c r="H5" s="292">
        <f>+'[14]Clallam Reg Price Out'!H5</f>
        <v>44805</v>
      </c>
      <c r="I5" s="292">
        <f>+'[14]Clallam Reg Price Out'!I5</f>
        <v>44836</v>
      </c>
      <c r="J5" s="292">
        <f>+'[14]Clallam Reg Price Out'!J5</f>
        <v>44867</v>
      </c>
      <c r="K5" s="292">
        <f>+'[14]Clallam Reg Price Out'!K5</f>
        <v>44898</v>
      </c>
      <c r="L5" s="292">
        <f>+'[14]Clallam Reg Price Out'!L5</f>
        <v>44929</v>
      </c>
      <c r="M5" s="292">
        <f>+'[14]Clallam Reg Price Out'!M5</f>
        <v>44960</v>
      </c>
      <c r="N5" s="292">
        <f>+'[14]Clallam Reg Price Out'!N5</f>
        <v>44991</v>
      </c>
      <c r="O5" s="292">
        <f>+'[14]Clallam Reg Price Out'!O5</f>
        <v>45022</v>
      </c>
      <c r="P5" s="292">
        <f>+'[14]Clallam Reg Price Out'!P5</f>
        <v>45053</v>
      </c>
      <c r="Q5" s="292">
        <f>+'[14]Clallam Reg Price Out'!Q5</f>
        <v>45084</v>
      </c>
      <c r="R5" s="292">
        <f>+'[14]Clallam Reg Price Out'!R5</f>
        <v>45115</v>
      </c>
      <c r="S5" s="292" t="s">
        <v>16</v>
      </c>
      <c r="T5" s="279"/>
      <c r="U5" s="279"/>
      <c r="V5" s="292">
        <f t="shared" ref="V5:AG5" si="0">+G5</f>
        <v>44774</v>
      </c>
      <c r="W5" s="292">
        <f t="shared" si="0"/>
        <v>44805</v>
      </c>
      <c r="X5" s="292">
        <f t="shared" si="0"/>
        <v>44836</v>
      </c>
      <c r="Y5" s="292">
        <f t="shared" si="0"/>
        <v>44867</v>
      </c>
      <c r="Z5" s="292">
        <f t="shared" si="0"/>
        <v>44898</v>
      </c>
      <c r="AA5" s="292">
        <f t="shared" si="0"/>
        <v>44929</v>
      </c>
      <c r="AB5" s="292">
        <f t="shared" si="0"/>
        <v>44960</v>
      </c>
      <c r="AC5" s="292">
        <f t="shared" si="0"/>
        <v>44991</v>
      </c>
      <c r="AD5" s="292">
        <f t="shared" si="0"/>
        <v>45022</v>
      </c>
      <c r="AE5" s="292">
        <f t="shared" si="0"/>
        <v>45053</v>
      </c>
      <c r="AF5" s="292">
        <f t="shared" si="0"/>
        <v>45084</v>
      </c>
      <c r="AG5" s="292">
        <f t="shared" si="0"/>
        <v>45115</v>
      </c>
      <c r="AH5" s="292" t="s">
        <v>303</v>
      </c>
      <c r="AL5" s="293" t="s">
        <v>304</v>
      </c>
      <c r="AM5" s="294" t="s">
        <v>305</v>
      </c>
      <c r="AN5" s="293" t="s">
        <v>304</v>
      </c>
      <c r="AO5" s="294" t="s">
        <v>305</v>
      </c>
      <c r="AP5" s="293" t="s">
        <v>304</v>
      </c>
      <c r="AQ5" s="294" t="s">
        <v>305</v>
      </c>
    </row>
    <row r="6" spans="1:46" ht="27.75" customHeight="1">
      <c r="B6" s="297" t="s">
        <v>98</v>
      </c>
      <c r="C6" s="289" t="s">
        <v>99</v>
      </c>
      <c r="D6" s="298" t="s">
        <v>307</v>
      </c>
      <c r="E6" s="299" t="s">
        <v>308</v>
      </c>
      <c r="F6" s="289"/>
      <c r="G6" s="289" t="s">
        <v>87</v>
      </c>
      <c r="H6" s="289" t="s">
        <v>87</v>
      </c>
      <c r="I6" s="289" t="s">
        <v>87</v>
      </c>
      <c r="J6" s="289" t="s">
        <v>87</v>
      </c>
      <c r="K6" s="289" t="s">
        <v>87</v>
      </c>
      <c r="L6" s="289" t="s">
        <v>87</v>
      </c>
      <c r="M6" s="289" t="s">
        <v>87</v>
      </c>
      <c r="N6" s="289" t="s">
        <v>87</v>
      </c>
      <c r="O6" s="289" t="s">
        <v>87</v>
      </c>
      <c r="P6" s="289" t="s">
        <v>87</v>
      </c>
      <c r="Q6" s="289" t="s">
        <v>87</v>
      </c>
      <c r="R6" s="289" t="s">
        <v>87</v>
      </c>
      <c r="S6" s="289" t="s">
        <v>87</v>
      </c>
      <c r="T6" s="279"/>
      <c r="U6" s="279"/>
      <c r="V6" s="289" t="s">
        <v>88</v>
      </c>
      <c r="W6" s="289" t="s">
        <v>88</v>
      </c>
      <c r="X6" s="289" t="s">
        <v>88</v>
      </c>
      <c r="Y6" s="289" t="s">
        <v>88</v>
      </c>
      <c r="Z6" s="289" t="s">
        <v>88</v>
      </c>
      <c r="AA6" s="289" t="s">
        <v>88</v>
      </c>
      <c r="AB6" s="289" t="s">
        <v>88</v>
      </c>
      <c r="AC6" s="289" t="s">
        <v>88</v>
      </c>
      <c r="AD6" s="289" t="s">
        <v>88</v>
      </c>
      <c r="AE6" s="289" t="s">
        <v>88</v>
      </c>
      <c r="AF6" s="289" t="s">
        <v>88</v>
      </c>
      <c r="AG6" s="289" t="s">
        <v>88</v>
      </c>
      <c r="AH6" s="289" t="s">
        <v>309</v>
      </c>
    </row>
    <row r="7" spans="1:46" ht="12" customHeight="1">
      <c r="E7" s="301"/>
      <c r="AH7" s="275"/>
      <c r="AK7" s="302"/>
      <c r="AL7" s="279"/>
      <c r="AM7" s="279"/>
      <c r="AN7" s="279"/>
      <c r="AO7" s="279"/>
      <c r="AP7" s="279"/>
      <c r="AQ7" s="279"/>
    </row>
    <row r="8" spans="1:46" s="279" customFormat="1" ht="12" customHeight="1">
      <c r="D8" s="277"/>
      <c r="E8" s="278"/>
      <c r="AH8" s="275"/>
      <c r="AI8" s="303"/>
      <c r="AK8" s="302"/>
      <c r="AR8" s="282"/>
      <c r="AS8" s="282"/>
      <c r="AT8" s="282"/>
    </row>
    <row r="9" spans="1:46" s="279" customFormat="1" ht="12" customHeight="1">
      <c r="B9" s="288"/>
      <c r="C9" s="288"/>
      <c r="D9" s="304"/>
      <c r="E9" s="305"/>
      <c r="F9" s="306"/>
      <c r="G9" s="306"/>
      <c r="H9" s="288"/>
      <c r="I9" s="288"/>
      <c r="J9" s="288"/>
      <c r="K9" s="288"/>
      <c r="L9" s="288"/>
      <c r="M9" s="288"/>
      <c r="N9" s="288"/>
      <c r="O9" s="288"/>
      <c r="P9" s="288"/>
      <c r="Q9" s="288"/>
      <c r="R9" s="288"/>
      <c r="S9" s="288"/>
      <c r="T9" s="288"/>
      <c r="U9" s="288"/>
      <c r="V9" s="288"/>
      <c r="W9" s="288"/>
      <c r="X9" s="288"/>
      <c r="Y9" s="288"/>
      <c r="Z9" s="288"/>
      <c r="AA9" s="288"/>
      <c r="AB9" s="288"/>
      <c r="AC9" s="288"/>
      <c r="AD9" s="288"/>
      <c r="AE9" s="288"/>
      <c r="AF9" s="288"/>
      <c r="AG9" s="288"/>
      <c r="AH9" s="307"/>
      <c r="AI9" s="308"/>
      <c r="AK9" s="302"/>
      <c r="AR9" s="282"/>
      <c r="AS9" s="282"/>
      <c r="AT9" s="282"/>
    </row>
    <row r="10" spans="1:46" s="279" customFormat="1" ht="12" customHeight="1">
      <c r="B10" s="309" t="s">
        <v>310</v>
      </c>
      <c r="C10" s="309" t="s">
        <v>310</v>
      </c>
      <c r="D10" s="310"/>
      <c r="E10" s="311"/>
      <c r="F10" s="306"/>
      <c r="G10" s="306"/>
      <c r="H10" s="288"/>
      <c r="I10" s="288"/>
      <c r="J10" s="288"/>
      <c r="K10" s="288"/>
      <c r="L10" s="288"/>
      <c r="M10" s="288"/>
      <c r="N10" s="288"/>
      <c r="O10" s="288"/>
      <c r="P10" s="288"/>
      <c r="Q10" s="288"/>
      <c r="R10" s="288"/>
      <c r="S10" s="288"/>
      <c r="T10" s="288"/>
      <c r="U10" s="288"/>
      <c r="V10" s="288"/>
      <c r="W10" s="288"/>
      <c r="X10" s="288"/>
      <c r="Y10" s="288"/>
      <c r="Z10" s="288"/>
      <c r="AA10" s="288"/>
      <c r="AB10" s="288"/>
      <c r="AC10" s="288"/>
      <c r="AD10" s="288"/>
      <c r="AE10" s="288"/>
      <c r="AF10" s="288"/>
      <c r="AG10" s="288"/>
      <c r="AH10" s="307"/>
      <c r="AI10" s="308"/>
      <c r="AK10" s="302"/>
      <c r="AN10" s="312"/>
      <c r="AO10" s="312"/>
      <c r="AR10" s="282"/>
      <c r="AS10" s="282"/>
      <c r="AT10" s="282"/>
    </row>
    <row r="11" spans="1:46" s="279" customFormat="1" ht="12" customHeight="1">
      <c r="B11" s="309"/>
      <c r="C11" s="309"/>
      <c r="D11" s="310"/>
      <c r="E11" s="311"/>
      <c r="F11" s="306"/>
      <c r="G11" s="306"/>
      <c r="H11" s="288"/>
      <c r="I11" s="288"/>
      <c r="J11" s="288"/>
      <c r="K11" s="288"/>
      <c r="L11" s="288"/>
      <c r="M11" s="288"/>
      <c r="N11" s="288"/>
      <c r="O11" s="288"/>
      <c r="P11" s="288"/>
      <c r="Q11" s="288"/>
      <c r="R11" s="288"/>
      <c r="S11" s="288"/>
      <c r="T11" s="288"/>
      <c r="U11" s="288"/>
      <c r="V11" s="288"/>
      <c r="W11" s="288"/>
      <c r="X11" s="288"/>
      <c r="Y11" s="288"/>
      <c r="Z11" s="288"/>
      <c r="AA11" s="288"/>
      <c r="AB11" s="288"/>
      <c r="AC11" s="288"/>
      <c r="AD11" s="288"/>
      <c r="AE11" s="288"/>
      <c r="AF11" s="288"/>
      <c r="AG11" s="288"/>
      <c r="AH11" s="307"/>
      <c r="AI11" s="308"/>
      <c r="AK11" s="302"/>
      <c r="AN11" s="295"/>
      <c r="AO11" s="313"/>
      <c r="AR11" s="282"/>
      <c r="AS11" s="282"/>
      <c r="AT11" s="282"/>
    </row>
    <row r="12" spans="1:46" s="279" customFormat="1" ht="12" customHeight="1">
      <c r="B12" s="314" t="s">
        <v>311</v>
      </c>
      <c r="C12" s="314" t="s">
        <v>311</v>
      </c>
      <c r="D12" s="315"/>
      <c r="E12" s="316"/>
      <c r="F12" s="99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288"/>
      <c r="U12" s="288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307"/>
      <c r="AI12" s="308"/>
      <c r="AK12" s="302"/>
      <c r="AN12" s="295"/>
      <c r="AO12" s="313"/>
      <c r="AR12" s="282"/>
      <c r="AS12" s="282"/>
      <c r="AT12" s="282"/>
    </row>
    <row r="13" spans="1:46" s="288" customFormat="1" ht="12" customHeight="1">
      <c r="A13" s="288" t="str">
        <f t="shared" ref="A13:A48" si="1">"PA-J"&amp;B13</f>
        <v>PA-J20RW1</v>
      </c>
      <c r="B13" s="307" t="s">
        <v>132</v>
      </c>
      <c r="C13" s="307" t="s">
        <v>312</v>
      </c>
      <c r="D13" s="317">
        <v>18.239999999999998</v>
      </c>
      <c r="E13" s="318">
        <v>21</v>
      </c>
      <c r="F13" s="99"/>
      <c r="G13" s="100">
        <v>291.83999999999997</v>
      </c>
      <c r="H13" s="100">
        <v>282.59999999999997</v>
      </c>
      <c r="I13" s="100">
        <v>291.83999999999997</v>
      </c>
      <c r="J13" s="100">
        <v>291.83999999999997</v>
      </c>
      <c r="K13" s="100">
        <v>291.83999999999997</v>
      </c>
      <c r="L13" s="100">
        <v>291.83999999999997</v>
      </c>
      <c r="M13" s="100">
        <v>291.83999999999997</v>
      </c>
      <c r="N13" s="100">
        <v>291.83999999999997</v>
      </c>
      <c r="O13" s="100">
        <v>291.83999999999997</v>
      </c>
      <c r="P13" s="100">
        <v>291.83999999999997</v>
      </c>
      <c r="Q13" s="100">
        <v>291.83999999999997</v>
      </c>
      <c r="R13" s="100">
        <v>291.83999999999997</v>
      </c>
      <c r="S13" s="100">
        <f t="shared" ref="S13:S48" si="2">SUM(G13:R13)</f>
        <v>3492.84</v>
      </c>
      <c r="T13" s="288">
        <v>32000</v>
      </c>
      <c r="V13" s="100">
        <f t="shared" ref="V13:AG34" si="3">IFERROR(G13/$D13,0)</f>
        <v>16</v>
      </c>
      <c r="W13" s="100">
        <f t="shared" si="3"/>
        <v>15.493421052631579</v>
      </c>
      <c r="X13" s="100">
        <f t="shared" si="3"/>
        <v>16</v>
      </c>
      <c r="Y13" s="100">
        <f t="shared" si="3"/>
        <v>16</v>
      </c>
      <c r="Z13" s="100">
        <f t="shared" si="3"/>
        <v>16</v>
      </c>
      <c r="AA13" s="100">
        <f t="shared" si="3"/>
        <v>16</v>
      </c>
      <c r="AB13" s="100">
        <f t="shared" si="3"/>
        <v>16</v>
      </c>
      <c r="AC13" s="100">
        <f t="shared" si="3"/>
        <v>16</v>
      </c>
      <c r="AD13" s="100">
        <f t="shared" si="3"/>
        <v>16</v>
      </c>
      <c r="AE13" s="100">
        <f t="shared" si="3"/>
        <v>16</v>
      </c>
      <c r="AF13" s="100">
        <f t="shared" si="3"/>
        <v>16</v>
      </c>
      <c r="AG13" s="100">
        <f t="shared" si="3"/>
        <v>16</v>
      </c>
      <c r="AH13" s="100">
        <f t="shared" ref="AH13:AH48" si="4">IFERROR(AVERAGEIF(V13:AG13,"&gt;0"),0)</f>
        <v>15.957785087719296</v>
      </c>
      <c r="AI13" s="308">
        <f>SUMIF('Staff Calcs '!D:D,C13,'Staff Calcs '!E:E)</f>
        <v>15.957785087719296</v>
      </c>
      <c r="AJ13" s="319">
        <f>AH13-AI13</f>
        <v>0</v>
      </c>
      <c r="AK13" s="302"/>
      <c r="AL13" s="279">
        <v>0</v>
      </c>
      <c r="AM13" s="303">
        <f t="shared" ref="AM13:AM18" si="5">+AH13*AL13</f>
        <v>0</v>
      </c>
      <c r="AN13" s="295"/>
      <c r="AO13" s="313"/>
      <c r="AP13" s="279"/>
      <c r="AQ13" s="279"/>
      <c r="AR13" s="320"/>
      <c r="AS13" s="321"/>
      <c r="AT13" s="282"/>
    </row>
    <row r="14" spans="1:46" s="288" customFormat="1" ht="12" customHeight="1">
      <c r="A14" s="288" t="str">
        <f t="shared" si="1"/>
        <v>PA-J32RE1</v>
      </c>
      <c r="B14" s="307" t="s">
        <v>138</v>
      </c>
      <c r="C14" s="307" t="s">
        <v>112</v>
      </c>
      <c r="D14" s="317">
        <v>13.82</v>
      </c>
      <c r="E14" s="318">
        <v>21</v>
      </c>
      <c r="F14" s="99"/>
      <c r="G14" s="100">
        <v>96.74</v>
      </c>
      <c r="H14" s="100">
        <v>96.74</v>
      </c>
      <c r="I14" s="100">
        <v>82.92</v>
      </c>
      <c r="J14" s="100">
        <v>89.83</v>
      </c>
      <c r="K14" s="100">
        <v>82.92</v>
      </c>
      <c r="L14" s="100">
        <v>96.740000000000009</v>
      </c>
      <c r="M14" s="100">
        <v>96.74</v>
      </c>
      <c r="N14" s="100">
        <v>96.74</v>
      </c>
      <c r="O14" s="100">
        <v>86.38000000000001</v>
      </c>
      <c r="P14" s="100">
        <v>93.28</v>
      </c>
      <c r="Q14" s="100">
        <v>82.92</v>
      </c>
      <c r="R14" s="100">
        <v>82.92</v>
      </c>
      <c r="S14" s="100">
        <f t="shared" si="2"/>
        <v>1084.8699999999999</v>
      </c>
      <c r="T14" s="288">
        <v>32000</v>
      </c>
      <c r="V14" s="100">
        <f t="shared" si="3"/>
        <v>6.9999999999999991</v>
      </c>
      <c r="W14" s="100">
        <f t="shared" si="3"/>
        <v>6.9999999999999991</v>
      </c>
      <c r="X14" s="100">
        <f t="shared" si="3"/>
        <v>6</v>
      </c>
      <c r="Y14" s="100">
        <f t="shared" si="3"/>
        <v>6.5</v>
      </c>
      <c r="Z14" s="100">
        <f t="shared" si="3"/>
        <v>6</v>
      </c>
      <c r="AA14" s="100">
        <f t="shared" si="3"/>
        <v>7.0000000000000009</v>
      </c>
      <c r="AB14" s="100">
        <f t="shared" si="3"/>
        <v>6.9999999999999991</v>
      </c>
      <c r="AC14" s="100">
        <f t="shared" si="3"/>
        <v>6.9999999999999991</v>
      </c>
      <c r="AD14" s="100">
        <f t="shared" si="3"/>
        <v>6.2503617945007246</v>
      </c>
      <c r="AE14" s="100">
        <f t="shared" si="3"/>
        <v>6.7496382054992763</v>
      </c>
      <c r="AF14" s="100">
        <f t="shared" si="3"/>
        <v>6</v>
      </c>
      <c r="AG14" s="100">
        <f t="shared" si="3"/>
        <v>6</v>
      </c>
      <c r="AH14" s="100">
        <f t="shared" si="4"/>
        <v>6.541666666666667</v>
      </c>
      <c r="AI14" s="308">
        <f>SUMIF('Staff Calcs '!D:D,C14,'Staff Calcs '!E:E)</f>
        <v>6.541666666666667</v>
      </c>
      <c r="AJ14" s="319">
        <f t="shared" ref="AJ14:AJ18" si="6">AH14-AI14</f>
        <v>0</v>
      </c>
      <c r="AK14" s="302"/>
      <c r="AL14" s="279">
        <v>0</v>
      </c>
      <c r="AM14" s="303">
        <f t="shared" si="5"/>
        <v>0</v>
      </c>
      <c r="AN14" s="295"/>
      <c r="AO14" s="312"/>
      <c r="AP14" s="279"/>
      <c r="AQ14" s="279"/>
      <c r="AR14" s="320"/>
      <c r="AS14" s="321"/>
      <c r="AT14" s="282"/>
    </row>
    <row r="15" spans="1:46" s="288" customFormat="1" ht="12" customHeight="1">
      <c r="A15" s="288" t="str">
        <f t="shared" si="1"/>
        <v>PA-J32RW1</v>
      </c>
      <c r="B15" s="307" t="s">
        <v>133</v>
      </c>
      <c r="C15" s="307" t="s">
        <v>107</v>
      </c>
      <c r="D15" s="317">
        <v>23.61</v>
      </c>
      <c r="E15" s="318">
        <v>21</v>
      </c>
      <c r="F15" s="99"/>
      <c r="G15" s="100">
        <v>47.22</v>
      </c>
      <c r="H15" s="100">
        <v>47.22</v>
      </c>
      <c r="I15" s="100">
        <v>47.22</v>
      </c>
      <c r="J15" s="100">
        <v>35.42</v>
      </c>
      <c r="K15" s="100">
        <v>23.61</v>
      </c>
      <c r="L15" s="100">
        <v>23.61</v>
      </c>
      <c r="M15" s="100">
        <v>23.61</v>
      </c>
      <c r="N15" s="100">
        <v>17.71</v>
      </c>
      <c r="O15" s="100">
        <v>0</v>
      </c>
      <c r="P15" s="100">
        <v>0</v>
      </c>
      <c r="Q15" s="100">
        <v>0</v>
      </c>
      <c r="R15" s="100">
        <v>0</v>
      </c>
      <c r="S15" s="100">
        <f t="shared" si="2"/>
        <v>265.62</v>
      </c>
      <c r="T15" s="288">
        <v>32000</v>
      </c>
      <c r="V15" s="100">
        <f t="shared" si="3"/>
        <v>2</v>
      </c>
      <c r="W15" s="100">
        <f t="shared" si="3"/>
        <v>2</v>
      </c>
      <c r="X15" s="100">
        <f t="shared" si="3"/>
        <v>2</v>
      </c>
      <c r="Y15" s="100">
        <f t="shared" si="3"/>
        <v>1.5002117746717494</v>
      </c>
      <c r="Z15" s="100">
        <f t="shared" si="3"/>
        <v>1</v>
      </c>
      <c r="AA15" s="100">
        <f t="shared" si="3"/>
        <v>1</v>
      </c>
      <c r="AB15" s="100">
        <f t="shared" si="3"/>
        <v>1</v>
      </c>
      <c r="AC15" s="100">
        <f t="shared" si="3"/>
        <v>0.75010588733587469</v>
      </c>
      <c r="AD15" s="100">
        <f t="shared" si="3"/>
        <v>0</v>
      </c>
      <c r="AE15" s="100">
        <f t="shared" si="3"/>
        <v>0</v>
      </c>
      <c r="AF15" s="100">
        <f t="shared" si="3"/>
        <v>0</v>
      </c>
      <c r="AG15" s="100">
        <f t="shared" si="3"/>
        <v>0</v>
      </c>
      <c r="AH15" s="100">
        <f t="shared" si="4"/>
        <v>1.4062897077509531</v>
      </c>
      <c r="AI15" s="308">
        <f>SUMIF('Staff Calcs '!D:D,C15,'Staff Calcs '!E:E)</f>
        <v>1.4062897077509531</v>
      </c>
      <c r="AJ15" s="319">
        <f t="shared" si="6"/>
        <v>0</v>
      </c>
      <c r="AK15" s="302"/>
      <c r="AL15" s="279">
        <v>0</v>
      </c>
      <c r="AM15" s="303">
        <f t="shared" si="5"/>
        <v>0</v>
      </c>
      <c r="AN15" s="295"/>
      <c r="AO15" s="313"/>
      <c r="AP15" s="279"/>
      <c r="AQ15" s="279"/>
      <c r="AR15" s="320"/>
      <c r="AS15" s="321"/>
      <c r="AT15" s="282"/>
    </row>
    <row r="16" spans="1:46" s="288" customFormat="1" ht="12" customHeight="1">
      <c r="A16" s="288" t="str">
        <f t="shared" si="1"/>
        <v>PA-J32RW2</v>
      </c>
      <c r="B16" s="307" t="s">
        <v>134</v>
      </c>
      <c r="C16" s="307" t="s">
        <v>108</v>
      </c>
      <c r="D16" s="317">
        <v>34.950000000000003</v>
      </c>
      <c r="E16" s="318">
        <v>21</v>
      </c>
      <c r="F16" s="99"/>
      <c r="G16" s="100">
        <v>83.01</v>
      </c>
      <c r="H16" s="100">
        <v>109.21000000000001</v>
      </c>
      <c r="I16" s="100">
        <v>104.85</v>
      </c>
      <c r="J16" s="100">
        <v>104.85</v>
      </c>
      <c r="K16" s="100">
        <v>78.64</v>
      </c>
      <c r="L16" s="100">
        <v>78.63</v>
      </c>
      <c r="M16" s="100">
        <v>69.900000000000006</v>
      </c>
      <c r="N16" s="100">
        <v>104.85000000000001</v>
      </c>
      <c r="O16" s="100">
        <v>104.85</v>
      </c>
      <c r="P16" s="100">
        <v>104.85</v>
      </c>
      <c r="Q16" s="100">
        <v>104.85</v>
      </c>
      <c r="R16" s="100">
        <v>104.85</v>
      </c>
      <c r="S16" s="100">
        <f t="shared" si="2"/>
        <v>1153.3399999999999</v>
      </c>
      <c r="T16" s="288">
        <v>32000</v>
      </c>
      <c r="V16" s="100">
        <f t="shared" si="3"/>
        <v>2.375107296137339</v>
      </c>
      <c r="W16" s="100">
        <f t="shared" si="3"/>
        <v>3.1247496423462087</v>
      </c>
      <c r="X16" s="100">
        <f t="shared" si="3"/>
        <v>2.9999999999999996</v>
      </c>
      <c r="Y16" s="100">
        <f t="shared" si="3"/>
        <v>2.9999999999999996</v>
      </c>
      <c r="Z16" s="100">
        <f t="shared" si="3"/>
        <v>2.250071530758226</v>
      </c>
      <c r="AA16" s="100">
        <f t="shared" si="3"/>
        <v>2.2497854077253217</v>
      </c>
      <c r="AB16" s="100">
        <f t="shared" si="3"/>
        <v>2</v>
      </c>
      <c r="AC16" s="100">
        <f t="shared" si="3"/>
        <v>3</v>
      </c>
      <c r="AD16" s="100">
        <f t="shared" si="3"/>
        <v>2.9999999999999996</v>
      </c>
      <c r="AE16" s="100">
        <f t="shared" si="3"/>
        <v>2.9999999999999996</v>
      </c>
      <c r="AF16" s="100">
        <f t="shared" si="3"/>
        <v>2.9999999999999996</v>
      </c>
      <c r="AG16" s="100">
        <f t="shared" si="3"/>
        <v>2.9999999999999996</v>
      </c>
      <c r="AH16" s="100">
        <f t="shared" si="4"/>
        <v>2.7499761564139242</v>
      </c>
      <c r="AI16" s="308">
        <f>SUMIF('Staff Calcs '!D:D,C16,'Staff Calcs '!E:E)</f>
        <v>2.7499761564139242</v>
      </c>
      <c r="AJ16" s="319">
        <f t="shared" si="6"/>
        <v>0</v>
      </c>
      <c r="AK16" s="302"/>
      <c r="AL16" s="279">
        <v>0</v>
      </c>
      <c r="AM16" s="303">
        <f t="shared" si="5"/>
        <v>0</v>
      </c>
      <c r="AN16" s="295"/>
      <c r="AO16" s="313"/>
      <c r="AP16" s="279"/>
      <c r="AQ16" s="279"/>
      <c r="AR16" s="320"/>
      <c r="AS16" s="321"/>
      <c r="AT16" s="282"/>
    </row>
    <row r="17" spans="1:46" s="288" customFormat="1" ht="12" customHeight="1">
      <c r="A17" s="288" t="str">
        <f t="shared" si="1"/>
        <v>PA-J35RW1</v>
      </c>
      <c r="B17" s="307" t="s">
        <v>136</v>
      </c>
      <c r="C17" s="307" t="s">
        <v>110</v>
      </c>
      <c r="D17" s="317">
        <v>25.77</v>
      </c>
      <c r="E17" s="318">
        <v>21</v>
      </c>
      <c r="F17" s="99"/>
      <c r="G17" s="100">
        <v>34718.58</v>
      </c>
      <c r="H17" s="100">
        <v>34893.270000000004</v>
      </c>
      <c r="I17" s="100">
        <v>33958.35</v>
      </c>
      <c r="J17" s="100">
        <v>33933.279999999999</v>
      </c>
      <c r="K17" s="100">
        <v>33146.61</v>
      </c>
      <c r="L17" s="100">
        <v>33145.299999999996</v>
      </c>
      <c r="M17" s="100">
        <v>32615.119999999999</v>
      </c>
      <c r="N17" s="100">
        <v>32924.29</v>
      </c>
      <c r="O17" s="100">
        <v>33172.370000000003</v>
      </c>
      <c r="P17" s="100">
        <v>34248.160000000003</v>
      </c>
      <c r="Q17" s="100">
        <v>34280.46</v>
      </c>
      <c r="R17" s="100">
        <v>34428.629999999997</v>
      </c>
      <c r="S17" s="100">
        <f t="shared" si="2"/>
        <v>405464.42</v>
      </c>
      <c r="T17" s="288">
        <v>32000</v>
      </c>
      <c r="V17" s="100">
        <f t="shared" si="3"/>
        <v>1347.2479627473808</v>
      </c>
      <c r="W17" s="100">
        <f t="shared" si="3"/>
        <v>1354.0267753201399</v>
      </c>
      <c r="X17" s="100">
        <f t="shared" si="3"/>
        <v>1317.7473806752037</v>
      </c>
      <c r="Y17" s="100">
        <f t="shared" si="3"/>
        <v>1316.7745440434614</v>
      </c>
      <c r="Z17" s="100">
        <f t="shared" si="3"/>
        <v>1286.2479627473808</v>
      </c>
      <c r="AA17" s="100">
        <f t="shared" si="3"/>
        <v>1286.1971284439269</v>
      </c>
      <c r="AB17" s="100">
        <f t="shared" si="3"/>
        <v>1265.6235933255723</v>
      </c>
      <c r="AC17" s="100">
        <f t="shared" si="3"/>
        <v>1277.6208769887467</v>
      </c>
      <c r="AD17" s="100">
        <f t="shared" si="3"/>
        <v>1287.2475746992629</v>
      </c>
      <c r="AE17" s="100">
        <f t="shared" si="3"/>
        <v>1328.9934031819948</v>
      </c>
      <c r="AF17" s="100">
        <f t="shared" si="3"/>
        <v>1330.2467986030267</v>
      </c>
      <c r="AG17" s="100">
        <f t="shared" si="3"/>
        <v>1335.9965075669381</v>
      </c>
      <c r="AH17" s="100">
        <f t="shared" si="4"/>
        <v>1311.1642090285864</v>
      </c>
      <c r="AI17" s="308">
        <f>SUMIF('Staff Calcs '!D:D,C17,'Staff Calcs '!E:E)</f>
        <v>1311.1642090285864</v>
      </c>
      <c r="AJ17" s="319">
        <f t="shared" si="6"/>
        <v>0</v>
      </c>
      <c r="AK17" s="302">
        <v>35</v>
      </c>
      <c r="AL17" s="279">
        <v>1</v>
      </c>
      <c r="AM17" s="303">
        <f t="shared" si="5"/>
        <v>1311.1642090285864</v>
      </c>
      <c r="AN17" s="295"/>
      <c r="AO17" s="313"/>
      <c r="AP17" s="279"/>
      <c r="AQ17" s="279"/>
      <c r="AR17" s="320"/>
      <c r="AS17" s="321"/>
      <c r="AT17" s="282"/>
    </row>
    <row r="18" spans="1:46" s="288" customFormat="1" ht="12" customHeight="1">
      <c r="A18" s="288" t="str">
        <f t="shared" si="1"/>
        <v>PA-J96RW1</v>
      </c>
      <c r="B18" s="307" t="s">
        <v>314</v>
      </c>
      <c r="C18" s="307" t="s">
        <v>315</v>
      </c>
      <c r="D18" s="317">
        <v>43.23</v>
      </c>
      <c r="E18" s="318">
        <v>21</v>
      </c>
      <c r="F18" s="99"/>
      <c r="G18" s="100">
        <v>9996.91</v>
      </c>
      <c r="H18" s="100">
        <v>10234.629999999999</v>
      </c>
      <c r="I18" s="100">
        <v>10467.030000000001</v>
      </c>
      <c r="J18" s="100">
        <v>10758.78</v>
      </c>
      <c r="K18" s="100">
        <v>10591.34</v>
      </c>
      <c r="L18" s="100">
        <v>10958.75</v>
      </c>
      <c r="M18" s="100">
        <v>10856.11</v>
      </c>
      <c r="N18" s="100">
        <v>11266.76</v>
      </c>
      <c r="O18" s="100">
        <v>11315.449999999999</v>
      </c>
      <c r="P18" s="100">
        <v>11499.14</v>
      </c>
      <c r="Q18" s="100">
        <v>11607.23</v>
      </c>
      <c r="R18" s="100">
        <v>11931.42</v>
      </c>
      <c r="S18" s="100">
        <f t="shared" si="2"/>
        <v>131483.54999999999</v>
      </c>
      <c r="T18" s="288">
        <v>32000</v>
      </c>
      <c r="V18" s="100">
        <f t="shared" si="3"/>
        <v>231.24936386768448</v>
      </c>
      <c r="W18" s="100">
        <f t="shared" si="3"/>
        <v>236.74832292389544</v>
      </c>
      <c r="X18" s="100">
        <f t="shared" si="3"/>
        <v>242.12421929215824</v>
      </c>
      <c r="Y18" s="100">
        <f t="shared" si="3"/>
        <v>248.87300485773773</v>
      </c>
      <c r="Z18" s="100">
        <f t="shared" si="3"/>
        <v>244.99976867915802</v>
      </c>
      <c r="AA18" s="100">
        <f t="shared" si="3"/>
        <v>253.49872773536899</v>
      </c>
      <c r="AB18" s="100">
        <f t="shared" si="3"/>
        <v>251.12445061300025</v>
      </c>
      <c r="AC18" s="100">
        <f t="shared" si="3"/>
        <v>260.62364099005322</v>
      </c>
      <c r="AD18" s="100">
        <f t="shared" si="3"/>
        <v>261.74994216978951</v>
      </c>
      <c r="AE18" s="100">
        <f t="shared" si="3"/>
        <v>265.99907471663198</v>
      </c>
      <c r="AF18" s="100">
        <f t="shared" si="3"/>
        <v>268.499421697895</v>
      </c>
      <c r="AG18" s="100">
        <f t="shared" si="3"/>
        <v>275.99861207494797</v>
      </c>
      <c r="AH18" s="100">
        <f t="shared" si="4"/>
        <v>253.45737913486008</v>
      </c>
      <c r="AI18" s="308">
        <f>SUMIF('Staff Calcs '!D:D,C18,'Staff Calcs '!E:E)</f>
        <v>253.45737913486008</v>
      </c>
      <c r="AJ18" s="319">
        <f t="shared" si="6"/>
        <v>0</v>
      </c>
      <c r="AK18" s="302">
        <v>96</v>
      </c>
      <c r="AL18" s="279">
        <v>1</v>
      </c>
      <c r="AM18" s="303">
        <f t="shared" si="5"/>
        <v>253.45737913486008</v>
      </c>
      <c r="AN18" s="295"/>
      <c r="AO18" s="313"/>
      <c r="AP18" s="279"/>
      <c r="AQ18" s="279"/>
      <c r="AR18" s="320"/>
      <c r="AS18" s="321"/>
      <c r="AT18" s="282"/>
    </row>
    <row r="19" spans="1:46" s="279" customFormat="1" ht="12" customHeight="1">
      <c r="A19" s="279" t="str">
        <f t="shared" si="1"/>
        <v>PA-JCARRYRE</v>
      </c>
      <c r="B19" s="307" t="s">
        <v>144</v>
      </c>
      <c r="C19" s="307" t="s">
        <v>145</v>
      </c>
      <c r="D19" s="317">
        <v>1.65</v>
      </c>
      <c r="E19" s="318">
        <v>19</v>
      </c>
      <c r="F19" s="99"/>
      <c r="G19" s="100">
        <v>1.65</v>
      </c>
      <c r="H19" s="100">
        <v>1.65</v>
      </c>
      <c r="I19" s="100">
        <v>1.65</v>
      </c>
      <c r="J19" s="100">
        <v>1.65</v>
      </c>
      <c r="K19" s="100">
        <v>1.65</v>
      </c>
      <c r="L19" s="100">
        <v>1.65</v>
      </c>
      <c r="M19" s="100">
        <v>1.65</v>
      </c>
      <c r="N19" s="100">
        <v>1.65</v>
      </c>
      <c r="O19" s="100">
        <v>1.65</v>
      </c>
      <c r="P19" s="100">
        <v>1.65</v>
      </c>
      <c r="Q19" s="100">
        <v>1.65</v>
      </c>
      <c r="R19" s="100">
        <v>1.65</v>
      </c>
      <c r="S19" s="100">
        <f t="shared" si="2"/>
        <v>19.799999999999997</v>
      </c>
      <c r="T19" s="288">
        <v>32001</v>
      </c>
      <c r="U19" s="288"/>
      <c r="V19" s="100">
        <f t="shared" si="3"/>
        <v>1</v>
      </c>
      <c r="W19" s="100">
        <f t="shared" si="3"/>
        <v>1</v>
      </c>
      <c r="X19" s="100">
        <f t="shared" si="3"/>
        <v>1</v>
      </c>
      <c r="Y19" s="100">
        <f t="shared" si="3"/>
        <v>1</v>
      </c>
      <c r="Z19" s="100">
        <f t="shared" si="3"/>
        <v>1</v>
      </c>
      <c r="AA19" s="100">
        <f t="shared" si="3"/>
        <v>1</v>
      </c>
      <c r="AB19" s="100">
        <f t="shared" si="3"/>
        <v>1</v>
      </c>
      <c r="AC19" s="100">
        <f t="shared" si="3"/>
        <v>1</v>
      </c>
      <c r="AD19" s="100">
        <f t="shared" si="3"/>
        <v>1</v>
      </c>
      <c r="AE19" s="100">
        <f t="shared" si="3"/>
        <v>1</v>
      </c>
      <c r="AF19" s="100">
        <f t="shared" si="3"/>
        <v>1</v>
      </c>
      <c r="AG19" s="100">
        <f t="shared" si="3"/>
        <v>1</v>
      </c>
      <c r="AH19" s="100">
        <f t="shared" si="4"/>
        <v>1</v>
      </c>
      <c r="AI19" s="308"/>
      <c r="AJ19" s="319"/>
      <c r="AK19" s="302"/>
      <c r="AN19" s="295"/>
      <c r="AO19" s="313"/>
      <c r="AR19" s="320"/>
      <c r="AS19" s="321"/>
      <c r="AT19" s="282"/>
    </row>
    <row r="20" spans="1:46" s="279" customFormat="1" ht="12" customHeight="1">
      <c r="A20" s="279" t="str">
        <f t="shared" si="1"/>
        <v>PA-JCARRYRW</v>
      </c>
      <c r="B20" s="307" t="s">
        <v>146</v>
      </c>
      <c r="C20" s="307" t="s">
        <v>147</v>
      </c>
      <c r="D20" s="317">
        <v>1.65</v>
      </c>
      <c r="E20" s="318">
        <v>19</v>
      </c>
      <c r="F20" s="99"/>
      <c r="G20" s="100">
        <v>6.6</v>
      </c>
      <c r="H20" s="100">
        <v>6.6</v>
      </c>
      <c r="I20" s="100">
        <v>6.6</v>
      </c>
      <c r="J20" s="100">
        <v>6.6</v>
      </c>
      <c r="K20" s="100">
        <v>5.36</v>
      </c>
      <c r="L20" s="100">
        <v>5.36</v>
      </c>
      <c r="M20" s="100">
        <v>4.95</v>
      </c>
      <c r="N20" s="100">
        <v>4.13</v>
      </c>
      <c r="O20" s="100">
        <v>3.3</v>
      </c>
      <c r="P20" s="100">
        <v>3.3</v>
      </c>
      <c r="Q20" s="100">
        <v>3.3</v>
      </c>
      <c r="R20" s="100">
        <v>3.3</v>
      </c>
      <c r="S20" s="100">
        <f t="shared" si="2"/>
        <v>59.399999999999991</v>
      </c>
      <c r="T20" s="288">
        <v>32001</v>
      </c>
      <c r="U20" s="288"/>
      <c r="V20" s="100">
        <f t="shared" si="3"/>
        <v>4</v>
      </c>
      <c r="W20" s="100">
        <f t="shared" si="3"/>
        <v>4</v>
      </c>
      <c r="X20" s="100">
        <f t="shared" si="3"/>
        <v>4</v>
      </c>
      <c r="Y20" s="100">
        <f t="shared" si="3"/>
        <v>4</v>
      </c>
      <c r="Z20" s="100">
        <f t="shared" si="3"/>
        <v>3.248484848484849</v>
      </c>
      <c r="AA20" s="100">
        <f t="shared" si="3"/>
        <v>3.248484848484849</v>
      </c>
      <c r="AB20" s="100">
        <f t="shared" si="3"/>
        <v>3.0000000000000004</v>
      </c>
      <c r="AC20" s="100">
        <f t="shared" si="3"/>
        <v>2.5030303030303029</v>
      </c>
      <c r="AD20" s="100">
        <f t="shared" si="3"/>
        <v>2</v>
      </c>
      <c r="AE20" s="100">
        <f t="shared" si="3"/>
        <v>2</v>
      </c>
      <c r="AF20" s="100">
        <f t="shared" si="3"/>
        <v>2</v>
      </c>
      <c r="AG20" s="100">
        <f t="shared" si="3"/>
        <v>2</v>
      </c>
      <c r="AH20" s="100">
        <f t="shared" si="4"/>
        <v>3</v>
      </c>
      <c r="AI20" s="308"/>
      <c r="AJ20" s="319"/>
      <c r="AK20" s="302"/>
      <c r="AM20" s="303"/>
      <c r="AN20" s="295"/>
      <c r="AO20" s="313"/>
      <c r="AR20" s="320"/>
      <c r="AS20" s="321"/>
      <c r="AT20" s="282"/>
    </row>
    <row r="21" spans="1:46" s="279" customFormat="1" ht="12" customHeight="1">
      <c r="A21" s="279" t="str">
        <f t="shared" si="1"/>
        <v>PA-JEXTRAR</v>
      </c>
      <c r="B21" s="307" t="s">
        <v>142</v>
      </c>
      <c r="C21" s="307" t="s">
        <v>116</v>
      </c>
      <c r="D21" s="317">
        <v>7.75</v>
      </c>
      <c r="E21" s="318" t="s">
        <v>203</v>
      </c>
      <c r="F21" s="99"/>
      <c r="G21" s="100">
        <v>461.13</v>
      </c>
      <c r="H21" s="100">
        <v>1290.3699999999999</v>
      </c>
      <c r="I21" s="100">
        <v>290.63</v>
      </c>
      <c r="J21" s="100">
        <v>1306.3200000000002</v>
      </c>
      <c r="K21" s="100">
        <v>263.5</v>
      </c>
      <c r="L21" s="100">
        <v>1433.75</v>
      </c>
      <c r="M21" s="100">
        <v>356.5</v>
      </c>
      <c r="N21" s="100">
        <v>1216.75</v>
      </c>
      <c r="O21" s="100">
        <v>573.5</v>
      </c>
      <c r="P21" s="100">
        <v>2596.25</v>
      </c>
      <c r="Q21" s="100">
        <v>608.38</v>
      </c>
      <c r="R21" s="100">
        <v>1197.3699999999999</v>
      </c>
      <c r="S21" s="100">
        <f t="shared" si="2"/>
        <v>11594.45</v>
      </c>
      <c r="T21" s="288">
        <v>32001</v>
      </c>
      <c r="U21" s="288"/>
      <c r="V21" s="100">
        <f t="shared" si="3"/>
        <v>59.500645161290322</v>
      </c>
      <c r="W21" s="100">
        <f t="shared" si="3"/>
        <v>166.49935483870965</v>
      </c>
      <c r="X21" s="100">
        <f t="shared" si="3"/>
        <v>37.500645161290322</v>
      </c>
      <c r="Y21" s="100">
        <f t="shared" si="3"/>
        <v>168.55741935483874</v>
      </c>
      <c r="Z21" s="100">
        <f t="shared" si="3"/>
        <v>34</v>
      </c>
      <c r="AA21" s="100">
        <f t="shared" si="3"/>
        <v>185</v>
      </c>
      <c r="AB21" s="100">
        <f t="shared" si="3"/>
        <v>46</v>
      </c>
      <c r="AC21" s="100">
        <f t="shared" si="3"/>
        <v>157</v>
      </c>
      <c r="AD21" s="100">
        <f t="shared" si="3"/>
        <v>74</v>
      </c>
      <c r="AE21" s="100">
        <f t="shared" si="3"/>
        <v>335</v>
      </c>
      <c r="AF21" s="100">
        <f t="shared" si="3"/>
        <v>78.500645161290322</v>
      </c>
      <c r="AG21" s="100">
        <f t="shared" si="3"/>
        <v>154.49935483870965</v>
      </c>
      <c r="AH21" s="100">
        <f t="shared" si="4"/>
        <v>124.67150537634409</v>
      </c>
      <c r="AI21" s="308">
        <f>SUMIF('Staff Calcs '!D:D,C21,'Staff Calcs '!E:E)</f>
        <v>124.67150537634409</v>
      </c>
      <c r="AJ21" s="319">
        <f t="shared" ref="AJ21:AJ22" si="7">AH21-AI21</f>
        <v>0</v>
      </c>
      <c r="AK21" s="302"/>
      <c r="AM21" s="303"/>
      <c r="AN21" s="295"/>
      <c r="AO21" s="313"/>
      <c r="AR21" s="320"/>
      <c r="AS21" s="321"/>
      <c r="AT21" s="282"/>
    </row>
    <row r="22" spans="1:46" s="279" customFormat="1" ht="12" customHeight="1">
      <c r="A22" s="279" t="str">
        <f t="shared" si="1"/>
        <v>PA-JOFOWR</v>
      </c>
      <c r="B22" s="307" t="s">
        <v>143</v>
      </c>
      <c r="C22" s="307" t="s">
        <v>117</v>
      </c>
      <c r="D22" s="317">
        <v>7.3</v>
      </c>
      <c r="E22" s="318">
        <v>16</v>
      </c>
      <c r="F22" s="99"/>
      <c r="G22" s="100">
        <v>98.55</v>
      </c>
      <c r="H22" s="100">
        <v>215.35000000000002</v>
      </c>
      <c r="I22" s="100">
        <v>80.3</v>
      </c>
      <c r="J22" s="100">
        <v>160.6</v>
      </c>
      <c r="K22" s="100">
        <v>7.3</v>
      </c>
      <c r="L22" s="100">
        <v>43.8</v>
      </c>
      <c r="M22" s="100">
        <v>0</v>
      </c>
      <c r="N22" s="100">
        <v>94.9</v>
      </c>
      <c r="O22" s="100">
        <v>51.1</v>
      </c>
      <c r="P22" s="100">
        <v>642.4</v>
      </c>
      <c r="Q22" s="100">
        <v>288.34999999999997</v>
      </c>
      <c r="R22" s="100">
        <v>390.54999999999995</v>
      </c>
      <c r="S22" s="100">
        <f t="shared" si="2"/>
        <v>2073.1999999999998</v>
      </c>
      <c r="T22" s="288">
        <v>32001</v>
      </c>
      <c r="U22" s="288"/>
      <c r="V22" s="100">
        <f t="shared" si="3"/>
        <v>13.5</v>
      </c>
      <c r="W22" s="100">
        <f t="shared" si="3"/>
        <v>29.500000000000004</v>
      </c>
      <c r="X22" s="100">
        <f t="shared" si="3"/>
        <v>11</v>
      </c>
      <c r="Y22" s="100">
        <f t="shared" si="3"/>
        <v>22</v>
      </c>
      <c r="Z22" s="100">
        <f t="shared" si="3"/>
        <v>1</v>
      </c>
      <c r="AA22" s="100">
        <f t="shared" si="3"/>
        <v>6</v>
      </c>
      <c r="AB22" s="100">
        <f t="shared" si="3"/>
        <v>0</v>
      </c>
      <c r="AC22" s="100">
        <f t="shared" si="3"/>
        <v>13.000000000000002</v>
      </c>
      <c r="AD22" s="100">
        <f t="shared" si="3"/>
        <v>7</v>
      </c>
      <c r="AE22" s="100">
        <f t="shared" si="3"/>
        <v>88</v>
      </c>
      <c r="AF22" s="100">
        <f t="shared" si="3"/>
        <v>39.499999999999993</v>
      </c>
      <c r="AG22" s="100">
        <f t="shared" si="3"/>
        <v>53.499999999999993</v>
      </c>
      <c r="AH22" s="100">
        <f t="shared" si="4"/>
        <v>25.818181818181817</v>
      </c>
      <c r="AI22" s="308">
        <f>SUMIF('Staff Calcs '!D:D,C22,'Staff Calcs '!E:E)</f>
        <v>25.818181818181817</v>
      </c>
      <c r="AJ22" s="319">
        <f t="shared" si="7"/>
        <v>0</v>
      </c>
      <c r="AK22" s="302"/>
      <c r="AM22" s="303"/>
      <c r="AN22" s="295"/>
      <c r="AO22" s="313"/>
      <c r="AR22" s="320"/>
      <c r="AS22" s="321"/>
      <c r="AT22" s="282"/>
    </row>
    <row r="23" spans="1:46" s="279" customFormat="1" ht="12" customHeight="1">
      <c r="A23" s="279" t="str">
        <f t="shared" si="1"/>
        <v>PA-JRDELCART</v>
      </c>
      <c r="B23" s="307" t="s">
        <v>316</v>
      </c>
      <c r="C23" s="307" t="s">
        <v>317</v>
      </c>
      <c r="D23" s="317">
        <v>20.51</v>
      </c>
      <c r="E23" s="318">
        <v>15</v>
      </c>
      <c r="F23" s="99"/>
      <c r="G23" s="100">
        <v>41.02</v>
      </c>
      <c r="H23" s="100">
        <v>348.66999999999996</v>
      </c>
      <c r="I23" s="100">
        <v>51.28</v>
      </c>
      <c r="J23" s="100">
        <v>194.84</v>
      </c>
      <c r="K23" s="100">
        <v>10.26</v>
      </c>
      <c r="L23" s="100">
        <v>338.41</v>
      </c>
      <c r="M23" s="100">
        <v>61.53</v>
      </c>
      <c r="N23" s="100">
        <v>656.31999999999994</v>
      </c>
      <c r="O23" s="100">
        <v>256.38</v>
      </c>
      <c r="P23" s="100">
        <v>953.71</v>
      </c>
      <c r="Q23" s="100">
        <v>112.81</v>
      </c>
      <c r="R23" s="100">
        <v>276.88</v>
      </c>
      <c r="S23" s="100">
        <f t="shared" si="2"/>
        <v>3302.11</v>
      </c>
      <c r="T23" s="288">
        <v>32000</v>
      </c>
      <c r="U23" s="288"/>
      <c r="V23" s="100">
        <f t="shared" si="3"/>
        <v>2</v>
      </c>
      <c r="W23" s="100">
        <f t="shared" si="3"/>
        <v>16.999999999999996</v>
      </c>
      <c r="X23" s="100">
        <f t="shared" si="3"/>
        <v>2.5002437835202338</v>
      </c>
      <c r="Y23" s="100">
        <f t="shared" si="3"/>
        <v>9.4997562164797653</v>
      </c>
      <c r="Z23" s="100">
        <f t="shared" si="3"/>
        <v>0.50024378352023402</v>
      </c>
      <c r="AA23" s="100">
        <f t="shared" si="3"/>
        <v>16.499756216479767</v>
      </c>
      <c r="AB23" s="100">
        <f t="shared" si="3"/>
        <v>3</v>
      </c>
      <c r="AC23" s="100">
        <f t="shared" si="3"/>
        <v>31.999999999999993</v>
      </c>
      <c r="AD23" s="100">
        <f t="shared" si="3"/>
        <v>12.500243783520233</v>
      </c>
      <c r="AE23" s="100">
        <f t="shared" si="3"/>
        <v>46.499756216479767</v>
      </c>
      <c r="AF23" s="100">
        <f t="shared" si="3"/>
        <v>5.5002437835202338</v>
      </c>
      <c r="AG23" s="100">
        <f t="shared" si="3"/>
        <v>13.499756216479765</v>
      </c>
      <c r="AH23" s="100">
        <f t="shared" si="4"/>
        <v>13.416666666666666</v>
      </c>
      <c r="AI23" s="308"/>
      <c r="AJ23" s="319"/>
      <c r="AK23" s="302"/>
      <c r="AN23" s="295"/>
      <c r="AO23" s="313"/>
      <c r="AR23" s="320"/>
      <c r="AS23" s="321"/>
      <c r="AT23" s="282"/>
    </row>
    <row r="24" spans="1:46" s="279" customFormat="1" ht="12" customHeight="1">
      <c r="A24" s="279" t="str">
        <f t="shared" si="1"/>
        <v>PA-JRESTART</v>
      </c>
      <c r="B24" s="307" t="s">
        <v>157</v>
      </c>
      <c r="C24" s="307" t="s">
        <v>158</v>
      </c>
      <c r="D24" s="317">
        <v>10.25</v>
      </c>
      <c r="E24" s="318">
        <v>15</v>
      </c>
      <c r="F24" s="99"/>
      <c r="G24" s="100">
        <v>82</v>
      </c>
      <c r="H24" s="100">
        <v>205</v>
      </c>
      <c r="I24" s="100">
        <v>46.13</v>
      </c>
      <c r="J24" s="100">
        <v>169.12</v>
      </c>
      <c r="K24" s="100">
        <v>41</v>
      </c>
      <c r="L24" s="100">
        <v>297.25</v>
      </c>
      <c r="M24" s="100">
        <v>61.5</v>
      </c>
      <c r="N24" s="100">
        <v>287</v>
      </c>
      <c r="O24" s="100">
        <v>97.38</v>
      </c>
      <c r="P24" s="100">
        <v>138.37</v>
      </c>
      <c r="Q24" s="100">
        <v>56.379999999999995</v>
      </c>
      <c r="R24" s="100">
        <v>138.37</v>
      </c>
      <c r="S24" s="100">
        <f t="shared" si="2"/>
        <v>1619.5</v>
      </c>
      <c r="T24" s="288">
        <v>32000</v>
      </c>
      <c r="U24" s="288"/>
      <c r="V24" s="100">
        <f t="shared" si="3"/>
        <v>8</v>
      </c>
      <c r="W24" s="100">
        <f t="shared" si="3"/>
        <v>20</v>
      </c>
      <c r="X24" s="100">
        <f t="shared" si="3"/>
        <v>4.5004878048780492</v>
      </c>
      <c r="Y24" s="100">
        <f t="shared" si="3"/>
        <v>16.499512195121952</v>
      </c>
      <c r="Z24" s="100">
        <f t="shared" si="3"/>
        <v>4</v>
      </c>
      <c r="AA24" s="100">
        <f t="shared" si="3"/>
        <v>29</v>
      </c>
      <c r="AB24" s="100">
        <f t="shared" si="3"/>
        <v>6</v>
      </c>
      <c r="AC24" s="100">
        <f t="shared" si="3"/>
        <v>28</v>
      </c>
      <c r="AD24" s="100">
        <f t="shared" si="3"/>
        <v>9.5004878048780483</v>
      </c>
      <c r="AE24" s="100">
        <f t="shared" si="3"/>
        <v>13.499512195121952</v>
      </c>
      <c r="AF24" s="100">
        <f t="shared" si="3"/>
        <v>5.5004878048780483</v>
      </c>
      <c r="AG24" s="100">
        <f t="shared" si="3"/>
        <v>13.499512195121952</v>
      </c>
      <c r="AH24" s="100">
        <f t="shared" si="4"/>
        <v>13.166666666666666</v>
      </c>
      <c r="AI24" s="308"/>
      <c r="AJ24" s="319"/>
      <c r="AK24" s="302"/>
      <c r="AN24" s="295"/>
      <c r="AO24" s="313"/>
      <c r="AR24" s="320"/>
      <c r="AS24" s="321"/>
      <c r="AT24" s="282"/>
    </row>
    <row r="25" spans="1:46" s="279" customFormat="1" ht="12" customHeight="1">
      <c r="A25" s="279" t="str">
        <f t="shared" si="1"/>
        <v>PA-JTRIPRCANS</v>
      </c>
      <c r="B25" s="307" t="s">
        <v>155</v>
      </c>
      <c r="C25" s="307" t="s">
        <v>156</v>
      </c>
      <c r="D25" s="317">
        <v>6.17</v>
      </c>
      <c r="E25" s="318">
        <v>17</v>
      </c>
      <c r="F25" s="99"/>
      <c r="G25" s="100">
        <v>3.09</v>
      </c>
      <c r="H25" s="100">
        <v>3.08</v>
      </c>
      <c r="I25" s="100">
        <v>0</v>
      </c>
      <c r="J25" s="100">
        <v>12.34</v>
      </c>
      <c r="K25" s="100">
        <v>3.09</v>
      </c>
      <c r="L25" s="100">
        <v>3.08</v>
      </c>
      <c r="M25" s="100">
        <v>3.09</v>
      </c>
      <c r="N25" s="100">
        <v>21.590000000000003</v>
      </c>
      <c r="O25" s="100">
        <v>0</v>
      </c>
      <c r="P25" s="100">
        <v>18.510000000000002</v>
      </c>
      <c r="Q25" s="100">
        <v>12.34</v>
      </c>
      <c r="R25" s="100">
        <v>43.19</v>
      </c>
      <c r="S25" s="100">
        <f t="shared" si="2"/>
        <v>123.4</v>
      </c>
      <c r="T25" s="288">
        <v>32001</v>
      </c>
      <c r="U25" s="288"/>
      <c r="V25" s="100">
        <f t="shared" si="3"/>
        <v>0.50081037277147489</v>
      </c>
      <c r="W25" s="100">
        <f t="shared" si="3"/>
        <v>0.49918962722852511</v>
      </c>
      <c r="X25" s="100">
        <f t="shared" si="3"/>
        <v>0</v>
      </c>
      <c r="Y25" s="100">
        <f t="shared" si="3"/>
        <v>2</v>
      </c>
      <c r="Z25" s="100">
        <f t="shared" si="3"/>
        <v>0.50081037277147489</v>
      </c>
      <c r="AA25" s="100">
        <f t="shared" si="3"/>
        <v>0.49918962722852511</v>
      </c>
      <c r="AB25" s="100">
        <f t="shared" si="3"/>
        <v>0.50081037277147489</v>
      </c>
      <c r="AC25" s="100">
        <f t="shared" si="3"/>
        <v>3.4991896272285259</v>
      </c>
      <c r="AD25" s="100">
        <f t="shared" si="3"/>
        <v>0</v>
      </c>
      <c r="AE25" s="100">
        <f t="shared" si="3"/>
        <v>3.0000000000000004</v>
      </c>
      <c r="AF25" s="100">
        <f t="shared" si="3"/>
        <v>2</v>
      </c>
      <c r="AG25" s="100">
        <f t="shared" si="3"/>
        <v>7</v>
      </c>
      <c r="AH25" s="100">
        <f t="shared" si="4"/>
        <v>2</v>
      </c>
      <c r="AI25" s="308"/>
      <c r="AJ25" s="319"/>
      <c r="AK25" s="302"/>
      <c r="AN25" s="295"/>
      <c r="AO25" s="313"/>
      <c r="AR25" s="320"/>
      <c r="AS25" s="321"/>
      <c r="AT25" s="282"/>
    </row>
    <row r="26" spans="1:46" s="288" customFormat="1" ht="12" customHeight="1">
      <c r="A26" s="288" t="str">
        <f t="shared" si="1"/>
        <v>PA-J60RW1</v>
      </c>
      <c r="B26" s="307" t="s">
        <v>137</v>
      </c>
      <c r="C26" s="307" t="s">
        <v>111</v>
      </c>
      <c r="D26" s="317">
        <v>33.19</v>
      </c>
      <c r="E26" s="318">
        <v>21</v>
      </c>
      <c r="F26" s="99"/>
      <c r="G26" s="100">
        <v>27157.629999999997</v>
      </c>
      <c r="H26" s="100">
        <v>27680.27</v>
      </c>
      <c r="I26" s="100">
        <v>27307.93</v>
      </c>
      <c r="J26" s="100">
        <v>27548.559999999998</v>
      </c>
      <c r="K26" s="100">
        <v>27472.98</v>
      </c>
      <c r="L26" s="100">
        <v>27746.78</v>
      </c>
      <c r="M26" s="100">
        <v>27535.21</v>
      </c>
      <c r="N26" s="100">
        <v>27891.919999999998</v>
      </c>
      <c r="O26" s="100">
        <v>28186.539999999997</v>
      </c>
      <c r="P26" s="100">
        <v>28195.75</v>
      </c>
      <c r="Q26" s="100">
        <v>29468.51</v>
      </c>
      <c r="R26" s="100">
        <v>30279.119999999999</v>
      </c>
      <c r="S26" s="100">
        <f t="shared" si="2"/>
        <v>336471.19999999995</v>
      </c>
      <c r="T26" s="288">
        <v>32000</v>
      </c>
      <c r="V26" s="100">
        <f t="shared" si="3"/>
        <v>818.24736366375407</v>
      </c>
      <c r="W26" s="100">
        <f t="shared" si="3"/>
        <v>833.99427538415193</v>
      </c>
      <c r="X26" s="100">
        <f t="shared" si="3"/>
        <v>822.77583609520946</v>
      </c>
      <c r="Y26" s="100">
        <f t="shared" si="3"/>
        <v>830.02591141910216</v>
      </c>
      <c r="Z26" s="100">
        <f t="shared" si="3"/>
        <v>827.7487194938235</v>
      </c>
      <c r="AA26" s="100">
        <f t="shared" si="3"/>
        <v>835.99819222657425</v>
      </c>
      <c r="AB26" s="100">
        <f t="shared" si="3"/>
        <v>829.62368183187709</v>
      </c>
      <c r="AC26" s="100">
        <f t="shared" si="3"/>
        <v>840.37119614341668</v>
      </c>
      <c r="AD26" s="100">
        <f t="shared" si="3"/>
        <v>849.24796625489603</v>
      </c>
      <c r="AE26" s="100">
        <f t="shared" si="3"/>
        <v>849.52545947574572</v>
      </c>
      <c r="AF26" s="100">
        <f t="shared" si="3"/>
        <v>887.87315456462795</v>
      </c>
      <c r="AG26" s="100">
        <f t="shared" si="3"/>
        <v>912.29647484181987</v>
      </c>
      <c r="AH26" s="100">
        <f t="shared" si="4"/>
        <v>844.81068594958322</v>
      </c>
      <c r="AI26" s="308">
        <f>SUMIF('Staff Calcs '!D:D,C26,'Staff Calcs '!E:E)</f>
        <v>844.81068594958322</v>
      </c>
      <c r="AJ26" s="319">
        <f t="shared" ref="AJ26:AJ34" si="8">AH26-AI26</f>
        <v>0</v>
      </c>
      <c r="AK26" s="302">
        <v>60</v>
      </c>
      <c r="AL26" s="279">
        <v>1</v>
      </c>
      <c r="AM26" s="303">
        <f t="shared" ref="AM26:AM34" si="9">+AH26*AL26</f>
        <v>844.81068594958322</v>
      </c>
      <c r="AN26" s="295"/>
      <c r="AO26" s="313"/>
      <c r="AP26" s="279"/>
      <c r="AQ26" s="279"/>
      <c r="AR26" s="320"/>
      <c r="AS26" s="321"/>
      <c r="AT26" s="282"/>
    </row>
    <row r="27" spans="1:46" s="288" customFormat="1" ht="12" customHeight="1">
      <c r="A27" s="288" t="str">
        <f t="shared" si="1"/>
        <v>PA-J35RE1</v>
      </c>
      <c r="B27" s="307" t="s">
        <v>139</v>
      </c>
      <c r="C27" s="307" t="s">
        <v>113</v>
      </c>
      <c r="D27" s="317">
        <v>15.18</v>
      </c>
      <c r="E27" s="318">
        <v>21</v>
      </c>
      <c r="F27" s="99"/>
      <c r="G27" s="100">
        <v>12341.34</v>
      </c>
      <c r="H27" s="100">
        <v>12457.880000000001</v>
      </c>
      <c r="I27" s="100">
        <v>12197.130000000001</v>
      </c>
      <c r="J27" s="100">
        <v>12321.320000000002</v>
      </c>
      <c r="K27" s="100">
        <v>12079.49</v>
      </c>
      <c r="L27" s="100">
        <v>12178.149999999998</v>
      </c>
      <c r="M27" s="100">
        <v>12075.69</v>
      </c>
      <c r="N27" s="100">
        <v>12288.210000000001</v>
      </c>
      <c r="O27" s="100">
        <v>12227.490000000002</v>
      </c>
      <c r="P27" s="100">
        <v>12447.6</v>
      </c>
      <c r="Q27" s="100">
        <v>12113.64</v>
      </c>
      <c r="R27" s="100">
        <v>12235.08</v>
      </c>
      <c r="S27" s="100">
        <f t="shared" si="2"/>
        <v>146963.01999999999</v>
      </c>
      <c r="T27" s="288">
        <v>32000</v>
      </c>
      <c r="V27" s="100">
        <f t="shared" si="3"/>
        <v>813</v>
      </c>
      <c r="W27" s="100">
        <f t="shared" si="3"/>
        <v>820.67720685111999</v>
      </c>
      <c r="X27" s="100">
        <f t="shared" si="3"/>
        <v>803.50000000000011</v>
      </c>
      <c r="Y27" s="100">
        <f t="shared" si="3"/>
        <v>811.68115942028999</v>
      </c>
      <c r="Z27" s="100">
        <f t="shared" si="3"/>
        <v>795.75032938076413</v>
      </c>
      <c r="AA27" s="100">
        <f t="shared" si="3"/>
        <v>802.24967061923576</v>
      </c>
      <c r="AB27" s="100">
        <f t="shared" si="3"/>
        <v>795.5</v>
      </c>
      <c r="AC27" s="100">
        <f t="shared" si="3"/>
        <v>809.50000000000011</v>
      </c>
      <c r="AD27" s="100">
        <f t="shared" si="3"/>
        <v>805.50000000000011</v>
      </c>
      <c r="AE27" s="100">
        <f t="shared" si="3"/>
        <v>820</v>
      </c>
      <c r="AF27" s="100">
        <f t="shared" si="3"/>
        <v>798</v>
      </c>
      <c r="AG27" s="100">
        <f t="shared" si="3"/>
        <v>806</v>
      </c>
      <c r="AH27" s="100">
        <f t="shared" si="4"/>
        <v>806.77986385595079</v>
      </c>
      <c r="AI27" s="308">
        <f>SUMIF('Staff Calcs '!D:D,C27,'Staff Calcs '!E:E)</f>
        <v>806.77986385595079</v>
      </c>
      <c r="AJ27" s="319">
        <f t="shared" si="8"/>
        <v>0</v>
      </c>
      <c r="AK27" s="302">
        <v>35</v>
      </c>
      <c r="AL27" s="279">
        <v>1</v>
      </c>
      <c r="AM27" s="303">
        <f t="shared" si="9"/>
        <v>806.77986385595079</v>
      </c>
      <c r="AN27" s="295"/>
      <c r="AO27" s="313"/>
      <c r="AP27" s="279"/>
      <c r="AQ27" s="279"/>
      <c r="AR27" s="320"/>
      <c r="AS27" s="321"/>
      <c r="AT27" s="282"/>
    </row>
    <row r="28" spans="1:46" s="288" customFormat="1" ht="12" customHeight="1">
      <c r="A28" s="288" t="str">
        <f t="shared" si="1"/>
        <v>PA-J35RM1</v>
      </c>
      <c r="B28" s="307" t="s">
        <v>318</v>
      </c>
      <c r="C28" s="307" t="s">
        <v>319</v>
      </c>
      <c r="D28" s="317">
        <v>9.5299999999999994</v>
      </c>
      <c r="E28" s="318">
        <v>21</v>
      </c>
      <c r="F28" s="99"/>
      <c r="G28" s="100">
        <v>1072.1299999999999</v>
      </c>
      <c r="H28" s="100">
        <v>1129.3</v>
      </c>
      <c r="I28" s="100">
        <v>1076.8900000000001</v>
      </c>
      <c r="J28" s="100">
        <v>1086.42</v>
      </c>
      <c r="K28" s="100">
        <v>1057.83</v>
      </c>
      <c r="L28" s="100">
        <v>1057.83</v>
      </c>
      <c r="M28" s="100">
        <v>1091.19</v>
      </c>
      <c r="N28" s="100">
        <v>1110.24</v>
      </c>
      <c r="O28" s="100">
        <v>1100.72</v>
      </c>
      <c r="P28" s="100">
        <v>1110.24</v>
      </c>
      <c r="Q28" s="100">
        <v>1043.54</v>
      </c>
      <c r="R28" s="100">
        <v>1053.06</v>
      </c>
      <c r="S28" s="100">
        <f t="shared" si="2"/>
        <v>12989.389999999998</v>
      </c>
      <c r="T28" s="288">
        <v>32000</v>
      </c>
      <c r="V28" s="100">
        <f t="shared" si="3"/>
        <v>112.50052465897167</v>
      </c>
      <c r="W28" s="100">
        <f t="shared" si="3"/>
        <v>118.49947534102833</v>
      </c>
      <c r="X28" s="100">
        <f t="shared" si="3"/>
        <v>113.00000000000001</v>
      </c>
      <c r="Y28" s="100">
        <f t="shared" si="3"/>
        <v>114.00000000000001</v>
      </c>
      <c r="Z28" s="100">
        <f t="shared" si="3"/>
        <v>111</v>
      </c>
      <c r="AA28" s="100">
        <f t="shared" si="3"/>
        <v>111</v>
      </c>
      <c r="AB28" s="100">
        <f t="shared" si="3"/>
        <v>114.50052465897168</v>
      </c>
      <c r="AC28" s="100">
        <f t="shared" si="3"/>
        <v>116.49947534102834</v>
      </c>
      <c r="AD28" s="100">
        <f t="shared" si="3"/>
        <v>115.50052465897168</v>
      </c>
      <c r="AE28" s="100">
        <f t="shared" si="3"/>
        <v>116.49947534102834</v>
      </c>
      <c r="AF28" s="100">
        <f t="shared" si="3"/>
        <v>109.50052465897167</v>
      </c>
      <c r="AG28" s="100">
        <f t="shared" si="3"/>
        <v>110.49947534102833</v>
      </c>
      <c r="AH28" s="100">
        <f t="shared" si="4"/>
        <v>113.58333333333333</v>
      </c>
      <c r="AI28" s="308">
        <f>SUMIF('Staff Calcs '!D:D,C28,'Staff Calcs '!E:E)</f>
        <v>113.58333333333333</v>
      </c>
      <c r="AJ28" s="319">
        <f t="shared" si="8"/>
        <v>0</v>
      </c>
      <c r="AK28" s="302">
        <v>35</v>
      </c>
      <c r="AL28" s="279">
        <v>1</v>
      </c>
      <c r="AM28" s="303">
        <f t="shared" si="9"/>
        <v>113.58333333333333</v>
      </c>
      <c r="AN28" s="295"/>
      <c r="AO28" s="313"/>
      <c r="AP28" s="279"/>
      <c r="AQ28" s="279"/>
      <c r="AR28" s="320"/>
      <c r="AS28" s="321"/>
    </row>
    <row r="29" spans="1:46" s="288" customFormat="1" ht="12" customHeight="1">
      <c r="A29" s="288" t="str">
        <f t="shared" si="1"/>
        <v>PA-J60RE1</v>
      </c>
      <c r="B29" s="307" t="s">
        <v>140</v>
      </c>
      <c r="C29" s="307" t="s">
        <v>114</v>
      </c>
      <c r="D29" s="317">
        <v>18.48</v>
      </c>
      <c r="E29" s="318">
        <v>21</v>
      </c>
      <c r="F29" s="99"/>
      <c r="G29" s="100">
        <v>15772.68</v>
      </c>
      <c r="H29" s="100">
        <v>16031.4</v>
      </c>
      <c r="I29" s="100">
        <v>15786.54</v>
      </c>
      <c r="J29" s="100">
        <v>16045.26</v>
      </c>
      <c r="K29" s="100">
        <v>15818.88</v>
      </c>
      <c r="L29" s="100">
        <v>16040.64</v>
      </c>
      <c r="M29" s="100">
        <v>15777.300000000001</v>
      </c>
      <c r="N29" s="100">
        <v>16072.98</v>
      </c>
      <c r="O29" s="100">
        <v>16179.24</v>
      </c>
      <c r="P29" s="100">
        <v>16456.439999999999</v>
      </c>
      <c r="Q29" s="100">
        <v>16344.08</v>
      </c>
      <c r="R29" s="100">
        <v>16695.2</v>
      </c>
      <c r="S29" s="100">
        <f t="shared" si="2"/>
        <v>193020.64</v>
      </c>
      <c r="T29" s="288">
        <v>32000</v>
      </c>
      <c r="V29" s="100">
        <f t="shared" si="3"/>
        <v>853.5</v>
      </c>
      <c r="W29" s="100">
        <f t="shared" si="3"/>
        <v>867.5</v>
      </c>
      <c r="X29" s="100">
        <f t="shared" si="3"/>
        <v>854.25</v>
      </c>
      <c r="Y29" s="100">
        <f t="shared" si="3"/>
        <v>868.25</v>
      </c>
      <c r="Z29" s="100">
        <f t="shared" si="3"/>
        <v>855.99999999999989</v>
      </c>
      <c r="AA29" s="100">
        <f t="shared" si="3"/>
        <v>868</v>
      </c>
      <c r="AB29" s="100">
        <f t="shared" si="3"/>
        <v>853.75</v>
      </c>
      <c r="AC29" s="100">
        <f t="shared" si="3"/>
        <v>869.75</v>
      </c>
      <c r="AD29" s="100">
        <f t="shared" si="3"/>
        <v>875.5</v>
      </c>
      <c r="AE29" s="100">
        <f t="shared" si="3"/>
        <v>890.49999999999989</v>
      </c>
      <c r="AF29" s="100">
        <f t="shared" si="3"/>
        <v>884.41991341991343</v>
      </c>
      <c r="AG29" s="100">
        <f t="shared" si="3"/>
        <v>903.41991341991343</v>
      </c>
      <c r="AH29" s="100">
        <f t="shared" si="4"/>
        <v>870.4033189033189</v>
      </c>
      <c r="AI29" s="308">
        <f>SUMIF('Staff Calcs '!D:D,C29,'Staff Calcs '!E:E)</f>
        <v>870.4033189033189</v>
      </c>
      <c r="AJ29" s="319">
        <f t="shared" si="8"/>
        <v>0</v>
      </c>
      <c r="AK29" s="302">
        <v>60</v>
      </c>
      <c r="AL29" s="279">
        <v>1</v>
      </c>
      <c r="AM29" s="303">
        <f t="shared" si="9"/>
        <v>870.4033189033189</v>
      </c>
      <c r="AN29" s="295"/>
      <c r="AO29" s="313"/>
      <c r="AP29" s="279"/>
      <c r="AQ29" s="279"/>
      <c r="AR29" s="320"/>
      <c r="AS29" s="321"/>
    </row>
    <row r="30" spans="1:46" s="288" customFormat="1" ht="12" customHeight="1">
      <c r="A30" s="288" t="str">
        <f t="shared" si="1"/>
        <v>PA-J60RE2</v>
      </c>
      <c r="B30" s="307" t="s">
        <v>320</v>
      </c>
      <c r="C30" s="307" t="s">
        <v>321</v>
      </c>
      <c r="D30" s="317">
        <v>36.96</v>
      </c>
      <c r="E30" s="318">
        <v>21</v>
      </c>
      <c r="F30" s="99"/>
      <c r="G30" s="100">
        <v>110.88</v>
      </c>
      <c r="H30" s="100">
        <v>110.88</v>
      </c>
      <c r="I30" s="100">
        <v>110.88</v>
      </c>
      <c r="J30" s="100">
        <v>110.88</v>
      </c>
      <c r="K30" s="100">
        <v>110.88</v>
      </c>
      <c r="L30" s="100">
        <v>110.88</v>
      </c>
      <c r="M30" s="100">
        <v>110.88</v>
      </c>
      <c r="N30" s="100">
        <v>110.88</v>
      </c>
      <c r="O30" s="100">
        <v>110.88</v>
      </c>
      <c r="P30" s="100">
        <v>110.88</v>
      </c>
      <c r="Q30" s="100">
        <v>110.88</v>
      </c>
      <c r="R30" s="100">
        <v>110.88</v>
      </c>
      <c r="S30" s="100">
        <f t="shared" si="2"/>
        <v>1330.56</v>
      </c>
      <c r="T30" s="288">
        <v>32000</v>
      </c>
      <c r="V30" s="100">
        <f t="shared" si="3"/>
        <v>3</v>
      </c>
      <c r="W30" s="100">
        <f t="shared" si="3"/>
        <v>3</v>
      </c>
      <c r="X30" s="100">
        <f t="shared" si="3"/>
        <v>3</v>
      </c>
      <c r="Y30" s="100">
        <f t="shared" si="3"/>
        <v>3</v>
      </c>
      <c r="Z30" s="100">
        <f t="shared" si="3"/>
        <v>3</v>
      </c>
      <c r="AA30" s="100">
        <f t="shared" si="3"/>
        <v>3</v>
      </c>
      <c r="AB30" s="100">
        <f t="shared" si="3"/>
        <v>3</v>
      </c>
      <c r="AC30" s="100">
        <f t="shared" si="3"/>
        <v>3</v>
      </c>
      <c r="AD30" s="100">
        <f t="shared" si="3"/>
        <v>3</v>
      </c>
      <c r="AE30" s="100">
        <f t="shared" si="3"/>
        <v>3</v>
      </c>
      <c r="AF30" s="100">
        <f t="shared" si="3"/>
        <v>3</v>
      </c>
      <c r="AG30" s="100">
        <f t="shared" si="3"/>
        <v>3</v>
      </c>
      <c r="AH30" s="100">
        <f t="shared" si="4"/>
        <v>3</v>
      </c>
      <c r="AI30" s="308">
        <f>SUMIF('Staff Calcs '!D:D,C30,'Staff Calcs '!E:E)</f>
        <v>3</v>
      </c>
      <c r="AJ30" s="319">
        <f t="shared" si="8"/>
        <v>0</v>
      </c>
      <c r="AK30" s="302">
        <v>60</v>
      </c>
      <c r="AL30" s="279">
        <v>2</v>
      </c>
      <c r="AM30" s="303">
        <f t="shared" si="9"/>
        <v>6</v>
      </c>
      <c r="AN30" s="295"/>
      <c r="AO30" s="313"/>
      <c r="AP30" s="279"/>
      <c r="AQ30" s="279"/>
      <c r="AR30" s="320"/>
      <c r="AS30" s="321"/>
    </row>
    <row r="31" spans="1:46" s="288" customFormat="1" ht="12" customHeight="1">
      <c r="A31" s="288" t="str">
        <f t="shared" si="1"/>
        <v>PA-J60RM1</v>
      </c>
      <c r="B31" s="307" t="s">
        <v>322</v>
      </c>
      <c r="C31" s="307" t="s">
        <v>323</v>
      </c>
      <c r="D31" s="317">
        <v>12.49</v>
      </c>
      <c r="E31" s="318">
        <v>21</v>
      </c>
      <c r="F31" s="99"/>
      <c r="G31" s="100">
        <v>512.09</v>
      </c>
      <c r="H31" s="100">
        <v>499.6</v>
      </c>
      <c r="I31" s="100">
        <v>505.84999999999997</v>
      </c>
      <c r="J31" s="100">
        <v>555.79999999999995</v>
      </c>
      <c r="K31" s="100">
        <v>562.04999999999995</v>
      </c>
      <c r="L31" s="100">
        <v>599.52</v>
      </c>
      <c r="M31" s="100">
        <v>574.54</v>
      </c>
      <c r="N31" s="100">
        <v>587.03</v>
      </c>
      <c r="O31" s="100">
        <v>580.79</v>
      </c>
      <c r="P31" s="100">
        <v>580.78</v>
      </c>
      <c r="Q31" s="100">
        <v>587.03</v>
      </c>
      <c r="R31" s="100">
        <v>587.03</v>
      </c>
      <c r="S31" s="100">
        <f t="shared" si="2"/>
        <v>6732.11</v>
      </c>
      <c r="T31" s="288">
        <v>32000</v>
      </c>
      <c r="V31" s="100">
        <f t="shared" si="3"/>
        <v>41</v>
      </c>
      <c r="W31" s="100">
        <f t="shared" si="3"/>
        <v>40</v>
      </c>
      <c r="X31" s="100">
        <f t="shared" si="3"/>
        <v>40.500400320256205</v>
      </c>
      <c r="Y31" s="100">
        <f t="shared" si="3"/>
        <v>44.499599679743788</v>
      </c>
      <c r="Z31" s="100">
        <f t="shared" si="3"/>
        <v>44.999999999999993</v>
      </c>
      <c r="AA31" s="100">
        <f t="shared" si="3"/>
        <v>48</v>
      </c>
      <c r="AB31" s="100">
        <f t="shared" si="3"/>
        <v>45.999999999999993</v>
      </c>
      <c r="AC31" s="100">
        <f t="shared" si="3"/>
        <v>47</v>
      </c>
      <c r="AD31" s="100">
        <f t="shared" si="3"/>
        <v>46.500400320256205</v>
      </c>
      <c r="AE31" s="100">
        <f t="shared" si="3"/>
        <v>46.499599679743795</v>
      </c>
      <c r="AF31" s="100">
        <f t="shared" si="3"/>
        <v>47</v>
      </c>
      <c r="AG31" s="100">
        <f t="shared" si="3"/>
        <v>47</v>
      </c>
      <c r="AH31" s="100">
        <f t="shared" si="4"/>
        <v>44.916666666666664</v>
      </c>
      <c r="AI31" s="308">
        <f>SUMIF('Staff Calcs '!D:D,C31,'Staff Calcs '!E:E)</f>
        <v>44.916666666666664</v>
      </c>
      <c r="AJ31" s="319">
        <f t="shared" si="8"/>
        <v>0</v>
      </c>
      <c r="AK31" s="302">
        <v>60</v>
      </c>
      <c r="AL31" s="279">
        <v>1</v>
      </c>
      <c r="AM31" s="303">
        <f t="shared" si="9"/>
        <v>44.916666666666664</v>
      </c>
      <c r="AN31" s="295"/>
      <c r="AO31" s="313"/>
      <c r="AP31" s="279"/>
      <c r="AQ31" s="279"/>
      <c r="AR31" s="320"/>
      <c r="AS31" s="321"/>
    </row>
    <row r="32" spans="1:46" s="288" customFormat="1" ht="12" customHeight="1">
      <c r="A32" s="288" t="str">
        <f t="shared" si="1"/>
        <v>PA-J60RW2</v>
      </c>
      <c r="B32" s="307" t="s">
        <v>324</v>
      </c>
      <c r="C32" s="307" t="s">
        <v>325</v>
      </c>
      <c r="D32" s="317">
        <v>66.38</v>
      </c>
      <c r="E32" s="318">
        <v>21</v>
      </c>
      <c r="F32" s="99"/>
      <c r="G32" s="100">
        <v>331.9</v>
      </c>
      <c r="H32" s="100">
        <v>331.9</v>
      </c>
      <c r="I32" s="100">
        <v>331.9</v>
      </c>
      <c r="J32" s="100">
        <v>331.9</v>
      </c>
      <c r="K32" s="100">
        <v>331.9</v>
      </c>
      <c r="L32" s="100">
        <v>431.46999999999997</v>
      </c>
      <c r="M32" s="100">
        <v>265.52</v>
      </c>
      <c r="N32" s="100">
        <v>265.52</v>
      </c>
      <c r="O32" s="100">
        <v>265.52</v>
      </c>
      <c r="P32" s="100">
        <v>265.52</v>
      </c>
      <c r="Q32" s="100">
        <v>265.52</v>
      </c>
      <c r="R32" s="100">
        <v>331.9</v>
      </c>
      <c r="S32" s="100">
        <f t="shared" si="2"/>
        <v>3750.47</v>
      </c>
      <c r="T32" s="288">
        <v>32000</v>
      </c>
      <c r="V32" s="100">
        <f t="shared" si="3"/>
        <v>5</v>
      </c>
      <c r="W32" s="100">
        <f t="shared" si="3"/>
        <v>5</v>
      </c>
      <c r="X32" s="100">
        <f t="shared" si="3"/>
        <v>5</v>
      </c>
      <c r="Y32" s="100">
        <f t="shared" si="3"/>
        <v>5</v>
      </c>
      <c r="Z32" s="100">
        <f t="shared" si="3"/>
        <v>5</v>
      </c>
      <c r="AA32" s="100">
        <f t="shared" si="3"/>
        <v>6.5</v>
      </c>
      <c r="AB32" s="100">
        <f t="shared" si="3"/>
        <v>4</v>
      </c>
      <c r="AC32" s="100">
        <f t="shared" si="3"/>
        <v>4</v>
      </c>
      <c r="AD32" s="100">
        <f t="shared" si="3"/>
        <v>4</v>
      </c>
      <c r="AE32" s="100">
        <f t="shared" si="3"/>
        <v>4</v>
      </c>
      <c r="AF32" s="100">
        <f t="shared" si="3"/>
        <v>4</v>
      </c>
      <c r="AG32" s="100">
        <f t="shared" si="3"/>
        <v>5</v>
      </c>
      <c r="AH32" s="100">
        <f t="shared" si="4"/>
        <v>4.708333333333333</v>
      </c>
      <c r="AI32" s="308">
        <f>SUMIF('Staff Calcs '!D:D,C32,'Staff Calcs '!E:E)</f>
        <v>4.708333333333333</v>
      </c>
      <c r="AJ32" s="319">
        <f t="shared" si="8"/>
        <v>0</v>
      </c>
      <c r="AK32" s="302">
        <v>60</v>
      </c>
      <c r="AL32" s="279">
        <v>2</v>
      </c>
      <c r="AM32" s="303">
        <f t="shared" si="9"/>
        <v>9.4166666666666661</v>
      </c>
      <c r="AN32" s="295"/>
      <c r="AO32" s="313"/>
      <c r="AP32" s="279"/>
      <c r="AQ32" s="279"/>
      <c r="AR32" s="320"/>
      <c r="AS32" s="321"/>
    </row>
    <row r="33" spans="1:45" s="288" customFormat="1" ht="12" customHeight="1">
      <c r="A33" s="288" t="str">
        <f t="shared" si="1"/>
        <v>PA-J96RE1</v>
      </c>
      <c r="B33" s="307" t="s">
        <v>326</v>
      </c>
      <c r="C33" s="307" t="s">
        <v>327</v>
      </c>
      <c r="D33" s="317">
        <v>24.44</v>
      </c>
      <c r="E33" s="318">
        <v>21</v>
      </c>
      <c r="F33" s="99"/>
      <c r="G33" s="100">
        <v>4331.9900000000007</v>
      </c>
      <c r="H33" s="100">
        <v>4466.4100000000008</v>
      </c>
      <c r="I33" s="100">
        <v>4558.0600000000004</v>
      </c>
      <c r="J33" s="100">
        <v>4704.7000000000007</v>
      </c>
      <c r="K33" s="100">
        <v>4625.2700000000004</v>
      </c>
      <c r="L33" s="100">
        <v>4661.93</v>
      </c>
      <c r="M33" s="100">
        <v>4613.05</v>
      </c>
      <c r="N33" s="100">
        <v>4723.03</v>
      </c>
      <c r="O33" s="100">
        <v>4808.57</v>
      </c>
      <c r="P33" s="100">
        <v>4942.99</v>
      </c>
      <c r="Q33" s="100">
        <v>4979.6499999999996</v>
      </c>
      <c r="R33" s="100">
        <v>5162.95</v>
      </c>
      <c r="S33" s="100">
        <f t="shared" si="2"/>
        <v>56578.6</v>
      </c>
      <c r="T33" s="288">
        <v>32000</v>
      </c>
      <c r="V33" s="100">
        <f t="shared" si="3"/>
        <v>177.25000000000003</v>
      </c>
      <c r="W33" s="100">
        <f t="shared" si="3"/>
        <v>182.75000000000003</v>
      </c>
      <c r="X33" s="100">
        <f t="shared" si="3"/>
        <v>186.5</v>
      </c>
      <c r="Y33" s="100">
        <f t="shared" si="3"/>
        <v>192.50000000000003</v>
      </c>
      <c r="Z33" s="100">
        <f t="shared" si="3"/>
        <v>189.25</v>
      </c>
      <c r="AA33" s="100">
        <f t="shared" si="3"/>
        <v>190.75</v>
      </c>
      <c r="AB33" s="100">
        <f t="shared" si="3"/>
        <v>188.75</v>
      </c>
      <c r="AC33" s="100">
        <f t="shared" si="3"/>
        <v>193.24999999999997</v>
      </c>
      <c r="AD33" s="100">
        <f t="shared" si="3"/>
        <v>196.74999999999997</v>
      </c>
      <c r="AE33" s="100">
        <f t="shared" si="3"/>
        <v>202.24999999999997</v>
      </c>
      <c r="AF33" s="100">
        <f t="shared" si="3"/>
        <v>203.74999999999997</v>
      </c>
      <c r="AG33" s="100">
        <f t="shared" si="3"/>
        <v>211.24999999999997</v>
      </c>
      <c r="AH33" s="100">
        <f t="shared" si="4"/>
        <v>192.91666666666666</v>
      </c>
      <c r="AI33" s="308">
        <f>SUMIF('Staff Calcs '!D:D,C33,'Staff Calcs '!E:E)</f>
        <v>192.91666666666666</v>
      </c>
      <c r="AJ33" s="319">
        <f t="shared" si="8"/>
        <v>0</v>
      </c>
      <c r="AK33" s="302">
        <v>96</v>
      </c>
      <c r="AL33" s="279">
        <v>1</v>
      </c>
      <c r="AM33" s="303">
        <f t="shared" si="9"/>
        <v>192.91666666666666</v>
      </c>
      <c r="AN33" s="295"/>
      <c r="AO33" s="313"/>
      <c r="AP33" s="279"/>
      <c r="AQ33" s="279"/>
      <c r="AR33" s="320"/>
      <c r="AS33" s="321"/>
    </row>
    <row r="34" spans="1:45" s="288" customFormat="1" ht="12" customHeight="1">
      <c r="A34" s="288" t="str">
        <f t="shared" si="1"/>
        <v>PA-J96RM1</v>
      </c>
      <c r="B34" s="307" t="s">
        <v>328</v>
      </c>
      <c r="C34" s="307" t="s">
        <v>329</v>
      </c>
      <c r="D34" s="317">
        <v>16.329999999999998</v>
      </c>
      <c r="E34" s="318">
        <v>21</v>
      </c>
      <c r="F34" s="99"/>
      <c r="G34" s="100">
        <v>130.63999999999999</v>
      </c>
      <c r="H34" s="100">
        <v>130.63999999999999</v>
      </c>
      <c r="I34" s="100">
        <v>146.97</v>
      </c>
      <c r="J34" s="100">
        <v>163.30000000000001</v>
      </c>
      <c r="K34" s="100">
        <v>163.30000000000001</v>
      </c>
      <c r="L34" s="100">
        <v>163.30000000000001</v>
      </c>
      <c r="M34" s="100">
        <v>163.30000000000001</v>
      </c>
      <c r="N34" s="100">
        <v>163.30000000000001</v>
      </c>
      <c r="O34" s="100">
        <v>179.63</v>
      </c>
      <c r="P34" s="100">
        <v>179.63</v>
      </c>
      <c r="Q34" s="100">
        <v>171.47</v>
      </c>
      <c r="R34" s="100">
        <v>171.46</v>
      </c>
      <c r="S34" s="100">
        <f t="shared" si="2"/>
        <v>1926.9399999999998</v>
      </c>
      <c r="T34" s="288">
        <v>32000</v>
      </c>
      <c r="V34" s="100">
        <f t="shared" si="3"/>
        <v>8</v>
      </c>
      <c r="W34" s="100">
        <f t="shared" si="3"/>
        <v>8</v>
      </c>
      <c r="X34" s="100">
        <f t="shared" si="3"/>
        <v>9</v>
      </c>
      <c r="Y34" s="100">
        <f t="shared" ref="Y34:AG48" si="10">IFERROR(J34/$D34,0)</f>
        <v>10.000000000000002</v>
      </c>
      <c r="Z34" s="100">
        <f t="shared" si="10"/>
        <v>10.000000000000002</v>
      </c>
      <c r="AA34" s="100">
        <f t="shared" si="10"/>
        <v>10.000000000000002</v>
      </c>
      <c r="AB34" s="100">
        <f t="shared" si="10"/>
        <v>10.000000000000002</v>
      </c>
      <c r="AC34" s="100">
        <f t="shared" si="10"/>
        <v>10.000000000000002</v>
      </c>
      <c r="AD34" s="100">
        <f t="shared" si="10"/>
        <v>11</v>
      </c>
      <c r="AE34" s="100">
        <f t="shared" si="10"/>
        <v>11</v>
      </c>
      <c r="AF34" s="100">
        <f t="shared" si="10"/>
        <v>10.500306184935702</v>
      </c>
      <c r="AG34" s="100">
        <f t="shared" si="10"/>
        <v>10.499693815064301</v>
      </c>
      <c r="AH34" s="100">
        <f t="shared" si="4"/>
        <v>9.8333333333333339</v>
      </c>
      <c r="AI34" s="308">
        <f>SUMIF('Staff Calcs '!D:D,C34,'Staff Calcs '!E:E)</f>
        <v>9.8333333333333339</v>
      </c>
      <c r="AJ34" s="319">
        <f t="shared" si="8"/>
        <v>0</v>
      </c>
      <c r="AK34" s="302">
        <v>96</v>
      </c>
      <c r="AL34" s="279">
        <v>1</v>
      </c>
      <c r="AM34" s="303">
        <f t="shared" si="9"/>
        <v>9.8333333333333339</v>
      </c>
      <c r="AN34" s="295"/>
      <c r="AO34" s="313"/>
      <c r="AP34" s="279"/>
      <c r="AQ34" s="279"/>
      <c r="AR34" s="320"/>
      <c r="AS34" s="321"/>
    </row>
    <row r="35" spans="1:45" s="279" customFormat="1" ht="12" customHeight="1">
      <c r="A35" s="279" t="str">
        <f t="shared" si="1"/>
        <v>PA-JDRVNRE1</v>
      </c>
      <c r="B35" s="307" t="s">
        <v>150</v>
      </c>
      <c r="C35" s="307" t="s">
        <v>330</v>
      </c>
      <c r="D35" s="317">
        <v>5.39</v>
      </c>
      <c r="E35" s="318">
        <v>19</v>
      </c>
      <c r="F35" s="99"/>
      <c r="G35" s="100">
        <v>32.340000000000003</v>
      </c>
      <c r="H35" s="100">
        <v>32.340000000000003</v>
      </c>
      <c r="I35" s="100">
        <v>32.340000000000003</v>
      </c>
      <c r="J35" s="100">
        <v>32.340000000000003</v>
      </c>
      <c r="K35" s="100">
        <v>37.729999999999997</v>
      </c>
      <c r="L35" s="100">
        <v>37.729999999999997</v>
      </c>
      <c r="M35" s="100">
        <v>35.04</v>
      </c>
      <c r="N35" s="100">
        <v>32.340000000000003</v>
      </c>
      <c r="O35" s="100">
        <v>26.95</v>
      </c>
      <c r="P35" s="100">
        <v>26.95</v>
      </c>
      <c r="Q35" s="100">
        <v>26.95</v>
      </c>
      <c r="R35" s="100">
        <v>35.03</v>
      </c>
      <c r="S35" s="100">
        <f t="shared" si="2"/>
        <v>388.07999999999993</v>
      </c>
      <c r="T35" s="288">
        <v>32000</v>
      </c>
      <c r="U35" s="288"/>
      <c r="V35" s="100">
        <f t="shared" ref="V35:X48" si="11">IFERROR(G35/$D35,0)</f>
        <v>6.0000000000000009</v>
      </c>
      <c r="W35" s="100">
        <f t="shared" si="11"/>
        <v>6.0000000000000009</v>
      </c>
      <c r="X35" s="100">
        <f t="shared" si="11"/>
        <v>6.0000000000000009</v>
      </c>
      <c r="Y35" s="100">
        <f t="shared" si="10"/>
        <v>6.0000000000000009</v>
      </c>
      <c r="Z35" s="100">
        <f t="shared" si="10"/>
        <v>7</v>
      </c>
      <c r="AA35" s="100">
        <f t="shared" si="10"/>
        <v>7</v>
      </c>
      <c r="AB35" s="100">
        <f t="shared" si="10"/>
        <v>6.5009276437847872</v>
      </c>
      <c r="AC35" s="100">
        <f t="shared" si="10"/>
        <v>6.0000000000000009</v>
      </c>
      <c r="AD35" s="100">
        <f t="shared" si="10"/>
        <v>5</v>
      </c>
      <c r="AE35" s="100">
        <f t="shared" si="10"/>
        <v>5</v>
      </c>
      <c r="AF35" s="100">
        <f t="shared" si="10"/>
        <v>5</v>
      </c>
      <c r="AG35" s="100">
        <f t="shared" si="10"/>
        <v>6.4990723562152137</v>
      </c>
      <c r="AH35" s="100">
        <f t="shared" si="4"/>
        <v>6</v>
      </c>
      <c r="AI35" s="308"/>
      <c r="AJ35" s="319"/>
      <c r="AK35" s="302"/>
      <c r="AM35" s="303"/>
      <c r="AN35" s="295"/>
      <c r="AO35" s="313"/>
      <c r="AR35" s="320"/>
      <c r="AS35" s="321"/>
    </row>
    <row r="36" spans="1:45" s="279" customFormat="1" ht="12" customHeight="1">
      <c r="A36" s="279" t="str">
        <f t="shared" si="1"/>
        <v>PA-JDRVNRE2</v>
      </c>
      <c r="B36" s="307" t="s">
        <v>148</v>
      </c>
      <c r="C36" s="307" t="s">
        <v>331</v>
      </c>
      <c r="D36" s="317">
        <v>5.39</v>
      </c>
      <c r="E36" s="318">
        <v>19</v>
      </c>
      <c r="F36" s="99"/>
      <c r="G36" s="100">
        <v>10.78</v>
      </c>
      <c r="H36" s="100">
        <v>10.78</v>
      </c>
      <c r="I36" s="100">
        <v>10.78</v>
      </c>
      <c r="J36" s="100">
        <v>10.78</v>
      </c>
      <c r="K36" s="100">
        <v>10.78</v>
      </c>
      <c r="L36" s="100">
        <v>10.78</v>
      </c>
      <c r="M36" s="100">
        <v>10.78</v>
      </c>
      <c r="N36" s="100">
        <v>10.78</v>
      </c>
      <c r="O36" s="100">
        <v>10.78</v>
      </c>
      <c r="P36" s="100">
        <v>10.78</v>
      </c>
      <c r="Q36" s="100">
        <v>10.78</v>
      </c>
      <c r="R36" s="100">
        <v>10.78</v>
      </c>
      <c r="S36" s="100">
        <f t="shared" si="2"/>
        <v>129.35999999999999</v>
      </c>
      <c r="T36" s="288">
        <v>32000</v>
      </c>
      <c r="U36" s="288"/>
      <c r="V36" s="100">
        <f t="shared" si="11"/>
        <v>2</v>
      </c>
      <c r="W36" s="100">
        <f t="shared" si="11"/>
        <v>2</v>
      </c>
      <c r="X36" s="100">
        <f t="shared" si="11"/>
        <v>2</v>
      </c>
      <c r="Y36" s="100">
        <f t="shared" si="10"/>
        <v>2</v>
      </c>
      <c r="Z36" s="100">
        <f t="shared" si="10"/>
        <v>2</v>
      </c>
      <c r="AA36" s="100">
        <f t="shared" si="10"/>
        <v>2</v>
      </c>
      <c r="AB36" s="100">
        <f t="shared" si="10"/>
        <v>2</v>
      </c>
      <c r="AC36" s="100">
        <f t="shared" si="10"/>
        <v>2</v>
      </c>
      <c r="AD36" s="100">
        <f t="shared" si="10"/>
        <v>2</v>
      </c>
      <c r="AE36" s="100">
        <f t="shared" si="10"/>
        <v>2</v>
      </c>
      <c r="AF36" s="100">
        <f t="shared" si="10"/>
        <v>2</v>
      </c>
      <c r="AG36" s="100">
        <f t="shared" si="10"/>
        <v>2</v>
      </c>
      <c r="AH36" s="100">
        <f t="shared" si="4"/>
        <v>2</v>
      </c>
      <c r="AI36" s="308"/>
      <c r="AJ36" s="319"/>
      <c r="AK36" s="302"/>
      <c r="AN36" s="295"/>
      <c r="AO36" s="313"/>
      <c r="AR36" s="320"/>
      <c r="AS36" s="321"/>
    </row>
    <row r="37" spans="1:45" s="279" customFormat="1" ht="12" customHeight="1">
      <c r="A37" s="279" t="str">
        <f t="shared" si="1"/>
        <v>PA-JDRVNRW1</v>
      </c>
      <c r="B37" s="307" t="s">
        <v>149</v>
      </c>
      <c r="C37" s="307" t="s">
        <v>332</v>
      </c>
      <c r="D37" s="317">
        <v>5.39</v>
      </c>
      <c r="E37" s="318">
        <v>19</v>
      </c>
      <c r="F37" s="99"/>
      <c r="G37" s="100">
        <v>10.78</v>
      </c>
      <c r="H37" s="100">
        <v>10.78</v>
      </c>
      <c r="I37" s="100">
        <v>10.78</v>
      </c>
      <c r="J37" s="100">
        <v>10.78</v>
      </c>
      <c r="K37" s="100">
        <v>10.78</v>
      </c>
      <c r="L37" s="100">
        <v>10.78</v>
      </c>
      <c r="M37" s="100">
        <v>16.170000000000002</v>
      </c>
      <c r="N37" s="100">
        <v>16.170000000000002</v>
      </c>
      <c r="O37" s="100">
        <v>16.170000000000002</v>
      </c>
      <c r="P37" s="100">
        <v>16.170000000000002</v>
      </c>
      <c r="Q37" s="100">
        <v>16.170000000000002</v>
      </c>
      <c r="R37" s="100">
        <v>16.170000000000002</v>
      </c>
      <c r="S37" s="100">
        <f t="shared" si="2"/>
        <v>161.70000000000005</v>
      </c>
      <c r="T37" s="288">
        <v>32000</v>
      </c>
      <c r="U37" s="288"/>
      <c r="V37" s="100">
        <f t="shared" si="11"/>
        <v>2</v>
      </c>
      <c r="W37" s="100">
        <f t="shared" si="11"/>
        <v>2</v>
      </c>
      <c r="X37" s="100">
        <f t="shared" si="11"/>
        <v>2</v>
      </c>
      <c r="Y37" s="100">
        <f t="shared" si="10"/>
        <v>2</v>
      </c>
      <c r="Z37" s="100">
        <f t="shared" si="10"/>
        <v>2</v>
      </c>
      <c r="AA37" s="100">
        <f t="shared" si="10"/>
        <v>2</v>
      </c>
      <c r="AB37" s="100">
        <f t="shared" si="10"/>
        <v>3.0000000000000004</v>
      </c>
      <c r="AC37" s="100">
        <f t="shared" si="10"/>
        <v>3.0000000000000004</v>
      </c>
      <c r="AD37" s="100">
        <f t="shared" si="10"/>
        <v>3.0000000000000004</v>
      </c>
      <c r="AE37" s="100">
        <f t="shared" si="10"/>
        <v>3.0000000000000004</v>
      </c>
      <c r="AF37" s="100">
        <f t="shared" si="10"/>
        <v>3.0000000000000004</v>
      </c>
      <c r="AG37" s="100">
        <f t="shared" si="10"/>
        <v>3.0000000000000004</v>
      </c>
      <c r="AH37" s="100">
        <f t="shared" si="4"/>
        <v>2.5</v>
      </c>
      <c r="AI37" s="308"/>
      <c r="AJ37" s="319"/>
      <c r="AK37" s="302"/>
      <c r="AN37" s="295"/>
      <c r="AO37" s="313"/>
      <c r="AR37" s="320"/>
      <c r="AS37" s="321"/>
    </row>
    <row r="38" spans="1:45" s="279" customFormat="1" ht="12" customHeight="1">
      <c r="A38" s="279" t="str">
        <f t="shared" si="1"/>
        <v>PA-JRCARRYOUT 5-25</v>
      </c>
      <c r="B38" s="307" t="s">
        <v>153</v>
      </c>
      <c r="C38" s="307" t="s">
        <v>154</v>
      </c>
      <c r="D38" s="317">
        <v>1.65</v>
      </c>
      <c r="E38" s="318">
        <v>19</v>
      </c>
      <c r="F38" s="99"/>
      <c r="G38" s="100">
        <v>8.0500000000000007</v>
      </c>
      <c r="H38" s="100">
        <v>8.0500000000000007</v>
      </c>
      <c r="I38" s="100">
        <v>8.0500000000000007</v>
      </c>
      <c r="J38" s="100">
        <v>8.0500000000000007</v>
      </c>
      <c r="K38" s="100">
        <v>8.0500000000000007</v>
      </c>
      <c r="L38" s="100">
        <v>8.0500000000000007</v>
      </c>
      <c r="M38" s="100">
        <v>8.0500000000000007</v>
      </c>
      <c r="N38" s="100">
        <v>8.0500000000000007</v>
      </c>
      <c r="O38" s="100">
        <v>8.0500000000000007</v>
      </c>
      <c r="P38" s="100">
        <v>8.0500000000000007</v>
      </c>
      <c r="Q38" s="100">
        <v>8.0500000000000007</v>
      </c>
      <c r="R38" s="100">
        <v>8.0500000000000007</v>
      </c>
      <c r="S38" s="100">
        <f t="shared" si="2"/>
        <v>96.59999999999998</v>
      </c>
      <c r="T38" s="288">
        <v>32000</v>
      </c>
      <c r="U38" s="288"/>
      <c r="V38" s="100">
        <f t="shared" si="11"/>
        <v>4.8787878787878798</v>
      </c>
      <c r="W38" s="100">
        <f t="shared" si="11"/>
        <v>4.8787878787878798</v>
      </c>
      <c r="X38" s="100">
        <f t="shared" si="11"/>
        <v>4.8787878787878798</v>
      </c>
      <c r="Y38" s="100">
        <f t="shared" si="10"/>
        <v>4.8787878787878798</v>
      </c>
      <c r="Z38" s="100">
        <f t="shared" si="10"/>
        <v>4.8787878787878798</v>
      </c>
      <c r="AA38" s="100">
        <f t="shared" si="10"/>
        <v>4.8787878787878798</v>
      </c>
      <c r="AB38" s="100">
        <f t="shared" si="10"/>
        <v>4.8787878787878798</v>
      </c>
      <c r="AC38" s="100">
        <f t="shared" si="10"/>
        <v>4.8787878787878798</v>
      </c>
      <c r="AD38" s="100">
        <f t="shared" si="10"/>
        <v>4.8787878787878798</v>
      </c>
      <c r="AE38" s="100">
        <f t="shared" si="10"/>
        <v>4.8787878787878798</v>
      </c>
      <c r="AF38" s="100">
        <f t="shared" si="10"/>
        <v>4.8787878787878798</v>
      </c>
      <c r="AG38" s="100">
        <f t="shared" si="10"/>
        <v>4.8787878787878798</v>
      </c>
      <c r="AH38" s="100">
        <f t="shared" si="4"/>
        <v>4.8787878787878807</v>
      </c>
      <c r="AI38" s="308"/>
      <c r="AJ38" s="319"/>
      <c r="AK38" s="302"/>
      <c r="AN38" s="295"/>
      <c r="AO38" s="313"/>
      <c r="AR38" s="320"/>
      <c r="AS38" s="321"/>
    </row>
    <row r="39" spans="1:45" s="279" customFormat="1" ht="12" customHeight="1">
      <c r="A39" s="279" t="str">
        <f t="shared" si="1"/>
        <v>PA-JRCARRYOUT OVER 25</v>
      </c>
      <c r="B39" s="307" t="s">
        <v>151</v>
      </c>
      <c r="C39" s="307" t="s">
        <v>152</v>
      </c>
      <c r="D39" s="317">
        <v>2.48</v>
      </c>
      <c r="E39" s="318">
        <v>19</v>
      </c>
      <c r="F39" s="99"/>
      <c r="G39" s="100">
        <v>2.4300000000000002</v>
      </c>
      <c r="H39" s="100">
        <v>2.4300000000000002</v>
      </c>
      <c r="I39" s="100">
        <v>2.4300000000000002</v>
      </c>
      <c r="J39" s="100">
        <v>2.4300000000000002</v>
      </c>
      <c r="K39" s="100">
        <v>2.4300000000000002</v>
      </c>
      <c r="L39" s="100">
        <v>2.4300000000000002</v>
      </c>
      <c r="M39" s="100">
        <v>2.4300000000000002</v>
      </c>
      <c r="N39" s="100">
        <v>2.4300000000000002</v>
      </c>
      <c r="O39" s="100">
        <v>2.4300000000000002</v>
      </c>
      <c r="P39" s="100">
        <v>2.4300000000000002</v>
      </c>
      <c r="Q39" s="100">
        <v>2.4300000000000002</v>
      </c>
      <c r="R39" s="100">
        <v>2.4300000000000002</v>
      </c>
      <c r="S39" s="100">
        <f t="shared" si="2"/>
        <v>29.16</v>
      </c>
      <c r="T39" s="288">
        <v>32000</v>
      </c>
      <c r="U39" s="288"/>
      <c r="V39" s="100">
        <f t="shared" si="11"/>
        <v>0.97983870967741937</v>
      </c>
      <c r="W39" s="100">
        <f t="shared" si="11"/>
        <v>0.97983870967741937</v>
      </c>
      <c r="X39" s="100">
        <f t="shared" si="11"/>
        <v>0.97983870967741937</v>
      </c>
      <c r="Y39" s="100">
        <f t="shared" si="10"/>
        <v>0.97983870967741937</v>
      </c>
      <c r="Z39" s="100">
        <f t="shared" si="10"/>
        <v>0.97983870967741937</v>
      </c>
      <c r="AA39" s="100">
        <f t="shared" si="10"/>
        <v>0.97983870967741937</v>
      </c>
      <c r="AB39" s="100">
        <f t="shared" si="10"/>
        <v>0.97983870967741937</v>
      </c>
      <c r="AC39" s="100">
        <f t="shared" si="10"/>
        <v>0.97983870967741937</v>
      </c>
      <c r="AD39" s="100">
        <f t="shared" si="10"/>
        <v>0.97983870967741937</v>
      </c>
      <c r="AE39" s="100">
        <f t="shared" si="10"/>
        <v>0.97983870967741937</v>
      </c>
      <c r="AF39" s="100">
        <f t="shared" si="10"/>
        <v>0.97983870967741937</v>
      </c>
      <c r="AG39" s="100">
        <f t="shared" si="10"/>
        <v>0.97983870967741937</v>
      </c>
      <c r="AH39" s="100">
        <f t="shared" si="4"/>
        <v>0.97983870967741948</v>
      </c>
      <c r="AI39" s="308"/>
      <c r="AJ39" s="319"/>
      <c r="AK39" s="302"/>
      <c r="AN39" s="295"/>
      <c r="AO39" s="313"/>
      <c r="AR39" s="320"/>
      <c r="AS39" s="321"/>
    </row>
    <row r="40" spans="1:45" s="279" customFormat="1" ht="12" customHeight="1">
      <c r="A40" s="279" t="str">
        <f t="shared" si="1"/>
        <v>PA-JSP35-RES</v>
      </c>
      <c r="B40" s="307" t="s">
        <v>333</v>
      </c>
      <c r="C40" s="307" t="s">
        <v>334</v>
      </c>
      <c r="D40" s="317">
        <v>8.4</v>
      </c>
      <c r="E40" s="318" t="s">
        <v>203</v>
      </c>
      <c r="F40" s="99"/>
      <c r="G40" s="100">
        <v>58.8</v>
      </c>
      <c r="H40" s="100">
        <v>84</v>
      </c>
      <c r="I40" s="100">
        <v>21</v>
      </c>
      <c r="J40" s="100">
        <v>46.2</v>
      </c>
      <c r="K40" s="100">
        <v>21</v>
      </c>
      <c r="L40" s="100">
        <v>29.4</v>
      </c>
      <c r="M40" s="100">
        <v>21</v>
      </c>
      <c r="N40" s="100">
        <v>79.8</v>
      </c>
      <c r="O40" s="100">
        <v>42</v>
      </c>
      <c r="P40" s="100">
        <v>126</v>
      </c>
      <c r="Q40" s="100">
        <v>54.6</v>
      </c>
      <c r="R40" s="100">
        <v>96.6</v>
      </c>
      <c r="S40" s="100">
        <f t="shared" si="2"/>
        <v>680.40000000000009</v>
      </c>
      <c r="T40" s="288">
        <v>32001</v>
      </c>
      <c r="U40" s="288"/>
      <c r="V40" s="100">
        <f t="shared" si="11"/>
        <v>6.9999999999999991</v>
      </c>
      <c r="W40" s="100">
        <f t="shared" si="11"/>
        <v>10</v>
      </c>
      <c r="X40" s="100">
        <f t="shared" si="11"/>
        <v>2.5</v>
      </c>
      <c r="Y40" s="100">
        <f t="shared" si="10"/>
        <v>5.5</v>
      </c>
      <c r="Z40" s="100">
        <f t="shared" si="10"/>
        <v>2.5</v>
      </c>
      <c r="AA40" s="100">
        <f t="shared" si="10"/>
        <v>3.4999999999999996</v>
      </c>
      <c r="AB40" s="100">
        <f t="shared" si="10"/>
        <v>2.5</v>
      </c>
      <c r="AC40" s="100">
        <f t="shared" si="10"/>
        <v>9.5</v>
      </c>
      <c r="AD40" s="100">
        <f t="shared" si="10"/>
        <v>5</v>
      </c>
      <c r="AE40" s="100">
        <f t="shared" si="10"/>
        <v>15</v>
      </c>
      <c r="AF40" s="100">
        <f t="shared" si="10"/>
        <v>6.5</v>
      </c>
      <c r="AG40" s="100">
        <f t="shared" si="10"/>
        <v>11.499999999999998</v>
      </c>
      <c r="AH40" s="100">
        <f t="shared" si="4"/>
        <v>6.75</v>
      </c>
      <c r="AI40" s="308">
        <f>SUMIF('Staff Calcs '!D:D,C40,'Staff Calcs '!E:E)</f>
        <v>6.75</v>
      </c>
      <c r="AJ40" s="319">
        <f t="shared" ref="AJ40:AJ43" si="12">AH40-AI40</f>
        <v>0</v>
      </c>
      <c r="AK40" s="302"/>
      <c r="AN40" s="295"/>
      <c r="AO40" s="313"/>
      <c r="AR40" s="320"/>
      <c r="AS40" s="321"/>
    </row>
    <row r="41" spans="1:45" s="279" customFormat="1" ht="12" customHeight="1">
      <c r="A41" s="279" t="str">
        <f t="shared" si="1"/>
        <v>PA-JSP60-RES</v>
      </c>
      <c r="B41" s="307" t="s">
        <v>335</v>
      </c>
      <c r="C41" s="307" t="s">
        <v>336</v>
      </c>
      <c r="D41" s="317">
        <v>8.4</v>
      </c>
      <c r="E41" s="318" t="s">
        <v>203</v>
      </c>
      <c r="F41" s="99"/>
      <c r="G41" s="100">
        <v>50.4</v>
      </c>
      <c r="H41" s="100">
        <v>126</v>
      </c>
      <c r="I41" s="100">
        <v>42</v>
      </c>
      <c r="J41" s="100">
        <v>92.4</v>
      </c>
      <c r="K41" s="100">
        <v>8.4</v>
      </c>
      <c r="L41" s="100">
        <v>58.8</v>
      </c>
      <c r="M41" s="100">
        <v>16.8</v>
      </c>
      <c r="N41" s="100">
        <v>67.2</v>
      </c>
      <c r="O41" s="100">
        <v>29.4</v>
      </c>
      <c r="P41" s="100">
        <v>113.4</v>
      </c>
      <c r="Q41" s="100">
        <v>37.799999999999997</v>
      </c>
      <c r="R41" s="100">
        <v>155.39999999999998</v>
      </c>
      <c r="S41" s="100">
        <f t="shared" si="2"/>
        <v>797.99999999999989</v>
      </c>
      <c r="T41" s="288">
        <v>32001</v>
      </c>
      <c r="U41" s="288"/>
      <c r="V41" s="100">
        <f t="shared" si="11"/>
        <v>6</v>
      </c>
      <c r="W41" s="100">
        <f t="shared" si="11"/>
        <v>15</v>
      </c>
      <c r="X41" s="100">
        <f t="shared" si="11"/>
        <v>5</v>
      </c>
      <c r="Y41" s="100">
        <f t="shared" si="10"/>
        <v>11</v>
      </c>
      <c r="Z41" s="100">
        <f t="shared" si="10"/>
        <v>1</v>
      </c>
      <c r="AA41" s="100">
        <f t="shared" si="10"/>
        <v>6.9999999999999991</v>
      </c>
      <c r="AB41" s="100">
        <f t="shared" si="10"/>
        <v>2</v>
      </c>
      <c r="AC41" s="100">
        <f t="shared" si="10"/>
        <v>8</v>
      </c>
      <c r="AD41" s="100">
        <f t="shared" si="10"/>
        <v>3.4999999999999996</v>
      </c>
      <c r="AE41" s="100">
        <f t="shared" si="10"/>
        <v>13.5</v>
      </c>
      <c r="AF41" s="100">
        <f t="shared" si="10"/>
        <v>4.4999999999999991</v>
      </c>
      <c r="AG41" s="100">
        <f t="shared" si="10"/>
        <v>18.499999999999996</v>
      </c>
      <c r="AH41" s="100">
        <f t="shared" si="4"/>
        <v>7.916666666666667</v>
      </c>
      <c r="AI41" s="308">
        <f>SUMIF('Staff Calcs '!D:D,C41,'Staff Calcs '!E:E)</f>
        <v>7.916666666666667</v>
      </c>
      <c r="AJ41" s="319">
        <f t="shared" si="12"/>
        <v>0</v>
      </c>
      <c r="AK41" s="302"/>
      <c r="AN41" s="295"/>
      <c r="AO41" s="313"/>
      <c r="AR41" s="320"/>
      <c r="AS41" s="321"/>
    </row>
    <row r="42" spans="1:45" s="279" customFormat="1" ht="12" customHeight="1">
      <c r="A42" s="279" t="str">
        <f t="shared" si="1"/>
        <v>PA-JSP96-RES</v>
      </c>
      <c r="B42" s="307" t="s">
        <v>337</v>
      </c>
      <c r="C42" s="307" t="s">
        <v>338</v>
      </c>
      <c r="D42" s="317">
        <v>8.4</v>
      </c>
      <c r="E42" s="318" t="s">
        <v>203</v>
      </c>
      <c r="F42" s="99"/>
      <c r="G42" s="100">
        <v>8.4</v>
      </c>
      <c r="H42" s="100">
        <v>25.200000000000003</v>
      </c>
      <c r="I42" s="100">
        <v>4.2</v>
      </c>
      <c r="J42" s="100">
        <v>21</v>
      </c>
      <c r="K42" s="100">
        <v>8.4</v>
      </c>
      <c r="L42" s="100">
        <v>25.200000000000003</v>
      </c>
      <c r="M42" s="100">
        <v>12.6</v>
      </c>
      <c r="N42" s="100">
        <v>21</v>
      </c>
      <c r="O42" s="100">
        <v>12.6</v>
      </c>
      <c r="P42" s="100">
        <v>29.4</v>
      </c>
      <c r="Q42" s="100">
        <v>12.6</v>
      </c>
      <c r="R42" s="100">
        <v>71.399999999999991</v>
      </c>
      <c r="S42" s="100">
        <f t="shared" si="2"/>
        <v>252</v>
      </c>
      <c r="T42" s="288">
        <v>32001</v>
      </c>
      <c r="U42" s="288"/>
      <c r="V42" s="100">
        <f t="shared" si="11"/>
        <v>1</v>
      </c>
      <c r="W42" s="100">
        <f t="shared" si="11"/>
        <v>3</v>
      </c>
      <c r="X42" s="100">
        <f t="shared" si="11"/>
        <v>0.5</v>
      </c>
      <c r="Y42" s="100">
        <f t="shared" si="10"/>
        <v>2.5</v>
      </c>
      <c r="Z42" s="100">
        <f t="shared" si="10"/>
        <v>1</v>
      </c>
      <c r="AA42" s="100">
        <f t="shared" si="10"/>
        <v>3</v>
      </c>
      <c r="AB42" s="100">
        <f t="shared" si="10"/>
        <v>1.5</v>
      </c>
      <c r="AC42" s="100">
        <f t="shared" si="10"/>
        <v>2.5</v>
      </c>
      <c r="AD42" s="100">
        <f t="shared" si="10"/>
        <v>1.5</v>
      </c>
      <c r="AE42" s="100">
        <f t="shared" si="10"/>
        <v>3.4999999999999996</v>
      </c>
      <c r="AF42" s="100">
        <f t="shared" si="10"/>
        <v>1.5</v>
      </c>
      <c r="AG42" s="100">
        <f t="shared" si="10"/>
        <v>8.4999999999999982</v>
      </c>
      <c r="AH42" s="100">
        <f t="shared" si="4"/>
        <v>2.5</v>
      </c>
      <c r="AI42" s="308">
        <f>SUMIF('Staff Calcs '!D:D,C42,'Staff Calcs '!E:E)</f>
        <v>2.5</v>
      </c>
      <c r="AJ42" s="319">
        <f t="shared" si="12"/>
        <v>0</v>
      </c>
      <c r="AK42" s="302"/>
      <c r="AN42" s="295"/>
      <c r="AO42" s="313"/>
      <c r="AR42" s="320"/>
      <c r="AS42" s="321"/>
    </row>
    <row r="43" spans="1:45" s="288" customFormat="1" ht="12" customHeight="1">
      <c r="A43" s="288" t="str">
        <f t="shared" si="1"/>
        <v>PA-J32RM1</v>
      </c>
      <c r="B43" s="307" t="s">
        <v>141</v>
      </c>
      <c r="C43" s="307" t="s">
        <v>115</v>
      </c>
      <c r="D43" s="317">
        <v>8.4</v>
      </c>
      <c r="E43" s="318" t="s">
        <v>203</v>
      </c>
      <c r="F43" s="99"/>
      <c r="G43" s="100">
        <v>16.8</v>
      </c>
      <c r="H43" s="100">
        <v>16.8</v>
      </c>
      <c r="I43" s="100">
        <v>16.8</v>
      </c>
      <c r="J43" s="100">
        <v>16.8</v>
      </c>
      <c r="K43" s="100">
        <v>16.8</v>
      </c>
      <c r="L43" s="100">
        <v>16.8</v>
      </c>
      <c r="M43" s="100">
        <v>16.8</v>
      </c>
      <c r="N43" s="100">
        <v>16.8</v>
      </c>
      <c r="O43" s="100">
        <v>8.4</v>
      </c>
      <c r="P43" s="100">
        <v>8.4</v>
      </c>
      <c r="Q43" s="100">
        <v>0</v>
      </c>
      <c r="R43" s="100">
        <v>0</v>
      </c>
      <c r="S43" s="100">
        <f t="shared" si="2"/>
        <v>151.20000000000002</v>
      </c>
      <c r="T43" s="288">
        <v>32000</v>
      </c>
      <c r="V43" s="100">
        <f t="shared" si="11"/>
        <v>2</v>
      </c>
      <c r="W43" s="100">
        <f t="shared" si="11"/>
        <v>2</v>
      </c>
      <c r="X43" s="100">
        <f t="shared" si="11"/>
        <v>2</v>
      </c>
      <c r="Y43" s="100">
        <f t="shared" si="10"/>
        <v>2</v>
      </c>
      <c r="Z43" s="100">
        <f t="shared" si="10"/>
        <v>2</v>
      </c>
      <c r="AA43" s="100">
        <f t="shared" si="10"/>
        <v>2</v>
      </c>
      <c r="AB43" s="100">
        <f t="shared" si="10"/>
        <v>2</v>
      </c>
      <c r="AC43" s="100">
        <f t="shared" si="10"/>
        <v>2</v>
      </c>
      <c r="AD43" s="100">
        <f t="shared" si="10"/>
        <v>1</v>
      </c>
      <c r="AE43" s="100">
        <f t="shared" si="10"/>
        <v>1</v>
      </c>
      <c r="AF43" s="100">
        <f t="shared" si="10"/>
        <v>0</v>
      </c>
      <c r="AG43" s="100">
        <f t="shared" si="10"/>
        <v>0</v>
      </c>
      <c r="AH43" s="100">
        <f t="shared" si="4"/>
        <v>1.8</v>
      </c>
      <c r="AI43" s="308">
        <f>SUMIF('Staff Calcs '!D:D,C43,'Staff Calcs '!E:E)</f>
        <v>1.8</v>
      </c>
      <c r="AJ43" s="319">
        <f t="shared" si="12"/>
        <v>0</v>
      </c>
      <c r="AK43" s="302">
        <v>32</v>
      </c>
      <c r="AL43" s="279">
        <v>0</v>
      </c>
      <c r="AM43" s="303">
        <f>+AH43*AL43</f>
        <v>0</v>
      </c>
      <c r="AN43" s="295"/>
      <c r="AO43" s="313"/>
      <c r="AP43" s="279"/>
      <c r="AQ43" s="279"/>
      <c r="AR43" s="320"/>
      <c r="AS43" s="321"/>
    </row>
    <row r="44" spans="1:45" s="279" customFormat="1" ht="12" customHeight="1">
      <c r="A44" s="279" t="str">
        <f t="shared" si="1"/>
        <v>PA-JRGATE</v>
      </c>
      <c r="B44" s="307" t="s">
        <v>339</v>
      </c>
      <c r="C44" s="307" t="s">
        <v>340</v>
      </c>
      <c r="D44" s="317">
        <v>2.5299999999999998</v>
      </c>
      <c r="E44" s="318">
        <v>19</v>
      </c>
      <c r="F44" s="99"/>
      <c r="G44" s="100">
        <v>2.5299999999999998</v>
      </c>
      <c r="H44" s="100">
        <v>2.5299999999999998</v>
      </c>
      <c r="I44" s="100">
        <v>2.5299999999999998</v>
      </c>
      <c r="J44" s="100">
        <v>2.5299999999999998</v>
      </c>
      <c r="K44" s="100">
        <v>2.5299999999999998</v>
      </c>
      <c r="L44" s="100">
        <v>2.5299999999999998</v>
      </c>
      <c r="M44" s="100">
        <v>2.5299999999999998</v>
      </c>
      <c r="N44" s="100">
        <v>2.5299999999999998</v>
      </c>
      <c r="O44" s="100">
        <v>2.5299999999999998</v>
      </c>
      <c r="P44" s="100">
        <v>2.5299999999999998</v>
      </c>
      <c r="Q44" s="100">
        <v>0</v>
      </c>
      <c r="R44" s="100">
        <v>0</v>
      </c>
      <c r="S44" s="100">
        <f t="shared" si="2"/>
        <v>25.3</v>
      </c>
      <c r="T44" s="288">
        <v>32001</v>
      </c>
      <c r="U44" s="288"/>
      <c r="V44" s="100">
        <f t="shared" si="11"/>
        <v>1</v>
      </c>
      <c r="W44" s="100">
        <f t="shared" si="11"/>
        <v>1</v>
      </c>
      <c r="X44" s="100">
        <f t="shared" si="11"/>
        <v>1</v>
      </c>
      <c r="Y44" s="100">
        <f t="shared" si="10"/>
        <v>1</v>
      </c>
      <c r="Z44" s="100">
        <f t="shared" si="10"/>
        <v>1</v>
      </c>
      <c r="AA44" s="100">
        <f t="shared" si="10"/>
        <v>1</v>
      </c>
      <c r="AB44" s="100">
        <f t="shared" si="10"/>
        <v>1</v>
      </c>
      <c r="AC44" s="100">
        <f t="shared" si="10"/>
        <v>1</v>
      </c>
      <c r="AD44" s="100">
        <f t="shared" si="10"/>
        <v>1</v>
      </c>
      <c r="AE44" s="100">
        <f t="shared" si="10"/>
        <v>1</v>
      </c>
      <c r="AF44" s="100">
        <f t="shared" si="10"/>
        <v>0</v>
      </c>
      <c r="AG44" s="100">
        <f t="shared" si="10"/>
        <v>0</v>
      </c>
      <c r="AH44" s="100">
        <f t="shared" si="4"/>
        <v>1</v>
      </c>
      <c r="AI44" s="308"/>
      <c r="AJ44" s="319"/>
      <c r="AK44" s="302"/>
      <c r="AN44" s="295"/>
      <c r="AO44" s="313"/>
      <c r="AR44" s="320"/>
      <c r="AS44" s="321"/>
    </row>
    <row r="45" spans="1:45" s="279" customFormat="1" ht="12" customHeight="1">
      <c r="A45" s="279" t="str">
        <f t="shared" si="1"/>
        <v>PA-JROLLE-RESI</v>
      </c>
      <c r="B45" s="307" t="s">
        <v>341</v>
      </c>
      <c r="C45" s="307" t="s">
        <v>342</v>
      </c>
      <c r="D45" s="317">
        <v>1.21</v>
      </c>
      <c r="E45" s="318">
        <v>31</v>
      </c>
      <c r="F45" s="99"/>
      <c r="G45" s="100">
        <v>16.940000000000001</v>
      </c>
      <c r="H45" s="100">
        <v>18.150000000000002</v>
      </c>
      <c r="I45" s="100">
        <v>19.36</v>
      </c>
      <c r="J45" s="100">
        <v>19.36</v>
      </c>
      <c r="K45" s="100">
        <v>18.149999999999999</v>
      </c>
      <c r="L45" s="100">
        <v>18.149999999999999</v>
      </c>
      <c r="M45" s="100">
        <v>18.149999999999999</v>
      </c>
      <c r="N45" s="100">
        <v>18.149999999999999</v>
      </c>
      <c r="O45" s="100">
        <v>18.45</v>
      </c>
      <c r="P45" s="100">
        <v>18.45</v>
      </c>
      <c r="Q45" s="100">
        <v>18.149999999999999</v>
      </c>
      <c r="R45" s="100">
        <v>18.149999999999999</v>
      </c>
      <c r="S45" s="100">
        <f t="shared" si="2"/>
        <v>219.61</v>
      </c>
      <c r="T45" s="288">
        <v>32001</v>
      </c>
      <c r="U45" s="288"/>
      <c r="V45" s="100">
        <f t="shared" si="11"/>
        <v>14.000000000000002</v>
      </c>
      <c r="W45" s="100">
        <f t="shared" si="11"/>
        <v>15.000000000000002</v>
      </c>
      <c r="X45" s="100">
        <f t="shared" si="11"/>
        <v>16</v>
      </c>
      <c r="Y45" s="100">
        <f t="shared" si="10"/>
        <v>16</v>
      </c>
      <c r="Z45" s="100">
        <f t="shared" si="10"/>
        <v>15</v>
      </c>
      <c r="AA45" s="100">
        <f t="shared" si="10"/>
        <v>15</v>
      </c>
      <c r="AB45" s="100">
        <f t="shared" si="10"/>
        <v>15</v>
      </c>
      <c r="AC45" s="100">
        <f t="shared" si="10"/>
        <v>15</v>
      </c>
      <c r="AD45" s="100">
        <f t="shared" si="10"/>
        <v>15.24793388429752</v>
      </c>
      <c r="AE45" s="100">
        <f t="shared" si="10"/>
        <v>15.24793388429752</v>
      </c>
      <c r="AF45" s="100">
        <f t="shared" si="10"/>
        <v>15</v>
      </c>
      <c r="AG45" s="100">
        <f t="shared" si="10"/>
        <v>15</v>
      </c>
      <c r="AH45" s="100">
        <f t="shared" si="4"/>
        <v>15.124655647382918</v>
      </c>
      <c r="AI45" s="308"/>
      <c r="AJ45" s="319"/>
      <c r="AK45" s="302"/>
      <c r="AN45" s="295"/>
      <c r="AO45" s="313"/>
      <c r="AR45" s="320"/>
      <c r="AS45" s="321"/>
    </row>
    <row r="46" spans="1:45" s="279" customFormat="1" ht="12" customHeight="1">
      <c r="A46" s="279" t="str">
        <f t="shared" si="1"/>
        <v>PA-JROLLM-RESI</v>
      </c>
      <c r="B46" s="307" t="s">
        <v>343</v>
      </c>
      <c r="C46" s="307" t="s">
        <v>344</v>
      </c>
      <c r="D46" s="317">
        <v>0.56000000000000005</v>
      </c>
      <c r="E46" s="318">
        <v>31</v>
      </c>
      <c r="F46" s="99"/>
      <c r="G46" s="100">
        <v>1.1200000000000001</v>
      </c>
      <c r="H46" s="100">
        <v>1.1200000000000001</v>
      </c>
      <c r="I46" s="100">
        <v>1.1200000000000001</v>
      </c>
      <c r="J46" s="100">
        <v>1.1200000000000001</v>
      </c>
      <c r="K46" s="100">
        <v>1.1200000000000001</v>
      </c>
      <c r="L46" s="100">
        <v>1.1200000000000001</v>
      </c>
      <c r="M46" s="100">
        <v>1.1200000000000001</v>
      </c>
      <c r="N46" s="100">
        <v>1.1200000000000001</v>
      </c>
      <c r="O46" s="100">
        <v>1.1200000000000001</v>
      </c>
      <c r="P46" s="100">
        <v>1.1200000000000001</v>
      </c>
      <c r="Q46" s="100">
        <v>0</v>
      </c>
      <c r="R46" s="100">
        <v>0</v>
      </c>
      <c r="S46" s="100">
        <f t="shared" si="2"/>
        <v>11.200000000000003</v>
      </c>
      <c r="T46" s="288">
        <v>32001</v>
      </c>
      <c r="U46" s="288"/>
      <c r="V46" s="100">
        <f t="shared" si="11"/>
        <v>2</v>
      </c>
      <c r="W46" s="100">
        <f t="shared" si="11"/>
        <v>2</v>
      </c>
      <c r="X46" s="100">
        <f t="shared" si="11"/>
        <v>2</v>
      </c>
      <c r="Y46" s="100">
        <f t="shared" si="10"/>
        <v>2</v>
      </c>
      <c r="Z46" s="100">
        <f t="shared" si="10"/>
        <v>2</v>
      </c>
      <c r="AA46" s="100">
        <f t="shared" si="10"/>
        <v>2</v>
      </c>
      <c r="AB46" s="100">
        <f t="shared" si="10"/>
        <v>2</v>
      </c>
      <c r="AC46" s="100">
        <f t="shared" si="10"/>
        <v>2</v>
      </c>
      <c r="AD46" s="100">
        <f t="shared" si="10"/>
        <v>2</v>
      </c>
      <c r="AE46" s="100">
        <f t="shared" si="10"/>
        <v>2</v>
      </c>
      <c r="AF46" s="100">
        <f t="shared" si="10"/>
        <v>0</v>
      </c>
      <c r="AG46" s="100">
        <f t="shared" si="10"/>
        <v>0</v>
      </c>
      <c r="AH46" s="100">
        <f t="shared" si="4"/>
        <v>2</v>
      </c>
      <c r="AI46" s="308"/>
      <c r="AJ46" s="319"/>
      <c r="AK46" s="302"/>
      <c r="AN46" s="295"/>
      <c r="AO46" s="313"/>
      <c r="AR46" s="320"/>
      <c r="AS46" s="321"/>
    </row>
    <row r="47" spans="1:45" s="279" customFormat="1" ht="12" customHeight="1">
      <c r="A47" s="279" t="str">
        <f t="shared" si="1"/>
        <v>PA-JROLLW-RESI</v>
      </c>
      <c r="B47" s="307" t="s">
        <v>345</v>
      </c>
      <c r="C47" s="307" t="s">
        <v>346</v>
      </c>
      <c r="D47" s="317">
        <v>2.4249999999999998</v>
      </c>
      <c r="E47" s="318">
        <v>31</v>
      </c>
      <c r="F47" s="99"/>
      <c r="G47" s="100">
        <v>9.6999999999999993</v>
      </c>
      <c r="H47" s="100">
        <v>12.12</v>
      </c>
      <c r="I47" s="100">
        <v>12.129999999999999</v>
      </c>
      <c r="J47" s="100">
        <v>12.12</v>
      </c>
      <c r="K47" s="100">
        <v>10.91</v>
      </c>
      <c r="L47" s="100">
        <v>10.91</v>
      </c>
      <c r="M47" s="100">
        <v>9.6999999999999993</v>
      </c>
      <c r="N47" s="100">
        <v>9.6999999999999993</v>
      </c>
      <c r="O47" s="100">
        <v>9.6999999999999993</v>
      </c>
      <c r="P47" s="100">
        <v>-105.98</v>
      </c>
      <c r="Q47" s="100">
        <v>7.2799999999999994</v>
      </c>
      <c r="R47" s="100">
        <v>7.27</v>
      </c>
      <c r="S47" s="100">
        <f t="shared" si="2"/>
        <v>5.5600000000000041</v>
      </c>
      <c r="T47" s="288">
        <v>32001</v>
      </c>
      <c r="U47" s="288"/>
      <c r="V47" s="100">
        <f t="shared" si="11"/>
        <v>4</v>
      </c>
      <c r="W47" s="100">
        <f t="shared" si="11"/>
        <v>4.9979381443298969</v>
      </c>
      <c r="X47" s="100">
        <f t="shared" si="11"/>
        <v>5.0020618556701031</v>
      </c>
      <c r="Y47" s="100">
        <f t="shared" si="10"/>
        <v>4.9979381443298969</v>
      </c>
      <c r="Z47" s="100">
        <f t="shared" si="10"/>
        <v>4.4989690721649485</v>
      </c>
      <c r="AA47" s="100">
        <f t="shared" si="10"/>
        <v>4.4989690721649485</v>
      </c>
      <c r="AB47" s="100">
        <f t="shared" si="10"/>
        <v>4</v>
      </c>
      <c r="AC47" s="100">
        <f t="shared" si="10"/>
        <v>4</v>
      </c>
      <c r="AD47" s="100">
        <f t="shared" si="10"/>
        <v>4</v>
      </c>
      <c r="AE47" s="100">
        <f t="shared" si="10"/>
        <v>-43.703092783505163</v>
      </c>
      <c r="AF47" s="100">
        <f t="shared" si="10"/>
        <v>3.0020618556701031</v>
      </c>
      <c r="AG47" s="100">
        <f t="shared" si="10"/>
        <v>2.9979381443298969</v>
      </c>
      <c r="AH47" s="100">
        <f t="shared" si="4"/>
        <v>4.1814432989690715</v>
      </c>
      <c r="AI47" s="308"/>
      <c r="AJ47" s="319"/>
      <c r="AK47" s="302"/>
      <c r="AN47" s="295"/>
      <c r="AO47" s="313"/>
      <c r="AR47" s="320"/>
      <c r="AS47" s="321"/>
    </row>
    <row r="48" spans="1:45" s="279" customFormat="1" ht="12" customHeight="1">
      <c r="A48" s="279" t="str">
        <f t="shared" si="1"/>
        <v>PA-JOC-RES</v>
      </c>
      <c r="B48" s="307" t="s">
        <v>347</v>
      </c>
      <c r="C48" s="307" t="s">
        <v>348</v>
      </c>
      <c r="D48" s="317">
        <v>8.4</v>
      </c>
      <c r="E48" s="318" t="s">
        <v>203</v>
      </c>
      <c r="F48" s="99"/>
      <c r="G48" s="100">
        <v>8.4</v>
      </c>
      <c r="H48" s="100">
        <v>25.200000000000003</v>
      </c>
      <c r="I48" s="100">
        <v>4.2</v>
      </c>
      <c r="J48" s="100">
        <v>12.600000000000001</v>
      </c>
      <c r="K48" s="100">
        <v>0</v>
      </c>
      <c r="L48" s="100">
        <v>16.8</v>
      </c>
      <c r="M48" s="100">
        <v>4.2</v>
      </c>
      <c r="N48" s="100">
        <v>12.600000000000001</v>
      </c>
      <c r="O48" s="100">
        <v>4.2</v>
      </c>
      <c r="P48" s="100">
        <v>21</v>
      </c>
      <c r="Q48" s="100">
        <v>4.2</v>
      </c>
      <c r="R48" s="100">
        <v>12.600000000000001</v>
      </c>
      <c r="S48" s="100">
        <f t="shared" si="2"/>
        <v>126</v>
      </c>
      <c r="T48" s="288">
        <v>32000</v>
      </c>
      <c r="U48" s="288"/>
      <c r="V48" s="100">
        <f t="shared" si="11"/>
        <v>1</v>
      </c>
      <c r="W48" s="100">
        <f t="shared" si="11"/>
        <v>3</v>
      </c>
      <c r="X48" s="100">
        <f t="shared" si="11"/>
        <v>0.5</v>
      </c>
      <c r="Y48" s="100">
        <f t="shared" si="10"/>
        <v>1.5</v>
      </c>
      <c r="Z48" s="100">
        <f t="shared" si="10"/>
        <v>0</v>
      </c>
      <c r="AA48" s="100">
        <f t="shared" si="10"/>
        <v>2</v>
      </c>
      <c r="AB48" s="100">
        <f t="shared" si="10"/>
        <v>0.5</v>
      </c>
      <c r="AC48" s="100">
        <f t="shared" si="10"/>
        <v>1.5</v>
      </c>
      <c r="AD48" s="100">
        <f t="shared" si="10"/>
        <v>0.5</v>
      </c>
      <c r="AE48" s="100">
        <f t="shared" si="10"/>
        <v>2.5</v>
      </c>
      <c r="AF48" s="100">
        <f t="shared" si="10"/>
        <v>0.5</v>
      </c>
      <c r="AG48" s="100">
        <f t="shared" si="10"/>
        <v>1.5</v>
      </c>
      <c r="AH48" s="100">
        <f t="shared" si="4"/>
        <v>1.3636363636363635</v>
      </c>
      <c r="AI48" s="308">
        <f>SUMIF('Staff Calcs '!D:D,C48,'Staff Calcs '!E:E)</f>
        <v>1.3636363636363635</v>
      </c>
      <c r="AJ48" s="319">
        <f t="shared" ref="AJ48" si="13">AH48-AI48</f>
        <v>0</v>
      </c>
      <c r="AK48" s="302"/>
      <c r="AN48" s="295"/>
      <c r="AO48" s="313"/>
      <c r="AR48" s="320"/>
      <c r="AS48" s="321"/>
    </row>
    <row r="49" spans="1:45" s="279" customFormat="1" ht="12" customHeight="1" thickBot="1">
      <c r="B49" s="307"/>
      <c r="C49" s="307"/>
      <c r="D49" s="322"/>
      <c r="E49" s="323"/>
      <c r="F49" s="99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288"/>
      <c r="U49" s="288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308"/>
      <c r="AJ49" s="324"/>
      <c r="AK49" s="302"/>
      <c r="AM49" s="303"/>
      <c r="AN49" s="295"/>
      <c r="AO49" s="313"/>
      <c r="AR49" s="282"/>
      <c r="AS49" s="282"/>
    </row>
    <row r="50" spans="1:45" s="277" customFormat="1" ht="12" customHeight="1" thickBot="1">
      <c r="B50" s="304"/>
      <c r="C50" s="325" t="s">
        <v>349</v>
      </c>
      <c r="D50" s="325"/>
      <c r="E50" s="326"/>
      <c r="F50" s="101"/>
      <c r="G50" s="102">
        <f t="shared" ref="G50:R50" si="14">SUM(G13:G49)</f>
        <v>107927.08999999997</v>
      </c>
      <c r="H50" s="102">
        <f t="shared" si="14"/>
        <v>110948.16999999998</v>
      </c>
      <c r="I50" s="102">
        <f t="shared" si="14"/>
        <v>107638.67</v>
      </c>
      <c r="J50" s="102">
        <f t="shared" si="14"/>
        <v>110222.11999999998</v>
      </c>
      <c r="K50" s="102">
        <f t="shared" si="14"/>
        <v>106926.78</v>
      </c>
      <c r="L50" s="102">
        <f t="shared" si="14"/>
        <v>109958.15000000001</v>
      </c>
      <c r="M50" s="102">
        <f t="shared" si="14"/>
        <v>106824.59</v>
      </c>
      <c r="N50" s="102">
        <f t="shared" si="14"/>
        <v>110496.31</v>
      </c>
      <c r="O50" s="102">
        <f t="shared" si="14"/>
        <v>109786.35999999999</v>
      </c>
      <c r="P50" s="102">
        <f t="shared" si="14"/>
        <v>115159.99000000002</v>
      </c>
      <c r="Q50" s="102">
        <f t="shared" si="14"/>
        <v>112733.83999999998</v>
      </c>
      <c r="R50" s="102">
        <f t="shared" si="14"/>
        <v>115951.53</v>
      </c>
      <c r="S50" s="102">
        <f>SUM(G50:R50)</f>
        <v>1324573.6000000001</v>
      </c>
      <c r="T50" s="304"/>
      <c r="U50" s="304"/>
      <c r="V50" s="327">
        <f t="shared" ref="V50:AG50" si="15">SUM(V43,V26:V34,V13:V18)</f>
        <v>4439.3703222339282</v>
      </c>
      <c r="W50" s="327">
        <f t="shared" si="15"/>
        <v>4499.8142265153128</v>
      </c>
      <c r="X50" s="327">
        <f t="shared" si="15"/>
        <v>4426.3978363828273</v>
      </c>
      <c r="Y50" s="327">
        <f t="shared" si="15"/>
        <v>4473.6044311950072</v>
      </c>
      <c r="Z50" s="327">
        <f t="shared" si="15"/>
        <v>4401.2468518318838</v>
      </c>
      <c r="AA50" s="327">
        <f t="shared" si="15"/>
        <v>4443.443504432832</v>
      </c>
      <c r="AB50" s="327">
        <f t="shared" si="15"/>
        <v>4389.8722504294219</v>
      </c>
      <c r="AC50" s="327">
        <f t="shared" si="15"/>
        <v>4460.3652953505807</v>
      </c>
      <c r="AD50" s="327">
        <f t="shared" si="15"/>
        <v>4482.246769897677</v>
      </c>
      <c r="AE50" s="327">
        <f t="shared" si="15"/>
        <v>4565.0166506006444</v>
      </c>
      <c r="AF50" s="327">
        <f t="shared" si="15"/>
        <v>4571.7901191293704</v>
      </c>
      <c r="AG50" s="327">
        <f t="shared" si="15"/>
        <v>4645.960677059712</v>
      </c>
      <c r="AH50" s="327">
        <f>SUM(AH43,AH26:AH34,AH13:AH18)</f>
        <v>4484.0295078241843</v>
      </c>
      <c r="AI50" s="308"/>
      <c r="AJ50" s="328"/>
      <c r="AK50" s="302"/>
      <c r="AL50" s="279"/>
      <c r="AM50" s="329">
        <f>SUM(AM12:AM49)</f>
        <v>4463.2821235389665</v>
      </c>
      <c r="AN50" s="282"/>
      <c r="AO50" s="329">
        <f>SUM(AO12:AO49)</f>
        <v>0</v>
      </c>
      <c r="AP50" s="282"/>
      <c r="AQ50" s="329">
        <f>SUM(AQ12:AQ49)</f>
        <v>0</v>
      </c>
      <c r="AR50" s="282"/>
      <c r="AS50" s="282"/>
    </row>
    <row r="51" spans="1:45" s="277" customFormat="1" ht="12" customHeight="1">
      <c r="B51" s="310"/>
      <c r="C51" s="330"/>
      <c r="D51" s="325"/>
      <c r="E51" s="331"/>
      <c r="F51" s="101"/>
      <c r="G51" s="103"/>
      <c r="H51" s="103" t="str">
        <f>IF(F51="","",(#REF!/F51)+(#REF!/#REF!))</f>
        <v/>
      </c>
      <c r="I51" s="103" t="str">
        <f>IF(F51="","",H51/12)</f>
        <v/>
      </c>
      <c r="J51" s="103"/>
      <c r="K51" s="304"/>
      <c r="L51" s="304"/>
      <c r="M51" s="304"/>
      <c r="N51" s="304"/>
      <c r="O51" s="304"/>
      <c r="P51" s="304"/>
      <c r="Q51" s="304"/>
      <c r="R51" s="304"/>
      <c r="S51" s="304"/>
      <c r="T51" s="304" t="s">
        <v>544</v>
      </c>
      <c r="U51" s="304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0">
        <f>SUM(AH13:AH18,AH26:AH34,AH40:AH43,AH48,AH21:AH22)</f>
        <v>4653.049498049013</v>
      </c>
      <c r="AI51" s="308">
        <f>'Staff Calcs '!E29-'Jefferson Reg Price Out'!AH51</f>
        <v>0</v>
      </c>
      <c r="AJ51" s="328"/>
      <c r="AK51" s="302"/>
      <c r="AL51" s="279"/>
      <c r="AM51" s="279"/>
      <c r="AN51" s="295"/>
      <c r="AO51" s="313"/>
      <c r="AP51" s="279"/>
      <c r="AQ51" s="279"/>
      <c r="AR51" s="282"/>
      <c r="AS51" s="282"/>
    </row>
    <row r="52" spans="1:45" s="279" customFormat="1" ht="12" customHeight="1">
      <c r="B52" s="314" t="s">
        <v>350</v>
      </c>
      <c r="C52" s="314" t="s">
        <v>350</v>
      </c>
      <c r="D52" s="315"/>
      <c r="E52" s="316"/>
      <c r="F52" s="99"/>
      <c r="G52" s="104"/>
      <c r="H52" s="100" t="str">
        <f>IF(F52="","",(#REF!/F52)+(#REF!/#REF!))</f>
        <v/>
      </c>
      <c r="I52" s="100" t="str">
        <f>IF(F52="","",H52/12)</f>
        <v/>
      </c>
      <c r="J52" s="104"/>
      <c r="K52" s="332"/>
      <c r="L52" s="288"/>
      <c r="M52" s="288"/>
      <c r="N52" s="288"/>
      <c r="O52" s="288"/>
      <c r="P52" s="288"/>
      <c r="Q52" s="288"/>
      <c r="R52" s="288"/>
      <c r="S52" s="288"/>
      <c r="T52" s="288"/>
      <c r="U52" s="288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0"/>
      <c r="AI52" s="308"/>
      <c r="AJ52" s="324"/>
      <c r="AK52" s="302"/>
      <c r="AN52" s="295"/>
      <c r="AO52" s="313"/>
      <c r="AR52" s="282"/>
      <c r="AS52" s="282"/>
    </row>
    <row r="53" spans="1:45" s="288" customFormat="1" ht="12" customHeight="1">
      <c r="A53" s="288" t="str">
        <f>"PA-J"&amp;B53</f>
        <v>PA-Jrecyonlypre</v>
      </c>
      <c r="B53" s="307" t="s">
        <v>351</v>
      </c>
      <c r="C53" s="307" t="s">
        <v>352</v>
      </c>
      <c r="D53" s="317">
        <v>10.87</v>
      </c>
      <c r="E53" s="318">
        <v>21</v>
      </c>
      <c r="F53" s="99"/>
      <c r="G53" s="100">
        <v>92.39</v>
      </c>
      <c r="H53" s="100">
        <v>97.82</v>
      </c>
      <c r="I53" s="100">
        <v>116.85</v>
      </c>
      <c r="J53" s="100">
        <v>127.72</v>
      </c>
      <c r="K53" s="100">
        <v>116.85</v>
      </c>
      <c r="L53" s="100">
        <v>122.28</v>
      </c>
      <c r="M53" s="100">
        <v>116.85</v>
      </c>
      <c r="N53" s="100">
        <v>127.72</v>
      </c>
      <c r="O53" s="100">
        <v>119.57</v>
      </c>
      <c r="P53" s="100">
        <v>130.44</v>
      </c>
      <c r="Q53" s="100">
        <v>133.16</v>
      </c>
      <c r="R53" s="100">
        <v>138.58000000000001</v>
      </c>
      <c r="S53" s="100">
        <f>SUM(G53:R53)</f>
        <v>1440.23</v>
      </c>
      <c r="T53" s="288">
        <v>32100</v>
      </c>
      <c r="V53" s="100">
        <f t="shared" ref="V53:AG54" si="16">IFERROR(G53/$D53,0)</f>
        <v>8.499540018399264</v>
      </c>
      <c r="W53" s="100">
        <f t="shared" si="16"/>
        <v>8.999080036798528</v>
      </c>
      <c r="X53" s="100">
        <f t="shared" si="16"/>
        <v>10.749770009199633</v>
      </c>
      <c r="Y53" s="100">
        <f t="shared" si="16"/>
        <v>11.749770009199633</v>
      </c>
      <c r="Z53" s="100">
        <f t="shared" si="16"/>
        <v>10.749770009199633</v>
      </c>
      <c r="AA53" s="100">
        <f t="shared" si="16"/>
        <v>11.249310027598897</v>
      </c>
      <c r="AB53" s="100">
        <f t="shared" si="16"/>
        <v>10.749770009199633</v>
      </c>
      <c r="AC53" s="100">
        <f t="shared" si="16"/>
        <v>11.749770009199633</v>
      </c>
      <c r="AD53" s="100">
        <f t="shared" si="16"/>
        <v>11</v>
      </c>
      <c r="AE53" s="100">
        <f t="shared" si="16"/>
        <v>12</v>
      </c>
      <c r="AF53" s="100">
        <f t="shared" si="16"/>
        <v>12.250229990800369</v>
      </c>
      <c r="AG53" s="100">
        <f t="shared" si="16"/>
        <v>12.748850045998163</v>
      </c>
      <c r="AH53" s="100">
        <f>IFERROR(AVERAGEIF(V53:AG53,"&gt;0"),0)</f>
        <v>11.041321680466114</v>
      </c>
      <c r="AI53" s="308"/>
      <c r="AK53" s="302" t="s">
        <v>353</v>
      </c>
      <c r="AL53" s="279">
        <v>1</v>
      </c>
      <c r="AM53" s="303">
        <f>+AH53*AL53</f>
        <v>11.041321680466114</v>
      </c>
      <c r="AN53" s="295"/>
      <c r="AO53" s="313"/>
      <c r="AP53" s="279"/>
      <c r="AQ53" s="279"/>
      <c r="AR53" s="282"/>
      <c r="AS53" s="282"/>
    </row>
    <row r="54" spans="1:45" s="288" customFormat="1" ht="12" customHeight="1">
      <c r="A54" s="288" t="str">
        <f>"PA-J"&amp;B54</f>
        <v>PA-Jrecyrpre</v>
      </c>
      <c r="B54" s="307" t="s">
        <v>354</v>
      </c>
      <c r="C54" s="307" t="s">
        <v>355</v>
      </c>
      <c r="D54" s="317">
        <v>9.5399999999999991</v>
      </c>
      <c r="E54" s="318">
        <v>21</v>
      </c>
      <c r="F54" s="99"/>
      <c r="G54" s="100">
        <v>7052.45</v>
      </c>
      <c r="H54" s="100">
        <v>7300.48</v>
      </c>
      <c r="I54" s="100">
        <v>7224.17</v>
      </c>
      <c r="J54" s="100">
        <v>7262.32</v>
      </c>
      <c r="K54" s="100">
        <v>7295.71</v>
      </c>
      <c r="L54" s="100">
        <v>7419.74</v>
      </c>
      <c r="M54" s="100">
        <v>7341.04</v>
      </c>
      <c r="N54" s="100">
        <v>7536.61</v>
      </c>
      <c r="O54" s="100">
        <v>7436.43</v>
      </c>
      <c r="P54" s="100">
        <v>7593.84</v>
      </c>
      <c r="Q54" s="100">
        <v>7777.4800000000005</v>
      </c>
      <c r="R54" s="100">
        <v>7992.14</v>
      </c>
      <c r="S54" s="100">
        <f>SUM(G54:R54)</f>
        <v>89232.409999999989</v>
      </c>
      <c r="T54" s="288">
        <v>32100</v>
      </c>
      <c r="V54" s="100">
        <f t="shared" si="16"/>
        <v>739.25052410901469</v>
      </c>
      <c r="W54" s="100">
        <f t="shared" si="16"/>
        <v>765.24947589098531</v>
      </c>
      <c r="X54" s="100">
        <f t="shared" si="16"/>
        <v>757.2505241090148</v>
      </c>
      <c r="Y54" s="100">
        <f t="shared" si="16"/>
        <v>761.24947589098531</v>
      </c>
      <c r="Z54" s="100">
        <f t="shared" si="16"/>
        <v>764.74947589098542</v>
      </c>
      <c r="AA54" s="100">
        <f t="shared" si="16"/>
        <v>777.75052410901469</v>
      </c>
      <c r="AB54" s="100">
        <f t="shared" si="16"/>
        <v>769.50104821802938</v>
      </c>
      <c r="AC54" s="100">
        <f t="shared" si="16"/>
        <v>790.00104821802938</v>
      </c>
      <c r="AD54" s="100">
        <f t="shared" si="16"/>
        <v>779.50000000000011</v>
      </c>
      <c r="AE54" s="100">
        <f t="shared" si="16"/>
        <v>796.00000000000011</v>
      </c>
      <c r="AF54" s="100">
        <f t="shared" si="16"/>
        <v>815.24947589098542</v>
      </c>
      <c r="AG54" s="100">
        <f t="shared" si="16"/>
        <v>837.7505241090148</v>
      </c>
      <c r="AH54" s="100">
        <f>IFERROR(AVERAGEIF(V54:AG54,"&gt;0"),0)</f>
        <v>779.45850803633823</v>
      </c>
      <c r="AI54" s="308"/>
      <c r="AK54" s="302" t="s">
        <v>353</v>
      </c>
      <c r="AL54" s="279">
        <v>1</v>
      </c>
      <c r="AM54" s="303">
        <f>+AH54*AL54</f>
        <v>779.45850803633823</v>
      </c>
      <c r="AN54" s="295"/>
      <c r="AO54" s="313"/>
      <c r="AP54" s="279"/>
      <c r="AQ54" s="279"/>
      <c r="AR54" s="282"/>
      <c r="AS54" s="282"/>
    </row>
    <row r="55" spans="1:45" s="279" customFormat="1" ht="12" customHeight="1" thickBot="1">
      <c r="B55" s="307"/>
      <c r="C55" s="307"/>
      <c r="D55" s="322"/>
      <c r="E55" s="323"/>
      <c r="F55" s="99"/>
      <c r="G55" s="100"/>
      <c r="H55" s="100"/>
      <c r="I55" s="100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288"/>
      <c r="U55" s="288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308"/>
      <c r="AJ55" s="324"/>
      <c r="AK55" s="302"/>
      <c r="AN55" s="295"/>
      <c r="AO55" s="313"/>
      <c r="AR55" s="282"/>
      <c r="AS55" s="282"/>
    </row>
    <row r="56" spans="1:45" s="277" customFormat="1" ht="12" customHeight="1" thickBot="1">
      <c r="B56" s="304"/>
      <c r="C56" s="325" t="s">
        <v>356</v>
      </c>
      <c r="D56" s="325"/>
      <c r="E56" s="326"/>
      <c r="F56" s="101"/>
      <c r="G56" s="102">
        <f t="shared" ref="G56:R56" si="17">SUM(G53:G55)</f>
        <v>7144.84</v>
      </c>
      <c r="H56" s="102">
        <f t="shared" si="17"/>
        <v>7398.2999999999993</v>
      </c>
      <c r="I56" s="102">
        <f t="shared" si="17"/>
        <v>7341.02</v>
      </c>
      <c r="J56" s="102">
        <f t="shared" si="17"/>
        <v>7390.04</v>
      </c>
      <c r="K56" s="102">
        <f t="shared" si="17"/>
        <v>7412.56</v>
      </c>
      <c r="L56" s="102">
        <f t="shared" si="17"/>
        <v>7542.0199999999995</v>
      </c>
      <c r="M56" s="102">
        <f t="shared" si="17"/>
        <v>7457.89</v>
      </c>
      <c r="N56" s="102">
        <f t="shared" si="17"/>
        <v>7664.33</v>
      </c>
      <c r="O56" s="102">
        <f t="shared" si="17"/>
        <v>7556</v>
      </c>
      <c r="P56" s="102">
        <f t="shared" si="17"/>
        <v>7724.28</v>
      </c>
      <c r="Q56" s="102">
        <f t="shared" si="17"/>
        <v>7910.64</v>
      </c>
      <c r="R56" s="102">
        <f t="shared" si="17"/>
        <v>8130.72</v>
      </c>
      <c r="S56" s="102">
        <f>SUM(G56:R56)</f>
        <v>90672.639999999999</v>
      </c>
      <c r="T56" s="304"/>
      <c r="U56" s="304"/>
      <c r="V56" s="327">
        <f t="shared" ref="V56:AH56" si="18">SUM(V53:V54)</f>
        <v>747.75006412741391</v>
      </c>
      <c r="W56" s="327">
        <f t="shared" si="18"/>
        <v>774.24855592778385</v>
      </c>
      <c r="X56" s="327">
        <f t="shared" si="18"/>
        <v>768.00029411821447</v>
      </c>
      <c r="Y56" s="327">
        <f t="shared" si="18"/>
        <v>772.99924590018497</v>
      </c>
      <c r="Z56" s="327">
        <f t="shared" si="18"/>
        <v>775.49924590018509</v>
      </c>
      <c r="AA56" s="327">
        <f t="shared" si="18"/>
        <v>788.99983413661357</v>
      </c>
      <c r="AB56" s="327">
        <f t="shared" si="18"/>
        <v>780.25081822722905</v>
      </c>
      <c r="AC56" s="327">
        <f t="shared" si="18"/>
        <v>801.75081822722905</v>
      </c>
      <c r="AD56" s="327">
        <f t="shared" si="18"/>
        <v>790.50000000000011</v>
      </c>
      <c r="AE56" s="327">
        <f t="shared" si="18"/>
        <v>808.00000000000011</v>
      </c>
      <c r="AF56" s="327">
        <f t="shared" si="18"/>
        <v>827.49970588178576</v>
      </c>
      <c r="AG56" s="327">
        <f t="shared" si="18"/>
        <v>850.49937415501302</v>
      </c>
      <c r="AH56" s="327">
        <f t="shared" si="18"/>
        <v>790.49982971680436</v>
      </c>
      <c r="AI56" s="308"/>
      <c r="AJ56" s="328"/>
      <c r="AK56" s="302"/>
      <c r="AL56" s="279"/>
      <c r="AM56" s="329">
        <f>SUM(AM53:AM55)</f>
        <v>790.49982971680436</v>
      </c>
      <c r="AN56" s="282"/>
      <c r="AO56" s="329">
        <f>SUM(AO53:AO55)</f>
        <v>0</v>
      </c>
      <c r="AP56" s="282"/>
      <c r="AQ56" s="329">
        <f>SUM(AQ53:AQ55)</f>
        <v>0</v>
      </c>
      <c r="AR56" s="282"/>
      <c r="AS56" s="282"/>
    </row>
    <row r="57" spans="1:45" s="279" customFormat="1" ht="12" customHeight="1">
      <c r="B57" s="288"/>
      <c r="C57" s="333"/>
      <c r="D57" s="325"/>
      <c r="E57" s="326"/>
      <c r="F57" s="99"/>
      <c r="G57" s="104"/>
      <c r="H57" s="100" t="str">
        <f>IF(F57="","",(#REF!/F57)+(#REF!/#REF!))</f>
        <v/>
      </c>
      <c r="I57" s="100" t="str">
        <f>IF(F57="","",H57/12)</f>
        <v/>
      </c>
      <c r="J57" s="104"/>
      <c r="K57" s="332"/>
      <c r="L57" s="288"/>
      <c r="M57" s="288"/>
      <c r="N57" s="288"/>
      <c r="O57" s="288"/>
      <c r="P57" s="288"/>
      <c r="Q57" s="288"/>
      <c r="R57" s="288"/>
      <c r="S57" s="288"/>
      <c r="T57" s="288"/>
      <c r="U57" s="288"/>
      <c r="V57" s="105"/>
      <c r="W57" s="106"/>
      <c r="X57" s="106"/>
      <c r="Y57" s="106"/>
      <c r="Z57" s="106"/>
      <c r="AA57" s="106"/>
      <c r="AB57" s="106"/>
      <c r="AC57" s="106"/>
      <c r="AD57" s="106"/>
      <c r="AE57" s="106"/>
      <c r="AF57" s="106"/>
      <c r="AG57" s="106"/>
      <c r="AH57" s="106"/>
      <c r="AI57" s="308"/>
      <c r="AJ57" s="324"/>
      <c r="AK57" s="302"/>
      <c r="AN57" s="295"/>
      <c r="AO57" s="313"/>
      <c r="AR57" s="282"/>
      <c r="AS57" s="282"/>
    </row>
    <row r="58" spans="1:45" s="279" customFormat="1" ht="12" customHeight="1">
      <c r="B58" s="288"/>
      <c r="C58" s="288"/>
      <c r="D58" s="304"/>
      <c r="E58" s="305"/>
      <c r="F58" s="99"/>
      <c r="G58" s="104"/>
      <c r="H58" s="100" t="str">
        <f>IF(F58="","",(#REF!/F58)+(#REF!/#REF!))</f>
        <v/>
      </c>
      <c r="I58" s="100" t="str">
        <f>IF(F58="","",H58/12)</f>
        <v/>
      </c>
      <c r="J58" s="288"/>
      <c r="K58" s="288"/>
      <c r="L58" s="288"/>
      <c r="M58" s="288"/>
      <c r="N58" s="288"/>
      <c r="O58" s="288"/>
      <c r="P58" s="288"/>
      <c r="Q58" s="288"/>
      <c r="R58" s="288"/>
      <c r="S58" s="288"/>
      <c r="T58" s="288"/>
      <c r="U58" s="288"/>
      <c r="V58" s="105"/>
      <c r="W58" s="106"/>
      <c r="X58" s="106"/>
      <c r="Y58" s="106"/>
      <c r="Z58" s="106"/>
      <c r="AA58" s="106"/>
      <c r="AB58" s="106"/>
      <c r="AC58" s="106"/>
      <c r="AD58" s="106"/>
      <c r="AE58" s="106"/>
      <c r="AF58" s="106"/>
      <c r="AG58" s="106"/>
      <c r="AH58" s="100"/>
      <c r="AI58" s="308"/>
      <c r="AJ58" s="324"/>
      <c r="AK58" s="302"/>
      <c r="AN58" s="295"/>
      <c r="AO58" s="313"/>
      <c r="AR58" s="282"/>
      <c r="AS58" s="282"/>
    </row>
    <row r="59" spans="1:45" ht="12" customHeight="1">
      <c r="B59" s="309" t="s">
        <v>357</v>
      </c>
      <c r="C59" s="309" t="s">
        <v>357</v>
      </c>
      <c r="D59" s="310"/>
      <c r="E59" s="311"/>
      <c r="F59" s="307"/>
      <c r="G59" s="307"/>
      <c r="H59" s="307"/>
      <c r="I59" s="307"/>
      <c r="J59" s="307"/>
      <c r="K59" s="307"/>
      <c r="L59" s="307"/>
      <c r="M59" s="307"/>
      <c r="N59" s="307"/>
      <c r="O59" s="307"/>
      <c r="P59" s="307"/>
      <c r="Q59" s="307"/>
      <c r="R59" s="307"/>
      <c r="S59" s="307"/>
      <c r="T59" s="288"/>
      <c r="U59" s="307"/>
      <c r="V59" s="100"/>
      <c r="W59" s="106"/>
      <c r="X59" s="106"/>
      <c r="Y59" s="106"/>
      <c r="Z59" s="106"/>
      <c r="AA59" s="106"/>
      <c r="AB59" s="106"/>
      <c r="AC59" s="106"/>
      <c r="AD59" s="106"/>
      <c r="AE59" s="106"/>
      <c r="AF59" s="106"/>
      <c r="AG59" s="106"/>
      <c r="AH59" s="334"/>
      <c r="AI59" s="308"/>
      <c r="AJ59" s="324"/>
      <c r="AK59" s="302"/>
      <c r="AL59" s="279"/>
      <c r="AM59" s="279"/>
      <c r="AN59" s="295"/>
      <c r="AO59" s="313"/>
      <c r="AP59" s="279"/>
      <c r="AQ59" s="279"/>
    </row>
    <row r="60" spans="1:45" ht="12" customHeight="1">
      <c r="B60" s="309"/>
      <c r="C60" s="309"/>
      <c r="D60" s="310"/>
      <c r="E60" s="311"/>
      <c r="F60" s="307"/>
      <c r="G60" s="307"/>
      <c r="H60" s="307"/>
      <c r="I60" s="307"/>
      <c r="J60" s="307"/>
      <c r="K60" s="307"/>
      <c r="L60" s="307"/>
      <c r="M60" s="307"/>
      <c r="N60" s="307"/>
      <c r="O60" s="307"/>
      <c r="P60" s="307"/>
      <c r="Q60" s="307"/>
      <c r="R60" s="307"/>
      <c r="S60" s="307"/>
      <c r="T60" s="288"/>
      <c r="U60" s="307"/>
      <c r="V60" s="100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0"/>
      <c r="AI60" s="308"/>
      <c r="AJ60" s="324"/>
      <c r="AK60" s="302"/>
      <c r="AL60" s="279"/>
      <c r="AM60" s="279"/>
      <c r="AN60" s="295"/>
      <c r="AO60" s="313"/>
      <c r="AP60" s="279"/>
      <c r="AQ60" s="279"/>
    </row>
    <row r="61" spans="1:45" s="279" customFormat="1" ht="12" customHeight="1">
      <c r="B61" s="314" t="s">
        <v>358</v>
      </c>
      <c r="C61" s="314" t="s">
        <v>358</v>
      </c>
      <c r="D61" s="315"/>
      <c r="E61" s="316"/>
      <c r="F61" s="99"/>
      <c r="G61" s="104"/>
      <c r="H61" s="100" t="str">
        <f>IF(F61="","",(#REF!/F61)+(#REF!/#REF!))</f>
        <v/>
      </c>
      <c r="I61" s="100" t="str">
        <f>IF(F61="","",H61/12)</f>
        <v/>
      </c>
      <c r="J61" s="288"/>
      <c r="K61" s="288"/>
      <c r="L61" s="288"/>
      <c r="M61" s="288"/>
      <c r="N61" s="288"/>
      <c r="O61" s="288"/>
      <c r="P61" s="288"/>
      <c r="Q61" s="288"/>
      <c r="R61" s="288"/>
      <c r="S61" s="288"/>
      <c r="T61" s="288"/>
      <c r="U61" s="288"/>
      <c r="V61" s="105"/>
      <c r="W61" s="106"/>
      <c r="X61" s="106"/>
      <c r="Y61" s="106"/>
      <c r="Z61" s="106"/>
      <c r="AA61" s="106"/>
      <c r="AB61" s="106"/>
      <c r="AC61" s="106"/>
      <c r="AD61" s="106"/>
      <c r="AE61" s="106"/>
      <c r="AF61" s="106"/>
      <c r="AG61" s="106"/>
      <c r="AH61" s="100"/>
      <c r="AI61" s="308"/>
      <c r="AJ61" s="324"/>
      <c r="AK61" s="281"/>
      <c r="AM61" s="335"/>
      <c r="AN61" s="282"/>
      <c r="AO61" s="335"/>
      <c r="AP61" s="282"/>
      <c r="AQ61" s="335"/>
      <c r="AR61" s="282"/>
      <c r="AS61" s="282"/>
    </row>
    <row r="62" spans="1:45" s="336" customFormat="1" ht="12" customHeight="1">
      <c r="A62" s="279" t="str">
        <f t="shared" ref="A62:A123" si="19">"PA-J"&amp;B62</f>
        <v>PA-JCTIME</v>
      </c>
      <c r="B62" s="307" t="s">
        <v>359</v>
      </c>
      <c r="C62" s="307" t="s">
        <v>360</v>
      </c>
      <c r="D62" s="109">
        <v>58.06</v>
      </c>
      <c r="E62" s="318">
        <v>29</v>
      </c>
      <c r="F62" s="99"/>
      <c r="G62" s="100">
        <v>31.94</v>
      </c>
      <c r="H62" s="100">
        <v>0</v>
      </c>
      <c r="I62" s="100">
        <v>0</v>
      </c>
      <c r="J62" s="100">
        <v>0</v>
      </c>
      <c r="K62" s="100">
        <v>0</v>
      </c>
      <c r="L62" s="100">
        <v>0</v>
      </c>
      <c r="M62" s="100">
        <v>0</v>
      </c>
      <c r="N62" s="100">
        <v>0</v>
      </c>
      <c r="O62" s="100">
        <v>0</v>
      </c>
      <c r="P62" s="100">
        <v>0</v>
      </c>
      <c r="Q62" s="100">
        <v>0</v>
      </c>
      <c r="R62" s="100">
        <v>0</v>
      </c>
      <c r="S62" s="100">
        <f t="shared" ref="S62:S123" si="20">SUM(G62:R62)</f>
        <v>31.94</v>
      </c>
      <c r="T62" s="288">
        <v>33010</v>
      </c>
      <c r="U62" s="288"/>
      <c r="V62" s="105">
        <f t="shared" ref="V62:AG83" si="21">IFERROR(G62/$D62,0)</f>
        <v>0.55012056493282813</v>
      </c>
      <c r="W62" s="105">
        <f t="shared" si="21"/>
        <v>0</v>
      </c>
      <c r="X62" s="105">
        <f t="shared" si="21"/>
        <v>0</v>
      </c>
      <c r="Y62" s="105">
        <f t="shared" si="21"/>
        <v>0</v>
      </c>
      <c r="Z62" s="105">
        <f t="shared" si="21"/>
        <v>0</v>
      </c>
      <c r="AA62" s="105">
        <f t="shared" si="21"/>
        <v>0</v>
      </c>
      <c r="AB62" s="105">
        <f t="shared" si="21"/>
        <v>0</v>
      </c>
      <c r="AC62" s="105">
        <f t="shared" si="21"/>
        <v>0</v>
      </c>
      <c r="AD62" s="105">
        <f t="shared" si="21"/>
        <v>0</v>
      </c>
      <c r="AE62" s="105">
        <f t="shared" si="21"/>
        <v>0</v>
      </c>
      <c r="AF62" s="105">
        <f t="shared" si="21"/>
        <v>0</v>
      </c>
      <c r="AG62" s="105">
        <f t="shared" si="21"/>
        <v>0</v>
      </c>
      <c r="AH62" s="100">
        <f t="shared" ref="AH62:AH120" si="22">IFERROR(AVERAGEIF(V62:AG62,"&gt;0"),0)</f>
        <v>0.55012056493282813</v>
      </c>
      <c r="AI62" s="308"/>
      <c r="AJ62" s="319"/>
      <c r="AK62" s="302"/>
      <c r="AL62" s="279"/>
      <c r="AM62" s="279"/>
      <c r="AN62" s="275"/>
      <c r="AO62" s="107"/>
      <c r="AP62" s="279"/>
      <c r="AQ62" s="279"/>
      <c r="AR62" s="282"/>
      <c r="AS62" s="321"/>
    </row>
    <row r="63" spans="1:45" s="336" customFormat="1" ht="12" customHeight="1">
      <c r="A63" s="279" t="str">
        <f t="shared" si="19"/>
        <v>PA-JDEL1.5TEMP-COM</v>
      </c>
      <c r="B63" s="307" t="s">
        <v>361</v>
      </c>
      <c r="C63" s="307" t="s">
        <v>362</v>
      </c>
      <c r="D63" s="109">
        <v>31.65</v>
      </c>
      <c r="E63" s="318">
        <v>35</v>
      </c>
      <c r="F63" s="99"/>
      <c r="G63" s="100">
        <v>0</v>
      </c>
      <c r="H63" s="100">
        <v>0</v>
      </c>
      <c r="I63" s="100">
        <v>0</v>
      </c>
      <c r="J63" s="100">
        <v>0</v>
      </c>
      <c r="K63" s="100">
        <v>0</v>
      </c>
      <c r="L63" s="100">
        <v>0</v>
      </c>
      <c r="M63" s="100">
        <v>0</v>
      </c>
      <c r="N63" s="100">
        <v>31.65</v>
      </c>
      <c r="O63" s="100">
        <v>0</v>
      </c>
      <c r="P63" s="100">
        <v>0</v>
      </c>
      <c r="Q63" s="100">
        <v>0</v>
      </c>
      <c r="R63" s="100">
        <v>0</v>
      </c>
      <c r="S63" s="100">
        <f t="shared" si="20"/>
        <v>31.65</v>
      </c>
      <c r="T63" s="288">
        <v>33010</v>
      </c>
      <c r="U63" s="288"/>
      <c r="V63" s="105">
        <f t="shared" si="21"/>
        <v>0</v>
      </c>
      <c r="W63" s="105">
        <f t="shared" si="21"/>
        <v>0</v>
      </c>
      <c r="X63" s="105">
        <f t="shared" si="21"/>
        <v>0</v>
      </c>
      <c r="Y63" s="105">
        <f t="shared" si="21"/>
        <v>0</v>
      </c>
      <c r="Z63" s="105">
        <f t="shared" si="21"/>
        <v>0</v>
      </c>
      <c r="AA63" s="105">
        <f t="shared" si="21"/>
        <v>0</v>
      </c>
      <c r="AB63" s="105">
        <f t="shared" si="21"/>
        <v>0</v>
      </c>
      <c r="AC63" s="105">
        <f t="shared" si="21"/>
        <v>1</v>
      </c>
      <c r="AD63" s="105">
        <f t="shared" si="21"/>
        <v>0</v>
      </c>
      <c r="AE63" s="105">
        <f t="shared" si="21"/>
        <v>0</v>
      </c>
      <c r="AF63" s="105">
        <f t="shared" si="21"/>
        <v>0</v>
      </c>
      <c r="AG63" s="105">
        <f t="shared" si="21"/>
        <v>0</v>
      </c>
      <c r="AH63" s="100">
        <f t="shared" si="22"/>
        <v>1</v>
      </c>
      <c r="AI63" s="308"/>
      <c r="AJ63" s="319"/>
      <c r="AK63" s="302"/>
      <c r="AL63" s="279"/>
      <c r="AM63" s="279"/>
      <c r="AN63" s="275"/>
      <c r="AO63" s="107"/>
      <c r="AP63" s="279"/>
      <c r="AQ63" s="279"/>
      <c r="AR63" s="282"/>
      <c r="AS63" s="321"/>
    </row>
    <row r="64" spans="1:45" s="336" customFormat="1" ht="12" customHeight="1">
      <c r="A64" s="279" t="str">
        <f t="shared" si="19"/>
        <v>PA-JDEL2TEMP-COM</v>
      </c>
      <c r="B64" s="307" t="s">
        <v>363</v>
      </c>
      <c r="C64" s="307" t="s">
        <v>364</v>
      </c>
      <c r="D64" s="109">
        <v>42.85</v>
      </c>
      <c r="E64" s="318">
        <v>35</v>
      </c>
      <c r="F64" s="99"/>
      <c r="G64" s="100">
        <v>171.4</v>
      </c>
      <c r="H64" s="100">
        <v>299.95</v>
      </c>
      <c r="I64" s="100">
        <v>171.4</v>
      </c>
      <c r="J64" s="100">
        <v>42.85</v>
      </c>
      <c r="K64" s="100">
        <v>128.55000000000001</v>
      </c>
      <c r="L64" s="100">
        <v>0</v>
      </c>
      <c r="M64" s="100">
        <v>85.7</v>
      </c>
      <c r="N64" s="100">
        <v>42.85</v>
      </c>
      <c r="O64" s="100">
        <v>214.25</v>
      </c>
      <c r="P64" s="100">
        <v>128.55000000000001</v>
      </c>
      <c r="Q64" s="100">
        <v>85.7</v>
      </c>
      <c r="R64" s="100">
        <v>171.4</v>
      </c>
      <c r="S64" s="100">
        <f t="shared" si="20"/>
        <v>1542.6000000000004</v>
      </c>
      <c r="T64" s="288">
        <v>33010</v>
      </c>
      <c r="U64" s="288"/>
      <c r="V64" s="105">
        <f t="shared" si="21"/>
        <v>4</v>
      </c>
      <c r="W64" s="105">
        <f t="shared" si="21"/>
        <v>6.9999999999999991</v>
      </c>
      <c r="X64" s="105">
        <f t="shared" si="21"/>
        <v>4</v>
      </c>
      <c r="Y64" s="105">
        <f t="shared" si="21"/>
        <v>1</v>
      </c>
      <c r="Z64" s="105">
        <f t="shared" si="21"/>
        <v>3</v>
      </c>
      <c r="AA64" s="105">
        <f t="shared" si="21"/>
        <v>0</v>
      </c>
      <c r="AB64" s="105">
        <f t="shared" si="21"/>
        <v>2</v>
      </c>
      <c r="AC64" s="105">
        <f t="shared" si="21"/>
        <v>1</v>
      </c>
      <c r="AD64" s="105">
        <f t="shared" si="21"/>
        <v>5</v>
      </c>
      <c r="AE64" s="105">
        <f t="shared" si="21"/>
        <v>3</v>
      </c>
      <c r="AF64" s="105">
        <f t="shared" si="21"/>
        <v>2</v>
      </c>
      <c r="AG64" s="105">
        <f t="shared" si="21"/>
        <v>4</v>
      </c>
      <c r="AH64" s="100">
        <f t="shared" si="22"/>
        <v>3.2727272727272729</v>
      </c>
      <c r="AI64" s="308"/>
      <c r="AJ64" s="319"/>
      <c r="AK64" s="302"/>
      <c r="AL64" s="279"/>
      <c r="AM64" s="279"/>
      <c r="AN64" s="275"/>
      <c r="AO64" s="107"/>
      <c r="AP64" s="279"/>
      <c r="AQ64" s="279"/>
      <c r="AR64" s="282"/>
      <c r="AS64" s="321"/>
    </row>
    <row r="65" spans="1:45" s="288" customFormat="1" ht="12" customHeight="1">
      <c r="A65" s="288" t="str">
        <f t="shared" si="19"/>
        <v>PA-JF2YD1W</v>
      </c>
      <c r="B65" s="307" t="s">
        <v>365</v>
      </c>
      <c r="C65" s="307" t="s">
        <v>120</v>
      </c>
      <c r="D65" s="317">
        <v>195.89</v>
      </c>
      <c r="E65" s="318">
        <v>35</v>
      </c>
      <c r="F65" s="99"/>
      <c r="G65" s="100">
        <v>2154.79</v>
      </c>
      <c r="H65" s="100">
        <v>2105.81</v>
      </c>
      <c r="I65" s="100">
        <v>2056.84</v>
      </c>
      <c r="J65" s="100">
        <v>4015.65</v>
      </c>
      <c r="K65" s="100">
        <v>3526.02</v>
      </c>
      <c r="L65" s="100">
        <v>3330.13</v>
      </c>
      <c r="M65" s="100">
        <v>3183.21</v>
      </c>
      <c r="N65" s="100">
        <v>3085.26</v>
      </c>
      <c r="O65" s="100">
        <v>3721.91</v>
      </c>
      <c r="P65" s="100">
        <v>3476.96</v>
      </c>
      <c r="Q65" s="100">
        <v>1567.12</v>
      </c>
      <c r="R65" s="100">
        <v>1567.12</v>
      </c>
      <c r="S65" s="100">
        <f t="shared" si="20"/>
        <v>33790.82</v>
      </c>
      <c r="T65" s="288">
        <v>33010</v>
      </c>
      <c r="V65" s="100">
        <f t="shared" si="21"/>
        <v>11</v>
      </c>
      <c r="W65" s="100">
        <f t="shared" si="21"/>
        <v>10.749961713206392</v>
      </c>
      <c r="X65" s="100">
        <f t="shared" si="21"/>
        <v>10.499974475470928</v>
      </c>
      <c r="Y65" s="100">
        <f t="shared" si="21"/>
        <v>20.499515033947624</v>
      </c>
      <c r="Z65" s="100">
        <f t="shared" si="21"/>
        <v>18</v>
      </c>
      <c r="AA65" s="100">
        <f t="shared" si="21"/>
        <v>17</v>
      </c>
      <c r="AB65" s="100">
        <f t="shared" si="21"/>
        <v>16.249987237735464</v>
      </c>
      <c r="AC65" s="100">
        <f t="shared" si="21"/>
        <v>15.749961713206394</v>
      </c>
      <c r="AD65" s="100">
        <f t="shared" si="21"/>
        <v>19</v>
      </c>
      <c r="AE65" s="100">
        <f t="shared" si="21"/>
        <v>17.749553320741235</v>
      </c>
      <c r="AF65" s="100">
        <f t="shared" si="21"/>
        <v>8</v>
      </c>
      <c r="AG65" s="100">
        <f t="shared" si="21"/>
        <v>8</v>
      </c>
      <c r="AH65" s="100">
        <f t="shared" si="22"/>
        <v>14.374912791192337</v>
      </c>
      <c r="AI65" s="308">
        <f>SUMIF('Staff Calcs '!D:D,C65,'Staff Calcs '!E:E)</f>
        <v>136.81218200690864</v>
      </c>
      <c r="AJ65" s="319">
        <f t="shared" ref="AJ65:AJ79" si="23">AH65-AI65</f>
        <v>-122.4372692157163</v>
      </c>
      <c r="AK65" s="302" t="s">
        <v>366</v>
      </c>
      <c r="AL65" s="279"/>
      <c r="AM65" s="279"/>
      <c r="AN65" s="275">
        <v>1</v>
      </c>
      <c r="AO65" s="107">
        <f t="shared" ref="AO65:AO77" si="24">+AH65*AN65</f>
        <v>14.374912791192337</v>
      </c>
      <c r="AP65" s="279"/>
      <c r="AQ65" s="279"/>
      <c r="AR65" s="337"/>
      <c r="AS65" s="321"/>
    </row>
    <row r="66" spans="1:45" s="288" customFormat="1" ht="12" customHeight="1">
      <c r="A66" s="288" t="str">
        <f t="shared" si="19"/>
        <v>PA-JF2YDEOW</v>
      </c>
      <c r="B66" s="307" t="s">
        <v>367</v>
      </c>
      <c r="C66" s="307" t="s">
        <v>124</v>
      </c>
      <c r="D66" s="317">
        <v>98.17</v>
      </c>
      <c r="E66" s="318">
        <v>35</v>
      </c>
      <c r="F66" s="99"/>
      <c r="G66" s="100">
        <v>981.7</v>
      </c>
      <c r="H66" s="100">
        <v>981.7</v>
      </c>
      <c r="I66" s="100">
        <v>932.61</v>
      </c>
      <c r="J66" s="100">
        <v>883.53</v>
      </c>
      <c r="K66" s="100">
        <v>883.53</v>
      </c>
      <c r="L66" s="100">
        <v>883.53</v>
      </c>
      <c r="M66" s="100">
        <v>932.61</v>
      </c>
      <c r="N66" s="100">
        <v>932.61</v>
      </c>
      <c r="O66" s="100">
        <v>883.53</v>
      </c>
      <c r="P66" s="100">
        <v>883.53</v>
      </c>
      <c r="Q66" s="100">
        <v>981.7</v>
      </c>
      <c r="R66" s="100">
        <v>981.7</v>
      </c>
      <c r="S66" s="100">
        <f t="shared" si="20"/>
        <v>11142.28</v>
      </c>
      <c r="T66" s="288">
        <v>33010</v>
      </c>
      <c r="V66" s="100">
        <f t="shared" si="21"/>
        <v>10</v>
      </c>
      <c r="W66" s="100">
        <f t="shared" si="21"/>
        <v>10</v>
      </c>
      <c r="X66" s="100">
        <f t="shared" si="21"/>
        <v>9.4999490679433638</v>
      </c>
      <c r="Y66" s="100">
        <f t="shared" si="21"/>
        <v>9</v>
      </c>
      <c r="Z66" s="100">
        <f t="shared" si="21"/>
        <v>9</v>
      </c>
      <c r="AA66" s="100">
        <f t="shared" si="21"/>
        <v>9</v>
      </c>
      <c r="AB66" s="100">
        <f t="shared" si="21"/>
        <v>9.4999490679433638</v>
      </c>
      <c r="AC66" s="100">
        <f t="shared" si="21"/>
        <v>9.4999490679433638</v>
      </c>
      <c r="AD66" s="100">
        <f t="shared" si="21"/>
        <v>9</v>
      </c>
      <c r="AE66" s="100">
        <f t="shared" si="21"/>
        <v>9</v>
      </c>
      <c r="AF66" s="100">
        <f t="shared" si="21"/>
        <v>10</v>
      </c>
      <c r="AG66" s="100">
        <f t="shared" si="21"/>
        <v>10</v>
      </c>
      <c r="AH66" s="100">
        <f t="shared" si="22"/>
        <v>9.4583206003191744</v>
      </c>
      <c r="AI66" s="308">
        <f>SUMIF('Staff Calcs '!D:D,C66,'Staff Calcs '!E:E)</f>
        <v>74.083214491867835</v>
      </c>
      <c r="AJ66" s="319">
        <f t="shared" si="23"/>
        <v>-64.624893891548666</v>
      </c>
      <c r="AK66" s="302" t="s">
        <v>366</v>
      </c>
      <c r="AL66" s="279"/>
      <c r="AM66" s="279"/>
      <c r="AN66" s="275">
        <v>1</v>
      </c>
      <c r="AO66" s="107">
        <f t="shared" si="24"/>
        <v>9.4583206003191744</v>
      </c>
      <c r="AP66" s="279"/>
      <c r="AQ66" s="279"/>
      <c r="AR66" s="337"/>
      <c r="AS66" s="321"/>
    </row>
    <row r="67" spans="1:45" s="288" customFormat="1" ht="12" customHeight="1">
      <c r="A67" s="288" t="str">
        <f t="shared" si="19"/>
        <v>PA-JF4YD1W</v>
      </c>
      <c r="B67" s="307" t="s">
        <v>368</v>
      </c>
      <c r="C67" s="307" t="s">
        <v>369</v>
      </c>
      <c r="D67" s="317">
        <v>350.73</v>
      </c>
      <c r="E67" s="318">
        <v>36</v>
      </c>
      <c r="F67" s="99"/>
      <c r="G67" s="100">
        <v>7716.06</v>
      </c>
      <c r="H67" s="100">
        <v>7803.74</v>
      </c>
      <c r="I67" s="100">
        <v>7803.74</v>
      </c>
      <c r="J67" s="100">
        <v>7716.06</v>
      </c>
      <c r="K67" s="100">
        <v>7540.69</v>
      </c>
      <c r="L67" s="100">
        <v>7365.33</v>
      </c>
      <c r="M67" s="100">
        <v>7365.33</v>
      </c>
      <c r="N67" s="100">
        <v>7540.69</v>
      </c>
      <c r="O67" s="100">
        <v>7716.06</v>
      </c>
      <c r="P67" s="100">
        <v>7716.06</v>
      </c>
      <c r="Q67" s="100">
        <v>7716.06</v>
      </c>
      <c r="R67" s="100">
        <v>7716.06</v>
      </c>
      <c r="S67" s="100">
        <f t="shared" si="20"/>
        <v>91715.88</v>
      </c>
      <c r="T67" s="288">
        <v>33010</v>
      </c>
      <c r="V67" s="100">
        <f t="shared" si="21"/>
        <v>22</v>
      </c>
      <c r="W67" s="100">
        <f t="shared" si="21"/>
        <v>22.249992872009805</v>
      </c>
      <c r="X67" s="100">
        <f t="shared" si="21"/>
        <v>22.249992872009805</v>
      </c>
      <c r="Y67" s="100">
        <f t="shared" si="21"/>
        <v>22</v>
      </c>
      <c r="Z67" s="100">
        <f t="shared" si="21"/>
        <v>21.499985744019614</v>
      </c>
      <c r="AA67" s="100">
        <f t="shared" si="21"/>
        <v>21</v>
      </c>
      <c r="AB67" s="100">
        <f t="shared" si="21"/>
        <v>21</v>
      </c>
      <c r="AC67" s="100">
        <f t="shared" si="21"/>
        <v>21.499985744019614</v>
      </c>
      <c r="AD67" s="100">
        <f t="shared" si="21"/>
        <v>22</v>
      </c>
      <c r="AE67" s="100">
        <f t="shared" si="21"/>
        <v>22</v>
      </c>
      <c r="AF67" s="100">
        <f t="shared" si="21"/>
        <v>22</v>
      </c>
      <c r="AG67" s="100">
        <f t="shared" si="21"/>
        <v>22</v>
      </c>
      <c r="AH67" s="100">
        <f t="shared" si="22"/>
        <v>21.791663102671567</v>
      </c>
      <c r="AI67" s="308">
        <f>SUMIF('Staff Calcs '!D:D,C67,'Staff Calcs '!E:E)</f>
        <v>21.791663102671567</v>
      </c>
      <c r="AJ67" s="319">
        <f t="shared" si="23"/>
        <v>0</v>
      </c>
      <c r="AK67" s="302" t="s">
        <v>370</v>
      </c>
      <c r="AL67" s="279"/>
      <c r="AM67" s="279"/>
      <c r="AN67" s="275">
        <v>1</v>
      </c>
      <c r="AO67" s="107">
        <f t="shared" si="24"/>
        <v>21.791663102671567</v>
      </c>
      <c r="AP67" s="279"/>
      <c r="AQ67" s="279"/>
      <c r="AR67" s="337"/>
      <c r="AS67" s="321"/>
    </row>
    <row r="68" spans="1:45" s="288" customFormat="1" ht="12" customHeight="1">
      <c r="A68" s="288" t="str">
        <f t="shared" si="19"/>
        <v>PA-JF6YD1W</v>
      </c>
      <c r="B68" s="307" t="s">
        <v>371</v>
      </c>
      <c r="C68" s="307" t="s">
        <v>372</v>
      </c>
      <c r="D68" s="317">
        <v>529.39</v>
      </c>
      <c r="E68" s="318">
        <v>35</v>
      </c>
      <c r="F68" s="99"/>
      <c r="G68" s="100">
        <v>2117.56</v>
      </c>
      <c r="H68" s="100">
        <v>2117.56</v>
      </c>
      <c r="I68" s="100">
        <v>2117.56</v>
      </c>
      <c r="J68" s="100">
        <v>2117.56</v>
      </c>
      <c r="K68" s="100">
        <v>2117.56</v>
      </c>
      <c r="L68" s="100">
        <v>2117.56</v>
      </c>
      <c r="M68" s="100">
        <v>2117.56</v>
      </c>
      <c r="N68" s="100">
        <v>2117.56</v>
      </c>
      <c r="O68" s="100">
        <v>2117.56</v>
      </c>
      <c r="P68" s="100">
        <v>2117.56</v>
      </c>
      <c r="Q68" s="100">
        <v>2117.56</v>
      </c>
      <c r="R68" s="100">
        <v>2117.56</v>
      </c>
      <c r="S68" s="100">
        <f t="shared" si="20"/>
        <v>25410.720000000005</v>
      </c>
      <c r="T68" s="288">
        <v>33010</v>
      </c>
      <c r="V68" s="100">
        <f t="shared" si="21"/>
        <v>4</v>
      </c>
      <c r="W68" s="100">
        <f t="shared" si="21"/>
        <v>4</v>
      </c>
      <c r="X68" s="100">
        <f t="shared" si="21"/>
        <v>4</v>
      </c>
      <c r="Y68" s="100">
        <f t="shared" si="21"/>
        <v>4</v>
      </c>
      <c r="Z68" s="100">
        <f t="shared" si="21"/>
        <v>4</v>
      </c>
      <c r="AA68" s="100">
        <f t="shared" si="21"/>
        <v>4</v>
      </c>
      <c r="AB68" s="100">
        <f t="shared" si="21"/>
        <v>4</v>
      </c>
      <c r="AC68" s="100">
        <f t="shared" si="21"/>
        <v>4</v>
      </c>
      <c r="AD68" s="100">
        <f t="shared" si="21"/>
        <v>4</v>
      </c>
      <c r="AE68" s="100">
        <f t="shared" si="21"/>
        <v>4</v>
      </c>
      <c r="AF68" s="100">
        <f t="shared" si="21"/>
        <v>4</v>
      </c>
      <c r="AG68" s="100">
        <f t="shared" si="21"/>
        <v>4</v>
      </c>
      <c r="AH68" s="100">
        <f t="shared" si="22"/>
        <v>4</v>
      </c>
      <c r="AI68" s="308">
        <f>SUMIF('Staff Calcs '!D:D,C68,'Staff Calcs '!E:E)</f>
        <v>4</v>
      </c>
      <c r="AJ68" s="319">
        <f t="shared" si="23"/>
        <v>0</v>
      </c>
      <c r="AK68" s="302" t="s">
        <v>373</v>
      </c>
      <c r="AL68" s="279"/>
      <c r="AM68" s="279"/>
      <c r="AN68" s="275">
        <v>1</v>
      </c>
      <c r="AO68" s="107">
        <f t="shared" si="24"/>
        <v>4</v>
      </c>
      <c r="AP68" s="279"/>
      <c r="AQ68" s="279"/>
      <c r="AR68" s="337"/>
      <c r="AS68" s="321"/>
    </row>
    <row r="69" spans="1:45" s="288" customFormat="1" ht="12" customHeight="1">
      <c r="A69" s="288" t="str">
        <f t="shared" si="19"/>
        <v>PA-JF1.5YD1W</v>
      </c>
      <c r="B69" s="307" t="s">
        <v>374</v>
      </c>
      <c r="C69" s="307" t="s">
        <v>119</v>
      </c>
      <c r="D69" s="317">
        <v>140.12</v>
      </c>
      <c r="E69" s="318">
        <v>35</v>
      </c>
      <c r="F69" s="99"/>
      <c r="G69" s="100">
        <v>280.24</v>
      </c>
      <c r="H69" s="100">
        <v>280.24</v>
      </c>
      <c r="I69" s="100">
        <v>280.24</v>
      </c>
      <c r="J69" s="100">
        <v>420.36</v>
      </c>
      <c r="K69" s="100">
        <v>420.36</v>
      </c>
      <c r="L69" s="100">
        <v>420.36</v>
      </c>
      <c r="M69" s="100">
        <v>420.36</v>
      </c>
      <c r="N69" s="100">
        <v>280.24</v>
      </c>
      <c r="O69" s="100">
        <v>280.24</v>
      </c>
      <c r="P69" s="100">
        <v>280.24</v>
      </c>
      <c r="Q69" s="100">
        <v>280.24</v>
      </c>
      <c r="R69" s="100">
        <v>280.24</v>
      </c>
      <c r="S69" s="100">
        <f t="shared" si="20"/>
        <v>3923.3599999999997</v>
      </c>
      <c r="T69" s="288">
        <v>33010</v>
      </c>
      <c r="V69" s="100">
        <f t="shared" si="21"/>
        <v>2</v>
      </c>
      <c r="W69" s="100">
        <f t="shared" si="21"/>
        <v>2</v>
      </c>
      <c r="X69" s="100">
        <f t="shared" si="21"/>
        <v>2</v>
      </c>
      <c r="Y69" s="100">
        <f t="shared" si="21"/>
        <v>3</v>
      </c>
      <c r="Z69" s="100">
        <f t="shared" si="21"/>
        <v>3</v>
      </c>
      <c r="AA69" s="100">
        <f t="shared" si="21"/>
        <v>3</v>
      </c>
      <c r="AB69" s="100">
        <f t="shared" si="21"/>
        <v>3</v>
      </c>
      <c r="AC69" s="100">
        <f t="shared" si="21"/>
        <v>2</v>
      </c>
      <c r="AD69" s="100">
        <f t="shared" si="21"/>
        <v>2</v>
      </c>
      <c r="AE69" s="100">
        <f t="shared" si="21"/>
        <v>2</v>
      </c>
      <c r="AF69" s="100">
        <f t="shared" si="21"/>
        <v>2</v>
      </c>
      <c r="AG69" s="100">
        <f t="shared" si="21"/>
        <v>2</v>
      </c>
      <c r="AH69" s="100">
        <f t="shared" si="22"/>
        <v>2.3333333333333335</v>
      </c>
      <c r="AI69" s="308">
        <f>SUMIF('Staff Calcs '!D:D,C69,'Staff Calcs '!E:E)</f>
        <v>40.791666666666671</v>
      </c>
      <c r="AJ69" s="319">
        <f t="shared" si="23"/>
        <v>-38.458333333333336</v>
      </c>
      <c r="AK69" s="302" t="s">
        <v>375</v>
      </c>
      <c r="AL69" s="279"/>
      <c r="AM69" s="279"/>
      <c r="AN69" s="275">
        <v>1</v>
      </c>
      <c r="AO69" s="107">
        <f t="shared" si="24"/>
        <v>2.3333333333333335</v>
      </c>
      <c r="AP69" s="279"/>
      <c r="AQ69" s="279"/>
      <c r="AR69" s="337"/>
      <c r="AS69" s="321"/>
    </row>
    <row r="70" spans="1:45" s="288" customFormat="1" ht="12" customHeight="1">
      <c r="A70" s="288" t="str">
        <f t="shared" si="19"/>
        <v>PA-JF1.5YDEOW</v>
      </c>
      <c r="B70" s="307" t="s">
        <v>376</v>
      </c>
      <c r="C70" s="307" t="s">
        <v>123</v>
      </c>
      <c r="D70" s="317">
        <v>70.22</v>
      </c>
      <c r="E70" s="318">
        <v>35</v>
      </c>
      <c r="F70" s="99"/>
      <c r="G70" s="100">
        <v>140.44</v>
      </c>
      <c r="H70" s="100">
        <v>140.44</v>
      </c>
      <c r="I70" s="100">
        <v>140.44</v>
      </c>
      <c r="J70" s="100">
        <v>140.44</v>
      </c>
      <c r="K70" s="100">
        <v>140.44</v>
      </c>
      <c r="L70" s="100">
        <v>140.44</v>
      </c>
      <c r="M70" s="100">
        <v>140.44</v>
      </c>
      <c r="N70" s="100">
        <v>210.66</v>
      </c>
      <c r="O70" s="100">
        <v>210.66</v>
      </c>
      <c r="P70" s="100">
        <v>210.66</v>
      </c>
      <c r="Q70" s="100">
        <v>210.66</v>
      </c>
      <c r="R70" s="100">
        <v>210.66</v>
      </c>
      <c r="S70" s="100">
        <f t="shared" si="20"/>
        <v>2036.3800000000006</v>
      </c>
      <c r="T70" s="288">
        <v>33010</v>
      </c>
      <c r="V70" s="100">
        <f t="shared" si="21"/>
        <v>2</v>
      </c>
      <c r="W70" s="100">
        <f t="shared" si="21"/>
        <v>2</v>
      </c>
      <c r="X70" s="100">
        <f t="shared" si="21"/>
        <v>2</v>
      </c>
      <c r="Y70" s="100">
        <f t="shared" si="21"/>
        <v>2</v>
      </c>
      <c r="Z70" s="100">
        <f t="shared" si="21"/>
        <v>2</v>
      </c>
      <c r="AA70" s="100">
        <f t="shared" si="21"/>
        <v>2</v>
      </c>
      <c r="AB70" s="100">
        <f t="shared" si="21"/>
        <v>2</v>
      </c>
      <c r="AC70" s="100">
        <f t="shared" si="21"/>
        <v>3</v>
      </c>
      <c r="AD70" s="100">
        <f t="shared" si="21"/>
        <v>3</v>
      </c>
      <c r="AE70" s="100">
        <f t="shared" si="21"/>
        <v>3</v>
      </c>
      <c r="AF70" s="100">
        <f t="shared" si="21"/>
        <v>3</v>
      </c>
      <c r="AG70" s="100">
        <f t="shared" si="21"/>
        <v>3</v>
      </c>
      <c r="AH70" s="100">
        <f t="shared" si="22"/>
        <v>2.4166666666666665</v>
      </c>
      <c r="AI70" s="308">
        <f>SUMIF('Staff Calcs '!D:D,C70,'Staff Calcs '!E:E)</f>
        <v>38.166666666666664</v>
      </c>
      <c r="AJ70" s="319">
        <f t="shared" si="23"/>
        <v>-35.75</v>
      </c>
      <c r="AK70" s="302" t="s">
        <v>375</v>
      </c>
      <c r="AL70" s="279"/>
      <c r="AM70" s="279"/>
      <c r="AN70" s="275">
        <v>1</v>
      </c>
      <c r="AO70" s="107">
        <f t="shared" si="24"/>
        <v>2.4166666666666665</v>
      </c>
      <c r="AP70" s="279"/>
      <c r="AQ70" s="279"/>
      <c r="AR70" s="337"/>
      <c r="AS70" s="321"/>
    </row>
    <row r="71" spans="1:45" s="288" customFormat="1" ht="12" customHeight="1">
      <c r="A71" s="288" t="str">
        <f t="shared" si="19"/>
        <v>PA-JF1YD1M</v>
      </c>
      <c r="B71" s="307" t="s">
        <v>377</v>
      </c>
      <c r="C71" s="307" t="s">
        <v>378</v>
      </c>
      <c r="D71" s="317">
        <v>23.08</v>
      </c>
      <c r="E71" s="318">
        <v>35</v>
      </c>
      <c r="F71" s="99"/>
      <c r="G71" s="100">
        <v>115.4</v>
      </c>
      <c r="H71" s="100">
        <v>115.4</v>
      </c>
      <c r="I71" s="100">
        <v>92.32</v>
      </c>
      <c r="J71" s="100">
        <v>92.32</v>
      </c>
      <c r="K71" s="100">
        <v>92.32</v>
      </c>
      <c r="L71" s="100">
        <v>92.32</v>
      </c>
      <c r="M71" s="100">
        <v>69.239999999999995</v>
      </c>
      <c r="N71" s="100">
        <v>92.32</v>
      </c>
      <c r="O71" s="100">
        <v>92.32</v>
      </c>
      <c r="P71" s="100">
        <v>92.32</v>
      </c>
      <c r="Q71" s="100">
        <v>92.32</v>
      </c>
      <c r="R71" s="100">
        <v>115.4</v>
      </c>
      <c r="S71" s="100">
        <f t="shared" si="20"/>
        <v>1153.9999999999998</v>
      </c>
      <c r="T71" s="288">
        <v>33010</v>
      </c>
      <c r="V71" s="100">
        <f t="shared" si="21"/>
        <v>5.0000000000000009</v>
      </c>
      <c r="W71" s="100">
        <f t="shared" si="21"/>
        <v>5.0000000000000009</v>
      </c>
      <c r="X71" s="100">
        <f t="shared" si="21"/>
        <v>4</v>
      </c>
      <c r="Y71" s="100">
        <f t="shared" si="21"/>
        <v>4</v>
      </c>
      <c r="Z71" s="100">
        <f t="shared" si="21"/>
        <v>4</v>
      </c>
      <c r="AA71" s="100">
        <f t="shared" si="21"/>
        <v>4</v>
      </c>
      <c r="AB71" s="100">
        <f t="shared" si="21"/>
        <v>3</v>
      </c>
      <c r="AC71" s="100">
        <f t="shared" si="21"/>
        <v>4</v>
      </c>
      <c r="AD71" s="100">
        <f t="shared" si="21"/>
        <v>4</v>
      </c>
      <c r="AE71" s="100">
        <f t="shared" si="21"/>
        <v>4</v>
      </c>
      <c r="AF71" s="100">
        <f t="shared" si="21"/>
        <v>4</v>
      </c>
      <c r="AG71" s="100">
        <f t="shared" si="21"/>
        <v>5.0000000000000009</v>
      </c>
      <c r="AH71" s="100">
        <f t="shared" si="22"/>
        <v>4.166666666666667</v>
      </c>
      <c r="AI71" s="308">
        <f>SUMIF('Staff Calcs '!D:D,C71,'Staff Calcs '!E:E)</f>
        <v>28.166666666666668</v>
      </c>
      <c r="AJ71" s="319">
        <f t="shared" si="23"/>
        <v>-24</v>
      </c>
      <c r="AK71" s="302" t="s">
        <v>379</v>
      </c>
      <c r="AL71" s="279"/>
      <c r="AM71" s="279"/>
      <c r="AN71" s="275">
        <v>1</v>
      </c>
      <c r="AO71" s="107">
        <f t="shared" si="24"/>
        <v>4.166666666666667</v>
      </c>
      <c r="AP71" s="279"/>
      <c r="AQ71" s="279"/>
      <c r="AR71" s="337"/>
      <c r="AS71" s="321"/>
    </row>
    <row r="72" spans="1:45" s="288" customFormat="1" ht="12" customHeight="1">
      <c r="A72" s="288" t="str">
        <f t="shared" si="19"/>
        <v>PA-JF1YD1W</v>
      </c>
      <c r="B72" s="307" t="s">
        <v>380</v>
      </c>
      <c r="C72" s="307" t="s">
        <v>118</v>
      </c>
      <c r="D72" s="317">
        <v>99.94</v>
      </c>
      <c r="E72" s="318">
        <v>35</v>
      </c>
      <c r="F72" s="99"/>
      <c r="G72" s="100">
        <v>524.67999999999995</v>
      </c>
      <c r="H72" s="100">
        <v>499.7</v>
      </c>
      <c r="I72" s="100">
        <v>574.65</v>
      </c>
      <c r="J72" s="100">
        <v>549.66999999999996</v>
      </c>
      <c r="K72" s="100">
        <v>499.7</v>
      </c>
      <c r="L72" s="100">
        <v>474.71</v>
      </c>
      <c r="M72" s="100">
        <v>499.7</v>
      </c>
      <c r="N72" s="100">
        <v>399.76</v>
      </c>
      <c r="O72" s="100">
        <v>399.76</v>
      </c>
      <c r="P72" s="100">
        <v>399.76</v>
      </c>
      <c r="Q72" s="100">
        <v>399.76</v>
      </c>
      <c r="R72" s="100">
        <v>299.82</v>
      </c>
      <c r="S72" s="100">
        <f t="shared" si="20"/>
        <v>5521.67</v>
      </c>
      <c r="T72" s="288">
        <v>33010</v>
      </c>
      <c r="V72" s="100">
        <f t="shared" si="21"/>
        <v>5.2499499699819889</v>
      </c>
      <c r="W72" s="100">
        <f t="shared" si="21"/>
        <v>5</v>
      </c>
      <c r="X72" s="100">
        <f t="shared" si="21"/>
        <v>5.7499499699819889</v>
      </c>
      <c r="Y72" s="100">
        <f t="shared" si="21"/>
        <v>5.5</v>
      </c>
      <c r="Z72" s="100">
        <f t="shared" si="21"/>
        <v>5</v>
      </c>
      <c r="AA72" s="100">
        <f t="shared" si="21"/>
        <v>4.7499499699819889</v>
      </c>
      <c r="AB72" s="100">
        <f t="shared" si="21"/>
        <v>5</v>
      </c>
      <c r="AC72" s="100">
        <f t="shared" si="21"/>
        <v>4</v>
      </c>
      <c r="AD72" s="100">
        <f t="shared" si="21"/>
        <v>4</v>
      </c>
      <c r="AE72" s="100">
        <f t="shared" si="21"/>
        <v>4</v>
      </c>
      <c r="AF72" s="100">
        <f t="shared" si="21"/>
        <v>4</v>
      </c>
      <c r="AG72" s="100">
        <f t="shared" si="21"/>
        <v>3</v>
      </c>
      <c r="AH72" s="100">
        <f t="shared" si="22"/>
        <v>4.6041541591621638</v>
      </c>
      <c r="AI72" s="308">
        <f>SUMIF('Staff Calcs '!D:D,C72,'Staff Calcs '!E:E)</f>
        <v>86.999899939963981</v>
      </c>
      <c r="AJ72" s="319">
        <f t="shared" si="23"/>
        <v>-82.395745780801818</v>
      </c>
      <c r="AK72" s="302" t="s">
        <v>379</v>
      </c>
      <c r="AL72" s="279"/>
      <c r="AM72" s="279"/>
      <c r="AN72" s="275">
        <v>1</v>
      </c>
      <c r="AO72" s="107">
        <f t="shared" si="24"/>
        <v>4.6041541591621638</v>
      </c>
      <c r="AP72" s="279"/>
      <c r="AQ72" s="279"/>
      <c r="AR72" s="337"/>
      <c r="AS72" s="321"/>
    </row>
    <row r="73" spans="1:45" s="288" customFormat="1" ht="12" customHeight="1">
      <c r="A73" s="288" t="str">
        <f t="shared" si="19"/>
        <v>PA-JF1YDEOW</v>
      </c>
      <c r="B73" s="307" t="s">
        <v>381</v>
      </c>
      <c r="C73" s="307" t="s">
        <v>122</v>
      </c>
      <c r="D73" s="317">
        <v>50.08</v>
      </c>
      <c r="E73" s="318">
        <v>35</v>
      </c>
      <c r="F73" s="99"/>
      <c r="G73" s="100">
        <v>550.88</v>
      </c>
      <c r="H73" s="100">
        <v>550.88</v>
      </c>
      <c r="I73" s="100">
        <v>600.96</v>
      </c>
      <c r="J73" s="100">
        <v>600.96</v>
      </c>
      <c r="K73" s="100">
        <v>600.96</v>
      </c>
      <c r="L73" s="100">
        <v>600.96</v>
      </c>
      <c r="M73" s="100">
        <v>575.91999999999996</v>
      </c>
      <c r="N73" s="100">
        <v>500.8</v>
      </c>
      <c r="O73" s="100">
        <v>500.8</v>
      </c>
      <c r="P73" s="100">
        <v>500.8</v>
      </c>
      <c r="Q73" s="100">
        <v>500.8</v>
      </c>
      <c r="R73" s="100">
        <v>500.8</v>
      </c>
      <c r="S73" s="100">
        <f t="shared" si="20"/>
        <v>6585.5200000000013</v>
      </c>
      <c r="T73" s="288">
        <v>33010</v>
      </c>
      <c r="V73" s="100">
        <f t="shared" si="21"/>
        <v>11</v>
      </c>
      <c r="W73" s="100">
        <f t="shared" si="21"/>
        <v>11</v>
      </c>
      <c r="X73" s="100">
        <f t="shared" si="21"/>
        <v>12.000000000000002</v>
      </c>
      <c r="Y73" s="100">
        <f t="shared" si="21"/>
        <v>12.000000000000002</v>
      </c>
      <c r="Z73" s="100">
        <f t="shared" si="21"/>
        <v>12.000000000000002</v>
      </c>
      <c r="AA73" s="100">
        <f t="shared" si="21"/>
        <v>12.000000000000002</v>
      </c>
      <c r="AB73" s="100">
        <f t="shared" si="21"/>
        <v>11.5</v>
      </c>
      <c r="AC73" s="100">
        <f t="shared" si="21"/>
        <v>10</v>
      </c>
      <c r="AD73" s="100">
        <f t="shared" si="21"/>
        <v>10</v>
      </c>
      <c r="AE73" s="100">
        <f t="shared" si="21"/>
        <v>10</v>
      </c>
      <c r="AF73" s="100">
        <f t="shared" si="21"/>
        <v>10</v>
      </c>
      <c r="AG73" s="100">
        <f t="shared" si="21"/>
        <v>10</v>
      </c>
      <c r="AH73" s="100">
        <f t="shared" si="22"/>
        <v>10.958333333333334</v>
      </c>
      <c r="AI73" s="308">
        <f>SUMIF('Staff Calcs '!D:D,C73,'Staff Calcs '!E:E)</f>
        <v>203.95790069222579</v>
      </c>
      <c r="AJ73" s="319">
        <f t="shared" si="23"/>
        <v>-192.99956735889245</v>
      </c>
      <c r="AK73" s="302" t="s">
        <v>379</v>
      </c>
      <c r="AL73" s="279"/>
      <c r="AM73" s="279"/>
      <c r="AN73" s="275">
        <v>1</v>
      </c>
      <c r="AO73" s="107">
        <f t="shared" si="24"/>
        <v>10.958333333333334</v>
      </c>
      <c r="AP73" s="279"/>
      <c r="AQ73" s="279"/>
      <c r="AR73" s="337"/>
      <c r="AS73" s="321"/>
    </row>
    <row r="74" spans="1:45" s="288" customFormat="1" ht="12" customHeight="1">
      <c r="A74" s="288" t="str">
        <f t="shared" si="19"/>
        <v>PA-JF2YD2W</v>
      </c>
      <c r="B74" s="307" t="s">
        <v>382</v>
      </c>
      <c r="C74" s="282" t="s">
        <v>121</v>
      </c>
      <c r="D74" s="317">
        <v>391.78</v>
      </c>
      <c r="E74" s="318">
        <v>35</v>
      </c>
      <c r="F74" s="99"/>
      <c r="G74" s="100">
        <v>7052.04</v>
      </c>
      <c r="H74" s="100">
        <v>7052.04</v>
      </c>
      <c r="I74" s="100">
        <v>5142</v>
      </c>
      <c r="J74" s="100">
        <v>783.56</v>
      </c>
      <c r="K74" s="100">
        <v>783.56</v>
      </c>
      <c r="L74" s="100">
        <v>783.56</v>
      </c>
      <c r="M74" s="100">
        <v>783.56</v>
      </c>
      <c r="N74" s="100">
        <v>783.56</v>
      </c>
      <c r="O74" s="100">
        <v>783.56</v>
      </c>
      <c r="P74" s="100">
        <v>2840.3</v>
      </c>
      <c r="Q74" s="100">
        <v>6660.26</v>
      </c>
      <c r="R74" s="100">
        <v>7052.04</v>
      </c>
      <c r="S74" s="100">
        <f t="shared" si="20"/>
        <v>40500.040000000008</v>
      </c>
      <c r="T74" s="288">
        <v>33010</v>
      </c>
      <c r="V74" s="100">
        <f t="shared" si="21"/>
        <v>18</v>
      </c>
      <c r="W74" s="100">
        <f t="shared" si="21"/>
        <v>18</v>
      </c>
      <c r="X74" s="100">
        <f t="shared" si="21"/>
        <v>13.124712849047937</v>
      </c>
      <c r="Y74" s="100">
        <f t="shared" si="21"/>
        <v>2</v>
      </c>
      <c r="Z74" s="100">
        <f t="shared" si="21"/>
        <v>2</v>
      </c>
      <c r="AA74" s="100">
        <f t="shared" si="21"/>
        <v>2</v>
      </c>
      <c r="AB74" s="100">
        <f t="shared" si="21"/>
        <v>2</v>
      </c>
      <c r="AC74" s="100">
        <f t="shared" si="21"/>
        <v>2</v>
      </c>
      <c r="AD74" s="100">
        <f t="shared" si="21"/>
        <v>2</v>
      </c>
      <c r="AE74" s="100">
        <f t="shared" si="21"/>
        <v>7.2497319924447403</v>
      </c>
      <c r="AF74" s="100">
        <f t="shared" si="21"/>
        <v>17</v>
      </c>
      <c r="AG74" s="100">
        <f t="shared" si="21"/>
        <v>18</v>
      </c>
      <c r="AH74" s="100">
        <f t="shared" si="22"/>
        <v>8.6145370701243902</v>
      </c>
      <c r="AI74" s="308">
        <f>SUMIF('Staff Calcs '!D:D,C74,'Staff Calcs '!E:E)</f>
        <v>26.156186720438342</v>
      </c>
      <c r="AJ74" s="319">
        <f t="shared" si="23"/>
        <v>-17.54164965031395</v>
      </c>
      <c r="AK74" s="302" t="s">
        <v>366</v>
      </c>
      <c r="AL74" s="279"/>
      <c r="AM74" s="279"/>
      <c r="AN74" s="275">
        <v>1</v>
      </c>
      <c r="AO74" s="107">
        <f t="shared" si="24"/>
        <v>8.6145370701243902</v>
      </c>
      <c r="AP74" s="279"/>
      <c r="AQ74" s="279"/>
      <c r="AR74" s="337"/>
      <c r="AS74" s="321"/>
    </row>
    <row r="75" spans="1:45" s="288" customFormat="1" ht="12" customHeight="1">
      <c r="A75" s="288" t="str">
        <f t="shared" si="19"/>
        <v>PA-JF3YD1W</v>
      </c>
      <c r="B75" s="307" t="s">
        <v>383</v>
      </c>
      <c r="C75" s="307" t="s">
        <v>384</v>
      </c>
      <c r="D75" s="317">
        <v>257.12</v>
      </c>
      <c r="E75" s="318">
        <v>35</v>
      </c>
      <c r="F75" s="99"/>
      <c r="G75" s="100">
        <v>2314.08</v>
      </c>
      <c r="H75" s="100">
        <v>2314.08</v>
      </c>
      <c r="I75" s="100">
        <v>2314.08</v>
      </c>
      <c r="J75" s="100">
        <v>2314.08</v>
      </c>
      <c r="K75" s="100">
        <v>2314.08</v>
      </c>
      <c r="L75" s="100">
        <v>2249.8000000000002</v>
      </c>
      <c r="M75" s="100">
        <v>2056.96</v>
      </c>
      <c r="N75" s="100">
        <v>2056.96</v>
      </c>
      <c r="O75" s="100">
        <v>2056.96</v>
      </c>
      <c r="P75" s="100">
        <v>2314.08</v>
      </c>
      <c r="Q75" s="100">
        <v>2314.08</v>
      </c>
      <c r="R75" s="100">
        <v>2314.08</v>
      </c>
      <c r="S75" s="100">
        <f t="shared" si="20"/>
        <v>26933.32</v>
      </c>
      <c r="T75" s="288">
        <v>33010</v>
      </c>
      <c r="V75" s="100">
        <f t="shared" si="21"/>
        <v>9</v>
      </c>
      <c r="W75" s="100">
        <f t="shared" si="21"/>
        <v>9</v>
      </c>
      <c r="X75" s="100">
        <f t="shared" si="21"/>
        <v>9</v>
      </c>
      <c r="Y75" s="100">
        <f t="shared" si="21"/>
        <v>9</v>
      </c>
      <c r="Z75" s="100">
        <f t="shared" si="21"/>
        <v>9</v>
      </c>
      <c r="AA75" s="100">
        <f t="shared" si="21"/>
        <v>8.75</v>
      </c>
      <c r="AB75" s="100">
        <f t="shared" si="21"/>
        <v>8</v>
      </c>
      <c r="AC75" s="100">
        <f t="shared" si="21"/>
        <v>8</v>
      </c>
      <c r="AD75" s="100">
        <f t="shared" si="21"/>
        <v>8</v>
      </c>
      <c r="AE75" s="100">
        <f t="shared" si="21"/>
        <v>9</v>
      </c>
      <c r="AF75" s="100">
        <f t="shared" si="21"/>
        <v>9</v>
      </c>
      <c r="AG75" s="100">
        <f t="shared" si="21"/>
        <v>9</v>
      </c>
      <c r="AH75" s="100">
        <f t="shared" si="22"/>
        <v>8.7291666666666661</v>
      </c>
      <c r="AI75" s="308">
        <f>SUMIF('Staff Calcs '!D:D,C75,'Staff Calcs '!E:E)</f>
        <v>8.7291666666666661</v>
      </c>
      <c r="AJ75" s="319">
        <f t="shared" si="23"/>
        <v>0</v>
      </c>
      <c r="AK75" s="302" t="s">
        <v>385</v>
      </c>
      <c r="AL75" s="279"/>
      <c r="AM75" s="279"/>
      <c r="AN75" s="275">
        <v>1</v>
      </c>
      <c r="AO75" s="107">
        <f t="shared" si="24"/>
        <v>8.7291666666666661</v>
      </c>
      <c r="AP75" s="279"/>
      <c r="AQ75" s="279"/>
      <c r="AR75" s="337"/>
      <c r="AS75" s="321"/>
    </row>
    <row r="76" spans="1:45" s="288" customFormat="1" ht="12" customHeight="1">
      <c r="A76" s="288" t="str">
        <f t="shared" si="19"/>
        <v>PA-JF3YDEOW</v>
      </c>
      <c r="B76" s="307" t="s">
        <v>386</v>
      </c>
      <c r="C76" s="307" t="s">
        <v>387</v>
      </c>
      <c r="D76" s="317">
        <v>128.85</v>
      </c>
      <c r="E76" s="318">
        <v>35</v>
      </c>
      <c r="F76" s="99"/>
      <c r="G76" s="100">
        <v>128.85</v>
      </c>
      <c r="H76" s="100">
        <v>128.85</v>
      </c>
      <c r="I76" s="100">
        <v>128.85</v>
      </c>
      <c r="J76" s="100">
        <v>128.85</v>
      </c>
      <c r="K76" s="100">
        <v>128.85</v>
      </c>
      <c r="L76" s="100">
        <v>128.85</v>
      </c>
      <c r="M76" s="100">
        <v>257.7</v>
      </c>
      <c r="N76" s="100">
        <v>257.7</v>
      </c>
      <c r="O76" s="100">
        <v>257.7</v>
      </c>
      <c r="P76" s="100">
        <v>128.85</v>
      </c>
      <c r="Q76" s="100">
        <v>128.85</v>
      </c>
      <c r="R76" s="100">
        <v>128.85</v>
      </c>
      <c r="S76" s="100">
        <f t="shared" si="20"/>
        <v>1932.7499999999998</v>
      </c>
      <c r="T76" s="288">
        <v>33010</v>
      </c>
      <c r="V76" s="100">
        <f t="shared" si="21"/>
        <v>1</v>
      </c>
      <c r="W76" s="100">
        <f t="shared" si="21"/>
        <v>1</v>
      </c>
      <c r="X76" s="100">
        <f t="shared" si="21"/>
        <v>1</v>
      </c>
      <c r="Y76" s="100">
        <f t="shared" si="21"/>
        <v>1</v>
      </c>
      <c r="Z76" s="100">
        <f t="shared" si="21"/>
        <v>1</v>
      </c>
      <c r="AA76" s="100">
        <f t="shared" si="21"/>
        <v>1</v>
      </c>
      <c r="AB76" s="100">
        <f t="shared" si="21"/>
        <v>2</v>
      </c>
      <c r="AC76" s="100">
        <f t="shared" si="21"/>
        <v>2</v>
      </c>
      <c r="AD76" s="100">
        <f t="shared" si="21"/>
        <v>2</v>
      </c>
      <c r="AE76" s="100">
        <f t="shared" si="21"/>
        <v>1</v>
      </c>
      <c r="AF76" s="100">
        <f t="shared" si="21"/>
        <v>1</v>
      </c>
      <c r="AG76" s="100">
        <f t="shared" si="21"/>
        <v>1</v>
      </c>
      <c r="AH76" s="100">
        <f t="shared" si="22"/>
        <v>1.25</v>
      </c>
      <c r="AI76" s="308">
        <f>SUMIF('Staff Calcs '!D:D,C76,'Staff Calcs '!E:E)</f>
        <v>1.25</v>
      </c>
      <c r="AJ76" s="319">
        <f t="shared" si="23"/>
        <v>0</v>
      </c>
      <c r="AK76" s="302" t="s">
        <v>385</v>
      </c>
      <c r="AL76" s="279"/>
      <c r="AM76" s="279"/>
      <c r="AN76" s="275">
        <v>1</v>
      </c>
      <c r="AO76" s="107">
        <f t="shared" si="24"/>
        <v>1.25</v>
      </c>
      <c r="AP76" s="279"/>
      <c r="AQ76" s="279"/>
      <c r="AR76" s="337"/>
      <c r="AS76" s="321"/>
    </row>
    <row r="77" spans="1:45" s="288" customFormat="1" ht="12" customHeight="1">
      <c r="A77" s="288" t="str">
        <f t="shared" si="19"/>
        <v>PA-JF4YDEOW</v>
      </c>
      <c r="B77" s="307" t="s">
        <v>388</v>
      </c>
      <c r="C77" s="307" t="s">
        <v>389</v>
      </c>
      <c r="D77" s="317">
        <v>175.77</v>
      </c>
      <c r="E77" s="318">
        <v>36</v>
      </c>
      <c r="F77" s="99"/>
      <c r="G77" s="100">
        <v>351.54</v>
      </c>
      <c r="H77" s="100">
        <v>527.30999999999995</v>
      </c>
      <c r="I77" s="100">
        <v>527.30999999999995</v>
      </c>
      <c r="J77" s="100">
        <v>527.30999999999995</v>
      </c>
      <c r="K77" s="100">
        <v>527.30999999999995</v>
      </c>
      <c r="L77" s="100">
        <v>527.30999999999995</v>
      </c>
      <c r="M77" s="100">
        <v>527.30999999999995</v>
      </c>
      <c r="N77" s="100">
        <v>527.30999999999995</v>
      </c>
      <c r="O77" s="100">
        <v>527.30999999999995</v>
      </c>
      <c r="P77" s="100">
        <v>527.30999999999995</v>
      </c>
      <c r="Q77" s="100">
        <v>527.30999999999995</v>
      </c>
      <c r="R77" s="100">
        <v>527.30999999999995</v>
      </c>
      <c r="S77" s="100">
        <f t="shared" si="20"/>
        <v>6151.9499999999989</v>
      </c>
      <c r="T77" s="288">
        <v>33010</v>
      </c>
      <c r="V77" s="100">
        <f t="shared" si="21"/>
        <v>2</v>
      </c>
      <c r="W77" s="100">
        <f t="shared" si="21"/>
        <v>2.9999999999999996</v>
      </c>
      <c r="X77" s="100">
        <f t="shared" si="21"/>
        <v>2.9999999999999996</v>
      </c>
      <c r="Y77" s="100">
        <f t="shared" si="21"/>
        <v>2.9999999999999996</v>
      </c>
      <c r="Z77" s="100">
        <f t="shared" si="21"/>
        <v>2.9999999999999996</v>
      </c>
      <c r="AA77" s="100">
        <f t="shared" si="21"/>
        <v>2.9999999999999996</v>
      </c>
      <c r="AB77" s="100">
        <f t="shared" si="21"/>
        <v>2.9999999999999996</v>
      </c>
      <c r="AC77" s="100">
        <f t="shared" si="21"/>
        <v>2.9999999999999996</v>
      </c>
      <c r="AD77" s="100">
        <f t="shared" si="21"/>
        <v>2.9999999999999996</v>
      </c>
      <c r="AE77" s="100">
        <f t="shared" si="21"/>
        <v>2.9999999999999996</v>
      </c>
      <c r="AF77" s="100">
        <f t="shared" si="21"/>
        <v>2.9999999999999996</v>
      </c>
      <c r="AG77" s="100">
        <f t="shared" si="21"/>
        <v>2.9999999999999996</v>
      </c>
      <c r="AH77" s="100">
        <f t="shared" si="22"/>
        <v>2.9166666666666665</v>
      </c>
      <c r="AI77" s="308">
        <f>SUMIF('Staff Calcs '!D:D,C77,'Staff Calcs '!E:E)</f>
        <v>2.9166666666666665</v>
      </c>
      <c r="AJ77" s="319">
        <f t="shared" si="23"/>
        <v>0</v>
      </c>
      <c r="AK77" s="302" t="s">
        <v>370</v>
      </c>
      <c r="AL77" s="279"/>
      <c r="AM77" s="279"/>
      <c r="AN77" s="275">
        <v>1</v>
      </c>
      <c r="AO77" s="107">
        <f t="shared" si="24"/>
        <v>2.9166666666666665</v>
      </c>
      <c r="AP77" s="279"/>
      <c r="AQ77" s="279"/>
      <c r="AR77" s="337"/>
      <c r="AS77" s="321"/>
    </row>
    <row r="78" spans="1:45" s="336" customFormat="1" ht="12" customHeight="1">
      <c r="A78" s="279" t="str">
        <f t="shared" si="19"/>
        <v>PA-JSP1.5-COM</v>
      </c>
      <c r="B78" s="307" t="s">
        <v>390</v>
      </c>
      <c r="C78" s="307" t="s">
        <v>391</v>
      </c>
      <c r="D78" s="109">
        <v>35.36</v>
      </c>
      <c r="E78" s="318">
        <v>35</v>
      </c>
      <c r="F78" s="99"/>
      <c r="G78" s="100">
        <v>35.36</v>
      </c>
      <c r="H78" s="100">
        <v>0</v>
      </c>
      <c r="I78" s="100">
        <v>35.36</v>
      </c>
      <c r="J78" s="100">
        <v>0</v>
      </c>
      <c r="K78" s="100">
        <v>35.36</v>
      </c>
      <c r="L78" s="100">
        <v>70.72</v>
      </c>
      <c r="M78" s="100">
        <v>0</v>
      </c>
      <c r="N78" s="100">
        <v>35.36</v>
      </c>
      <c r="O78" s="100">
        <v>0</v>
      </c>
      <c r="P78" s="100">
        <v>0</v>
      </c>
      <c r="Q78" s="100">
        <v>35.36</v>
      </c>
      <c r="R78" s="100">
        <v>106.08</v>
      </c>
      <c r="S78" s="100">
        <f t="shared" si="20"/>
        <v>353.6</v>
      </c>
      <c r="T78" s="288">
        <v>33010</v>
      </c>
      <c r="U78" s="288"/>
      <c r="V78" s="105">
        <f t="shared" si="21"/>
        <v>1</v>
      </c>
      <c r="W78" s="105">
        <f t="shared" si="21"/>
        <v>0</v>
      </c>
      <c r="X78" s="105">
        <f t="shared" si="21"/>
        <v>1</v>
      </c>
      <c r="Y78" s="105">
        <f t="shared" si="21"/>
        <v>0</v>
      </c>
      <c r="Z78" s="105">
        <f t="shared" si="21"/>
        <v>1</v>
      </c>
      <c r="AA78" s="105">
        <f t="shared" si="21"/>
        <v>2</v>
      </c>
      <c r="AB78" s="105">
        <f t="shared" si="21"/>
        <v>0</v>
      </c>
      <c r="AC78" s="105">
        <f t="shared" si="21"/>
        <v>1</v>
      </c>
      <c r="AD78" s="105">
        <f t="shared" si="21"/>
        <v>0</v>
      </c>
      <c r="AE78" s="105">
        <f t="shared" si="21"/>
        <v>0</v>
      </c>
      <c r="AF78" s="105">
        <f t="shared" si="21"/>
        <v>1</v>
      </c>
      <c r="AG78" s="105">
        <f t="shared" si="21"/>
        <v>3</v>
      </c>
      <c r="AH78" s="100">
        <f t="shared" si="22"/>
        <v>1.4285714285714286</v>
      </c>
      <c r="AI78" s="308">
        <f>SUMIF('Staff Calcs '!D:D,C78,'Staff Calcs '!E:E)</f>
        <v>1.4285714285714286</v>
      </c>
      <c r="AJ78" s="319">
        <f t="shared" si="23"/>
        <v>0</v>
      </c>
      <c r="AK78" s="302"/>
      <c r="AL78" s="279"/>
      <c r="AM78" s="279"/>
      <c r="AN78" s="275"/>
      <c r="AO78" s="107"/>
      <c r="AP78" s="279"/>
      <c r="AQ78" s="279"/>
      <c r="AR78" s="337"/>
      <c r="AS78" s="321"/>
    </row>
    <row r="79" spans="1:45" s="336" customFormat="1" ht="12" customHeight="1">
      <c r="A79" s="279" t="str">
        <f t="shared" si="19"/>
        <v>PA-JSP2-COM</v>
      </c>
      <c r="B79" s="307" t="s">
        <v>392</v>
      </c>
      <c r="C79" s="307" t="s">
        <v>393</v>
      </c>
      <c r="D79" s="109">
        <v>50.24</v>
      </c>
      <c r="E79" s="318">
        <v>35</v>
      </c>
      <c r="F79" s="99"/>
      <c r="G79" s="100">
        <v>251.2</v>
      </c>
      <c r="H79" s="100">
        <v>50.24</v>
      </c>
      <c r="I79" s="100">
        <v>100.48</v>
      </c>
      <c r="J79" s="100">
        <v>50.24</v>
      </c>
      <c r="K79" s="100">
        <v>0</v>
      </c>
      <c r="L79" s="100">
        <v>150.72</v>
      </c>
      <c r="M79" s="100">
        <v>150.72</v>
      </c>
      <c r="N79" s="100">
        <v>50.24</v>
      </c>
      <c r="O79" s="100">
        <v>50.24</v>
      </c>
      <c r="P79" s="100">
        <v>200.96</v>
      </c>
      <c r="Q79" s="100">
        <v>251.2</v>
      </c>
      <c r="R79" s="100">
        <v>0</v>
      </c>
      <c r="S79" s="100">
        <f t="shared" si="20"/>
        <v>1306.24</v>
      </c>
      <c r="T79" s="288">
        <v>33010</v>
      </c>
      <c r="U79" s="288"/>
      <c r="V79" s="105">
        <f t="shared" si="21"/>
        <v>5</v>
      </c>
      <c r="W79" s="105">
        <f t="shared" si="21"/>
        <v>1</v>
      </c>
      <c r="X79" s="105">
        <f t="shared" si="21"/>
        <v>2</v>
      </c>
      <c r="Y79" s="105">
        <f t="shared" si="21"/>
        <v>1</v>
      </c>
      <c r="Z79" s="105">
        <f t="shared" si="21"/>
        <v>0</v>
      </c>
      <c r="AA79" s="105">
        <f t="shared" si="21"/>
        <v>3</v>
      </c>
      <c r="AB79" s="105">
        <f t="shared" si="21"/>
        <v>3</v>
      </c>
      <c r="AC79" s="105">
        <f t="shared" si="21"/>
        <v>1</v>
      </c>
      <c r="AD79" s="105">
        <f t="shared" si="21"/>
        <v>1</v>
      </c>
      <c r="AE79" s="105">
        <f t="shared" si="21"/>
        <v>4</v>
      </c>
      <c r="AF79" s="105">
        <f t="shared" si="21"/>
        <v>5</v>
      </c>
      <c r="AG79" s="105">
        <f t="shared" si="21"/>
        <v>0</v>
      </c>
      <c r="AH79" s="100">
        <f t="shared" si="22"/>
        <v>2.6</v>
      </c>
      <c r="AI79" s="308">
        <f>SUMIF('Staff Calcs '!D:D,C79,'Staff Calcs '!E:E)</f>
        <v>2.6</v>
      </c>
      <c r="AJ79" s="319">
        <f t="shared" si="23"/>
        <v>0</v>
      </c>
      <c r="AK79" s="302"/>
      <c r="AL79" s="279"/>
      <c r="AM79" s="279"/>
      <c r="AN79" s="275"/>
      <c r="AO79" s="107"/>
      <c r="AP79" s="279"/>
      <c r="AQ79" s="279"/>
      <c r="AR79" s="337"/>
      <c r="AS79" s="321"/>
    </row>
    <row r="80" spans="1:45" s="336" customFormat="1" ht="12" customHeight="1">
      <c r="A80" s="279" t="str">
        <f t="shared" si="19"/>
        <v>PA-JDEL1TEMP-COM</v>
      </c>
      <c r="B80" s="307" t="s">
        <v>394</v>
      </c>
      <c r="C80" s="307" t="s">
        <v>395</v>
      </c>
      <c r="D80" s="109">
        <v>24.07</v>
      </c>
      <c r="E80" s="318">
        <v>35</v>
      </c>
      <c r="F80" s="99"/>
      <c r="G80" s="100">
        <v>24.07</v>
      </c>
      <c r="H80" s="100">
        <v>0</v>
      </c>
      <c r="I80" s="100">
        <v>0</v>
      </c>
      <c r="J80" s="100">
        <v>0</v>
      </c>
      <c r="K80" s="100">
        <v>0</v>
      </c>
      <c r="L80" s="100">
        <v>0</v>
      </c>
      <c r="M80" s="100">
        <v>0</v>
      </c>
      <c r="N80" s="100">
        <v>0</v>
      </c>
      <c r="O80" s="100">
        <v>0</v>
      </c>
      <c r="P80" s="100">
        <v>0</v>
      </c>
      <c r="Q80" s="100">
        <v>0</v>
      </c>
      <c r="R80" s="100">
        <v>24.07</v>
      </c>
      <c r="S80" s="100">
        <f t="shared" si="20"/>
        <v>48.14</v>
      </c>
      <c r="T80" s="288">
        <v>33010</v>
      </c>
      <c r="U80" s="288"/>
      <c r="V80" s="105">
        <f t="shared" si="21"/>
        <v>1</v>
      </c>
      <c r="W80" s="105">
        <f t="shared" si="21"/>
        <v>0</v>
      </c>
      <c r="X80" s="105">
        <f t="shared" si="21"/>
        <v>0</v>
      </c>
      <c r="Y80" s="105">
        <f t="shared" si="21"/>
        <v>0</v>
      </c>
      <c r="Z80" s="105">
        <f t="shared" si="21"/>
        <v>0</v>
      </c>
      <c r="AA80" s="105">
        <f t="shared" si="21"/>
        <v>0</v>
      </c>
      <c r="AB80" s="105">
        <f t="shared" si="21"/>
        <v>0</v>
      </c>
      <c r="AC80" s="105">
        <f t="shared" si="21"/>
        <v>0</v>
      </c>
      <c r="AD80" s="105">
        <f t="shared" si="21"/>
        <v>0</v>
      </c>
      <c r="AE80" s="105">
        <f t="shared" si="21"/>
        <v>0</v>
      </c>
      <c r="AF80" s="105">
        <f t="shared" si="21"/>
        <v>0</v>
      </c>
      <c r="AG80" s="105">
        <f t="shared" si="21"/>
        <v>1</v>
      </c>
      <c r="AH80" s="100">
        <f t="shared" si="22"/>
        <v>1</v>
      </c>
      <c r="AI80" s="308"/>
      <c r="AJ80" s="319"/>
      <c r="AK80" s="302"/>
      <c r="AL80" s="279"/>
      <c r="AM80" s="279"/>
      <c r="AN80" s="275"/>
      <c r="AO80" s="108"/>
      <c r="AP80" s="279"/>
      <c r="AQ80" s="279"/>
      <c r="AR80" s="282"/>
      <c r="AS80" s="321"/>
    </row>
    <row r="81" spans="1:45" s="336" customFormat="1" ht="12" customHeight="1">
      <c r="A81" s="279" t="str">
        <f t="shared" si="19"/>
        <v>PA-JSP1-COM</v>
      </c>
      <c r="B81" s="307" t="s">
        <v>396</v>
      </c>
      <c r="C81" s="307" t="s">
        <v>397</v>
      </c>
      <c r="D81" s="109">
        <v>26.08</v>
      </c>
      <c r="E81" s="318">
        <v>35</v>
      </c>
      <c r="F81" s="99"/>
      <c r="G81" s="100">
        <v>130.4</v>
      </c>
      <c r="H81" s="100">
        <v>78.239999999999995</v>
      </c>
      <c r="I81" s="100">
        <v>104.32</v>
      </c>
      <c r="J81" s="100">
        <v>0</v>
      </c>
      <c r="K81" s="100">
        <v>0</v>
      </c>
      <c r="L81" s="100">
        <v>52.16</v>
      </c>
      <c r="M81" s="100">
        <v>130.4</v>
      </c>
      <c r="N81" s="100">
        <v>78.239999999999995</v>
      </c>
      <c r="O81" s="100">
        <v>104.32</v>
      </c>
      <c r="P81" s="100">
        <v>182.56</v>
      </c>
      <c r="Q81" s="100">
        <v>130.4</v>
      </c>
      <c r="R81" s="100">
        <v>208.64</v>
      </c>
      <c r="S81" s="100">
        <f t="shared" si="20"/>
        <v>1199.6799999999998</v>
      </c>
      <c r="T81" s="288">
        <v>33010</v>
      </c>
      <c r="U81" s="288"/>
      <c r="V81" s="105">
        <f t="shared" si="21"/>
        <v>5.0000000000000009</v>
      </c>
      <c r="W81" s="105">
        <f t="shared" si="21"/>
        <v>3</v>
      </c>
      <c r="X81" s="105">
        <f t="shared" si="21"/>
        <v>4</v>
      </c>
      <c r="Y81" s="105">
        <f t="shared" si="21"/>
        <v>0</v>
      </c>
      <c r="Z81" s="105">
        <f t="shared" si="21"/>
        <v>0</v>
      </c>
      <c r="AA81" s="105">
        <f t="shared" si="21"/>
        <v>2</v>
      </c>
      <c r="AB81" s="105">
        <f t="shared" si="21"/>
        <v>5.0000000000000009</v>
      </c>
      <c r="AC81" s="105">
        <f t="shared" si="21"/>
        <v>3</v>
      </c>
      <c r="AD81" s="105">
        <f t="shared" si="21"/>
        <v>4</v>
      </c>
      <c r="AE81" s="105">
        <f t="shared" si="21"/>
        <v>7.0000000000000009</v>
      </c>
      <c r="AF81" s="105">
        <f t="shared" si="21"/>
        <v>5.0000000000000009</v>
      </c>
      <c r="AG81" s="105">
        <f t="shared" si="21"/>
        <v>8</v>
      </c>
      <c r="AH81" s="100">
        <f t="shared" si="22"/>
        <v>4.5999999999999996</v>
      </c>
      <c r="AI81" s="308">
        <f>SUMIF('Staff Calcs '!D:D,C81,'Staff Calcs '!E:E)</f>
        <v>4.5999999999999996</v>
      </c>
      <c r="AJ81" s="319">
        <f t="shared" ref="AJ81:AJ84" si="25">AH81-AI81</f>
        <v>0</v>
      </c>
      <c r="AK81" s="302"/>
      <c r="AL81" s="279"/>
      <c r="AM81" s="279"/>
      <c r="AN81" s="275"/>
      <c r="AO81" s="107"/>
      <c r="AP81" s="279"/>
      <c r="AQ81" s="279"/>
      <c r="AR81" s="337"/>
      <c r="AS81" s="321"/>
    </row>
    <row r="82" spans="1:45" s="336" customFormat="1" ht="12" customHeight="1">
      <c r="A82" s="279" t="str">
        <f t="shared" si="19"/>
        <v>PA-JF2YDEXCO</v>
      </c>
      <c r="B82" s="307" t="s">
        <v>398</v>
      </c>
      <c r="C82" s="307" t="s">
        <v>399</v>
      </c>
      <c r="D82" s="109">
        <v>50.24</v>
      </c>
      <c r="E82" s="318">
        <v>36</v>
      </c>
      <c r="F82" s="99"/>
      <c r="G82" s="100">
        <v>753.6</v>
      </c>
      <c r="H82" s="100">
        <v>401.92</v>
      </c>
      <c r="I82" s="100">
        <v>200.96</v>
      </c>
      <c r="J82" s="100">
        <v>0</v>
      </c>
      <c r="K82" s="100">
        <v>0</v>
      </c>
      <c r="L82" s="100">
        <v>0</v>
      </c>
      <c r="M82" s="100">
        <v>0</v>
      </c>
      <c r="N82" s="100">
        <v>0</v>
      </c>
      <c r="O82" s="100">
        <v>351.68</v>
      </c>
      <c r="P82" s="100">
        <v>753.6</v>
      </c>
      <c r="Q82" s="100">
        <v>1356.48</v>
      </c>
      <c r="R82" s="100">
        <v>1205.76</v>
      </c>
      <c r="S82" s="100">
        <f t="shared" si="20"/>
        <v>5024</v>
      </c>
      <c r="T82" s="288">
        <v>33011</v>
      </c>
      <c r="U82" s="288"/>
      <c r="V82" s="105">
        <f t="shared" si="21"/>
        <v>15</v>
      </c>
      <c r="W82" s="105">
        <f t="shared" si="21"/>
        <v>8</v>
      </c>
      <c r="X82" s="105">
        <f t="shared" si="21"/>
        <v>4</v>
      </c>
      <c r="Y82" s="105">
        <f t="shared" si="21"/>
        <v>0</v>
      </c>
      <c r="Z82" s="105">
        <f t="shared" si="21"/>
        <v>0</v>
      </c>
      <c r="AA82" s="105">
        <f t="shared" si="21"/>
        <v>0</v>
      </c>
      <c r="AB82" s="105">
        <f t="shared" si="21"/>
        <v>0</v>
      </c>
      <c r="AC82" s="105">
        <f t="shared" si="21"/>
        <v>0</v>
      </c>
      <c r="AD82" s="105">
        <f t="shared" si="21"/>
        <v>7</v>
      </c>
      <c r="AE82" s="105">
        <f t="shared" si="21"/>
        <v>15</v>
      </c>
      <c r="AF82" s="105">
        <f t="shared" si="21"/>
        <v>27</v>
      </c>
      <c r="AG82" s="105">
        <f t="shared" si="21"/>
        <v>24</v>
      </c>
      <c r="AH82" s="100">
        <f t="shared" si="22"/>
        <v>14.285714285714286</v>
      </c>
      <c r="AI82" s="308">
        <f>SUMIF('Staff Calcs '!D:D,C82,'Staff Calcs '!E:E)</f>
        <v>14.285714285714286</v>
      </c>
      <c r="AJ82" s="319">
        <f t="shared" si="25"/>
        <v>0</v>
      </c>
      <c r="AK82" s="302"/>
      <c r="AL82" s="279"/>
      <c r="AM82" s="279"/>
      <c r="AN82" s="275"/>
      <c r="AO82" s="107"/>
      <c r="AP82" s="279"/>
      <c r="AQ82" s="279"/>
      <c r="AR82" s="337"/>
      <c r="AS82" s="321"/>
    </row>
    <row r="83" spans="1:45" s="288" customFormat="1" ht="12" customHeight="1">
      <c r="A83" s="288" t="str">
        <f t="shared" si="19"/>
        <v>PA-JF2YD1WCO</v>
      </c>
      <c r="B83" s="307" t="s">
        <v>400</v>
      </c>
      <c r="C83" s="307" t="s">
        <v>401</v>
      </c>
      <c r="D83" s="317">
        <v>195.89</v>
      </c>
      <c r="E83" s="318">
        <v>36</v>
      </c>
      <c r="F83" s="99"/>
      <c r="G83" s="100">
        <v>0</v>
      </c>
      <c r="H83" s="100">
        <v>0</v>
      </c>
      <c r="I83" s="100">
        <v>0</v>
      </c>
      <c r="J83" s="100">
        <v>0</v>
      </c>
      <c r="K83" s="100">
        <v>0</v>
      </c>
      <c r="L83" s="100">
        <v>0</v>
      </c>
      <c r="M83" s="100">
        <v>0</v>
      </c>
      <c r="N83" s="100">
        <v>97.94</v>
      </c>
      <c r="O83" s="100">
        <v>391.78</v>
      </c>
      <c r="P83" s="100">
        <v>391.78</v>
      </c>
      <c r="Q83" s="100">
        <v>391.78</v>
      </c>
      <c r="R83" s="100">
        <v>391.78</v>
      </c>
      <c r="S83" s="100">
        <f t="shared" si="20"/>
        <v>1665.06</v>
      </c>
      <c r="T83" s="288">
        <v>33010</v>
      </c>
      <c r="V83" s="100">
        <f t="shared" si="21"/>
        <v>0</v>
      </c>
      <c r="W83" s="100">
        <f t="shared" si="21"/>
        <v>0</v>
      </c>
      <c r="X83" s="100">
        <f t="shared" si="21"/>
        <v>0</v>
      </c>
      <c r="Y83" s="100">
        <f t="shared" ref="Y83:AG111" si="26">IFERROR(J83/$D83,0)</f>
        <v>0</v>
      </c>
      <c r="Z83" s="100">
        <f t="shared" si="26"/>
        <v>0</v>
      </c>
      <c r="AA83" s="100">
        <f t="shared" si="26"/>
        <v>0</v>
      </c>
      <c r="AB83" s="100">
        <f t="shared" si="26"/>
        <v>0</v>
      </c>
      <c r="AC83" s="100">
        <f t="shared" si="26"/>
        <v>0.4999744754709276</v>
      </c>
      <c r="AD83" s="100">
        <f t="shared" si="26"/>
        <v>2</v>
      </c>
      <c r="AE83" s="100">
        <f t="shared" si="26"/>
        <v>2</v>
      </c>
      <c r="AF83" s="100">
        <f t="shared" si="26"/>
        <v>2</v>
      </c>
      <c r="AG83" s="100">
        <f t="shared" si="26"/>
        <v>2</v>
      </c>
      <c r="AH83" s="100">
        <f t="shared" si="22"/>
        <v>1.6999948950941857</v>
      </c>
      <c r="AI83" s="308">
        <f>SUMIF('Staff Calcs '!D:D,C83,'Staff Calcs '!E:E)</f>
        <v>1.6999948950941857</v>
      </c>
      <c r="AJ83" s="319">
        <f t="shared" si="25"/>
        <v>0</v>
      </c>
      <c r="AK83" s="302" t="s">
        <v>366</v>
      </c>
      <c r="AL83" s="279"/>
      <c r="AM83" s="279"/>
      <c r="AN83" s="275">
        <v>0</v>
      </c>
      <c r="AO83" s="107">
        <f>+AH83*AN83</f>
        <v>0</v>
      </c>
      <c r="AP83" s="279"/>
      <c r="AQ83" s="279"/>
      <c r="AR83" s="337"/>
      <c r="AS83" s="321"/>
    </row>
    <row r="84" spans="1:45" s="336" customFormat="1" ht="12" customHeight="1">
      <c r="A84" s="279" t="str">
        <f t="shared" si="19"/>
        <v>PA-JCEXYD</v>
      </c>
      <c r="B84" s="307" t="s">
        <v>172</v>
      </c>
      <c r="C84" s="307" t="s">
        <v>173</v>
      </c>
      <c r="D84" s="317">
        <v>27.87</v>
      </c>
      <c r="E84" s="318">
        <v>35</v>
      </c>
      <c r="F84" s="99"/>
      <c r="G84" s="100">
        <v>1665.51</v>
      </c>
      <c r="H84" s="100">
        <v>1770.05</v>
      </c>
      <c r="I84" s="100">
        <v>940.83</v>
      </c>
      <c r="J84" s="100">
        <v>334.47</v>
      </c>
      <c r="K84" s="100">
        <v>76.650000000000006</v>
      </c>
      <c r="L84" s="100">
        <v>480.77</v>
      </c>
      <c r="M84" s="100">
        <v>627.11</v>
      </c>
      <c r="N84" s="100">
        <v>710.72</v>
      </c>
      <c r="O84" s="100">
        <v>383.25</v>
      </c>
      <c r="P84" s="100">
        <v>766.48</v>
      </c>
      <c r="Q84" s="100">
        <v>543.5</v>
      </c>
      <c r="R84" s="100">
        <v>1024.28</v>
      </c>
      <c r="S84" s="100">
        <f t="shared" si="20"/>
        <v>9323.6200000000008</v>
      </c>
      <c r="T84" s="288">
        <v>33011</v>
      </c>
      <c r="U84" s="288"/>
      <c r="V84" s="105">
        <f t="shared" ref="V84:AA115" si="27">IFERROR(G84/$D84,0)</f>
        <v>59.759956942949408</v>
      </c>
      <c r="W84" s="105">
        <f t="shared" si="27"/>
        <v>63.510943667025472</v>
      </c>
      <c r="X84" s="105">
        <f t="shared" si="27"/>
        <v>33.757804090419803</v>
      </c>
      <c r="Y84" s="105">
        <f t="shared" si="26"/>
        <v>12.001076426264801</v>
      </c>
      <c r="Z84" s="105">
        <f t="shared" si="26"/>
        <v>2.7502691065662002</v>
      </c>
      <c r="AA84" s="105">
        <f t="shared" si="26"/>
        <v>17.250448510943666</v>
      </c>
      <c r="AB84" s="105">
        <f t="shared" si="26"/>
        <v>22.501255830642268</v>
      </c>
      <c r="AC84" s="105">
        <f t="shared" si="26"/>
        <v>25.501255830642268</v>
      </c>
      <c r="AD84" s="105">
        <f t="shared" si="26"/>
        <v>13.751345532831001</v>
      </c>
      <c r="AE84" s="105">
        <f t="shared" si="26"/>
        <v>27.501973448152135</v>
      </c>
      <c r="AF84" s="105">
        <f t="shared" si="26"/>
        <v>19.501255830642268</v>
      </c>
      <c r="AG84" s="105">
        <f t="shared" si="26"/>
        <v>36.752063150340867</v>
      </c>
      <c r="AH84" s="100">
        <f t="shared" si="22"/>
        <v>27.878304030618349</v>
      </c>
      <c r="AI84" s="308">
        <f>SUMIF('Staff Calcs '!D:D,C84,'Staff Calcs '!E:E)</f>
        <v>27.878304030618349</v>
      </c>
      <c r="AJ84" s="319">
        <f t="shared" si="25"/>
        <v>0</v>
      </c>
      <c r="AK84" s="302"/>
      <c r="AL84" s="279"/>
      <c r="AM84" s="279"/>
      <c r="AN84" s="275"/>
      <c r="AO84" s="107"/>
      <c r="AP84" s="279"/>
      <c r="AQ84" s="279"/>
      <c r="AR84" s="337"/>
      <c r="AS84" s="321"/>
    </row>
    <row r="85" spans="1:45" s="336" customFormat="1" ht="13.15" customHeight="1">
      <c r="A85" s="279" t="str">
        <f t="shared" si="19"/>
        <v>PA-JCLOCKWKLY</v>
      </c>
      <c r="B85" s="307" t="s">
        <v>185</v>
      </c>
      <c r="C85" s="307" t="s">
        <v>186</v>
      </c>
      <c r="D85" s="317">
        <v>4.8499999999999996</v>
      </c>
      <c r="E85" s="318">
        <v>35</v>
      </c>
      <c r="F85" s="99"/>
      <c r="G85" s="100">
        <v>126.1</v>
      </c>
      <c r="H85" s="100">
        <v>128.51999999999998</v>
      </c>
      <c r="I85" s="100">
        <v>128.53</v>
      </c>
      <c r="J85" s="100">
        <v>128.51999999999998</v>
      </c>
      <c r="K85" s="100">
        <v>128.53</v>
      </c>
      <c r="L85" s="100">
        <v>128.51999999999998</v>
      </c>
      <c r="M85" s="100">
        <v>128.53</v>
      </c>
      <c r="N85" s="100">
        <v>128.51999999999998</v>
      </c>
      <c r="O85" s="100">
        <v>128.53</v>
      </c>
      <c r="P85" s="100">
        <v>133.36999999999998</v>
      </c>
      <c r="Q85" s="100">
        <v>132.16</v>
      </c>
      <c r="R85" s="100">
        <v>133.36999999999998</v>
      </c>
      <c r="S85" s="100">
        <f t="shared" si="20"/>
        <v>1553.1999999999998</v>
      </c>
      <c r="T85" s="288">
        <v>33011</v>
      </c>
      <c r="U85" s="288"/>
      <c r="V85" s="105">
        <f t="shared" si="27"/>
        <v>26</v>
      </c>
      <c r="W85" s="105">
        <f t="shared" si="27"/>
        <v>26.498969072164947</v>
      </c>
      <c r="X85" s="105">
        <f t="shared" si="27"/>
        <v>26.501030927835053</v>
      </c>
      <c r="Y85" s="105">
        <f t="shared" si="26"/>
        <v>26.498969072164947</v>
      </c>
      <c r="Z85" s="105">
        <f t="shared" si="26"/>
        <v>26.501030927835053</v>
      </c>
      <c r="AA85" s="105">
        <f t="shared" si="26"/>
        <v>26.498969072164947</v>
      </c>
      <c r="AB85" s="105">
        <f t="shared" si="26"/>
        <v>26.501030927835053</v>
      </c>
      <c r="AC85" s="105">
        <f t="shared" si="26"/>
        <v>26.498969072164947</v>
      </c>
      <c r="AD85" s="105">
        <f t="shared" si="26"/>
        <v>26.501030927835053</v>
      </c>
      <c r="AE85" s="105">
        <f t="shared" si="26"/>
        <v>27.498969072164947</v>
      </c>
      <c r="AF85" s="105">
        <f t="shared" si="26"/>
        <v>27.249484536082477</v>
      </c>
      <c r="AG85" s="105">
        <f t="shared" si="26"/>
        <v>27.498969072164947</v>
      </c>
      <c r="AH85" s="100">
        <f t="shared" si="22"/>
        <v>26.687285223367695</v>
      </c>
      <c r="AI85" s="308"/>
      <c r="AJ85" s="319"/>
      <c r="AK85" s="302"/>
      <c r="AL85" s="279"/>
      <c r="AM85" s="279"/>
      <c r="AN85" s="275"/>
      <c r="AO85" s="107"/>
      <c r="AP85" s="279"/>
      <c r="AQ85" s="279"/>
      <c r="AR85" s="282"/>
      <c r="AS85" s="321"/>
    </row>
    <row r="86" spans="1:45" s="288" customFormat="1" ht="12" customHeight="1">
      <c r="A86" s="288" t="str">
        <f t="shared" si="19"/>
        <v>PA-JR1.5YD1W</v>
      </c>
      <c r="B86" s="307" t="s">
        <v>160</v>
      </c>
      <c r="C86" s="307" t="s">
        <v>119</v>
      </c>
      <c r="D86" s="317">
        <v>140.12</v>
      </c>
      <c r="E86" s="318">
        <v>35</v>
      </c>
      <c r="F86" s="99"/>
      <c r="G86" s="100">
        <v>5920.07</v>
      </c>
      <c r="H86" s="100">
        <v>5709.89</v>
      </c>
      <c r="I86" s="100">
        <v>5604.8</v>
      </c>
      <c r="J86" s="100">
        <v>5394.62</v>
      </c>
      <c r="K86" s="100">
        <v>5324.56</v>
      </c>
      <c r="L86" s="100">
        <v>5324.56</v>
      </c>
      <c r="M86" s="100">
        <v>5254.5</v>
      </c>
      <c r="N86" s="100">
        <v>5044.32</v>
      </c>
      <c r="O86" s="100">
        <v>5149.41</v>
      </c>
      <c r="P86" s="100">
        <v>5149.41</v>
      </c>
      <c r="Q86" s="100">
        <v>5289.53</v>
      </c>
      <c r="R86" s="100">
        <v>5499.71</v>
      </c>
      <c r="S86" s="100">
        <f t="shared" si="20"/>
        <v>64665.38</v>
      </c>
      <c r="T86" s="288">
        <v>33010</v>
      </c>
      <c r="V86" s="100">
        <f t="shared" si="27"/>
        <v>42.25</v>
      </c>
      <c r="W86" s="100">
        <f t="shared" si="27"/>
        <v>40.75</v>
      </c>
      <c r="X86" s="100">
        <f t="shared" si="27"/>
        <v>40</v>
      </c>
      <c r="Y86" s="100">
        <f t="shared" si="26"/>
        <v>38.5</v>
      </c>
      <c r="Z86" s="100">
        <f t="shared" si="26"/>
        <v>38</v>
      </c>
      <c r="AA86" s="100">
        <f t="shared" si="26"/>
        <v>38</v>
      </c>
      <c r="AB86" s="100">
        <f t="shared" si="26"/>
        <v>37.5</v>
      </c>
      <c r="AC86" s="100">
        <f t="shared" si="26"/>
        <v>36</v>
      </c>
      <c r="AD86" s="100">
        <f t="shared" si="26"/>
        <v>36.75</v>
      </c>
      <c r="AE86" s="100">
        <f t="shared" si="26"/>
        <v>36.75</v>
      </c>
      <c r="AF86" s="100">
        <f t="shared" si="26"/>
        <v>37.75</v>
      </c>
      <c r="AG86" s="100">
        <f t="shared" si="26"/>
        <v>39.25</v>
      </c>
      <c r="AH86" s="100">
        <f t="shared" si="22"/>
        <v>38.458333333333336</v>
      </c>
      <c r="AI86" s="308">
        <f>SUMIF('Staff Calcs '!D:D,C86,'Staff Calcs '!E:E)</f>
        <v>40.791666666666671</v>
      </c>
      <c r="AJ86" s="319">
        <f t="shared" ref="AJ86:AJ88" si="28">AH86-AI86</f>
        <v>-2.3333333333333357</v>
      </c>
      <c r="AK86" s="302" t="s">
        <v>375</v>
      </c>
      <c r="AL86" s="279"/>
      <c r="AM86" s="279"/>
      <c r="AN86" s="275">
        <v>1</v>
      </c>
      <c r="AO86" s="107">
        <f>+AH86*AN86</f>
        <v>38.458333333333336</v>
      </c>
      <c r="AP86" s="279"/>
      <c r="AQ86" s="279"/>
      <c r="AR86" s="337"/>
      <c r="AS86" s="321"/>
    </row>
    <row r="87" spans="1:45" s="288" customFormat="1" ht="12" customHeight="1">
      <c r="A87" s="288" t="str">
        <f t="shared" si="19"/>
        <v>PA-JR1.5YD2W</v>
      </c>
      <c r="B87" s="307" t="s">
        <v>194</v>
      </c>
      <c r="C87" s="307" t="s">
        <v>195</v>
      </c>
      <c r="D87" s="317">
        <v>280.24</v>
      </c>
      <c r="E87" s="318">
        <v>35</v>
      </c>
      <c r="F87" s="99"/>
      <c r="G87" s="100">
        <v>280.24</v>
      </c>
      <c r="H87" s="100">
        <v>280.24</v>
      </c>
      <c r="I87" s="100">
        <v>280.24</v>
      </c>
      <c r="J87" s="100">
        <v>280.24</v>
      </c>
      <c r="K87" s="100">
        <v>280.24</v>
      </c>
      <c r="L87" s="100">
        <v>280.24</v>
      </c>
      <c r="M87" s="100">
        <v>280.24</v>
      </c>
      <c r="N87" s="100">
        <v>280.24</v>
      </c>
      <c r="O87" s="100">
        <v>280.24</v>
      </c>
      <c r="P87" s="100">
        <v>280.24</v>
      </c>
      <c r="Q87" s="100">
        <v>280.24</v>
      </c>
      <c r="R87" s="100">
        <v>280.24</v>
      </c>
      <c r="S87" s="100">
        <f t="shared" si="20"/>
        <v>3362.8799999999992</v>
      </c>
      <c r="T87" s="288">
        <v>33010</v>
      </c>
      <c r="V87" s="100">
        <f t="shared" si="27"/>
        <v>1</v>
      </c>
      <c r="W87" s="100">
        <f t="shared" si="27"/>
        <v>1</v>
      </c>
      <c r="X87" s="100">
        <f t="shared" si="27"/>
        <v>1</v>
      </c>
      <c r="Y87" s="100">
        <f t="shared" si="26"/>
        <v>1</v>
      </c>
      <c r="Z87" s="100">
        <f t="shared" si="26"/>
        <v>1</v>
      </c>
      <c r="AA87" s="100">
        <f t="shared" si="26"/>
        <v>1</v>
      </c>
      <c r="AB87" s="100">
        <f t="shared" si="26"/>
        <v>1</v>
      </c>
      <c r="AC87" s="100">
        <f t="shared" si="26"/>
        <v>1</v>
      </c>
      <c r="AD87" s="100">
        <f t="shared" si="26"/>
        <v>1</v>
      </c>
      <c r="AE87" s="100">
        <f t="shared" si="26"/>
        <v>1</v>
      </c>
      <c r="AF87" s="100">
        <f t="shared" si="26"/>
        <v>1</v>
      </c>
      <c r="AG87" s="100">
        <f t="shared" si="26"/>
        <v>1</v>
      </c>
      <c r="AH87" s="100">
        <f t="shared" si="22"/>
        <v>1</v>
      </c>
      <c r="AI87" s="308">
        <f>SUMIF('Staff Calcs '!D:D,C87,'Staff Calcs '!E:E)</f>
        <v>1</v>
      </c>
      <c r="AJ87" s="319">
        <f t="shared" si="28"/>
        <v>0</v>
      </c>
      <c r="AK87" s="302" t="s">
        <v>375</v>
      </c>
      <c r="AL87" s="279"/>
      <c r="AM87" s="279"/>
      <c r="AN87" s="275">
        <v>1</v>
      </c>
      <c r="AO87" s="107">
        <f>+AH87*AN87</f>
        <v>1</v>
      </c>
      <c r="AP87" s="279"/>
      <c r="AQ87" s="279"/>
      <c r="AR87" s="337"/>
      <c r="AS87" s="321"/>
    </row>
    <row r="88" spans="1:45" s="279" customFormat="1" ht="12" customHeight="1">
      <c r="A88" s="279" t="str">
        <f t="shared" si="19"/>
        <v>PA-JR1.5YDEX</v>
      </c>
      <c r="B88" s="307" t="s">
        <v>167</v>
      </c>
      <c r="C88" s="307" t="s">
        <v>126</v>
      </c>
      <c r="D88" s="317">
        <v>35.36</v>
      </c>
      <c r="E88" s="318">
        <v>35</v>
      </c>
      <c r="F88" s="99"/>
      <c r="G88" s="100">
        <v>0</v>
      </c>
      <c r="H88" s="100">
        <v>0</v>
      </c>
      <c r="I88" s="100">
        <v>0</v>
      </c>
      <c r="J88" s="100">
        <v>0</v>
      </c>
      <c r="K88" s="100">
        <v>0</v>
      </c>
      <c r="L88" s="100">
        <v>0</v>
      </c>
      <c r="M88" s="100">
        <v>0</v>
      </c>
      <c r="N88" s="100">
        <v>0</v>
      </c>
      <c r="O88" s="100">
        <v>0</v>
      </c>
      <c r="P88" s="100">
        <v>35.36</v>
      </c>
      <c r="Q88" s="100">
        <v>0</v>
      </c>
      <c r="R88" s="100">
        <v>0</v>
      </c>
      <c r="S88" s="100">
        <f t="shared" si="20"/>
        <v>35.36</v>
      </c>
      <c r="T88" s="288">
        <v>33011</v>
      </c>
      <c r="U88" s="288"/>
      <c r="V88" s="105">
        <f t="shared" si="27"/>
        <v>0</v>
      </c>
      <c r="W88" s="105">
        <f t="shared" si="27"/>
        <v>0</v>
      </c>
      <c r="X88" s="105">
        <f t="shared" si="27"/>
        <v>0</v>
      </c>
      <c r="Y88" s="105">
        <f t="shared" si="26"/>
        <v>0</v>
      </c>
      <c r="Z88" s="105">
        <f t="shared" si="26"/>
        <v>0</v>
      </c>
      <c r="AA88" s="105">
        <f t="shared" si="26"/>
        <v>0</v>
      </c>
      <c r="AB88" s="105">
        <f t="shared" si="26"/>
        <v>0</v>
      </c>
      <c r="AC88" s="105">
        <f t="shared" si="26"/>
        <v>0</v>
      </c>
      <c r="AD88" s="105">
        <f t="shared" si="26"/>
        <v>0</v>
      </c>
      <c r="AE88" s="105">
        <f t="shared" si="26"/>
        <v>1</v>
      </c>
      <c r="AF88" s="105">
        <f t="shared" si="26"/>
        <v>0</v>
      </c>
      <c r="AG88" s="105">
        <f t="shared" si="26"/>
        <v>0</v>
      </c>
      <c r="AH88" s="100">
        <f t="shared" si="22"/>
        <v>1</v>
      </c>
      <c r="AI88" s="308">
        <f>SUMIF('Staff Calcs '!D:D,C88,'Staff Calcs '!E:E)</f>
        <v>1</v>
      </c>
      <c r="AJ88" s="319">
        <f t="shared" si="28"/>
        <v>0</v>
      </c>
      <c r="AK88" s="302"/>
      <c r="AN88" s="275"/>
      <c r="AO88" s="108"/>
      <c r="AR88" s="337"/>
      <c r="AS88" s="321"/>
    </row>
    <row r="89" spans="1:45" s="279" customFormat="1" ht="12" customHeight="1">
      <c r="A89" s="279" t="str">
        <f t="shared" si="19"/>
        <v>PA-JR1.5YDRENTM</v>
      </c>
      <c r="B89" s="307" t="s">
        <v>198</v>
      </c>
      <c r="C89" s="307" t="s">
        <v>199</v>
      </c>
      <c r="D89" s="317">
        <v>6.75</v>
      </c>
      <c r="E89" s="318">
        <v>35</v>
      </c>
      <c r="F89" s="99"/>
      <c r="G89" s="100">
        <v>94.5</v>
      </c>
      <c r="H89" s="100">
        <v>94.5</v>
      </c>
      <c r="I89" s="100">
        <v>103.2</v>
      </c>
      <c r="J89" s="100">
        <v>-90.04</v>
      </c>
      <c r="K89" s="100">
        <v>128.25</v>
      </c>
      <c r="L89" s="100">
        <v>128.25</v>
      </c>
      <c r="M89" s="100">
        <v>135</v>
      </c>
      <c r="N89" s="100">
        <v>135</v>
      </c>
      <c r="O89" s="100">
        <v>135</v>
      </c>
      <c r="P89" s="100">
        <v>135</v>
      </c>
      <c r="Q89" s="100">
        <v>135</v>
      </c>
      <c r="R89" s="100">
        <v>141.09</v>
      </c>
      <c r="S89" s="100">
        <f t="shared" si="20"/>
        <v>1274.7499999999998</v>
      </c>
      <c r="T89" s="288">
        <v>33010</v>
      </c>
      <c r="U89" s="288"/>
      <c r="V89" s="105">
        <f t="shared" si="27"/>
        <v>14</v>
      </c>
      <c r="W89" s="105">
        <f t="shared" si="27"/>
        <v>14</v>
      </c>
      <c r="X89" s="105">
        <f t="shared" si="27"/>
        <v>15.28888888888889</v>
      </c>
      <c r="Y89" s="105">
        <f t="shared" si="26"/>
        <v>-13.33925925925926</v>
      </c>
      <c r="Z89" s="105">
        <f t="shared" si="26"/>
        <v>19</v>
      </c>
      <c r="AA89" s="105">
        <f t="shared" si="26"/>
        <v>19</v>
      </c>
      <c r="AB89" s="105">
        <f t="shared" si="26"/>
        <v>20</v>
      </c>
      <c r="AC89" s="105">
        <f t="shared" si="26"/>
        <v>20</v>
      </c>
      <c r="AD89" s="105">
        <f t="shared" si="26"/>
        <v>20</v>
      </c>
      <c r="AE89" s="105">
        <f t="shared" si="26"/>
        <v>20</v>
      </c>
      <c r="AF89" s="105">
        <f t="shared" si="26"/>
        <v>20</v>
      </c>
      <c r="AG89" s="105">
        <f t="shared" si="26"/>
        <v>20.902222222222221</v>
      </c>
      <c r="AH89" s="100">
        <f t="shared" si="22"/>
        <v>18.381010101010101</v>
      </c>
      <c r="AI89" s="308"/>
      <c r="AJ89" s="319"/>
      <c r="AK89" s="302"/>
      <c r="AN89" s="275"/>
      <c r="AO89" s="107"/>
      <c r="AR89" s="282"/>
      <c r="AS89" s="321"/>
    </row>
    <row r="90" spans="1:45" s="279" customFormat="1" ht="12" customHeight="1">
      <c r="A90" s="279" t="str">
        <f t="shared" si="19"/>
        <v>PA-JR1.5YDRENTTD</v>
      </c>
      <c r="B90" s="307" t="s">
        <v>176</v>
      </c>
      <c r="C90" s="307" t="s">
        <v>402</v>
      </c>
      <c r="D90" s="317">
        <v>0.77</v>
      </c>
      <c r="E90" s="318">
        <v>35</v>
      </c>
      <c r="F90" s="99"/>
      <c r="G90" s="100">
        <v>23.87</v>
      </c>
      <c r="H90" s="100">
        <v>23.1</v>
      </c>
      <c r="I90" s="100">
        <v>23.87</v>
      </c>
      <c r="J90" s="100">
        <v>13.86</v>
      </c>
      <c r="K90" s="100">
        <v>0</v>
      </c>
      <c r="L90" s="100">
        <v>0</v>
      </c>
      <c r="M90" s="100">
        <v>0</v>
      </c>
      <c r="N90" s="100">
        <v>23.1</v>
      </c>
      <c r="O90" s="100">
        <v>23.1</v>
      </c>
      <c r="P90" s="100">
        <v>23.87</v>
      </c>
      <c r="Q90" s="100">
        <v>0</v>
      </c>
      <c r="R90" s="100">
        <v>0</v>
      </c>
      <c r="S90" s="100">
        <f t="shared" si="20"/>
        <v>154.77000000000001</v>
      </c>
      <c r="T90" s="288">
        <v>33010</v>
      </c>
      <c r="U90" s="288"/>
      <c r="V90" s="105">
        <f t="shared" si="27"/>
        <v>31</v>
      </c>
      <c r="W90" s="105">
        <f t="shared" si="27"/>
        <v>30</v>
      </c>
      <c r="X90" s="105">
        <f t="shared" si="27"/>
        <v>31</v>
      </c>
      <c r="Y90" s="105">
        <f t="shared" si="26"/>
        <v>18</v>
      </c>
      <c r="Z90" s="105">
        <f t="shared" si="26"/>
        <v>0</v>
      </c>
      <c r="AA90" s="105">
        <f t="shared" si="26"/>
        <v>0</v>
      </c>
      <c r="AB90" s="105">
        <f t="shared" si="26"/>
        <v>0</v>
      </c>
      <c r="AC90" s="105">
        <f t="shared" si="26"/>
        <v>30</v>
      </c>
      <c r="AD90" s="105">
        <f t="shared" si="26"/>
        <v>30</v>
      </c>
      <c r="AE90" s="105">
        <f t="shared" si="26"/>
        <v>31</v>
      </c>
      <c r="AF90" s="105">
        <f t="shared" si="26"/>
        <v>0</v>
      </c>
      <c r="AG90" s="105">
        <f t="shared" si="26"/>
        <v>0</v>
      </c>
      <c r="AH90" s="100">
        <f t="shared" si="22"/>
        <v>28.714285714285715</v>
      </c>
      <c r="AI90" s="308"/>
      <c r="AJ90" s="319"/>
      <c r="AK90" s="302"/>
      <c r="AN90" s="275"/>
      <c r="AO90" s="108"/>
      <c r="AR90" s="282"/>
      <c r="AS90" s="321"/>
    </row>
    <row r="91" spans="1:45" s="279" customFormat="1" ht="12" customHeight="1">
      <c r="A91" s="279" t="str">
        <f t="shared" si="19"/>
        <v>PA-JR1.5YDTPU</v>
      </c>
      <c r="B91" s="307" t="s">
        <v>168</v>
      </c>
      <c r="C91" s="307" t="s">
        <v>127</v>
      </c>
      <c r="D91" s="317">
        <v>36.619999999999997</v>
      </c>
      <c r="E91" s="318">
        <v>35</v>
      </c>
      <c r="F91" s="99"/>
      <c r="G91" s="100">
        <v>0</v>
      </c>
      <c r="H91" s="100">
        <v>0</v>
      </c>
      <c r="I91" s="100">
        <v>0</v>
      </c>
      <c r="J91" s="100">
        <v>36.619999999999997</v>
      </c>
      <c r="K91" s="100">
        <v>0</v>
      </c>
      <c r="L91" s="100">
        <v>0</v>
      </c>
      <c r="M91" s="100">
        <v>0</v>
      </c>
      <c r="N91" s="100">
        <v>36.619999999999997</v>
      </c>
      <c r="O91" s="100">
        <v>36.619999999999997</v>
      </c>
      <c r="P91" s="100">
        <v>73.239999999999995</v>
      </c>
      <c r="Q91" s="100">
        <v>0</v>
      </c>
      <c r="R91" s="100">
        <v>0</v>
      </c>
      <c r="S91" s="100">
        <f t="shared" si="20"/>
        <v>183.09999999999997</v>
      </c>
      <c r="T91" s="288">
        <v>33010</v>
      </c>
      <c r="U91" s="288"/>
      <c r="V91" s="105">
        <f t="shared" si="27"/>
        <v>0</v>
      </c>
      <c r="W91" s="105">
        <f t="shared" si="27"/>
        <v>0</v>
      </c>
      <c r="X91" s="105">
        <f t="shared" si="27"/>
        <v>0</v>
      </c>
      <c r="Y91" s="105">
        <f t="shared" si="26"/>
        <v>1</v>
      </c>
      <c r="Z91" s="105">
        <f t="shared" si="26"/>
        <v>0</v>
      </c>
      <c r="AA91" s="105">
        <f t="shared" si="26"/>
        <v>0</v>
      </c>
      <c r="AB91" s="105">
        <f t="shared" si="26"/>
        <v>0</v>
      </c>
      <c r="AC91" s="105">
        <f t="shared" si="26"/>
        <v>1</v>
      </c>
      <c r="AD91" s="105">
        <f t="shared" si="26"/>
        <v>1</v>
      </c>
      <c r="AE91" s="105">
        <f t="shared" si="26"/>
        <v>2</v>
      </c>
      <c r="AF91" s="105">
        <f t="shared" si="26"/>
        <v>0</v>
      </c>
      <c r="AG91" s="105">
        <f t="shared" si="26"/>
        <v>0</v>
      </c>
      <c r="AH91" s="100">
        <f t="shared" si="22"/>
        <v>1.25</v>
      </c>
      <c r="AI91" s="308">
        <f>SUMIF('Staff Calcs '!D:D,C91,'Staff Calcs '!E:E)</f>
        <v>1.25</v>
      </c>
      <c r="AJ91" s="319">
        <f t="shared" ref="AJ91:AJ94" si="29">AH91-AI91</f>
        <v>0</v>
      </c>
      <c r="AK91" s="302" t="s">
        <v>375</v>
      </c>
      <c r="AN91" s="275">
        <v>1</v>
      </c>
      <c r="AO91" s="107">
        <f>+AH91*AN91</f>
        <v>1.25</v>
      </c>
      <c r="AR91" s="337"/>
      <c r="AS91" s="321"/>
    </row>
    <row r="92" spans="1:45" s="288" customFormat="1" ht="12" customHeight="1">
      <c r="A92" s="288" t="str">
        <f t="shared" si="19"/>
        <v>PA-JR1YD1W</v>
      </c>
      <c r="B92" s="307" t="s">
        <v>159</v>
      </c>
      <c r="C92" s="307" t="s">
        <v>118</v>
      </c>
      <c r="D92" s="317">
        <v>99.94</v>
      </c>
      <c r="E92" s="318">
        <v>35</v>
      </c>
      <c r="F92" s="99"/>
      <c r="G92" s="100">
        <v>8045.16</v>
      </c>
      <c r="H92" s="100">
        <v>8270.0300000000007</v>
      </c>
      <c r="I92" s="100">
        <v>8245.0499999999993</v>
      </c>
      <c r="J92" s="100">
        <v>8220.0499999999993</v>
      </c>
      <c r="K92" s="100">
        <v>8145.11</v>
      </c>
      <c r="L92" s="100">
        <v>7995.2</v>
      </c>
      <c r="M92" s="100">
        <v>7845.29</v>
      </c>
      <c r="N92" s="100">
        <v>8095.13</v>
      </c>
      <c r="O92" s="100">
        <v>8369.9500000000007</v>
      </c>
      <c r="P92" s="100">
        <v>8669.7900000000009</v>
      </c>
      <c r="Q92" s="100">
        <v>8569.83</v>
      </c>
      <c r="R92" s="100">
        <v>8344.98</v>
      </c>
      <c r="S92" s="100">
        <f t="shared" si="20"/>
        <v>98815.569999999978</v>
      </c>
      <c r="T92" s="288">
        <v>33010</v>
      </c>
      <c r="V92" s="100">
        <f t="shared" si="27"/>
        <v>80.499899939963981</v>
      </c>
      <c r="W92" s="100">
        <f t="shared" si="27"/>
        <v>82.749949969981998</v>
      </c>
      <c r="X92" s="100">
        <f t="shared" si="27"/>
        <v>82.5</v>
      </c>
      <c r="Y92" s="100">
        <f t="shared" si="26"/>
        <v>82.249849909945965</v>
      </c>
      <c r="Z92" s="100">
        <f t="shared" si="26"/>
        <v>81.5</v>
      </c>
      <c r="AA92" s="100">
        <f t="shared" si="26"/>
        <v>80</v>
      </c>
      <c r="AB92" s="100">
        <f t="shared" si="26"/>
        <v>78.5</v>
      </c>
      <c r="AC92" s="100">
        <f t="shared" si="26"/>
        <v>80.999899939963981</v>
      </c>
      <c r="AD92" s="100">
        <f t="shared" si="26"/>
        <v>83.749749849909961</v>
      </c>
      <c r="AE92" s="100">
        <f t="shared" si="26"/>
        <v>86.749949969981998</v>
      </c>
      <c r="AF92" s="100">
        <f t="shared" si="26"/>
        <v>85.749749849909946</v>
      </c>
      <c r="AG92" s="100">
        <f t="shared" si="26"/>
        <v>83.499899939963981</v>
      </c>
      <c r="AH92" s="100">
        <f t="shared" si="22"/>
        <v>82.395745780801818</v>
      </c>
      <c r="AI92" s="308">
        <f>SUMIF('Staff Calcs '!D:D,C92,'Staff Calcs '!E:E)</f>
        <v>86.999899939963981</v>
      </c>
      <c r="AJ92" s="319">
        <f t="shared" si="29"/>
        <v>-4.6041541591621638</v>
      </c>
      <c r="AK92" s="302" t="s">
        <v>379</v>
      </c>
      <c r="AL92" s="279"/>
      <c r="AM92" s="279"/>
      <c r="AN92" s="275">
        <v>1</v>
      </c>
      <c r="AO92" s="107">
        <f>+AH92*AN92</f>
        <v>82.395745780801818</v>
      </c>
      <c r="AP92" s="279"/>
      <c r="AQ92" s="279"/>
      <c r="AR92" s="337"/>
      <c r="AS92" s="321"/>
    </row>
    <row r="93" spans="1:45" s="288" customFormat="1" ht="12" customHeight="1">
      <c r="A93" s="288" t="str">
        <f t="shared" si="19"/>
        <v>PA-JR1YD2W</v>
      </c>
      <c r="B93" s="307" t="s">
        <v>192</v>
      </c>
      <c r="C93" s="307" t="s">
        <v>193</v>
      </c>
      <c r="D93" s="317">
        <v>199.87</v>
      </c>
      <c r="E93" s="318">
        <v>35</v>
      </c>
      <c r="F93" s="99"/>
      <c r="G93" s="100">
        <v>1399.09</v>
      </c>
      <c r="H93" s="100">
        <v>1399.09</v>
      </c>
      <c r="I93" s="100">
        <v>1399.09</v>
      </c>
      <c r="J93" s="100">
        <v>1399.09</v>
      </c>
      <c r="K93" s="100">
        <v>1399.09</v>
      </c>
      <c r="L93" s="100">
        <v>1399.09</v>
      </c>
      <c r="M93" s="100">
        <v>1399.09</v>
      </c>
      <c r="N93" s="100">
        <v>1399.09</v>
      </c>
      <c r="O93" s="100">
        <v>1399.09</v>
      </c>
      <c r="P93" s="100">
        <v>1399.09</v>
      </c>
      <c r="Q93" s="100">
        <v>1399.09</v>
      </c>
      <c r="R93" s="100">
        <v>1399.09</v>
      </c>
      <c r="S93" s="100">
        <f t="shared" si="20"/>
        <v>16789.079999999998</v>
      </c>
      <c r="T93" s="288">
        <v>33010</v>
      </c>
      <c r="V93" s="100">
        <f t="shared" si="27"/>
        <v>6.9999999999999991</v>
      </c>
      <c r="W93" s="100">
        <f t="shared" si="27"/>
        <v>6.9999999999999991</v>
      </c>
      <c r="X93" s="100">
        <f t="shared" si="27"/>
        <v>6.9999999999999991</v>
      </c>
      <c r="Y93" s="100">
        <f t="shared" si="26"/>
        <v>6.9999999999999991</v>
      </c>
      <c r="Z93" s="100">
        <f t="shared" si="26"/>
        <v>6.9999999999999991</v>
      </c>
      <c r="AA93" s="100">
        <f t="shared" si="26"/>
        <v>6.9999999999999991</v>
      </c>
      <c r="AB93" s="100">
        <f t="shared" si="26"/>
        <v>6.9999999999999991</v>
      </c>
      <c r="AC93" s="100">
        <f t="shared" si="26"/>
        <v>6.9999999999999991</v>
      </c>
      <c r="AD93" s="100">
        <f t="shared" si="26"/>
        <v>6.9999999999999991</v>
      </c>
      <c r="AE93" s="100">
        <f t="shared" si="26"/>
        <v>6.9999999999999991</v>
      </c>
      <c r="AF93" s="100">
        <f t="shared" si="26"/>
        <v>6.9999999999999991</v>
      </c>
      <c r="AG93" s="100">
        <f t="shared" si="26"/>
        <v>6.9999999999999991</v>
      </c>
      <c r="AH93" s="100">
        <f t="shared" si="22"/>
        <v>6.9999999999999991</v>
      </c>
      <c r="AI93" s="308">
        <f>SUMIF('Staff Calcs '!D:D,C93,'Staff Calcs '!E:E)</f>
        <v>6.9999999999999991</v>
      </c>
      <c r="AJ93" s="319">
        <f t="shared" si="29"/>
        <v>0</v>
      </c>
      <c r="AK93" s="302" t="s">
        <v>379</v>
      </c>
      <c r="AL93" s="279"/>
      <c r="AM93" s="279"/>
      <c r="AN93" s="275">
        <v>1</v>
      </c>
      <c r="AO93" s="107">
        <f>+AH93*AN93</f>
        <v>6.9999999999999991</v>
      </c>
      <c r="AP93" s="279"/>
      <c r="AQ93" s="279"/>
      <c r="AR93" s="337"/>
      <c r="AS93" s="321"/>
    </row>
    <row r="94" spans="1:45" s="288" customFormat="1" ht="12" customHeight="1">
      <c r="A94" s="288" t="str">
        <f t="shared" si="19"/>
        <v>PA-JR1YDEX</v>
      </c>
      <c r="B94" s="307" t="s">
        <v>403</v>
      </c>
      <c r="C94" s="307" t="s">
        <v>404</v>
      </c>
      <c r="D94" s="317">
        <v>26.08</v>
      </c>
      <c r="E94" s="318">
        <v>35</v>
      </c>
      <c r="F94" s="99"/>
      <c r="G94" s="100">
        <v>0</v>
      </c>
      <c r="H94" s="100">
        <v>26.08</v>
      </c>
      <c r="I94" s="100">
        <v>0</v>
      </c>
      <c r="J94" s="100">
        <v>0</v>
      </c>
      <c r="K94" s="100">
        <v>0</v>
      </c>
      <c r="L94" s="100">
        <v>0</v>
      </c>
      <c r="M94" s="100">
        <v>0</v>
      </c>
      <c r="N94" s="100">
        <v>0</v>
      </c>
      <c r="O94" s="100">
        <v>0</v>
      </c>
      <c r="P94" s="100">
        <v>0</v>
      </c>
      <c r="Q94" s="100">
        <v>0</v>
      </c>
      <c r="R94" s="100">
        <v>26.08</v>
      </c>
      <c r="S94" s="100">
        <f t="shared" si="20"/>
        <v>52.16</v>
      </c>
      <c r="T94" s="288">
        <v>33011</v>
      </c>
      <c r="V94" s="100">
        <f t="shared" si="27"/>
        <v>0</v>
      </c>
      <c r="W94" s="100">
        <f t="shared" si="27"/>
        <v>1</v>
      </c>
      <c r="X94" s="100">
        <f t="shared" si="27"/>
        <v>0</v>
      </c>
      <c r="Y94" s="100">
        <f t="shared" si="26"/>
        <v>0</v>
      </c>
      <c r="Z94" s="100">
        <f t="shared" si="26"/>
        <v>0</v>
      </c>
      <c r="AA94" s="100">
        <f t="shared" si="26"/>
        <v>0</v>
      </c>
      <c r="AB94" s="100">
        <f t="shared" si="26"/>
        <v>0</v>
      </c>
      <c r="AC94" s="100">
        <f t="shared" si="26"/>
        <v>0</v>
      </c>
      <c r="AD94" s="100">
        <f t="shared" si="26"/>
        <v>0</v>
      </c>
      <c r="AE94" s="100">
        <f t="shared" si="26"/>
        <v>0</v>
      </c>
      <c r="AF94" s="100">
        <f t="shared" si="26"/>
        <v>0</v>
      </c>
      <c r="AG94" s="100">
        <f t="shared" si="26"/>
        <v>1</v>
      </c>
      <c r="AH94" s="100">
        <f t="shared" si="22"/>
        <v>1</v>
      </c>
      <c r="AI94" s="308">
        <f>SUMIF('Staff Calcs '!D:D,C94,'Staff Calcs '!E:E)</f>
        <v>1</v>
      </c>
      <c r="AJ94" s="319">
        <f t="shared" si="29"/>
        <v>0</v>
      </c>
      <c r="AK94" s="302" t="s">
        <v>379</v>
      </c>
      <c r="AL94" s="279"/>
      <c r="AM94" s="279"/>
      <c r="AN94" s="275">
        <v>0</v>
      </c>
      <c r="AO94" s="107">
        <f>+AH94*AN94</f>
        <v>0</v>
      </c>
      <c r="AP94" s="279"/>
      <c r="AQ94" s="279"/>
      <c r="AR94" s="337"/>
      <c r="AS94" s="321"/>
    </row>
    <row r="95" spans="1:45" s="279" customFormat="1" ht="12" customHeight="1">
      <c r="A95" s="279" t="str">
        <f t="shared" si="19"/>
        <v>PA-JR1YDRENTM</v>
      </c>
      <c r="B95" s="307" t="s">
        <v>405</v>
      </c>
      <c r="C95" s="307" t="s">
        <v>406</v>
      </c>
      <c r="D95" s="317">
        <v>5.0599999999999996</v>
      </c>
      <c r="E95" s="318">
        <v>35</v>
      </c>
      <c r="F95" s="99"/>
      <c r="G95" s="100">
        <v>101.2</v>
      </c>
      <c r="H95" s="100">
        <v>94.11</v>
      </c>
      <c r="I95" s="100">
        <v>92.38</v>
      </c>
      <c r="J95" s="100">
        <v>123.12</v>
      </c>
      <c r="K95" s="100">
        <v>131.22</v>
      </c>
      <c r="L95" s="100">
        <v>140.86000000000001</v>
      </c>
      <c r="M95" s="100">
        <v>133.18</v>
      </c>
      <c r="N95" s="100">
        <v>144.10999999999999</v>
      </c>
      <c r="O95" s="100">
        <v>151.80000000000001</v>
      </c>
      <c r="P95" s="100">
        <v>160.77000000000001</v>
      </c>
      <c r="Q95" s="100">
        <v>164.95</v>
      </c>
      <c r="R95" s="100">
        <v>167.95</v>
      </c>
      <c r="S95" s="100">
        <f t="shared" si="20"/>
        <v>1605.65</v>
      </c>
      <c r="T95" s="288">
        <v>33010</v>
      </c>
      <c r="U95" s="288"/>
      <c r="V95" s="105">
        <f t="shared" si="27"/>
        <v>20.000000000000004</v>
      </c>
      <c r="W95" s="105">
        <f t="shared" si="27"/>
        <v>18.598814229249012</v>
      </c>
      <c r="X95" s="105">
        <f t="shared" si="27"/>
        <v>18.25691699604743</v>
      </c>
      <c r="Y95" s="105">
        <f t="shared" si="26"/>
        <v>24.332015810276683</v>
      </c>
      <c r="Z95" s="105">
        <f t="shared" si="26"/>
        <v>25.932806324110675</v>
      </c>
      <c r="AA95" s="105">
        <f t="shared" si="26"/>
        <v>27.837944664031625</v>
      </c>
      <c r="AB95" s="105">
        <f t="shared" si="26"/>
        <v>26.320158102766801</v>
      </c>
      <c r="AC95" s="105">
        <f t="shared" si="26"/>
        <v>28.480237154150196</v>
      </c>
      <c r="AD95" s="105">
        <f t="shared" si="26"/>
        <v>30.000000000000004</v>
      </c>
      <c r="AE95" s="105">
        <f t="shared" si="26"/>
        <v>31.772727272727277</v>
      </c>
      <c r="AF95" s="105">
        <f t="shared" si="26"/>
        <v>32.598814229249015</v>
      </c>
      <c r="AG95" s="105">
        <f t="shared" si="26"/>
        <v>33.191699604743086</v>
      </c>
      <c r="AH95" s="100">
        <f t="shared" si="22"/>
        <v>26.443511198945984</v>
      </c>
      <c r="AI95" s="308"/>
      <c r="AJ95" s="319"/>
      <c r="AK95" s="302"/>
      <c r="AN95" s="275"/>
      <c r="AO95" s="108"/>
      <c r="AR95" s="282"/>
      <c r="AS95" s="321"/>
    </row>
    <row r="96" spans="1:45" s="288" customFormat="1" ht="12" customHeight="1">
      <c r="A96" s="288" t="str">
        <f t="shared" si="19"/>
        <v>PA-JR2YD1W</v>
      </c>
      <c r="B96" s="307" t="s">
        <v>161</v>
      </c>
      <c r="C96" s="307" t="s">
        <v>120</v>
      </c>
      <c r="D96" s="317">
        <v>195.89</v>
      </c>
      <c r="E96" s="318">
        <v>36</v>
      </c>
      <c r="F96" s="99"/>
      <c r="G96" s="100">
        <v>24388.27</v>
      </c>
      <c r="H96" s="100">
        <v>25220.799999999999</v>
      </c>
      <c r="I96" s="100">
        <v>24241.3</v>
      </c>
      <c r="J96" s="100">
        <v>21156.11</v>
      </c>
      <c r="K96" s="100">
        <v>22821.17</v>
      </c>
      <c r="L96" s="100">
        <v>22870.15</v>
      </c>
      <c r="M96" s="100">
        <v>22576.31</v>
      </c>
      <c r="N96" s="100">
        <v>22968.03</v>
      </c>
      <c r="O96" s="100">
        <v>24045.48</v>
      </c>
      <c r="P96" s="100">
        <v>25367.58</v>
      </c>
      <c r="Q96" s="100">
        <v>25906.43</v>
      </c>
      <c r="R96" s="100">
        <v>26249.21</v>
      </c>
      <c r="S96" s="100">
        <f t="shared" si="20"/>
        <v>287810.84000000003</v>
      </c>
      <c r="T96" s="288">
        <v>33010</v>
      </c>
      <c r="V96" s="100">
        <f t="shared" si="27"/>
        <v>124.49982132829651</v>
      </c>
      <c r="W96" s="100">
        <f t="shared" si="27"/>
        <v>128.74980856603196</v>
      </c>
      <c r="X96" s="100">
        <f t="shared" si="27"/>
        <v>123.74955332074124</v>
      </c>
      <c r="Y96" s="100">
        <f t="shared" si="26"/>
        <v>107.99994895094187</v>
      </c>
      <c r="Z96" s="100">
        <f t="shared" si="26"/>
        <v>116.49992342641278</v>
      </c>
      <c r="AA96" s="100">
        <f t="shared" si="26"/>
        <v>116.7499617132064</v>
      </c>
      <c r="AB96" s="100">
        <f t="shared" si="26"/>
        <v>115.24993618867734</v>
      </c>
      <c r="AC96" s="100">
        <f t="shared" si="26"/>
        <v>117.24962989432845</v>
      </c>
      <c r="AD96" s="100">
        <f t="shared" si="26"/>
        <v>122.74991066414826</v>
      </c>
      <c r="AE96" s="100">
        <f t="shared" si="26"/>
        <v>129.49910664148248</v>
      </c>
      <c r="AF96" s="100">
        <f t="shared" si="26"/>
        <v>132.24988513961918</v>
      </c>
      <c r="AG96" s="100">
        <f t="shared" si="26"/>
        <v>133.99974475470927</v>
      </c>
      <c r="AH96" s="100">
        <f t="shared" si="22"/>
        <v>122.43726921571631</v>
      </c>
      <c r="AI96" s="308">
        <f>SUMIF('Staff Calcs '!D:D,C96,'Staff Calcs '!E:E)</f>
        <v>136.81218200690864</v>
      </c>
      <c r="AJ96" s="319">
        <f t="shared" ref="AJ96:AJ98" si="30">AH96-AI96</f>
        <v>-14.37491279119233</v>
      </c>
      <c r="AK96" s="302" t="s">
        <v>366</v>
      </c>
      <c r="AL96" s="279"/>
      <c r="AM96" s="279"/>
      <c r="AN96" s="275">
        <v>1</v>
      </c>
      <c r="AO96" s="107">
        <f>+AH96*AN96</f>
        <v>122.43726921571631</v>
      </c>
      <c r="AP96" s="279"/>
      <c r="AQ96" s="279"/>
      <c r="AR96" s="337"/>
      <c r="AS96" s="321"/>
    </row>
    <row r="97" spans="1:45" s="288" customFormat="1" ht="12" customHeight="1">
      <c r="A97" s="288" t="str">
        <f t="shared" si="19"/>
        <v>PA-JR2YD2W</v>
      </c>
      <c r="B97" s="307" t="s">
        <v>162</v>
      </c>
      <c r="C97" s="307" t="s">
        <v>121</v>
      </c>
      <c r="D97" s="317">
        <v>391.78</v>
      </c>
      <c r="E97" s="318">
        <v>36</v>
      </c>
      <c r="F97" s="99"/>
      <c r="G97" s="100">
        <v>8619.16</v>
      </c>
      <c r="H97" s="100">
        <v>7639.7</v>
      </c>
      <c r="I97" s="100">
        <v>6562.31</v>
      </c>
      <c r="J97" s="100">
        <v>6268.48</v>
      </c>
      <c r="K97" s="100">
        <v>6268.48</v>
      </c>
      <c r="L97" s="100">
        <v>6464.37</v>
      </c>
      <c r="M97" s="100">
        <v>6317.43</v>
      </c>
      <c r="N97" s="100">
        <v>6219.5</v>
      </c>
      <c r="O97" s="100">
        <v>5876.7</v>
      </c>
      <c r="P97" s="100">
        <v>6366.4</v>
      </c>
      <c r="Q97" s="100">
        <v>7737.65</v>
      </c>
      <c r="R97" s="100">
        <v>8129.43</v>
      </c>
      <c r="S97" s="100">
        <f t="shared" si="20"/>
        <v>82469.609999999986</v>
      </c>
      <c r="T97" s="288">
        <v>33010</v>
      </c>
      <c r="V97" s="100">
        <f t="shared" si="27"/>
        <v>22</v>
      </c>
      <c r="W97" s="100">
        <f t="shared" si="27"/>
        <v>19.499974475470928</v>
      </c>
      <c r="X97" s="100">
        <f t="shared" si="27"/>
        <v>16.749987237735468</v>
      </c>
      <c r="Y97" s="100">
        <f t="shared" si="26"/>
        <v>16</v>
      </c>
      <c r="Z97" s="100">
        <f t="shared" si="26"/>
        <v>16</v>
      </c>
      <c r="AA97" s="100">
        <f t="shared" si="26"/>
        <v>16.5</v>
      </c>
      <c r="AB97" s="100">
        <f t="shared" si="26"/>
        <v>16.124942569809591</v>
      </c>
      <c r="AC97" s="100">
        <f t="shared" si="26"/>
        <v>15.874980856603196</v>
      </c>
      <c r="AD97" s="100">
        <f t="shared" si="26"/>
        <v>15</v>
      </c>
      <c r="AE97" s="100">
        <f t="shared" si="26"/>
        <v>16.249936188677321</v>
      </c>
      <c r="AF97" s="100">
        <f t="shared" si="26"/>
        <v>19.749987237735464</v>
      </c>
      <c r="AG97" s="100">
        <f t="shared" si="26"/>
        <v>20.749987237735468</v>
      </c>
      <c r="AH97" s="100">
        <f t="shared" si="22"/>
        <v>17.541649650313953</v>
      </c>
      <c r="AI97" s="308">
        <f>SUMIF('Staff Calcs '!D:D,C97,'Staff Calcs '!E:E)</f>
        <v>26.156186720438342</v>
      </c>
      <c r="AJ97" s="319">
        <f t="shared" si="30"/>
        <v>-8.6145370701243884</v>
      </c>
      <c r="AK97" s="302" t="s">
        <v>366</v>
      </c>
      <c r="AL97" s="279"/>
      <c r="AM97" s="279"/>
      <c r="AN97" s="275">
        <v>1</v>
      </c>
      <c r="AO97" s="107">
        <f>+AH97*AN97</f>
        <v>17.541649650313953</v>
      </c>
      <c r="AP97" s="279"/>
      <c r="AQ97" s="279"/>
      <c r="AR97" s="337"/>
      <c r="AS97" s="321"/>
    </row>
    <row r="98" spans="1:45" s="279" customFormat="1" ht="12" customHeight="1">
      <c r="A98" s="279" t="str">
        <f t="shared" si="19"/>
        <v>PA-JR2YDEX</v>
      </c>
      <c r="B98" s="307" t="s">
        <v>169</v>
      </c>
      <c r="C98" s="307" t="s">
        <v>128</v>
      </c>
      <c r="D98" s="317">
        <v>50.24</v>
      </c>
      <c r="E98" s="318">
        <v>35</v>
      </c>
      <c r="F98" s="99"/>
      <c r="G98" s="100">
        <v>50.24</v>
      </c>
      <c r="H98" s="100">
        <v>0</v>
      </c>
      <c r="I98" s="100">
        <v>0</v>
      </c>
      <c r="J98" s="100">
        <v>0</v>
      </c>
      <c r="K98" s="100">
        <v>50.24</v>
      </c>
      <c r="L98" s="100">
        <v>0</v>
      </c>
      <c r="M98" s="100">
        <v>0</v>
      </c>
      <c r="N98" s="100">
        <v>0</v>
      </c>
      <c r="O98" s="100">
        <v>0</v>
      </c>
      <c r="P98" s="100">
        <v>0</v>
      </c>
      <c r="Q98" s="100">
        <v>0</v>
      </c>
      <c r="R98" s="100">
        <v>0</v>
      </c>
      <c r="S98" s="100">
        <f t="shared" si="20"/>
        <v>100.48</v>
      </c>
      <c r="T98" s="288">
        <v>33011</v>
      </c>
      <c r="U98" s="288"/>
      <c r="V98" s="105">
        <f t="shared" si="27"/>
        <v>1</v>
      </c>
      <c r="W98" s="105">
        <f t="shared" si="27"/>
        <v>0</v>
      </c>
      <c r="X98" s="105">
        <f t="shared" si="27"/>
        <v>0</v>
      </c>
      <c r="Y98" s="105">
        <f t="shared" si="26"/>
        <v>0</v>
      </c>
      <c r="Z98" s="105">
        <f t="shared" si="26"/>
        <v>1</v>
      </c>
      <c r="AA98" s="105">
        <f t="shared" si="26"/>
        <v>0</v>
      </c>
      <c r="AB98" s="105">
        <f t="shared" si="26"/>
        <v>0</v>
      </c>
      <c r="AC98" s="105">
        <f t="shared" si="26"/>
        <v>0</v>
      </c>
      <c r="AD98" s="105">
        <f t="shared" si="26"/>
        <v>0</v>
      </c>
      <c r="AE98" s="105">
        <f t="shared" si="26"/>
        <v>0</v>
      </c>
      <c r="AF98" s="105">
        <f t="shared" si="26"/>
        <v>0</v>
      </c>
      <c r="AG98" s="105">
        <f t="shared" si="26"/>
        <v>0</v>
      </c>
      <c r="AH98" s="100">
        <f t="shared" si="22"/>
        <v>1</v>
      </c>
      <c r="AI98" s="308">
        <f>SUMIF('Staff Calcs '!D:D,C98,'Staff Calcs '!E:E)</f>
        <v>1</v>
      </c>
      <c r="AJ98" s="319">
        <f t="shared" si="30"/>
        <v>0</v>
      </c>
      <c r="AK98" s="302"/>
      <c r="AN98" s="275"/>
      <c r="AO98" s="107"/>
      <c r="AR98" s="337"/>
      <c r="AS98" s="321"/>
    </row>
    <row r="99" spans="1:45" s="336" customFormat="1" ht="12" customHeight="1">
      <c r="A99" s="279" t="str">
        <f t="shared" si="19"/>
        <v>PA-JR2YDRENTM</v>
      </c>
      <c r="B99" s="307" t="s">
        <v>179</v>
      </c>
      <c r="C99" s="307" t="s">
        <v>180</v>
      </c>
      <c r="D99" s="317">
        <v>9.02</v>
      </c>
      <c r="E99" s="318">
        <v>35</v>
      </c>
      <c r="F99" s="99"/>
      <c r="G99" s="100">
        <v>190.29</v>
      </c>
      <c r="H99" s="100">
        <v>187.91</v>
      </c>
      <c r="I99" s="100">
        <v>186.5</v>
      </c>
      <c r="J99" s="100">
        <v>234.52</v>
      </c>
      <c r="K99" s="100">
        <v>234.52</v>
      </c>
      <c r="L99" s="100">
        <v>243.54</v>
      </c>
      <c r="M99" s="100">
        <v>261.25</v>
      </c>
      <c r="N99" s="100">
        <v>271.5</v>
      </c>
      <c r="O99" s="100">
        <v>276</v>
      </c>
      <c r="P99" s="100">
        <v>279.60000000000002</v>
      </c>
      <c r="Q99" s="100">
        <v>279.62</v>
      </c>
      <c r="R99" s="100">
        <v>279.89999999999998</v>
      </c>
      <c r="S99" s="100">
        <f t="shared" si="20"/>
        <v>2925.1499999999996</v>
      </c>
      <c r="T99" s="288">
        <v>33010</v>
      </c>
      <c r="U99" s="288"/>
      <c r="V99" s="105">
        <f t="shared" si="27"/>
        <v>21.096452328159646</v>
      </c>
      <c r="W99" s="105">
        <f t="shared" si="27"/>
        <v>20.832594235033259</v>
      </c>
      <c r="X99" s="105">
        <f t="shared" si="27"/>
        <v>20.676274944567627</v>
      </c>
      <c r="Y99" s="105">
        <f t="shared" si="26"/>
        <v>26.000000000000004</v>
      </c>
      <c r="Z99" s="105">
        <f t="shared" si="26"/>
        <v>26.000000000000004</v>
      </c>
      <c r="AA99" s="105">
        <f t="shared" si="26"/>
        <v>27</v>
      </c>
      <c r="AB99" s="105">
        <f t="shared" si="26"/>
        <v>28.963414634146343</v>
      </c>
      <c r="AC99" s="105">
        <f t="shared" si="26"/>
        <v>30.099778270509979</v>
      </c>
      <c r="AD99" s="105">
        <f t="shared" si="26"/>
        <v>30.59866962305987</v>
      </c>
      <c r="AE99" s="105">
        <f t="shared" si="26"/>
        <v>30.997782705099784</v>
      </c>
      <c r="AF99" s="105">
        <f t="shared" si="26"/>
        <v>31.000000000000004</v>
      </c>
      <c r="AG99" s="105">
        <f t="shared" si="26"/>
        <v>31.031042128603104</v>
      </c>
      <c r="AH99" s="100">
        <f t="shared" si="22"/>
        <v>27.024667405764973</v>
      </c>
      <c r="AI99" s="308"/>
      <c r="AJ99" s="319"/>
      <c r="AK99" s="302"/>
      <c r="AL99" s="279"/>
      <c r="AM99" s="279"/>
      <c r="AN99" s="275"/>
      <c r="AO99" s="107"/>
      <c r="AP99" s="279"/>
      <c r="AQ99" s="279"/>
      <c r="AR99" s="282"/>
      <c r="AS99" s="321"/>
    </row>
    <row r="100" spans="1:45" s="288" customFormat="1" ht="12" customHeight="1">
      <c r="A100" s="288" t="str">
        <f t="shared" si="19"/>
        <v>PA-JR2YDTPU</v>
      </c>
      <c r="B100" s="307" t="s">
        <v>170</v>
      </c>
      <c r="C100" s="307" t="s">
        <v>129</v>
      </c>
      <c r="D100" s="317">
        <v>51.57</v>
      </c>
      <c r="E100" s="318">
        <v>35</v>
      </c>
      <c r="F100" s="99"/>
      <c r="G100" s="100">
        <v>928.26</v>
      </c>
      <c r="H100" s="100">
        <v>721.98</v>
      </c>
      <c r="I100" s="100">
        <v>773.55</v>
      </c>
      <c r="J100" s="100">
        <v>773.55</v>
      </c>
      <c r="K100" s="100">
        <v>309.42</v>
      </c>
      <c r="L100" s="100">
        <v>721.98</v>
      </c>
      <c r="M100" s="100">
        <v>464.13</v>
      </c>
      <c r="N100" s="100">
        <v>154.71</v>
      </c>
      <c r="O100" s="100">
        <v>257.85000000000002</v>
      </c>
      <c r="P100" s="100">
        <v>721.98</v>
      </c>
      <c r="Q100" s="100">
        <v>670.41</v>
      </c>
      <c r="R100" s="100">
        <v>257.85000000000002</v>
      </c>
      <c r="S100" s="100">
        <f t="shared" si="20"/>
        <v>6755.67</v>
      </c>
      <c r="T100" s="288">
        <v>33010</v>
      </c>
      <c r="V100" s="100">
        <f t="shared" si="27"/>
        <v>18</v>
      </c>
      <c r="W100" s="100">
        <f t="shared" si="27"/>
        <v>14</v>
      </c>
      <c r="X100" s="100">
        <f t="shared" si="27"/>
        <v>14.999999999999998</v>
      </c>
      <c r="Y100" s="100">
        <f t="shared" si="26"/>
        <v>14.999999999999998</v>
      </c>
      <c r="Z100" s="100">
        <f t="shared" si="26"/>
        <v>6</v>
      </c>
      <c r="AA100" s="100">
        <f t="shared" si="26"/>
        <v>14</v>
      </c>
      <c r="AB100" s="100">
        <f t="shared" si="26"/>
        <v>9</v>
      </c>
      <c r="AC100" s="100">
        <f t="shared" si="26"/>
        <v>3</v>
      </c>
      <c r="AD100" s="100">
        <f t="shared" si="26"/>
        <v>5</v>
      </c>
      <c r="AE100" s="100">
        <f t="shared" si="26"/>
        <v>14</v>
      </c>
      <c r="AF100" s="100">
        <f t="shared" si="26"/>
        <v>13</v>
      </c>
      <c r="AG100" s="100">
        <f t="shared" si="26"/>
        <v>5</v>
      </c>
      <c r="AH100" s="100">
        <f t="shared" si="22"/>
        <v>10.916666666666666</v>
      </c>
      <c r="AI100" s="308">
        <f>SUMIF('Staff Calcs '!D:D,C100,'Staff Calcs '!E:E)</f>
        <v>10.916666666666666</v>
      </c>
      <c r="AJ100" s="319">
        <f t="shared" ref="AJ100" si="31">AH100-AI100</f>
        <v>0</v>
      </c>
      <c r="AK100" s="302" t="s">
        <v>366</v>
      </c>
      <c r="AL100" s="279"/>
      <c r="AM100" s="279"/>
      <c r="AN100" s="275">
        <v>1</v>
      </c>
      <c r="AO100" s="107">
        <f>+AH100*AN100</f>
        <v>10.916666666666666</v>
      </c>
      <c r="AP100" s="279"/>
      <c r="AQ100" s="279"/>
      <c r="AR100" s="337"/>
      <c r="AS100" s="321"/>
    </row>
    <row r="101" spans="1:45" s="279" customFormat="1" ht="12" customHeight="1">
      <c r="A101" s="279" t="str">
        <f t="shared" si="19"/>
        <v>PA-JRDELTO8</v>
      </c>
      <c r="B101" s="307" t="s">
        <v>187</v>
      </c>
      <c r="C101" s="307" t="s">
        <v>188</v>
      </c>
      <c r="D101" s="317">
        <v>30.85</v>
      </c>
      <c r="E101" s="318">
        <v>15</v>
      </c>
      <c r="F101" s="99"/>
      <c r="G101" s="100">
        <v>30.85</v>
      </c>
      <c r="H101" s="100">
        <v>61.7</v>
      </c>
      <c r="I101" s="100">
        <v>61.7</v>
      </c>
      <c r="J101" s="100">
        <v>30.85</v>
      </c>
      <c r="K101" s="100">
        <v>0</v>
      </c>
      <c r="L101" s="100">
        <v>0</v>
      </c>
      <c r="M101" s="100">
        <v>0</v>
      </c>
      <c r="N101" s="100">
        <v>30.85</v>
      </c>
      <c r="O101" s="100">
        <v>185.1</v>
      </c>
      <c r="P101" s="100">
        <v>92.55</v>
      </c>
      <c r="Q101" s="100">
        <v>0</v>
      </c>
      <c r="R101" s="100">
        <v>30.85</v>
      </c>
      <c r="S101" s="100">
        <f t="shared" si="20"/>
        <v>524.44999999999993</v>
      </c>
      <c r="T101" s="288">
        <v>33010</v>
      </c>
      <c r="U101" s="288"/>
      <c r="V101" s="105">
        <f t="shared" si="27"/>
        <v>1</v>
      </c>
      <c r="W101" s="105">
        <f t="shared" si="27"/>
        <v>2</v>
      </c>
      <c r="X101" s="105">
        <f t="shared" si="27"/>
        <v>2</v>
      </c>
      <c r="Y101" s="105">
        <f t="shared" si="26"/>
        <v>1</v>
      </c>
      <c r="Z101" s="105">
        <f t="shared" si="26"/>
        <v>0</v>
      </c>
      <c r="AA101" s="105">
        <f t="shared" si="26"/>
        <v>0</v>
      </c>
      <c r="AB101" s="105">
        <f t="shared" si="26"/>
        <v>0</v>
      </c>
      <c r="AC101" s="105">
        <f t="shared" si="26"/>
        <v>1</v>
      </c>
      <c r="AD101" s="105">
        <f t="shared" si="26"/>
        <v>5.9999999999999991</v>
      </c>
      <c r="AE101" s="105">
        <f t="shared" si="26"/>
        <v>2.9999999999999996</v>
      </c>
      <c r="AF101" s="105">
        <f t="shared" si="26"/>
        <v>0</v>
      </c>
      <c r="AG101" s="105">
        <f t="shared" si="26"/>
        <v>1</v>
      </c>
      <c r="AH101" s="100">
        <f t="shared" si="22"/>
        <v>2.125</v>
      </c>
      <c r="AI101" s="308"/>
      <c r="AJ101" s="319"/>
      <c r="AK101" s="302"/>
      <c r="AN101" s="275"/>
      <c r="AO101" s="108"/>
      <c r="AR101" s="282"/>
      <c r="AS101" s="321"/>
    </row>
    <row r="102" spans="1:45" s="279" customFormat="1" ht="12" customHeight="1">
      <c r="A102" s="279" t="str">
        <f t="shared" si="19"/>
        <v>PA-JCLOCKEOW</v>
      </c>
      <c r="B102" s="307" t="s">
        <v>183</v>
      </c>
      <c r="C102" s="307" t="s">
        <v>184</v>
      </c>
      <c r="D102" s="317">
        <v>2.4300000000000002</v>
      </c>
      <c r="E102" s="318">
        <v>36</v>
      </c>
      <c r="F102" s="99"/>
      <c r="G102" s="100">
        <v>48.6</v>
      </c>
      <c r="H102" s="100">
        <v>48.6</v>
      </c>
      <c r="I102" s="100">
        <v>46.17</v>
      </c>
      <c r="J102" s="100">
        <v>46.17</v>
      </c>
      <c r="K102" s="100">
        <v>48.6</v>
      </c>
      <c r="L102" s="100">
        <v>48.6</v>
      </c>
      <c r="M102" s="100">
        <v>48.6</v>
      </c>
      <c r="N102" s="100">
        <v>51.03</v>
      </c>
      <c r="O102" s="100">
        <v>54.67</v>
      </c>
      <c r="P102" s="100">
        <v>55.89</v>
      </c>
      <c r="Q102" s="100">
        <v>55.89</v>
      </c>
      <c r="R102" s="100">
        <v>55.89</v>
      </c>
      <c r="S102" s="100">
        <f t="shared" si="20"/>
        <v>608.71</v>
      </c>
      <c r="T102" s="288">
        <v>33011</v>
      </c>
      <c r="U102" s="288"/>
      <c r="V102" s="105">
        <f t="shared" si="27"/>
        <v>20</v>
      </c>
      <c r="W102" s="105">
        <f t="shared" si="27"/>
        <v>20</v>
      </c>
      <c r="X102" s="105">
        <f t="shared" si="27"/>
        <v>19</v>
      </c>
      <c r="Y102" s="105">
        <f t="shared" si="26"/>
        <v>19</v>
      </c>
      <c r="Z102" s="105">
        <f t="shared" si="26"/>
        <v>20</v>
      </c>
      <c r="AA102" s="105">
        <f t="shared" si="26"/>
        <v>20</v>
      </c>
      <c r="AB102" s="105">
        <f t="shared" si="26"/>
        <v>20</v>
      </c>
      <c r="AC102" s="105">
        <f t="shared" si="26"/>
        <v>21</v>
      </c>
      <c r="AD102" s="105">
        <f t="shared" si="26"/>
        <v>22.497942386831276</v>
      </c>
      <c r="AE102" s="105">
        <f t="shared" si="26"/>
        <v>23</v>
      </c>
      <c r="AF102" s="105">
        <f t="shared" si="26"/>
        <v>23</v>
      </c>
      <c r="AG102" s="105">
        <f t="shared" si="26"/>
        <v>23</v>
      </c>
      <c r="AH102" s="100">
        <f t="shared" si="22"/>
        <v>20.874828532235941</v>
      </c>
      <c r="AI102" s="308"/>
      <c r="AJ102" s="319"/>
      <c r="AK102" s="302"/>
      <c r="AN102" s="275"/>
      <c r="AO102" s="107"/>
      <c r="AR102" s="282"/>
      <c r="AS102" s="321"/>
    </row>
    <row r="103" spans="1:45" s="288" customFormat="1" ht="12" customHeight="1">
      <c r="A103" s="288" t="str">
        <f t="shared" si="19"/>
        <v>PA-J96CW1</v>
      </c>
      <c r="B103" s="307" t="s">
        <v>407</v>
      </c>
      <c r="C103" s="307" t="s">
        <v>408</v>
      </c>
      <c r="D103" s="317">
        <v>44.77</v>
      </c>
      <c r="E103" s="318">
        <v>35.5</v>
      </c>
      <c r="F103" s="99"/>
      <c r="G103" s="100">
        <v>615.58000000000004</v>
      </c>
      <c r="H103" s="100">
        <v>582.01</v>
      </c>
      <c r="I103" s="100">
        <v>637.97</v>
      </c>
      <c r="J103" s="100">
        <v>671.55</v>
      </c>
      <c r="K103" s="100">
        <v>671.55</v>
      </c>
      <c r="L103" s="100">
        <v>649.16</v>
      </c>
      <c r="M103" s="100">
        <v>626.78</v>
      </c>
      <c r="N103" s="100">
        <v>604.39</v>
      </c>
      <c r="O103" s="100">
        <v>582.01</v>
      </c>
      <c r="P103" s="100">
        <v>604.39</v>
      </c>
      <c r="Q103" s="100">
        <v>593.20000000000005</v>
      </c>
      <c r="R103" s="100">
        <v>660.34</v>
      </c>
      <c r="S103" s="100">
        <f t="shared" si="20"/>
        <v>7498.93</v>
      </c>
      <c r="T103" s="288">
        <v>33010</v>
      </c>
      <c r="V103" s="100">
        <f t="shared" si="27"/>
        <v>13.749832477105205</v>
      </c>
      <c r="W103" s="100">
        <f t="shared" si="27"/>
        <v>12.999999999999998</v>
      </c>
      <c r="X103" s="100">
        <f t="shared" si="27"/>
        <v>14.249944159035067</v>
      </c>
      <c r="Y103" s="100">
        <f t="shared" si="26"/>
        <v>14.999999999999998</v>
      </c>
      <c r="Z103" s="100">
        <f t="shared" si="26"/>
        <v>14.999999999999998</v>
      </c>
      <c r="AA103" s="100">
        <f t="shared" si="26"/>
        <v>14.499888318070134</v>
      </c>
      <c r="AB103" s="100">
        <f t="shared" si="26"/>
        <v>13.999999999999998</v>
      </c>
      <c r="AC103" s="100">
        <f t="shared" si="26"/>
        <v>13.499888318070134</v>
      </c>
      <c r="AD103" s="100">
        <f t="shared" si="26"/>
        <v>12.999999999999998</v>
      </c>
      <c r="AE103" s="100">
        <f t="shared" si="26"/>
        <v>13.499888318070134</v>
      </c>
      <c r="AF103" s="100">
        <f t="shared" si="26"/>
        <v>13.249944159035069</v>
      </c>
      <c r="AG103" s="100">
        <f t="shared" si="26"/>
        <v>14.749609113245477</v>
      </c>
      <c r="AH103" s="100">
        <f t="shared" si="22"/>
        <v>13.958249571885935</v>
      </c>
      <c r="AI103" s="308">
        <f>SUMIF('Staff Calcs '!D:D,C103,'Staff Calcs '!E:E)</f>
        <v>13.958249571885935</v>
      </c>
      <c r="AJ103" s="319">
        <f t="shared" ref="AJ103" si="32">AH103-AI103</f>
        <v>0</v>
      </c>
      <c r="AK103" s="302">
        <v>96</v>
      </c>
      <c r="AL103" s="279">
        <v>1</v>
      </c>
      <c r="AM103" s="107">
        <f>+AH103*AL103</f>
        <v>13.958249571885935</v>
      </c>
      <c r="AN103" s="275"/>
      <c r="AO103" s="107"/>
      <c r="AP103" s="279"/>
      <c r="AQ103" s="279"/>
      <c r="AR103" s="337">
        <f>D103/4.33</f>
        <v>10.339491916859123</v>
      </c>
      <c r="AS103" s="321"/>
    </row>
    <row r="104" spans="1:45" s="279" customFormat="1" ht="12" customHeight="1">
      <c r="A104" s="279" t="str">
        <f t="shared" si="19"/>
        <v>PA-JCGATE</v>
      </c>
      <c r="B104" s="307" t="s">
        <v>181</v>
      </c>
      <c r="C104" s="307" t="s">
        <v>182</v>
      </c>
      <c r="D104" s="317">
        <f>1.12*4.33</f>
        <v>4.8496000000000006</v>
      </c>
      <c r="E104" s="318">
        <v>36</v>
      </c>
      <c r="F104" s="99"/>
      <c r="G104" s="100">
        <v>50.07</v>
      </c>
      <c r="H104" s="100">
        <v>48.85</v>
      </c>
      <c r="I104" s="100">
        <v>48.85</v>
      </c>
      <c r="J104" s="100">
        <v>48.85</v>
      </c>
      <c r="K104" s="100">
        <v>48.85</v>
      </c>
      <c r="L104" s="100">
        <v>48.85</v>
      </c>
      <c r="M104" s="100">
        <v>56.81</v>
      </c>
      <c r="N104" s="100">
        <v>63.55</v>
      </c>
      <c r="O104" s="100">
        <v>63.55</v>
      </c>
      <c r="P104" s="100">
        <v>63.55</v>
      </c>
      <c r="Q104" s="100">
        <v>61.1</v>
      </c>
      <c r="R104" s="100">
        <v>58.65</v>
      </c>
      <c r="S104" s="100">
        <f t="shared" si="20"/>
        <v>661.53</v>
      </c>
      <c r="T104" s="288">
        <v>33011</v>
      </c>
      <c r="U104" s="288"/>
      <c r="V104" s="105">
        <f t="shared" si="27"/>
        <v>10.324562850544373</v>
      </c>
      <c r="W104" s="105">
        <f t="shared" si="27"/>
        <v>10.072995710986472</v>
      </c>
      <c r="X104" s="105">
        <f t="shared" si="27"/>
        <v>10.072995710986472</v>
      </c>
      <c r="Y104" s="105">
        <f t="shared" si="26"/>
        <v>10.072995710986472</v>
      </c>
      <c r="Z104" s="105">
        <f t="shared" si="26"/>
        <v>10.072995710986472</v>
      </c>
      <c r="AA104" s="105">
        <f t="shared" si="26"/>
        <v>10.072995710986472</v>
      </c>
      <c r="AB104" s="105">
        <f t="shared" si="26"/>
        <v>11.714368195315076</v>
      </c>
      <c r="AC104" s="105">
        <f t="shared" si="26"/>
        <v>13.104173540085778</v>
      </c>
      <c r="AD104" s="105">
        <f t="shared" si="26"/>
        <v>13.104173540085778</v>
      </c>
      <c r="AE104" s="105">
        <f t="shared" si="26"/>
        <v>13.104173540085778</v>
      </c>
      <c r="AF104" s="105">
        <f t="shared" si="26"/>
        <v>12.598977235235894</v>
      </c>
      <c r="AG104" s="105">
        <f t="shared" si="26"/>
        <v>12.093780930386009</v>
      </c>
      <c r="AH104" s="100">
        <f t="shared" si="22"/>
        <v>11.367432365555921</v>
      </c>
      <c r="AI104" s="308"/>
      <c r="AJ104" s="319"/>
      <c r="AK104" s="302"/>
      <c r="AN104" s="275"/>
      <c r="AO104" s="108"/>
      <c r="AR104" s="282"/>
      <c r="AS104" s="321"/>
    </row>
    <row r="105" spans="1:45" s="288" customFormat="1" ht="12" customHeight="1">
      <c r="A105" s="288" t="str">
        <f t="shared" si="19"/>
        <v>PA-J35CW1</v>
      </c>
      <c r="B105" s="307" t="s">
        <v>409</v>
      </c>
      <c r="C105" s="307" t="s">
        <v>410</v>
      </c>
      <c r="D105" s="317">
        <v>26.89</v>
      </c>
      <c r="E105" s="318">
        <v>35.5</v>
      </c>
      <c r="F105" s="99"/>
      <c r="G105" s="100">
        <v>1263.83</v>
      </c>
      <c r="H105" s="100">
        <v>1263.83</v>
      </c>
      <c r="I105" s="100">
        <v>1263.83</v>
      </c>
      <c r="J105" s="100">
        <v>1263.83</v>
      </c>
      <c r="K105" s="100">
        <v>1236.94</v>
      </c>
      <c r="L105" s="100">
        <v>1236.94</v>
      </c>
      <c r="M105" s="100">
        <v>1223.49</v>
      </c>
      <c r="N105" s="100">
        <v>1210.05</v>
      </c>
      <c r="O105" s="100">
        <v>1210.05</v>
      </c>
      <c r="P105" s="100">
        <v>1216.77</v>
      </c>
      <c r="Q105" s="100">
        <v>1236.94</v>
      </c>
      <c r="R105" s="100">
        <v>1236.93</v>
      </c>
      <c r="S105" s="100">
        <f t="shared" si="20"/>
        <v>14863.43</v>
      </c>
      <c r="T105" s="288">
        <v>33010</v>
      </c>
      <c r="V105" s="100">
        <f t="shared" si="27"/>
        <v>46.999999999999993</v>
      </c>
      <c r="W105" s="100">
        <f t="shared" si="27"/>
        <v>46.999999999999993</v>
      </c>
      <c r="X105" s="100">
        <f t="shared" si="27"/>
        <v>46.999999999999993</v>
      </c>
      <c r="Y105" s="100">
        <f t="shared" si="26"/>
        <v>46.999999999999993</v>
      </c>
      <c r="Z105" s="100">
        <f t="shared" si="26"/>
        <v>46</v>
      </c>
      <c r="AA105" s="100">
        <f t="shared" si="26"/>
        <v>46</v>
      </c>
      <c r="AB105" s="100">
        <f t="shared" si="26"/>
        <v>45.499814057270363</v>
      </c>
      <c r="AC105" s="100">
        <f t="shared" si="26"/>
        <v>45</v>
      </c>
      <c r="AD105" s="100">
        <f t="shared" si="26"/>
        <v>45</v>
      </c>
      <c r="AE105" s="100">
        <f t="shared" si="26"/>
        <v>45.249907028635178</v>
      </c>
      <c r="AF105" s="100">
        <f t="shared" si="26"/>
        <v>46</v>
      </c>
      <c r="AG105" s="100">
        <f t="shared" si="26"/>
        <v>45.99962811454072</v>
      </c>
      <c r="AH105" s="100">
        <f t="shared" si="22"/>
        <v>46.06244576670386</v>
      </c>
      <c r="AI105" s="308">
        <f>SUMIF('Staff Calcs '!D:D,C105,'Staff Calcs '!E:E)</f>
        <v>46.06244576670386</v>
      </c>
      <c r="AJ105" s="319">
        <f t="shared" ref="AJ105:AJ106" si="33">AH105-AI105</f>
        <v>0</v>
      </c>
      <c r="AK105" s="302">
        <v>35</v>
      </c>
      <c r="AL105" s="279">
        <v>1</v>
      </c>
      <c r="AM105" s="107">
        <f>+AH105*AL105</f>
        <v>46.06244576670386</v>
      </c>
      <c r="AN105" s="275"/>
      <c r="AO105" s="107"/>
      <c r="AP105" s="279"/>
      <c r="AQ105" s="279"/>
      <c r="AR105" s="337">
        <f>D105/4.33</f>
        <v>6.2101616628175522</v>
      </c>
      <c r="AS105" s="321"/>
    </row>
    <row r="106" spans="1:45" s="288" customFormat="1" ht="12" customHeight="1">
      <c r="A106" s="288" t="str">
        <f t="shared" si="19"/>
        <v>PA-J60CW1</v>
      </c>
      <c r="B106" s="307" t="s">
        <v>171</v>
      </c>
      <c r="C106" s="307" t="s">
        <v>131</v>
      </c>
      <c r="D106" s="317">
        <v>34.21</v>
      </c>
      <c r="E106" s="318">
        <v>35.5</v>
      </c>
      <c r="F106" s="99"/>
      <c r="G106" s="100">
        <v>136.84</v>
      </c>
      <c r="H106" s="100">
        <v>171.05</v>
      </c>
      <c r="I106" s="100">
        <v>179.6</v>
      </c>
      <c r="J106" s="100">
        <v>205.26</v>
      </c>
      <c r="K106" s="100">
        <v>205.26</v>
      </c>
      <c r="L106" s="100">
        <v>205.26</v>
      </c>
      <c r="M106" s="100">
        <v>205.26</v>
      </c>
      <c r="N106" s="100">
        <v>205.26</v>
      </c>
      <c r="O106" s="100">
        <v>205.26</v>
      </c>
      <c r="P106" s="100">
        <v>188.15</v>
      </c>
      <c r="Q106" s="100">
        <v>171.05</v>
      </c>
      <c r="R106" s="100">
        <v>171.04</v>
      </c>
      <c r="S106" s="100">
        <f t="shared" si="20"/>
        <v>2249.29</v>
      </c>
      <c r="T106" s="288">
        <v>33010</v>
      </c>
      <c r="V106" s="100">
        <f t="shared" si="27"/>
        <v>4</v>
      </c>
      <c r="W106" s="100">
        <f t="shared" si="27"/>
        <v>5</v>
      </c>
      <c r="X106" s="100">
        <f t="shared" si="27"/>
        <v>5.2499269219526452</v>
      </c>
      <c r="Y106" s="100">
        <f t="shared" si="26"/>
        <v>6</v>
      </c>
      <c r="Z106" s="100">
        <f t="shared" si="26"/>
        <v>6</v>
      </c>
      <c r="AA106" s="100">
        <f t="shared" si="26"/>
        <v>6</v>
      </c>
      <c r="AB106" s="100">
        <f t="shared" si="26"/>
        <v>6</v>
      </c>
      <c r="AC106" s="100">
        <f t="shared" si="26"/>
        <v>6</v>
      </c>
      <c r="AD106" s="100">
        <f t="shared" si="26"/>
        <v>6</v>
      </c>
      <c r="AE106" s="100">
        <f t="shared" si="26"/>
        <v>5.4998538439052913</v>
      </c>
      <c r="AF106" s="100">
        <f t="shared" si="26"/>
        <v>5</v>
      </c>
      <c r="AG106" s="100">
        <f t="shared" si="26"/>
        <v>4.9997076878105817</v>
      </c>
      <c r="AH106" s="100">
        <f t="shared" si="22"/>
        <v>5.4791240378057102</v>
      </c>
      <c r="AI106" s="308">
        <f>SUMIF('Staff Calcs '!D:D,C106,'Staff Calcs '!E:E)</f>
        <v>5.4791240378057102</v>
      </c>
      <c r="AJ106" s="319">
        <f t="shared" si="33"/>
        <v>0</v>
      </c>
      <c r="AK106" s="302">
        <v>60</v>
      </c>
      <c r="AL106" s="279">
        <v>1</v>
      </c>
      <c r="AM106" s="107">
        <f>+AH106*AL106</f>
        <v>5.4791240378057102</v>
      </c>
      <c r="AN106" s="275"/>
      <c r="AO106" s="107"/>
      <c r="AP106" s="279"/>
      <c r="AQ106" s="279"/>
      <c r="AR106" s="337"/>
      <c r="AS106" s="321"/>
    </row>
    <row r="107" spans="1:45" s="279" customFormat="1" ht="12" customHeight="1">
      <c r="A107" s="279" t="str">
        <f t="shared" si="19"/>
        <v>PA-JCGATEEOW</v>
      </c>
      <c r="B107" s="307" t="s">
        <v>411</v>
      </c>
      <c r="C107" s="307" t="s">
        <v>412</v>
      </c>
      <c r="D107" s="317">
        <f>1.12*2.17</f>
        <v>2.4304000000000001</v>
      </c>
      <c r="E107" s="318">
        <v>36</v>
      </c>
      <c r="F107" s="99"/>
      <c r="G107" s="100">
        <v>9.7200000000000006</v>
      </c>
      <c r="H107" s="100">
        <v>9.7200000000000006</v>
      </c>
      <c r="I107" s="100">
        <v>9.7200000000000006</v>
      </c>
      <c r="J107" s="100">
        <v>9.7200000000000006</v>
      </c>
      <c r="K107" s="100">
        <v>9.7200000000000006</v>
      </c>
      <c r="L107" s="100">
        <v>9.7200000000000006</v>
      </c>
      <c r="M107" s="100">
        <v>9.7200000000000006</v>
      </c>
      <c r="N107" s="100">
        <v>9.7200000000000006</v>
      </c>
      <c r="O107" s="100">
        <v>9.7200000000000006</v>
      </c>
      <c r="P107" s="100">
        <v>9.7200000000000006</v>
      </c>
      <c r="Q107" s="100">
        <v>9.7200000000000006</v>
      </c>
      <c r="R107" s="100">
        <v>9.7200000000000006</v>
      </c>
      <c r="S107" s="100">
        <f t="shared" si="20"/>
        <v>116.64</v>
      </c>
      <c r="T107" s="288">
        <v>33010</v>
      </c>
      <c r="U107" s="288"/>
      <c r="V107" s="105">
        <f t="shared" si="27"/>
        <v>3.999341672152732</v>
      </c>
      <c r="W107" s="105">
        <f t="shared" si="27"/>
        <v>3.999341672152732</v>
      </c>
      <c r="X107" s="105">
        <f t="shared" si="27"/>
        <v>3.999341672152732</v>
      </c>
      <c r="Y107" s="105">
        <f t="shared" si="26"/>
        <v>3.999341672152732</v>
      </c>
      <c r="Z107" s="105">
        <f t="shared" si="26"/>
        <v>3.999341672152732</v>
      </c>
      <c r="AA107" s="105">
        <f t="shared" si="26"/>
        <v>3.999341672152732</v>
      </c>
      <c r="AB107" s="105">
        <f t="shared" si="26"/>
        <v>3.999341672152732</v>
      </c>
      <c r="AC107" s="105">
        <f t="shared" si="26"/>
        <v>3.999341672152732</v>
      </c>
      <c r="AD107" s="105">
        <f t="shared" si="26"/>
        <v>3.999341672152732</v>
      </c>
      <c r="AE107" s="105">
        <f t="shared" si="26"/>
        <v>3.999341672152732</v>
      </c>
      <c r="AF107" s="105">
        <f t="shared" si="26"/>
        <v>3.999341672152732</v>
      </c>
      <c r="AG107" s="105">
        <f t="shared" si="26"/>
        <v>3.999341672152732</v>
      </c>
      <c r="AH107" s="100">
        <f t="shared" si="22"/>
        <v>3.9993416721527315</v>
      </c>
      <c r="AI107" s="308"/>
      <c r="AJ107" s="319"/>
      <c r="AK107" s="302"/>
      <c r="AN107" s="275"/>
      <c r="AO107" s="107"/>
      <c r="AR107" s="282"/>
      <c r="AS107" s="321"/>
    </row>
    <row r="108" spans="1:45" s="288" customFormat="1" ht="12" customHeight="1">
      <c r="A108" s="288" t="str">
        <f t="shared" si="19"/>
        <v>PA-JR1.5YDEOW</v>
      </c>
      <c r="B108" s="307" t="s">
        <v>164</v>
      </c>
      <c r="C108" s="307" t="s">
        <v>123</v>
      </c>
      <c r="D108" s="317">
        <v>70.22</v>
      </c>
      <c r="E108" s="318">
        <v>35</v>
      </c>
      <c r="F108" s="99"/>
      <c r="G108" s="100">
        <v>2422.59</v>
      </c>
      <c r="H108" s="100">
        <v>2457.6999999999998</v>
      </c>
      <c r="I108" s="100">
        <v>2492.81</v>
      </c>
      <c r="J108" s="100">
        <v>2492.81</v>
      </c>
      <c r="K108" s="100">
        <v>2598.14</v>
      </c>
      <c r="L108" s="100">
        <v>2633.25</v>
      </c>
      <c r="M108" s="100">
        <v>2527.92</v>
      </c>
      <c r="N108" s="100">
        <v>2492.81</v>
      </c>
      <c r="O108" s="100">
        <v>2457.6999999999998</v>
      </c>
      <c r="P108" s="100">
        <v>2492.81</v>
      </c>
      <c r="Q108" s="100">
        <v>2527.92</v>
      </c>
      <c r="R108" s="100">
        <v>2527.92</v>
      </c>
      <c r="S108" s="100">
        <f t="shared" si="20"/>
        <v>30124.380000000005</v>
      </c>
      <c r="T108" s="288">
        <v>33010</v>
      </c>
      <c r="V108" s="100">
        <f t="shared" si="27"/>
        <v>34.5</v>
      </c>
      <c r="W108" s="100">
        <f t="shared" si="27"/>
        <v>35</v>
      </c>
      <c r="X108" s="100">
        <f t="shared" si="27"/>
        <v>35.5</v>
      </c>
      <c r="Y108" s="100">
        <f t="shared" si="26"/>
        <v>35.5</v>
      </c>
      <c r="Z108" s="100">
        <f t="shared" si="26"/>
        <v>37</v>
      </c>
      <c r="AA108" s="100">
        <f t="shared" si="26"/>
        <v>37.5</v>
      </c>
      <c r="AB108" s="100">
        <f t="shared" si="26"/>
        <v>36</v>
      </c>
      <c r="AC108" s="100">
        <f t="shared" si="26"/>
        <v>35.5</v>
      </c>
      <c r="AD108" s="100">
        <f t="shared" si="26"/>
        <v>35</v>
      </c>
      <c r="AE108" s="100">
        <f t="shared" si="26"/>
        <v>35.5</v>
      </c>
      <c r="AF108" s="100">
        <f t="shared" si="26"/>
        <v>36</v>
      </c>
      <c r="AG108" s="100">
        <f t="shared" si="26"/>
        <v>36</v>
      </c>
      <c r="AH108" s="100">
        <f t="shared" si="22"/>
        <v>35.75</v>
      </c>
      <c r="AI108" s="308">
        <f>SUMIF('Staff Calcs '!D:D,C108,'Staff Calcs '!E:E)</f>
        <v>38.166666666666664</v>
      </c>
      <c r="AJ108" s="319">
        <f t="shared" ref="AJ108:AJ112" si="34">AH108-AI108</f>
        <v>-2.4166666666666643</v>
      </c>
      <c r="AK108" s="302" t="s">
        <v>375</v>
      </c>
      <c r="AL108" s="279"/>
      <c r="AM108" s="279"/>
      <c r="AN108" s="275">
        <v>1</v>
      </c>
      <c r="AO108" s="107">
        <f>+AH108*AN108</f>
        <v>35.75</v>
      </c>
      <c r="AP108" s="279"/>
      <c r="AQ108" s="279"/>
      <c r="AR108" s="337"/>
      <c r="AS108" s="321"/>
    </row>
    <row r="109" spans="1:45" s="288" customFormat="1" ht="12" customHeight="1">
      <c r="A109" s="288" t="str">
        <f t="shared" si="19"/>
        <v>PA-JR1YD1M</v>
      </c>
      <c r="B109" s="307" t="s">
        <v>413</v>
      </c>
      <c r="C109" s="307" t="s">
        <v>378</v>
      </c>
      <c r="D109" s="317">
        <v>23.08</v>
      </c>
      <c r="E109" s="318">
        <v>35</v>
      </c>
      <c r="F109" s="99"/>
      <c r="G109" s="100">
        <v>438.52</v>
      </c>
      <c r="H109" s="100">
        <v>438.52</v>
      </c>
      <c r="I109" s="100">
        <v>438.52</v>
      </c>
      <c r="J109" s="100">
        <v>461.6</v>
      </c>
      <c r="K109" s="100">
        <v>507.76</v>
      </c>
      <c r="L109" s="100">
        <v>553.91999999999996</v>
      </c>
      <c r="M109" s="100">
        <v>577</v>
      </c>
      <c r="N109" s="100">
        <v>623.16</v>
      </c>
      <c r="O109" s="100">
        <v>646.24</v>
      </c>
      <c r="P109" s="100">
        <v>646.24</v>
      </c>
      <c r="Q109" s="100">
        <v>646.24</v>
      </c>
      <c r="R109" s="100">
        <v>669.32</v>
      </c>
      <c r="S109" s="100">
        <f t="shared" si="20"/>
        <v>6647.0399999999991</v>
      </c>
      <c r="T109" s="288">
        <v>33010</v>
      </c>
      <c r="V109" s="100">
        <f t="shared" si="27"/>
        <v>19</v>
      </c>
      <c r="W109" s="100">
        <f t="shared" si="27"/>
        <v>19</v>
      </c>
      <c r="X109" s="100">
        <f t="shared" si="27"/>
        <v>19</v>
      </c>
      <c r="Y109" s="100">
        <f t="shared" si="26"/>
        <v>20.000000000000004</v>
      </c>
      <c r="Z109" s="100">
        <f t="shared" si="26"/>
        <v>22</v>
      </c>
      <c r="AA109" s="100">
        <f t="shared" si="26"/>
        <v>24</v>
      </c>
      <c r="AB109" s="100">
        <f t="shared" si="26"/>
        <v>25.000000000000004</v>
      </c>
      <c r="AC109" s="100">
        <f t="shared" si="26"/>
        <v>27</v>
      </c>
      <c r="AD109" s="100">
        <f t="shared" si="26"/>
        <v>28.000000000000004</v>
      </c>
      <c r="AE109" s="100">
        <f t="shared" si="26"/>
        <v>28.000000000000004</v>
      </c>
      <c r="AF109" s="100">
        <f t="shared" si="26"/>
        <v>28.000000000000004</v>
      </c>
      <c r="AG109" s="100">
        <f t="shared" si="26"/>
        <v>29.000000000000004</v>
      </c>
      <c r="AH109" s="100">
        <f t="shared" si="22"/>
        <v>24</v>
      </c>
      <c r="AI109" s="308">
        <f>SUMIF('Staff Calcs '!D:D,C109,'Staff Calcs '!E:E)</f>
        <v>28.166666666666668</v>
      </c>
      <c r="AJ109" s="319">
        <f t="shared" si="34"/>
        <v>-4.1666666666666679</v>
      </c>
      <c r="AK109" s="302" t="s">
        <v>379</v>
      </c>
      <c r="AL109" s="279"/>
      <c r="AM109" s="279"/>
      <c r="AN109" s="275">
        <v>1</v>
      </c>
      <c r="AO109" s="107">
        <f>+AH109*AN109</f>
        <v>24</v>
      </c>
      <c r="AP109" s="279"/>
      <c r="AQ109" s="279"/>
      <c r="AR109" s="337"/>
      <c r="AS109" s="321"/>
    </row>
    <row r="110" spans="1:45" s="288" customFormat="1" ht="12" customHeight="1">
      <c r="A110" s="288" t="str">
        <f t="shared" si="19"/>
        <v>PA-JR1YDEOW</v>
      </c>
      <c r="B110" s="307" t="s">
        <v>163</v>
      </c>
      <c r="C110" s="307" t="s">
        <v>122</v>
      </c>
      <c r="D110" s="317">
        <v>50.08</v>
      </c>
      <c r="E110" s="318">
        <v>35</v>
      </c>
      <c r="F110" s="99"/>
      <c r="G110" s="100">
        <v>9490.0300000000007</v>
      </c>
      <c r="H110" s="100">
        <v>9464.99</v>
      </c>
      <c r="I110" s="100">
        <v>9490.16</v>
      </c>
      <c r="J110" s="100">
        <v>9590.32</v>
      </c>
      <c r="K110" s="100">
        <v>9690.48</v>
      </c>
      <c r="L110" s="100">
        <v>9665.44</v>
      </c>
      <c r="M110" s="100">
        <v>9765.6</v>
      </c>
      <c r="N110" s="100">
        <v>9715.52</v>
      </c>
      <c r="O110" s="100">
        <v>9640.4</v>
      </c>
      <c r="P110" s="100">
        <v>9740.56</v>
      </c>
      <c r="Q110" s="100">
        <v>9890.7999999999993</v>
      </c>
      <c r="R110" s="100">
        <v>9840.7199999999993</v>
      </c>
      <c r="S110" s="100">
        <f t="shared" si="20"/>
        <v>115985.02</v>
      </c>
      <c r="T110" s="288">
        <v>33010</v>
      </c>
      <c r="V110" s="100">
        <f t="shared" si="27"/>
        <v>189.49740415335467</v>
      </c>
      <c r="W110" s="100">
        <f t="shared" si="27"/>
        <v>188.99740415335464</v>
      </c>
      <c r="X110" s="100">
        <f t="shared" si="27"/>
        <v>189.5</v>
      </c>
      <c r="Y110" s="100">
        <f t="shared" si="26"/>
        <v>191.5</v>
      </c>
      <c r="Z110" s="100">
        <f t="shared" si="26"/>
        <v>193.5</v>
      </c>
      <c r="AA110" s="100">
        <f t="shared" si="26"/>
        <v>193.00000000000003</v>
      </c>
      <c r="AB110" s="100">
        <f t="shared" si="26"/>
        <v>195</v>
      </c>
      <c r="AC110" s="100">
        <f t="shared" si="26"/>
        <v>194.00000000000003</v>
      </c>
      <c r="AD110" s="100">
        <f t="shared" si="26"/>
        <v>192.5</v>
      </c>
      <c r="AE110" s="100">
        <f t="shared" si="26"/>
        <v>194.5</v>
      </c>
      <c r="AF110" s="100">
        <f t="shared" si="26"/>
        <v>197.5</v>
      </c>
      <c r="AG110" s="100">
        <f t="shared" si="26"/>
        <v>196.5</v>
      </c>
      <c r="AH110" s="100">
        <f t="shared" si="22"/>
        <v>192.99956735889245</v>
      </c>
      <c r="AI110" s="308">
        <f>SUMIF('Staff Calcs '!D:D,C110,'Staff Calcs '!E:E)</f>
        <v>203.95790069222579</v>
      </c>
      <c r="AJ110" s="319">
        <f t="shared" si="34"/>
        <v>-10.958333333333343</v>
      </c>
      <c r="AK110" s="302" t="s">
        <v>379</v>
      </c>
      <c r="AL110" s="279"/>
      <c r="AM110" s="279"/>
      <c r="AN110" s="275">
        <v>1</v>
      </c>
      <c r="AO110" s="107">
        <f>+AH110*AN110</f>
        <v>192.99956735889245</v>
      </c>
      <c r="AP110" s="279"/>
      <c r="AQ110" s="279"/>
      <c r="AR110" s="337"/>
      <c r="AS110" s="321"/>
    </row>
    <row r="111" spans="1:45" s="288" customFormat="1" ht="12" customHeight="1">
      <c r="A111" s="288" t="str">
        <f t="shared" si="19"/>
        <v>PA-JR2YD1M</v>
      </c>
      <c r="B111" s="307" t="s">
        <v>414</v>
      </c>
      <c r="C111" s="307" t="s">
        <v>415</v>
      </c>
      <c r="D111" s="317">
        <v>45.24</v>
      </c>
      <c r="E111" s="318">
        <v>35</v>
      </c>
      <c r="F111" s="99"/>
      <c r="G111" s="100">
        <v>1176.24</v>
      </c>
      <c r="H111" s="100">
        <v>1131</v>
      </c>
      <c r="I111" s="100">
        <v>1131</v>
      </c>
      <c r="J111" s="100">
        <v>1131</v>
      </c>
      <c r="K111" s="100">
        <v>1131</v>
      </c>
      <c r="L111" s="100">
        <v>1176.24</v>
      </c>
      <c r="M111" s="100">
        <v>1221.48</v>
      </c>
      <c r="N111" s="100">
        <v>1357.2</v>
      </c>
      <c r="O111" s="100">
        <v>1311.96</v>
      </c>
      <c r="P111" s="100">
        <v>1311.96</v>
      </c>
      <c r="Q111" s="100">
        <v>1357.2</v>
      </c>
      <c r="R111" s="100">
        <v>1357.2</v>
      </c>
      <c r="S111" s="100">
        <f t="shared" si="20"/>
        <v>14793.48</v>
      </c>
      <c r="T111" s="288">
        <v>33010</v>
      </c>
      <c r="V111" s="100">
        <f t="shared" si="27"/>
        <v>26</v>
      </c>
      <c r="W111" s="100">
        <f t="shared" si="27"/>
        <v>25</v>
      </c>
      <c r="X111" s="100">
        <f t="shared" si="27"/>
        <v>25</v>
      </c>
      <c r="Y111" s="100">
        <f t="shared" si="26"/>
        <v>25</v>
      </c>
      <c r="Z111" s="100">
        <f t="shared" si="26"/>
        <v>25</v>
      </c>
      <c r="AA111" s="100">
        <f t="shared" si="26"/>
        <v>26</v>
      </c>
      <c r="AB111" s="100">
        <f t="shared" ref="AB111:AG123" si="35">IFERROR(M111/$D111,0)</f>
        <v>27</v>
      </c>
      <c r="AC111" s="100">
        <f t="shared" si="35"/>
        <v>30</v>
      </c>
      <c r="AD111" s="100">
        <f t="shared" si="35"/>
        <v>29</v>
      </c>
      <c r="AE111" s="100">
        <f t="shared" si="35"/>
        <v>29</v>
      </c>
      <c r="AF111" s="100">
        <f t="shared" si="35"/>
        <v>30</v>
      </c>
      <c r="AG111" s="100">
        <f t="shared" si="35"/>
        <v>30</v>
      </c>
      <c r="AH111" s="100">
        <f t="shared" si="22"/>
        <v>27.25</v>
      </c>
      <c r="AI111" s="308">
        <f>SUMIF('Staff Calcs '!D:D,C111,'Staff Calcs '!E:E)</f>
        <v>27.25</v>
      </c>
      <c r="AJ111" s="319">
        <f t="shared" si="34"/>
        <v>0</v>
      </c>
      <c r="AK111" s="302" t="s">
        <v>366</v>
      </c>
      <c r="AL111" s="279"/>
      <c r="AM111" s="279"/>
      <c r="AN111" s="275">
        <v>1</v>
      </c>
      <c r="AO111" s="107">
        <f>+AH111*AN111</f>
        <v>27.25</v>
      </c>
      <c r="AP111" s="279"/>
      <c r="AQ111" s="279"/>
      <c r="AR111" s="337"/>
      <c r="AS111" s="321"/>
    </row>
    <row r="112" spans="1:45" s="288" customFormat="1" ht="12" customHeight="1">
      <c r="A112" s="288" t="str">
        <f t="shared" si="19"/>
        <v>PA-JR2YDEOW</v>
      </c>
      <c r="B112" s="307" t="s">
        <v>165</v>
      </c>
      <c r="C112" s="307" t="s">
        <v>124</v>
      </c>
      <c r="D112" s="317">
        <v>98.17</v>
      </c>
      <c r="E112" s="318">
        <v>35</v>
      </c>
      <c r="F112" s="99"/>
      <c r="G112" s="100">
        <v>6184.7</v>
      </c>
      <c r="H112" s="100">
        <v>5988.37</v>
      </c>
      <c r="I112" s="100">
        <v>6086.52</v>
      </c>
      <c r="J112" s="100">
        <v>5988.37</v>
      </c>
      <c r="K112" s="100">
        <v>5988.37</v>
      </c>
      <c r="L112" s="100">
        <v>5988.3499999999995</v>
      </c>
      <c r="M112" s="100">
        <v>6430.12</v>
      </c>
      <c r="N112" s="100">
        <v>6577.39</v>
      </c>
      <c r="O112" s="100">
        <v>6675.56</v>
      </c>
      <c r="P112" s="100">
        <v>6871.86</v>
      </c>
      <c r="Q112" s="100">
        <v>6724.64</v>
      </c>
      <c r="R112" s="100">
        <v>6626.46</v>
      </c>
      <c r="S112" s="100">
        <f t="shared" si="20"/>
        <v>76130.710000000006</v>
      </c>
      <c r="T112" s="288">
        <v>33010</v>
      </c>
      <c r="V112" s="100">
        <f t="shared" si="27"/>
        <v>62.999898135886724</v>
      </c>
      <c r="W112" s="100">
        <f t="shared" si="27"/>
        <v>61</v>
      </c>
      <c r="X112" s="100">
        <f t="shared" si="27"/>
        <v>61.999796271773455</v>
      </c>
      <c r="Y112" s="100">
        <f t="shared" si="27"/>
        <v>61</v>
      </c>
      <c r="Z112" s="100">
        <f t="shared" si="27"/>
        <v>61</v>
      </c>
      <c r="AA112" s="100">
        <f t="shared" si="27"/>
        <v>60.999796271773448</v>
      </c>
      <c r="AB112" s="100">
        <f t="shared" si="35"/>
        <v>65.499847203830086</v>
      </c>
      <c r="AC112" s="100">
        <f t="shared" si="35"/>
        <v>67</v>
      </c>
      <c r="AD112" s="100">
        <f t="shared" si="35"/>
        <v>68</v>
      </c>
      <c r="AE112" s="100">
        <f t="shared" si="35"/>
        <v>69.99959254354691</v>
      </c>
      <c r="AF112" s="100">
        <f t="shared" si="35"/>
        <v>68.499949067943362</v>
      </c>
      <c r="AG112" s="100">
        <f t="shared" si="35"/>
        <v>67.499847203830086</v>
      </c>
      <c r="AH112" s="100">
        <f t="shared" si="22"/>
        <v>64.624893891548666</v>
      </c>
      <c r="AI112" s="308">
        <f>SUMIF('Staff Calcs '!D:D,C112,'Staff Calcs '!E:E)</f>
        <v>74.083214491867835</v>
      </c>
      <c r="AJ112" s="319">
        <f t="shared" si="34"/>
        <v>-9.4583206003191691</v>
      </c>
      <c r="AK112" s="302" t="s">
        <v>366</v>
      </c>
      <c r="AL112" s="279"/>
      <c r="AM112" s="279"/>
      <c r="AN112" s="275">
        <v>1</v>
      </c>
      <c r="AO112" s="107">
        <f>+AH112*AN112</f>
        <v>64.624893891548666</v>
      </c>
      <c r="AP112" s="279"/>
      <c r="AQ112" s="279"/>
      <c r="AR112" s="337"/>
      <c r="AS112" s="321"/>
    </row>
    <row r="113" spans="1:45" s="279" customFormat="1" ht="12" customHeight="1">
      <c r="A113" s="279" t="str">
        <f t="shared" si="19"/>
        <v>PA-JCTRIP</v>
      </c>
      <c r="B113" s="307" t="s">
        <v>200</v>
      </c>
      <c r="C113" s="307" t="s">
        <v>201</v>
      </c>
      <c r="D113" s="317">
        <v>9.91</v>
      </c>
      <c r="E113" s="318">
        <v>17</v>
      </c>
      <c r="F113" s="99"/>
      <c r="G113" s="100">
        <v>9.91</v>
      </c>
      <c r="H113" s="100">
        <v>0</v>
      </c>
      <c r="I113" s="100">
        <v>0</v>
      </c>
      <c r="J113" s="100">
        <v>9.91</v>
      </c>
      <c r="K113" s="100">
        <v>9.91</v>
      </c>
      <c r="L113" s="100">
        <v>0</v>
      </c>
      <c r="M113" s="100">
        <v>0</v>
      </c>
      <c r="N113" s="100">
        <v>0</v>
      </c>
      <c r="O113" s="100">
        <v>9.91</v>
      </c>
      <c r="P113" s="100">
        <v>0</v>
      </c>
      <c r="Q113" s="100">
        <v>9.91</v>
      </c>
      <c r="R113" s="100">
        <v>0</v>
      </c>
      <c r="S113" s="100">
        <f t="shared" si="20"/>
        <v>49.55</v>
      </c>
      <c r="T113" s="288">
        <v>33011</v>
      </c>
      <c r="U113" s="288"/>
      <c r="V113" s="105">
        <f t="shared" si="27"/>
        <v>1</v>
      </c>
      <c r="W113" s="105">
        <f t="shared" si="27"/>
        <v>0</v>
      </c>
      <c r="X113" s="105">
        <f t="shared" si="27"/>
        <v>0</v>
      </c>
      <c r="Y113" s="105">
        <f t="shared" si="27"/>
        <v>1</v>
      </c>
      <c r="Z113" s="105">
        <f t="shared" si="27"/>
        <v>1</v>
      </c>
      <c r="AA113" s="105">
        <f t="shared" si="27"/>
        <v>0</v>
      </c>
      <c r="AB113" s="105">
        <f t="shared" si="35"/>
        <v>0</v>
      </c>
      <c r="AC113" s="105">
        <f t="shared" si="35"/>
        <v>0</v>
      </c>
      <c r="AD113" s="105">
        <f t="shared" si="35"/>
        <v>1</v>
      </c>
      <c r="AE113" s="105">
        <f t="shared" si="35"/>
        <v>0</v>
      </c>
      <c r="AF113" s="105">
        <f t="shared" si="35"/>
        <v>1</v>
      </c>
      <c r="AG113" s="105">
        <f t="shared" si="35"/>
        <v>0</v>
      </c>
      <c r="AH113" s="100">
        <f t="shared" si="22"/>
        <v>1</v>
      </c>
      <c r="AI113" s="308"/>
      <c r="AJ113" s="319"/>
      <c r="AK113" s="302"/>
      <c r="AL113" s="275"/>
      <c r="AM113" s="107"/>
      <c r="AN113" s="275"/>
      <c r="AO113" s="107"/>
      <c r="AR113" s="282"/>
      <c r="AS113" s="321"/>
    </row>
    <row r="114" spans="1:45" s="279" customFormat="1" ht="12" customHeight="1">
      <c r="A114" s="279" t="str">
        <f t="shared" si="19"/>
        <v>PA-JR2YDRENTTD</v>
      </c>
      <c r="B114" s="307" t="s">
        <v>177</v>
      </c>
      <c r="C114" s="307" t="s">
        <v>178</v>
      </c>
      <c r="D114" s="317">
        <v>0.82</v>
      </c>
      <c r="E114" s="318">
        <v>35</v>
      </c>
      <c r="F114" s="99"/>
      <c r="G114" s="100">
        <v>133.66</v>
      </c>
      <c r="H114" s="100">
        <v>213.2</v>
      </c>
      <c r="I114" s="100">
        <v>180.4</v>
      </c>
      <c r="J114" s="100">
        <v>232.06</v>
      </c>
      <c r="K114" s="100">
        <v>214.02</v>
      </c>
      <c r="L114" s="100">
        <v>223.86</v>
      </c>
      <c r="M114" s="100">
        <v>113.16</v>
      </c>
      <c r="N114" s="100">
        <v>20.5</v>
      </c>
      <c r="O114" s="100">
        <v>69.7</v>
      </c>
      <c r="P114" s="100">
        <v>145.96</v>
      </c>
      <c r="Q114" s="100">
        <v>161.54</v>
      </c>
      <c r="R114" s="100">
        <v>150.88</v>
      </c>
      <c r="S114" s="100">
        <f t="shared" si="20"/>
        <v>1858.94</v>
      </c>
      <c r="T114" s="288">
        <v>33010</v>
      </c>
      <c r="U114" s="288"/>
      <c r="V114" s="105">
        <f t="shared" si="27"/>
        <v>163</v>
      </c>
      <c r="W114" s="105">
        <f t="shared" si="27"/>
        <v>260</v>
      </c>
      <c r="X114" s="105">
        <f t="shared" si="27"/>
        <v>220.00000000000003</v>
      </c>
      <c r="Y114" s="105">
        <f t="shared" si="27"/>
        <v>283</v>
      </c>
      <c r="Z114" s="105">
        <f t="shared" si="27"/>
        <v>261</v>
      </c>
      <c r="AA114" s="105">
        <f t="shared" si="27"/>
        <v>273.00000000000006</v>
      </c>
      <c r="AB114" s="105">
        <f t="shared" si="35"/>
        <v>138</v>
      </c>
      <c r="AC114" s="105">
        <f t="shared" si="35"/>
        <v>25</v>
      </c>
      <c r="AD114" s="105">
        <f t="shared" si="35"/>
        <v>85.000000000000014</v>
      </c>
      <c r="AE114" s="105">
        <f t="shared" si="35"/>
        <v>178.00000000000003</v>
      </c>
      <c r="AF114" s="105">
        <f t="shared" si="35"/>
        <v>197</v>
      </c>
      <c r="AG114" s="105">
        <f t="shared" si="35"/>
        <v>184</v>
      </c>
      <c r="AH114" s="100">
        <f t="shared" si="22"/>
        <v>188.91666666666666</v>
      </c>
      <c r="AI114" s="308"/>
      <c r="AJ114" s="319"/>
      <c r="AK114" s="302"/>
      <c r="AN114" s="275"/>
      <c r="AO114" s="108"/>
      <c r="AR114" s="282"/>
      <c r="AS114" s="321"/>
    </row>
    <row r="115" spans="1:45" s="288" customFormat="1" ht="12" customHeight="1">
      <c r="A115" s="288" t="str">
        <f t="shared" si="19"/>
        <v>PA-JR1.5YD1M</v>
      </c>
      <c r="B115" s="307" t="s">
        <v>416</v>
      </c>
      <c r="C115" s="307" t="s">
        <v>417</v>
      </c>
      <c r="D115" s="317">
        <v>32.36</v>
      </c>
      <c r="E115" s="318">
        <v>35</v>
      </c>
      <c r="F115" s="99"/>
      <c r="G115" s="100">
        <v>517.76</v>
      </c>
      <c r="H115" s="100">
        <v>517.76</v>
      </c>
      <c r="I115" s="100">
        <v>517.76</v>
      </c>
      <c r="J115" s="100">
        <v>550.12</v>
      </c>
      <c r="K115" s="100">
        <v>614.84</v>
      </c>
      <c r="L115" s="100">
        <v>614.84</v>
      </c>
      <c r="M115" s="100">
        <v>647.20000000000005</v>
      </c>
      <c r="N115" s="100">
        <v>647.20000000000005</v>
      </c>
      <c r="O115" s="100">
        <v>647.20000000000005</v>
      </c>
      <c r="P115" s="100">
        <v>647.20000000000005</v>
      </c>
      <c r="Q115" s="100">
        <v>647.20000000000005</v>
      </c>
      <c r="R115" s="100">
        <v>647.20000000000005</v>
      </c>
      <c r="S115" s="100">
        <f t="shared" si="20"/>
        <v>7216.28</v>
      </c>
      <c r="T115" s="288">
        <v>33010</v>
      </c>
      <c r="V115" s="100">
        <f t="shared" si="27"/>
        <v>16</v>
      </c>
      <c r="W115" s="100">
        <f t="shared" si="27"/>
        <v>16</v>
      </c>
      <c r="X115" s="100">
        <f t="shared" si="27"/>
        <v>16</v>
      </c>
      <c r="Y115" s="100">
        <f t="shared" si="27"/>
        <v>17</v>
      </c>
      <c r="Z115" s="100">
        <f t="shared" si="27"/>
        <v>19</v>
      </c>
      <c r="AA115" s="100">
        <f t="shared" si="27"/>
        <v>19</v>
      </c>
      <c r="AB115" s="100">
        <f t="shared" si="35"/>
        <v>20</v>
      </c>
      <c r="AC115" s="100">
        <f t="shared" si="35"/>
        <v>20</v>
      </c>
      <c r="AD115" s="100">
        <f t="shared" si="35"/>
        <v>20</v>
      </c>
      <c r="AE115" s="100">
        <f t="shared" si="35"/>
        <v>20</v>
      </c>
      <c r="AF115" s="100">
        <f t="shared" si="35"/>
        <v>20</v>
      </c>
      <c r="AG115" s="100">
        <f t="shared" si="35"/>
        <v>20</v>
      </c>
      <c r="AH115" s="100">
        <f t="shared" si="22"/>
        <v>18.583333333333332</v>
      </c>
      <c r="AI115" s="308">
        <f>SUMIF('Staff Calcs '!D:D,C115,'Staff Calcs '!E:E)</f>
        <v>18.583333333333332</v>
      </c>
      <c r="AJ115" s="319">
        <f t="shared" ref="AJ115" si="36">AH115-AI115</f>
        <v>0</v>
      </c>
      <c r="AK115" s="302" t="s">
        <v>375</v>
      </c>
      <c r="AL115" s="279"/>
      <c r="AM115" s="279"/>
      <c r="AN115" s="275">
        <v>1</v>
      </c>
      <c r="AO115" s="107">
        <f>+AH115*AN115</f>
        <v>18.583333333333332</v>
      </c>
      <c r="AP115" s="279"/>
      <c r="AQ115" s="279"/>
      <c r="AR115" s="337"/>
      <c r="AS115" s="321"/>
    </row>
    <row r="116" spans="1:45" s="279" customFormat="1" ht="12" customHeight="1">
      <c r="A116" s="279" t="str">
        <f t="shared" si="19"/>
        <v>PA-JR1YDRENTTD</v>
      </c>
      <c r="B116" s="307" t="s">
        <v>418</v>
      </c>
      <c r="C116" s="307" t="s">
        <v>419</v>
      </c>
      <c r="D116" s="317">
        <v>0.56000000000000005</v>
      </c>
      <c r="E116" s="318">
        <v>35</v>
      </c>
      <c r="F116" s="99"/>
      <c r="G116" s="100">
        <v>4.4800000000000004</v>
      </c>
      <c r="H116" s="100">
        <v>16.8</v>
      </c>
      <c r="I116" s="100">
        <v>17.36</v>
      </c>
      <c r="J116" s="100">
        <v>16.8</v>
      </c>
      <c r="K116" s="100">
        <v>17.36</v>
      </c>
      <c r="L116" s="100">
        <v>6.16</v>
      </c>
      <c r="M116" s="100">
        <v>0</v>
      </c>
      <c r="N116" s="100">
        <v>0</v>
      </c>
      <c r="O116" s="100">
        <v>0</v>
      </c>
      <c r="P116" s="100">
        <v>0</v>
      </c>
      <c r="Q116" s="100">
        <v>0</v>
      </c>
      <c r="R116" s="100">
        <v>8.4</v>
      </c>
      <c r="S116" s="100">
        <f t="shared" si="20"/>
        <v>87.36</v>
      </c>
      <c r="T116" s="288">
        <v>33010</v>
      </c>
      <c r="U116" s="288"/>
      <c r="V116" s="105">
        <f t="shared" ref="V116:AA123" si="37">IFERROR(G116/$D116,0)</f>
        <v>8</v>
      </c>
      <c r="W116" s="105">
        <f t="shared" si="37"/>
        <v>30</v>
      </c>
      <c r="X116" s="105">
        <f t="shared" si="37"/>
        <v>30.999999999999996</v>
      </c>
      <c r="Y116" s="105">
        <f t="shared" si="37"/>
        <v>30</v>
      </c>
      <c r="Z116" s="105">
        <f t="shared" si="37"/>
        <v>30.999999999999996</v>
      </c>
      <c r="AA116" s="105">
        <f t="shared" si="37"/>
        <v>11</v>
      </c>
      <c r="AB116" s="105">
        <f t="shared" si="35"/>
        <v>0</v>
      </c>
      <c r="AC116" s="105">
        <f t="shared" si="35"/>
        <v>0</v>
      </c>
      <c r="AD116" s="105">
        <f t="shared" si="35"/>
        <v>0</v>
      </c>
      <c r="AE116" s="105">
        <f t="shared" si="35"/>
        <v>0</v>
      </c>
      <c r="AF116" s="105">
        <f t="shared" si="35"/>
        <v>0</v>
      </c>
      <c r="AG116" s="105">
        <f t="shared" si="35"/>
        <v>15</v>
      </c>
      <c r="AH116" s="100">
        <f t="shared" si="22"/>
        <v>22.285714285714285</v>
      </c>
      <c r="AI116" s="308"/>
      <c r="AJ116" s="319"/>
      <c r="AK116" s="302"/>
      <c r="AN116" s="275"/>
      <c r="AO116" s="108"/>
      <c r="AR116" s="282"/>
      <c r="AS116" s="321"/>
    </row>
    <row r="117" spans="1:45" s="279" customFormat="1" ht="12" customHeight="1">
      <c r="A117" s="279" t="str">
        <f t="shared" si="19"/>
        <v>PA-JROLLOUTOC</v>
      </c>
      <c r="B117" s="307" t="s">
        <v>420</v>
      </c>
      <c r="C117" s="307" t="s">
        <v>421</v>
      </c>
      <c r="D117" s="317">
        <f>1.12</f>
        <v>1.1200000000000001</v>
      </c>
      <c r="E117" s="318">
        <v>31</v>
      </c>
      <c r="F117" s="99"/>
      <c r="G117" s="100">
        <v>0.73</v>
      </c>
      <c r="H117" s="100">
        <v>0.72</v>
      </c>
      <c r="I117" s="100">
        <v>0.73</v>
      </c>
      <c r="J117" s="100">
        <v>0.72</v>
      </c>
      <c r="K117" s="100">
        <v>0.73</v>
      </c>
      <c r="L117" s="100">
        <v>0.72</v>
      </c>
      <c r="M117" s="100">
        <v>0.73</v>
      </c>
      <c r="N117" s="100">
        <v>0.72</v>
      </c>
      <c r="O117" s="100">
        <v>0.73</v>
      </c>
      <c r="P117" s="100">
        <v>0.72</v>
      </c>
      <c r="Q117" s="100">
        <v>0.73</v>
      </c>
      <c r="R117" s="100">
        <v>0.72</v>
      </c>
      <c r="S117" s="100">
        <f t="shared" si="20"/>
        <v>8.6999999999999993</v>
      </c>
      <c r="T117" s="288">
        <v>33011</v>
      </c>
      <c r="U117" s="288"/>
      <c r="V117" s="105">
        <f t="shared" si="37"/>
        <v>0.65178571428571419</v>
      </c>
      <c r="W117" s="105">
        <f t="shared" si="37"/>
        <v>0.64285714285714279</v>
      </c>
      <c r="X117" s="105">
        <f t="shared" si="37"/>
        <v>0.65178571428571419</v>
      </c>
      <c r="Y117" s="105">
        <f t="shared" si="37"/>
        <v>0.64285714285714279</v>
      </c>
      <c r="Z117" s="105">
        <f t="shared" si="37"/>
        <v>0.65178571428571419</v>
      </c>
      <c r="AA117" s="105">
        <f t="shared" si="37"/>
        <v>0.64285714285714279</v>
      </c>
      <c r="AB117" s="105">
        <f t="shared" si="35"/>
        <v>0.65178571428571419</v>
      </c>
      <c r="AC117" s="105">
        <f t="shared" si="35"/>
        <v>0.64285714285714279</v>
      </c>
      <c r="AD117" s="105">
        <f t="shared" si="35"/>
        <v>0.65178571428571419</v>
      </c>
      <c r="AE117" s="105">
        <f t="shared" si="35"/>
        <v>0.64285714285714279</v>
      </c>
      <c r="AF117" s="105">
        <f t="shared" si="35"/>
        <v>0.65178571428571419</v>
      </c>
      <c r="AG117" s="105">
        <f t="shared" si="35"/>
        <v>0.64285714285714279</v>
      </c>
      <c r="AH117" s="100">
        <f t="shared" si="22"/>
        <v>0.64732142857142849</v>
      </c>
      <c r="AI117" s="308"/>
      <c r="AJ117" s="319"/>
      <c r="AK117" s="302"/>
      <c r="AN117" s="275"/>
      <c r="AO117" s="107"/>
      <c r="AR117" s="282"/>
      <c r="AS117" s="321"/>
    </row>
    <row r="118" spans="1:45" s="279" customFormat="1" ht="12" customHeight="1">
      <c r="A118" s="279" t="str">
        <f t="shared" si="19"/>
        <v>PA-JR1YDRENTT</v>
      </c>
      <c r="B118" s="307" t="s">
        <v>174</v>
      </c>
      <c r="C118" s="307" t="s">
        <v>175</v>
      </c>
      <c r="D118" s="317">
        <v>5.6</v>
      </c>
      <c r="E118" s="318">
        <v>35</v>
      </c>
      <c r="F118" s="99"/>
      <c r="G118" s="100">
        <v>5.6</v>
      </c>
      <c r="H118" s="100">
        <v>5.6</v>
      </c>
      <c r="I118" s="100">
        <v>5.6</v>
      </c>
      <c r="J118" s="100">
        <v>5.6</v>
      </c>
      <c r="K118" s="100">
        <v>5.6</v>
      </c>
      <c r="L118" s="100">
        <v>5.6</v>
      </c>
      <c r="M118" s="100">
        <v>5.6</v>
      </c>
      <c r="N118" s="100">
        <v>5.6</v>
      </c>
      <c r="O118" s="100">
        <v>5.6</v>
      </c>
      <c r="P118" s="100">
        <v>5.6</v>
      </c>
      <c r="Q118" s="100">
        <v>5.6</v>
      </c>
      <c r="R118" s="100">
        <v>5.6</v>
      </c>
      <c r="S118" s="100">
        <f t="shared" si="20"/>
        <v>67.2</v>
      </c>
      <c r="T118" s="288">
        <v>33010</v>
      </c>
      <c r="U118" s="288"/>
      <c r="V118" s="105">
        <f t="shared" si="37"/>
        <v>1</v>
      </c>
      <c r="W118" s="105">
        <f t="shared" si="37"/>
        <v>1</v>
      </c>
      <c r="X118" s="105">
        <f t="shared" si="37"/>
        <v>1</v>
      </c>
      <c r="Y118" s="105">
        <f t="shared" si="37"/>
        <v>1</v>
      </c>
      <c r="Z118" s="105">
        <f t="shared" si="37"/>
        <v>1</v>
      </c>
      <c r="AA118" s="105">
        <f t="shared" si="37"/>
        <v>1</v>
      </c>
      <c r="AB118" s="105">
        <f t="shared" si="35"/>
        <v>1</v>
      </c>
      <c r="AC118" s="105">
        <f t="shared" si="35"/>
        <v>1</v>
      </c>
      <c r="AD118" s="105">
        <f t="shared" si="35"/>
        <v>1</v>
      </c>
      <c r="AE118" s="105">
        <f t="shared" si="35"/>
        <v>1</v>
      </c>
      <c r="AF118" s="105">
        <f t="shared" si="35"/>
        <v>1</v>
      </c>
      <c r="AG118" s="105">
        <f t="shared" si="35"/>
        <v>1</v>
      </c>
      <c r="AH118" s="100">
        <f t="shared" si="22"/>
        <v>1</v>
      </c>
      <c r="AI118" s="308"/>
      <c r="AJ118" s="319"/>
      <c r="AK118" s="302"/>
      <c r="AN118" s="275"/>
      <c r="AO118" s="108"/>
      <c r="AR118" s="282"/>
      <c r="AS118" s="321"/>
    </row>
    <row r="119" spans="1:45" s="279" customFormat="1" ht="12" customHeight="1">
      <c r="A119" s="279" t="str">
        <f t="shared" si="19"/>
        <v>PA-JADDTLPACK25</v>
      </c>
      <c r="B119" s="307" t="s">
        <v>422</v>
      </c>
      <c r="C119" s="307" t="s">
        <v>423</v>
      </c>
      <c r="D119" s="317">
        <v>0.16</v>
      </c>
      <c r="E119" s="318">
        <v>31</v>
      </c>
      <c r="F119" s="99"/>
      <c r="G119" s="100">
        <v>8</v>
      </c>
      <c r="H119" s="100">
        <v>8</v>
      </c>
      <c r="I119" s="100">
        <v>6.48</v>
      </c>
      <c r="J119" s="100">
        <v>6.48</v>
      </c>
      <c r="K119" s="100">
        <v>5.84</v>
      </c>
      <c r="L119" s="100">
        <v>5.84</v>
      </c>
      <c r="M119" s="100">
        <v>5.84</v>
      </c>
      <c r="N119" s="100">
        <v>5.84</v>
      </c>
      <c r="O119" s="100">
        <v>5.84</v>
      </c>
      <c r="P119" s="100">
        <v>5.84</v>
      </c>
      <c r="Q119" s="100">
        <v>5.84</v>
      </c>
      <c r="R119" s="100">
        <v>5.84</v>
      </c>
      <c r="S119" s="100">
        <f t="shared" si="20"/>
        <v>75.680000000000021</v>
      </c>
      <c r="T119" s="288">
        <v>33011</v>
      </c>
      <c r="U119" s="288"/>
      <c r="V119" s="105">
        <f t="shared" si="37"/>
        <v>50</v>
      </c>
      <c r="W119" s="105">
        <f t="shared" si="37"/>
        <v>50</v>
      </c>
      <c r="X119" s="105">
        <f t="shared" si="37"/>
        <v>40.5</v>
      </c>
      <c r="Y119" s="105">
        <f t="shared" si="37"/>
        <v>40.5</v>
      </c>
      <c r="Z119" s="105">
        <f t="shared" si="37"/>
        <v>36.5</v>
      </c>
      <c r="AA119" s="105">
        <f t="shared" si="37"/>
        <v>36.5</v>
      </c>
      <c r="AB119" s="105">
        <f t="shared" si="35"/>
        <v>36.5</v>
      </c>
      <c r="AC119" s="105">
        <f t="shared" si="35"/>
        <v>36.5</v>
      </c>
      <c r="AD119" s="105">
        <f t="shared" si="35"/>
        <v>36.5</v>
      </c>
      <c r="AE119" s="105">
        <f t="shared" si="35"/>
        <v>36.5</v>
      </c>
      <c r="AF119" s="105">
        <f t="shared" si="35"/>
        <v>36.5</v>
      </c>
      <c r="AG119" s="105">
        <f t="shared" si="35"/>
        <v>36.5</v>
      </c>
      <c r="AH119" s="100">
        <f t="shared" si="22"/>
        <v>39.416666666666664</v>
      </c>
      <c r="AI119" s="308"/>
      <c r="AJ119" s="319"/>
      <c r="AK119" s="302"/>
      <c r="AN119" s="275"/>
      <c r="AO119" s="108"/>
      <c r="AR119" s="282"/>
      <c r="AS119" s="321"/>
    </row>
    <row r="120" spans="1:45" s="279" customFormat="1" ht="12" customHeight="1">
      <c r="A120" s="279" t="str">
        <f t="shared" si="19"/>
        <v>PA-JCEX</v>
      </c>
      <c r="B120" s="307" t="s">
        <v>196</v>
      </c>
      <c r="C120" s="307" t="s">
        <v>197</v>
      </c>
      <c r="D120" s="317">
        <v>7.65</v>
      </c>
      <c r="E120" s="318">
        <v>36</v>
      </c>
      <c r="F120" s="99"/>
      <c r="G120" s="100">
        <v>61.2</v>
      </c>
      <c r="H120" s="100">
        <v>91.8</v>
      </c>
      <c r="I120" s="100">
        <v>68.849999999999994</v>
      </c>
      <c r="J120" s="100">
        <v>0</v>
      </c>
      <c r="K120" s="100">
        <v>0</v>
      </c>
      <c r="L120" s="100">
        <v>15.3</v>
      </c>
      <c r="M120" s="100">
        <v>0</v>
      </c>
      <c r="N120" s="100">
        <v>0</v>
      </c>
      <c r="O120" s="100">
        <v>0</v>
      </c>
      <c r="P120" s="100">
        <v>0</v>
      </c>
      <c r="Q120" s="100">
        <v>0</v>
      </c>
      <c r="R120" s="100">
        <v>0</v>
      </c>
      <c r="S120" s="100">
        <f t="shared" si="20"/>
        <v>237.15</v>
      </c>
      <c r="T120" s="288">
        <v>33011</v>
      </c>
      <c r="U120" s="288"/>
      <c r="V120" s="105">
        <f t="shared" si="37"/>
        <v>8</v>
      </c>
      <c r="W120" s="105">
        <f t="shared" si="37"/>
        <v>11.999999999999998</v>
      </c>
      <c r="X120" s="105">
        <f t="shared" si="37"/>
        <v>8.9999999999999982</v>
      </c>
      <c r="Y120" s="105">
        <f t="shared" si="37"/>
        <v>0</v>
      </c>
      <c r="Z120" s="105">
        <f t="shared" si="37"/>
        <v>0</v>
      </c>
      <c r="AA120" s="105">
        <f t="shared" si="37"/>
        <v>2</v>
      </c>
      <c r="AB120" s="105">
        <f t="shared" si="35"/>
        <v>0</v>
      </c>
      <c r="AC120" s="105">
        <f t="shared" si="35"/>
        <v>0</v>
      </c>
      <c r="AD120" s="105">
        <f t="shared" si="35"/>
        <v>0</v>
      </c>
      <c r="AE120" s="105">
        <f t="shared" si="35"/>
        <v>0</v>
      </c>
      <c r="AF120" s="105">
        <f t="shared" si="35"/>
        <v>0</v>
      </c>
      <c r="AG120" s="105">
        <f t="shared" si="35"/>
        <v>0</v>
      </c>
      <c r="AH120" s="100">
        <f t="shared" si="22"/>
        <v>7.75</v>
      </c>
      <c r="AI120" s="308">
        <f>SUMIF('Staff Calcs '!D:D,C120,'Staff Calcs '!E:E)</f>
        <v>7.75</v>
      </c>
      <c r="AJ120" s="319">
        <f t="shared" ref="AJ120" si="38">AH120-AI120</f>
        <v>0</v>
      </c>
      <c r="AK120" s="302"/>
      <c r="AN120" s="275"/>
      <c r="AO120" s="107"/>
      <c r="AR120" s="337"/>
      <c r="AS120" s="321"/>
    </row>
    <row r="121" spans="1:45" s="279" customFormat="1" ht="12" customHeight="1">
      <c r="A121" s="279" t="str">
        <f t="shared" si="19"/>
        <v>PA-JRDELOVER8</v>
      </c>
      <c r="B121" s="307" t="s">
        <v>424</v>
      </c>
      <c r="C121" s="307" t="s">
        <v>425</v>
      </c>
      <c r="D121" s="317">
        <v>61.55</v>
      </c>
      <c r="E121" s="318">
        <v>15</v>
      </c>
      <c r="F121" s="99"/>
      <c r="G121" s="100">
        <v>0</v>
      </c>
      <c r="H121" s="100">
        <v>0</v>
      </c>
      <c r="I121" s="100">
        <v>0</v>
      </c>
      <c r="J121" s="100">
        <v>0</v>
      </c>
      <c r="K121" s="100">
        <v>0</v>
      </c>
      <c r="L121" s="100">
        <v>0</v>
      </c>
      <c r="M121" s="100">
        <v>0</v>
      </c>
      <c r="N121" s="100">
        <v>0</v>
      </c>
      <c r="O121" s="100">
        <v>0</v>
      </c>
      <c r="P121" s="100">
        <v>0</v>
      </c>
      <c r="Q121" s="100">
        <v>61.55</v>
      </c>
      <c r="R121" s="100">
        <v>0</v>
      </c>
      <c r="S121" s="100">
        <f t="shared" si="20"/>
        <v>61.55</v>
      </c>
      <c r="T121" s="288">
        <v>33010</v>
      </c>
      <c r="U121" s="288"/>
      <c r="V121" s="105">
        <f t="shared" si="37"/>
        <v>0</v>
      </c>
      <c r="W121" s="105">
        <f t="shared" si="37"/>
        <v>0</v>
      </c>
      <c r="X121" s="105">
        <f t="shared" si="37"/>
        <v>0</v>
      </c>
      <c r="Y121" s="105">
        <f t="shared" si="37"/>
        <v>0</v>
      </c>
      <c r="Z121" s="105">
        <f t="shared" si="37"/>
        <v>0</v>
      </c>
      <c r="AA121" s="105">
        <f t="shared" si="37"/>
        <v>0</v>
      </c>
      <c r="AB121" s="105">
        <f t="shared" si="35"/>
        <v>0</v>
      </c>
      <c r="AC121" s="105">
        <f t="shared" si="35"/>
        <v>0</v>
      </c>
      <c r="AD121" s="105">
        <f t="shared" si="35"/>
        <v>0</v>
      </c>
      <c r="AE121" s="105">
        <f t="shared" si="35"/>
        <v>0</v>
      </c>
      <c r="AF121" s="105">
        <f t="shared" si="35"/>
        <v>1</v>
      </c>
      <c r="AG121" s="105">
        <f t="shared" si="35"/>
        <v>0</v>
      </c>
      <c r="AH121" s="100"/>
      <c r="AI121" s="308"/>
      <c r="AJ121" s="319"/>
      <c r="AK121" s="302"/>
      <c r="AN121" s="275"/>
      <c r="AO121" s="108"/>
      <c r="AR121" s="282"/>
      <c r="AS121" s="321"/>
    </row>
    <row r="122" spans="1:45" s="288" customFormat="1" ht="12" customHeight="1">
      <c r="A122" s="288" t="str">
        <f t="shared" si="19"/>
        <v>PA-JR1YDTPU</v>
      </c>
      <c r="B122" s="307" t="s">
        <v>166</v>
      </c>
      <c r="C122" s="307" t="s">
        <v>125</v>
      </c>
      <c r="D122" s="317">
        <v>26.09</v>
      </c>
      <c r="E122" s="318">
        <v>35</v>
      </c>
      <c r="F122" s="99"/>
      <c r="G122" s="100">
        <v>0</v>
      </c>
      <c r="H122" s="100">
        <v>0</v>
      </c>
      <c r="I122" s="100">
        <v>0</v>
      </c>
      <c r="J122" s="100">
        <v>0</v>
      </c>
      <c r="K122" s="100">
        <v>0</v>
      </c>
      <c r="L122" s="100">
        <v>26.09</v>
      </c>
      <c r="M122" s="100">
        <v>0</v>
      </c>
      <c r="N122" s="100">
        <v>0</v>
      </c>
      <c r="O122" s="100">
        <v>0</v>
      </c>
      <c r="P122" s="100">
        <v>0</v>
      </c>
      <c r="Q122" s="100">
        <v>0</v>
      </c>
      <c r="R122" s="100">
        <v>26.09</v>
      </c>
      <c r="S122" s="100">
        <f t="shared" si="20"/>
        <v>52.18</v>
      </c>
      <c r="T122" s="288">
        <v>33010</v>
      </c>
      <c r="V122" s="100">
        <f t="shared" si="37"/>
        <v>0</v>
      </c>
      <c r="W122" s="100">
        <f t="shared" si="37"/>
        <v>0</v>
      </c>
      <c r="X122" s="100">
        <f t="shared" si="37"/>
        <v>0</v>
      </c>
      <c r="Y122" s="100">
        <f t="shared" si="37"/>
        <v>0</v>
      </c>
      <c r="Z122" s="100">
        <f t="shared" si="37"/>
        <v>0</v>
      </c>
      <c r="AA122" s="100">
        <f t="shared" si="37"/>
        <v>1</v>
      </c>
      <c r="AB122" s="100">
        <f t="shared" si="35"/>
        <v>0</v>
      </c>
      <c r="AC122" s="100">
        <f t="shared" si="35"/>
        <v>0</v>
      </c>
      <c r="AD122" s="100">
        <f t="shared" si="35"/>
        <v>0</v>
      </c>
      <c r="AE122" s="100">
        <f t="shared" si="35"/>
        <v>0</v>
      </c>
      <c r="AF122" s="100">
        <f t="shared" si="35"/>
        <v>0</v>
      </c>
      <c r="AG122" s="100">
        <f t="shared" si="35"/>
        <v>1</v>
      </c>
      <c r="AH122" s="100">
        <f>IFERROR(AVERAGEIF(V122:AG122,"&gt;0"),0)</f>
        <v>1</v>
      </c>
      <c r="AI122" s="308">
        <f>SUMIF('Staff Calcs '!D:D,C122,'Staff Calcs '!E:E)</f>
        <v>1</v>
      </c>
      <c r="AJ122" s="319">
        <f t="shared" ref="AJ122" si="39">AH122-AI122</f>
        <v>0</v>
      </c>
      <c r="AK122" s="302" t="s">
        <v>379</v>
      </c>
      <c r="AL122" s="279"/>
      <c r="AM122" s="279"/>
      <c r="AN122" s="275">
        <v>1</v>
      </c>
      <c r="AO122" s="107">
        <f>+AH122*AN122</f>
        <v>1</v>
      </c>
      <c r="AP122" s="279"/>
      <c r="AQ122" s="279"/>
      <c r="AR122" s="337"/>
      <c r="AS122" s="321"/>
    </row>
    <row r="123" spans="1:45" s="279" customFormat="1" ht="12" customHeight="1" thickBot="1">
      <c r="A123" s="279" t="str">
        <f t="shared" si="19"/>
        <v>PA-JADDTLPACKA25</v>
      </c>
      <c r="B123" s="307" t="s">
        <v>426</v>
      </c>
      <c r="C123" s="307" t="s">
        <v>427</v>
      </c>
      <c r="D123" s="317">
        <v>0.11</v>
      </c>
      <c r="E123" s="318">
        <v>35</v>
      </c>
      <c r="F123" s="99"/>
      <c r="G123" s="100">
        <v>5.72</v>
      </c>
      <c r="H123" s="100">
        <v>5.92</v>
      </c>
      <c r="I123" s="100">
        <v>5.94</v>
      </c>
      <c r="J123" s="100">
        <v>5.94</v>
      </c>
      <c r="K123" s="100">
        <v>3.08</v>
      </c>
      <c r="L123" s="100">
        <v>3.08</v>
      </c>
      <c r="M123" s="100">
        <v>3.08</v>
      </c>
      <c r="N123" s="100">
        <v>3.08</v>
      </c>
      <c r="O123" s="100">
        <v>4.9400000000000004</v>
      </c>
      <c r="P123" s="100">
        <v>4.9400000000000004</v>
      </c>
      <c r="Q123" s="100">
        <v>5.5</v>
      </c>
      <c r="R123" s="100">
        <v>5.5</v>
      </c>
      <c r="S123" s="100">
        <f t="shared" si="20"/>
        <v>56.719999999999992</v>
      </c>
      <c r="T123" s="288">
        <v>33011</v>
      </c>
      <c r="U123" s="288"/>
      <c r="V123" s="105">
        <f t="shared" si="37"/>
        <v>52</v>
      </c>
      <c r="W123" s="105">
        <f t="shared" si="37"/>
        <v>53.81818181818182</v>
      </c>
      <c r="X123" s="105">
        <f t="shared" si="37"/>
        <v>54</v>
      </c>
      <c r="Y123" s="105">
        <f t="shared" si="37"/>
        <v>54</v>
      </c>
      <c r="Z123" s="105">
        <f t="shared" si="37"/>
        <v>28</v>
      </c>
      <c r="AA123" s="105">
        <f t="shared" si="37"/>
        <v>28</v>
      </c>
      <c r="AB123" s="105">
        <f t="shared" si="35"/>
        <v>28</v>
      </c>
      <c r="AC123" s="105">
        <f t="shared" si="35"/>
        <v>28</v>
      </c>
      <c r="AD123" s="105">
        <f t="shared" si="35"/>
        <v>44.909090909090914</v>
      </c>
      <c r="AE123" s="105">
        <f t="shared" si="35"/>
        <v>44.909090909090914</v>
      </c>
      <c r="AF123" s="105">
        <f t="shared" si="35"/>
        <v>50</v>
      </c>
      <c r="AG123" s="105">
        <f t="shared" si="35"/>
        <v>50</v>
      </c>
      <c r="AH123" s="100">
        <f>IFERROR(AVERAGEIF(V123:AG123,"&gt;0"),0)</f>
        <v>42.969696969696976</v>
      </c>
      <c r="AI123" s="308"/>
      <c r="AJ123" s="319"/>
      <c r="AK123" s="302"/>
      <c r="AN123" s="275"/>
      <c r="AO123" s="107"/>
      <c r="AR123" s="282"/>
      <c r="AS123" s="321"/>
    </row>
    <row r="124" spans="1:45" s="279" customFormat="1" ht="12" customHeight="1" thickBot="1">
      <c r="B124" s="307"/>
      <c r="C124" s="307"/>
      <c r="D124" s="322"/>
      <c r="E124" s="323"/>
      <c r="F124" s="99"/>
      <c r="G124" s="100"/>
      <c r="H124" s="100"/>
      <c r="I124" s="100"/>
      <c r="J124" s="100"/>
      <c r="K124" s="100"/>
      <c r="L124" s="100"/>
      <c r="M124" s="100"/>
      <c r="N124" s="100"/>
      <c r="O124" s="100"/>
      <c r="P124" s="100"/>
      <c r="Q124" s="100"/>
      <c r="R124" s="100"/>
      <c r="S124" s="100"/>
      <c r="T124" s="288"/>
      <c r="U124" s="288"/>
      <c r="V124" s="100"/>
      <c r="W124" s="106"/>
      <c r="X124" s="106"/>
      <c r="Y124" s="106"/>
      <c r="Z124" s="106"/>
      <c r="AA124" s="106"/>
      <c r="AB124" s="106"/>
      <c r="AC124" s="106"/>
      <c r="AD124" s="106"/>
      <c r="AE124" s="106"/>
      <c r="AF124" s="106"/>
      <c r="AG124" s="106"/>
      <c r="AH124" s="100"/>
      <c r="AI124" s="308"/>
      <c r="AJ124" s="338" t="s">
        <v>428</v>
      </c>
      <c r="AK124" s="339">
        <f>AH103+AH105+AH106</f>
        <v>65.499819376395507</v>
      </c>
      <c r="AN124" s="275"/>
      <c r="AO124" s="108"/>
      <c r="AR124" s="282"/>
      <c r="AS124" s="321"/>
    </row>
    <row r="125" spans="1:45" s="277" customFormat="1" ht="12" customHeight="1" thickBot="1">
      <c r="B125" s="340"/>
      <c r="C125" s="325" t="s">
        <v>429</v>
      </c>
      <c r="D125" s="325"/>
      <c r="E125" s="326"/>
      <c r="F125" s="101"/>
      <c r="G125" s="102">
        <f t="shared" ref="G125:R125" si="40">SUM(G62:G124)</f>
        <v>100272.82</v>
      </c>
      <c r="H125" s="102">
        <f t="shared" si="40"/>
        <v>99540.24</v>
      </c>
      <c r="I125" s="102">
        <f t="shared" si="40"/>
        <v>94595.74</v>
      </c>
      <c r="J125" s="102">
        <f t="shared" si="40"/>
        <v>87424.609999999986</v>
      </c>
      <c r="K125" s="102">
        <f t="shared" si="40"/>
        <v>88044.819999999978</v>
      </c>
      <c r="L125" s="102">
        <f t="shared" si="40"/>
        <v>88683.210000000036</v>
      </c>
      <c r="M125" s="102">
        <f t="shared" si="40"/>
        <v>88187.169999999984</v>
      </c>
      <c r="N125" s="102">
        <f t="shared" si="40"/>
        <v>88356.17</v>
      </c>
      <c r="O125" s="102">
        <f t="shared" si="40"/>
        <v>90959.8</v>
      </c>
      <c r="P125" s="102">
        <f t="shared" si="40"/>
        <v>96812.770000000019</v>
      </c>
      <c r="Q125" s="102">
        <f t="shared" si="40"/>
        <v>101028.62</v>
      </c>
      <c r="R125" s="102">
        <f t="shared" si="40"/>
        <v>101947.81999999998</v>
      </c>
      <c r="S125" s="102">
        <f>SUM(G125:R125)</f>
        <v>1125853.7900000003</v>
      </c>
      <c r="T125" s="304"/>
      <c r="U125" s="304"/>
      <c r="V125" s="341">
        <f t="shared" ref="V125:AG125" si="41">SUM(V122:V122, V115,V108:V112,V105:V106,V103,V100,V96:V97,V92:V94,V86:V87,V83:V83,V65:V77)</f>
        <v>810.24680600458908</v>
      </c>
      <c r="W125" s="341">
        <f t="shared" si="41"/>
        <v>807.7470917500558</v>
      </c>
      <c r="X125" s="341">
        <f t="shared" si="41"/>
        <v>797.62378714569184</v>
      </c>
      <c r="Y125" s="341">
        <f t="shared" si="41"/>
        <v>782.7493138948355</v>
      </c>
      <c r="Z125" s="341">
        <f t="shared" si="41"/>
        <v>783.99990917043237</v>
      </c>
      <c r="AA125" s="341">
        <f t="shared" si="41"/>
        <v>792.74959627303201</v>
      </c>
      <c r="AB125" s="341">
        <f t="shared" si="41"/>
        <v>788.6244763252663</v>
      </c>
      <c r="AC125" s="341">
        <f t="shared" si="41"/>
        <v>788.37427000960599</v>
      </c>
      <c r="AD125" s="341">
        <f t="shared" si="41"/>
        <v>801.74966051405818</v>
      </c>
      <c r="AE125" s="341">
        <f t="shared" si="41"/>
        <v>830.49751984748525</v>
      </c>
      <c r="AF125" s="341">
        <f t="shared" si="41"/>
        <v>839.74951545424301</v>
      </c>
      <c r="AG125" s="341">
        <f t="shared" si="41"/>
        <v>837.24842405183551</v>
      </c>
      <c r="AH125" s="341">
        <f>SUM(AH122:AH122,AH115,AH108:AH112,AH105:AH106,AH103,AH100,AH96:AH97,AH91:AH94,AH86:AH87,AH83:AH83,AH65:AH77)</f>
        <v>809.02169455889907</v>
      </c>
      <c r="AI125" s="308"/>
      <c r="AJ125" s="342" t="s">
        <v>430</v>
      </c>
      <c r="AK125" s="343">
        <f>+AO125</f>
        <v>740.82188028740961</v>
      </c>
      <c r="AL125" s="313"/>
      <c r="AM125" s="329">
        <f>SUM(AM57:AM124)</f>
        <v>65.499819376395507</v>
      </c>
      <c r="AN125" s="282"/>
      <c r="AO125" s="329">
        <f>SUM(AO57:AO124)</f>
        <v>740.82188028740961</v>
      </c>
      <c r="AP125" s="282"/>
      <c r="AQ125" s="329">
        <f>SUM(AQ57:AQ124)</f>
        <v>0</v>
      </c>
      <c r="AR125" s="282"/>
      <c r="AS125" s="321"/>
    </row>
    <row r="126" spans="1:45" s="279" customFormat="1" ht="12" customHeight="1">
      <c r="B126" s="344"/>
      <c r="C126" s="344"/>
      <c r="D126" s="340"/>
      <c r="E126" s="345"/>
      <c r="F126" s="99"/>
      <c r="G126" s="100"/>
      <c r="H126" s="100"/>
      <c r="I126" s="100"/>
      <c r="J126" s="100"/>
      <c r="K126" s="100"/>
      <c r="L126" s="100"/>
      <c r="M126" s="100"/>
      <c r="N126" s="100"/>
      <c r="O126" s="100"/>
      <c r="P126" s="100"/>
      <c r="Q126" s="100"/>
      <c r="R126" s="100"/>
      <c r="S126" s="100"/>
      <c r="T126" s="288" t="s">
        <v>545</v>
      </c>
      <c r="U126" s="288"/>
      <c r="V126" s="100"/>
      <c r="W126" s="106"/>
      <c r="X126" s="106"/>
      <c r="Y126" s="106"/>
      <c r="Z126" s="106"/>
      <c r="AA126" s="106"/>
      <c r="AB126" s="106"/>
      <c r="AC126" s="106"/>
      <c r="AD126" s="106"/>
      <c r="AE126" s="106"/>
      <c r="AF126" s="106"/>
      <c r="AG126" s="106"/>
      <c r="AH126" s="100">
        <f>SUM(AH65:AH79,AH81:AH84,AH86:AH88,AH91:AH94,AH96:AH98,AH100,AH103,AH105:AH106,AH108:AH112,AH115,AH120,AH122)</f>
        <v>869.56428430380333</v>
      </c>
      <c r="AI126" s="308">
        <f>'Staff Calcs '!E63-'Jefferson Reg Price Out'!AH126</f>
        <v>0</v>
      </c>
      <c r="AJ126" s="319">
        <f>SUM(AJ65:AJ122)</f>
        <v>-635.13438385140455</v>
      </c>
      <c r="AK126" s="302"/>
      <c r="AM126" s="275"/>
      <c r="AN126" s="107"/>
      <c r="AO126" s="275"/>
      <c r="AP126" s="275"/>
      <c r="AQ126" s="107"/>
      <c r="AR126" s="282"/>
      <c r="AS126" s="321"/>
    </row>
    <row r="127" spans="1:45" s="279" customFormat="1" ht="12" customHeight="1">
      <c r="B127" s="344"/>
      <c r="C127" s="344"/>
      <c r="D127" s="340"/>
      <c r="E127" s="345"/>
      <c r="F127" s="99"/>
      <c r="G127" s="100"/>
      <c r="H127" s="100"/>
      <c r="I127" s="100"/>
      <c r="J127" s="100"/>
      <c r="K127" s="100"/>
      <c r="L127" s="100"/>
      <c r="M127" s="100"/>
      <c r="N127" s="100"/>
      <c r="O127" s="100"/>
      <c r="P127" s="100"/>
      <c r="Q127" s="100"/>
      <c r="R127" s="100"/>
      <c r="S127" s="100"/>
      <c r="T127" s="288"/>
      <c r="U127" s="288"/>
      <c r="V127" s="100"/>
      <c r="W127" s="100"/>
      <c r="X127" s="100"/>
      <c r="Y127" s="100"/>
      <c r="Z127" s="100"/>
      <c r="AA127" s="100"/>
      <c r="AB127" s="100"/>
      <c r="AC127" s="100"/>
      <c r="AD127" s="100"/>
      <c r="AE127" s="100"/>
      <c r="AF127" s="100"/>
      <c r="AG127" s="100"/>
      <c r="AH127" s="100"/>
      <c r="AI127" s="308"/>
      <c r="AJ127" s="288"/>
      <c r="AK127" s="302"/>
      <c r="AM127" s="275"/>
      <c r="AN127" s="107"/>
      <c r="AO127" s="275"/>
      <c r="AP127" s="275"/>
      <c r="AQ127" s="107"/>
      <c r="AR127" s="282"/>
      <c r="AS127" s="321"/>
    </row>
    <row r="128" spans="1:45" ht="12" customHeight="1">
      <c r="B128" s="309" t="s">
        <v>431</v>
      </c>
      <c r="C128" s="309" t="s">
        <v>431</v>
      </c>
      <c r="D128" s="310"/>
      <c r="E128" s="311"/>
      <c r="F128" s="307"/>
      <c r="G128" s="307"/>
      <c r="H128" s="307"/>
      <c r="I128" s="307"/>
      <c r="J128" s="307"/>
      <c r="K128" s="307"/>
      <c r="L128" s="307"/>
      <c r="M128" s="307"/>
      <c r="N128" s="307"/>
      <c r="O128" s="307"/>
      <c r="P128" s="307"/>
      <c r="Q128" s="307"/>
      <c r="R128" s="307"/>
      <c r="S128" s="307"/>
      <c r="T128" s="288"/>
      <c r="U128" s="307"/>
      <c r="V128" s="100"/>
      <c r="W128" s="100"/>
      <c r="X128" s="100"/>
      <c r="Y128" s="100"/>
      <c r="Z128" s="100"/>
      <c r="AA128" s="100"/>
      <c r="AB128" s="100"/>
      <c r="AC128" s="100"/>
      <c r="AD128" s="100"/>
      <c r="AE128" s="100"/>
      <c r="AF128" s="100"/>
      <c r="AG128" s="100"/>
      <c r="AH128" s="100"/>
      <c r="AI128" s="308"/>
      <c r="AJ128" s="307"/>
      <c r="AK128" s="302"/>
      <c r="AL128" s="279"/>
      <c r="AN128" s="107"/>
      <c r="AQ128" s="107"/>
      <c r="AS128" s="321"/>
    </row>
    <row r="129" spans="1:45" ht="12" customHeight="1">
      <c r="B129" s="346"/>
      <c r="C129" s="346"/>
      <c r="D129" s="330"/>
      <c r="E129" s="331"/>
      <c r="F129" s="307"/>
      <c r="G129" s="307"/>
      <c r="H129" s="307"/>
      <c r="I129" s="307"/>
      <c r="J129" s="307"/>
      <c r="K129" s="307"/>
      <c r="L129" s="307"/>
      <c r="M129" s="307"/>
      <c r="N129" s="307"/>
      <c r="O129" s="307"/>
      <c r="P129" s="307"/>
      <c r="Q129" s="307"/>
      <c r="R129" s="307"/>
      <c r="S129" s="307"/>
      <c r="T129" s="288"/>
      <c r="U129" s="307"/>
      <c r="V129" s="100"/>
      <c r="W129" s="100"/>
      <c r="X129" s="100"/>
      <c r="Y129" s="100"/>
      <c r="Z129" s="100"/>
      <c r="AA129" s="100"/>
      <c r="AB129" s="100"/>
      <c r="AC129" s="100"/>
      <c r="AD129" s="100"/>
      <c r="AE129" s="100"/>
      <c r="AF129" s="100"/>
      <c r="AG129" s="100"/>
      <c r="AH129" s="100"/>
      <c r="AI129" s="308"/>
      <c r="AJ129" s="307"/>
      <c r="AK129" s="302"/>
      <c r="AL129" s="279"/>
      <c r="AN129" s="107"/>
      <c r="AQ129" s="107"/>
      <c r="AS129" s="321"/>
    </row>
    <row r="130" spans="1:45" ht="11.25" customHeight="1">
      <c r="B130" s="296" t="s">
        <v>432</v>
      </c>
      <c r="C130" s="296" t="s">
        <v>432</v>
      </c>
      <c r="D130" s="347"/>
      <c r="E130" s="348"/>
      <c r="F130" s="307"/>
      <c r="G130" s="307"/>
      <c r="H130" s="307"/>
      <c r="I130" s="307"/>
      <c r="J130" s="307"/>
      <c r="K130" s="307"/>
      <c r="L130" s="307"/>
      <c r="M130" s="307"/>
      <c r="N130" s="307"/>
      <c r="O130" s="307"/>
      <c r="P130" s="307"/>
      <c r="Q130" s="307"/>
      <c r="R130" s="307"/>
      <c r="S130" s="307"/>
      <c r="T130" s="288"/>
      <c r="U130" s="307"/>
      <c r="V130" s="100"/>
      <c r="W130" s="100"/>
      <c r="X130" s="100"/>
      <c r="Y130" s="100"/>
      <c r="Z130" s="100"/>
      <c r="AA130" s="100"/>
      <c r="AB130" s="100"/>
      <c r="AC130" s="100"/>
      <c r="AD130" s="100"/>
      <c r="AE130" s="100"/>
      <c r="AF130" s="100"/>
      <c r="AG130" s="100"/>
      <c r="AH130" s="100"/>
      <c r="AI130" s="308"/>
      <c r="AJ130" s="307"/>
      <c r="AK130" s="302"/>
      <c r="AL130" s="279"/>
      <c r="AN130" s="107"/>
      <c r="AQ130" s="107"/>
      <c r="AS130" s="321"/>
    </row>
    <row r="131" spans="1:45" ht="12" customHeight="1">
      <c r="A131" s="279" t="str">
        <f t="shared" ref="A131:A148" si="42">"PA-J"&amp;B131</f>
        <v>PA-JCONNECTFEE</v>
      </c>
      <c r="B131" s="307" t="s">
        <v>433</v>
      </c>
      <c r="C131" s="307" t="s">
        <v>434</v>
      </c>
      <c r="D131" s="109">
        <v>6.02</v>
      </c>
      <c r="E131" s="318">
        <v>42</v>
      </c>
      <c r="F131" s="307"/>
      <c r="G131" s="100">
        <v>24.08</v>
      </c>
      <c r="H131" s="100">
        <v>12.04</v>
      </c>
      <c r="I131" s="100">
        <v>18.059999999999999</v>
      </c>
      <c r="J131" s="100">
        <v>18.059999999999999</v>
      </c>
      <c r="K131" s="100">
        <v>12.04</v>
      </c>
      <c r="L131" s="100">
        <v>12.04</v>
      </c>
      <c r="M131" s="100">
        <v>18.059999999999999</v>
      </c>
      <c r="N131" s="100">
        <v>18.059999999999999</v>
      </c>
      <c r="O131" s="100">
        <v>12.04</v>
      </c>
      <c r="P131" s="100">
        <v>24.08</v>
      </c>
      <c r="Q131" s="100">
        <v>12.04</v>
      </c>
      <c r="R131" s="100">
        <v>24.08</v>
      </c>
      <c r="S131" s="100">
        <f t="shared" ref="S131:S148" si="43">SUM(G131:R131)</f>
        <v>204.68</v>
      </c>
      <c r="T131" s="288">
        <v>31010</v>
      </c>
      <c r="U131" s="307"/>
      <c r="V131" s="100">
        <f t="shared" ref="V131:AG140" si="44">IFERROR(G131/$D131,0)</f>
        <v>4</v>
      </c>
      <c r="W131" s="100">
        <f t="shared" si="44"/>
        <v>2</v>
      </c>
      <c r="X131" s="100">
        <f t="shared" si="44"/>
        <v>3</v>
      </c>
      <c r="Y131" s="100">
        <f t="shared" si="44"/>
        <v>3</v>
      </c>
      <c r="Z131" s="100">
        <f t="shared" si="44"/>
        <v>2</v>
      </c>
      <c r="AA131" s="100">
        <f t="shared" si="44"/>
        <v>2</v>
      </c>
      <c r="AB131" s="100">
        <f t="shared" si="44"/>
        <v>3</v>
      </c>
      <c r="AC131" s="100">
        <f t="shared" si="44"/>
        <v>3</v>
      </c>
      <c r="AD131" s="100">
        <f t="shared" si="44"/>
        <v>2</v>
      </c>
      <c r="AE131" s="100">
        <f t="shared" si="44"/>
        <v>4</v>
      </c>
      <c r="AF131" s="100">
        <f t="shared" si="44"/>
        <v>2</v>
      </c>
      <c r="AG131" s="100">
        <f t="shared" si="44"/>
        <v>4</v>
      </c>
      <c r="AH131" s="100">
        <f>AVERAGE(V131:AG131)</f>
        <v>2.8333333333333335</v>
      </c>
      <c r="AI131" s="308"/>
      <c r="AJ131" s="307"/>
      <c r="AK131" s="302"/>
      <c r="AN131" s="107"/>
      <c r="AQ131" s="107"/>
      <c r="AS131" s="321"/>
    </row>
    <row r="132" spans="1:45" ht="12" customHeight="1">
      <c r="A132" s="279" t="str">
        <f t="shared" si="42"/>
        <v>PA-JCPHAUL15</v>
      </c>
      <c r="B132" s="307" t="s">
        <v>435</v>
      </c>
      <c r="C132" s="307" t="s">
        <v>436</v>
      </c>
      <c r="D132" s="109">
        <v>113.82</v>
      </c>
      <c r="E132" s="318">
        <v>42</v>
      </c>
      <c r="F132" s="307"/>
      <c r="G132" s="100">
        <v>113.82</v>
      </c>
      <c r="H132" s="100">
        <v>0</v>
      </c>
      <c r="I132" s="100">
        <v>0</v>
      </c>
      <c r="J132" s="100">
        <v>0</v>
      </c>
      <c r="K132" s="100">
        <v>0</v>
      </c>
      <c r="L132" s="100">
        <v>0</v>
      </c>
      <c r="M132" s="100">
        <v>0</v>
      </c>
      <c r="N132" s="100">
        <v>0</v>
      </c>
      <c r="O132" s="100">
        <v>0</v>
      </c>
      <c r="P132" s="100">
        <v>0</v>
      </c>
      <c r="Q132" s="100">
        <v>0</v>
      </c>
      <c r="R132" s="100">
        <v>0</v>
      </c>
      <c r="S132" s="100">
        <f t="shared" si="43"/>
        <v>113.82</v>
      </c>
      <c r="T132" s="288">
        <v>31000</v>
      </c>
      <c r="U132" s="307"/>
      <c r="V132" s="100">
        <f t="shared" si="44"/>
        <v>1</v>
      </c>
      <c r="W132" s="100">
        <f t="shared" si="44"/>
        <v>0</v>
      </c>
      <c r="X132" s="100">
        <f t="shared" si="44"/>
        <v>0</v>
      </c>
      <c r="Y132" s="100">
        <f t="shared" si="44"/>
        <v>0</v>
      </c>
      <c r="Z132" s="100">
        <f t="shared" si="44"/>
        <v>0</v>
      </c>
      <c r="AA132" s="100">
        <f t="shared" si="44"/>
        <v>0</v>
      </c>
      <c r="AB132" s="100">
        <f t="shared" si="44"/>
        <v>0</v>
      </c>
      <c r="AC132" s="100">
        <f t="shared" si="44"/>
        <v>0</v>
      </c>
      <c r="AD132" s="100">
        <f t="shared" si="44"/>
        <v>0</v>
      </c>
      <c r="AE132" s="100">
        <f t="shared" si="44"/>
        <v>0</v>
      </c>
      <c r="AF132" s="100">
        <f t="shared" si="44"/>
        <v>0</v>
      </c>
      <c r="AG132" s="100">
        <f t="shared" si="44"/>
        <v>0</v>
      </c>
      <c r="AH132" s="100">
        <f>AVERAGE(V132:AG132)</f>
        <v>8.3333333333333329E-2</v>
      </c>
      <c r="AI132" s="308"/>
      <c r="AJ132" s="307"/>
      <c r="AK132" s="302"/>
      <c r="AN132" s="107"/>
      <c r="AQ132" s="107"/>
      <c r="AS132" s="321"/>
    </row>
    <row r="133" spans="1:45" ht="12" customHeight="1">
      <c r="A133" s="279" t="str">
        <f t="shared" si="42"/>
        <v>PA-JCPHAUL30</v>
      </c>
      <c r="B133" s="307" t="s">
        <v>437</v>
      </c>
      <c r="C133" s="307" t="s">
        <v>438</v>
      </c>
      <c r="D133" s="109">
        <v>206.82</v>
      </c>
      <c r="E133" s="318">
        <v>42</v>
      </c>
      <c r="F133" s="307"/>
      <c r="G133" s="100">
        <v>827.28</v>
      </c>
      <c r="H133" s="100">
        <v>413.64</v>
      </c>
      <c r="I133" s="100">
        <v>620.46</v>
      </c>
      <c r="J133" s="100">
        <v>620.46</v>
      </c>
      <c r="K133" s="100">
        <v>413.64</v>
      </c>
      <c r="L133" s="100">
        <v>413.64</v>
      </c>
      <c r="M133" s="100">
        <v>620.46</v>
      </c>
      <c r="N133" s="100">
        <v>620.46</v>
      </c>
      <c r="O133" s="100">
        <v>413.64</v>
      </c>
      <c r="P133" s="100">
        <v>827.28</v>
      </c>
      <c r="Q133" s="100">
        <v>413.64</v>
      </c>
      <c r="R133" s="100">
        <v>827.28</v>
      </c>
      <c r="S133" s="100">
        <f t="shared" si="43"/>
        <v>7031.88</v>
      </c>
      <c r="T133" s="288">
        <v>31000</v>
      </c>
      <c r="U133" s="307"/>
      <c r="V133" s="100">
        <f t="shared" si="44"/>
        <v>4</v>
      </c>
      <c r="W133" s="100">
        <f t="shared" si="44"/>
        <v>2</v>
      </c>
      <c r="X133" s="100">
        <f t="shared" si="44"/>
        <v>3.0000000000000004</v>
      </c>
      <c r="Y133" s="100">
        <f t="shared" si="44"/>
        <v>3.0000000000000004</v>
      </c>
      <c r="Z133" s="100">
        <f t="shared" si="44"/>
        <v>2</v>
      </c>
      <c r="AA133" s="100">
        <f t="shared" si="44"/>
        <v>2</v>
      </c>
      <c r="AB133" s="100">
        <f t="shared" si="44"/>
        <v>3.0000000000000004</v>
      </c>
      <c r="AC133" s="100">
        <f t="shared" si="44"/>
        <v>3.0000000000000004</v>
      </c>
      <c r="AD133" s="100">
        <f t="shared" si="44"/>
        <v>2</v>
      </c>
      <c r="AE133" s="100">
        <f t="shared" si="44"/>
        <v>4</v>
      </c>
      <c r="AF133" s="100">
        <f t="shared" si="44"/>
        <v>2</v>
      </c>
      <c r="AG133" s="100">
        <f t="shared" si="44"/>
        <v>4</v>
      </c>
      <c r="AH133" s="100">
        <v>1</v>
      </c>
      <c r="AI133" s="308"/>
      <c r="AJ133" s="307"/>
      <c r="AN133" s="107"/>
      <c r="AQ133" s="107"/>
      <c r="AS133" s="321"/>
    </row>
    <row r="134" spans="1:45" ht="12" customHeight="1">
      <c r="A134" s="279" t="str">
        <f t="shared" si="42"/>
        <v>PA-JRODEL</v>
      </c>
      <c r="B134" s="307" t="s">
        <v>439</v>
      </c>
      <c r="C134" s="307" t="s">
        <v>440</v>
      </c>
      <c r="D134" s="109">
        <v>166.66</v>
      </c>
      <c r="E134" s="318">
        <v>39</v>
      </c>
      <c r="F134" s="307"/>
      <c r="G134" s="100">
        <v>1833.26</v>
      </c>
      <c r="H134" s="100">
        <v>1999.92</v>
      </c>
      <c r="I134" s="100">
        <v>1666.6</v>
      </c>
      <c r="J134" s="100">
        <v>166.66</v>
      </c>
      <c r="K134" s="100">
        <v>833.3</v>
      </c>
      <c r="L134" s="100">
        <v>833.3</v>
      </c>
      <c r="M134" s="100">
        <v>666.64</v>
      </c>
      <c r="N134" s="100">
        <v>1499.94</v>
      </c>
      <c r="O134" s="100">
        <v>833.3</v>
      </c>
      <c r="P134" s="100">
        <v>1499.94</v>
      </c>
      <c r="Q134" s="100">
        <v>2333.2399999999998</v>
      </c>
      <c r="R134" s="100">
        <v>833.3</v>
      </c>
      <c r="S134" s="100">
        <f t="shared" si="43"/>
        <v>14999.4</v>
      </c>
      <c r="T134" s="288">
        <v>31010</v>
      </c>
      <c r="U134" s="307"/>
      <c r="V134" s="100">
        <f t="shared" si="44"/>
        <v>11</v>
      </c>
      <c r="W134" s="100">
        <f t="shared" si="44"/>
        <v>12</v>
      </c>
      <c r="X134" s="100">
        <f t="shared" si="44"/>
        <v>10</v>
      </c>
      <c r="Y134" s="100">
        <f t="shared" si="44"/>
        <v>1</v>
      </c>
      <c r="Z134" s="100">
        <f t="shared" si="44"/>
        <v>5</v>
      </c>
      <c r="AA134" s="100">
        <f t="shared" si="44"/>
        <v>5</v>
      </c>
      <c r="AB134" s="100">
        <f t="shared" si="44"/>
        <v>4</v>
      </c>
      <c r="AC134" s="100">
        <f t="shared" si="44"/>
        <v>9</v>
      </c>
      <c r="AD134" s="100">
        <f t="shared" si="44"/>
        <v>5</v>
      </c>
      <c r="AE134" s="100">
        <f t="shared" si="44"/>
        <v>9</v>
      </c>
      <c r="AF134" s="100">
        <f t="shared" si="44"/>
        <v>13.999999999999998</v>
      </c>
      <c r="AG134" s="100">
        <f t="shared" si="44"/>
        <v>5</v>
      </c>
      <c r="AH134" s="100">
        <f t="shared" ref="AH134:AH140" si="45">AVERAGE(V134:AG134)</f>
        <v>7.5</v>
      </c>
      <c r="AI134" s="308"/>
      <c r="AJ134" s="307"/>
      <c r="AN134" s="107"/>
      <c r="AQ134" s="107"/>
      <c r="AS134" s="321"/>
    </row>
    <row r="135" spans="1:45" ht="12" customHeight="1">
      <c r="A135" s="279" t="str">
        <f t="shared" si="42"/>
        <v>PA-JROHAUL20</v>
      </c>
      <c r="B135" s="307" t="s">
        <v>441</v>
      </c>
      <c r="C135" s="307" t="s">
        <v>442</v>
      </c>
      <c r="D135" s="109">
        <v>106.78</v>
      </c>
      <c r="E135" s="318">
        <v>39</v>
      </c>
      <c r="F135" s="307"/>
      <c r="G135" s="100">
        <v>1815.26</v>
      </c>
      <c r="H135" s="100">
        <v>1067.8</v>
      </c>
      <c r="I135" s="100">
        <v>854.24</v>
      </c>
      <c r="J135" s="100">
        <v>1174.58</v>
      </c>
      <c r="K135" s="100">
        <v>854.24</v>
      </c>
      <c r="L135" s="100">
        <v>1281.3599999999999</v>
      </c>
      <c r="M135" s="100">
        <v>854.24</v>
      </c>
      <c r="N135" s="100">
        <v>1067.8</v>
      </c>
      <c r="O135" s="100">
        <v>961.02</v>
      </c>
      <c r="P135" s="100">
        <v>1174.58</v>
      </c>
      <c r="Q135" s="100">
        <v>1174.58</v>
      </c>
      <c r="R135" s="100">
        <v>1174.58</v>
      </c>
      <c r="S135" s="100">
        <f t="shared" si="43"/>
        <v>13454.279999999999</v>
      </c>
      <c r="T135" s="288">
        <v>31000</v>
      </c>
      <c r="U135" s="307"/>
      <c r="V135" s="100">
        <f t="shared" si="44"/>
        <v>17</v>
      </c>
      <c r="W135" s="100">
        <f t="shared" si="44"/>
        <v>10</v>
      </c>
      <c r="X135" s="100">
        <f t="shared" si="44"/>
        <v>8</v>
      </c>
      <c r="Y135" s="100">
        <f t="shared" si="44"/>
        <v>11</v>
      </c>
      <c r="Z135" s="100">
        <f t="shared" si="44"/>
        <v>8</v>
      </c>
      <c r="AA135" s="100">
        <f t="shared" si="44"/>
        <v>11.999999999999998</v>
      </c>
      <c r="AB135" s="100">
        <f t="shared" si="44"/>
        <v>8</v>
      </c>
      <c r="AC135" s="100">
        <f t="shared" si="44"/>
        <v>10</v>
      </c>
      <c r="AD135" s="100">
        <f t="shared" si="44"/>
        <v>9</v>
      </c>
      <c r="AE135" s="100">
        <f t="shared" si="44"/>
        <v>11</v>
      </c>
      <c r="AF135" s="100">
        <f t="shared" si="44"/>
        <v>11</v>
      </c>
      <c r="AG135" s="100">
        <f t="shared" si="44"/>
        <v>11</v>
      </c>
      <c r="AH135" s="100">
        <f t="shared" si="45"/>
        <v>10.5</v>
      </c>
      <c r="AI135" s="308"/>
      <c r="AJ135" s="307"/>
      <c r="AN135" s="107"/>
      <c r="AQ135" s="107"/>
      <c r="AS135" s="321"/>
    </row>
    <row r="136" spans="1:45" ht="12" customHeight="1">
      <c r="A136" s="279" t="str">
        <f t="shared" si="42"/>
        <v>PA-JROHAUL20T</v>
      </c>
      <c r="B136" s="307" t="s">
        <v>443</v>
      </c>
      <c r="C136" s="307" t="s">
        <v>444</v>
      </c>
      <c r="D136" s="109">
        <v>153.33000000000001</v>
      </c>
      <c r="E136" s="318">
        <v>39</v>
      </c>
      <c r="F136" s="307"/>
      <c r="G136" s="100">
        <v>1379.97</v>
      </c>
      <c r="H136" s="100">
        <v>1379.97</v>
      </c>
      <c r="I136" s="100">
        <v>1686.63</v>
      </c>
      <c r="J136" s="100">
        <v>919.98</v>
      </c>
      <c r="K136" s="100">
        <v>766.65</v>
      </c>
      <c r="L136" s="100">
        <v>1226.6400000000001</v>
      </c>
      <c r="M136" s="100">
        <v>766.65</v>
      </c>
      <c r="N136" s="100">
        <v>919.98</v>
      </c>
      <c r="O136" s="100">
        <v>306.66000000000003</v>
      </c>
      <c r="P136" s="100">
        <v>2299.9499999999998</v>
      </c>
      <c r="Q136" s="100">
        <v>1073.31</v>
      </c>
      <c r="R136" s="100">
        <v>1226.6400000000001</v>
      </c>
      <c r="S136" s="100">
        <f t="shared" si="43"/>
        <v>13953.029999999997</v>
      </c>
      <c r="T136" s="288">
        <v>31000</v>
      </c>
      <c r="U136" s="307"/>
      <c r="V136" s="100">
        <f t="shared" si="44"/>
        <v>9</v>
      </c>
      <c r="W136" s="100">
        <f t="shared" si="44"/>
        <v>9</v>
      </c>
      <c r="X136" s="100">
        <f t="shared" si="44"/>
        <v>11</v>
      </c>
      <c r="Y136" s="100">
        <f t="shared" si="44"/>
        <v>6</v>
      </c>
      <c r="Z136" s="100">
        <f t="shared" si="44"/>
        <v>4.9999999999999991</v>
      </c>
      <c r="AA136" s="100">
        <f t="shared" si="44"/>
        <v>8</v>
      </c>
      <c r="AB136" s="100">
        <f t="shared" si="44"/>
        <v>4.9999999999999991</v>
      </c>
      <c r="AC136" s="100">
        <f t="shared" si="44"/>
        <v>6</v>
      </c>
      <c r="AD136" s="100">
        <f t="shared" si="44"/>
        <v>2</v>
      </c>
      <c r="AE136" s="100">
        <f t="shared" si="44"/>
        <v>14.999999999999998</v>
      </c>
      <c r="AF136" s="100">
        <f t="shared" si="44"/>
        <v>6.9999999999999991</v>
      </c>
      <c r="AG136" s="100">
        <f t="shared" si="44"/>
        <v>8</v>
      </c>
      <c r="AH136" s="100">
        <f t="shared" si="45"/>
        <v>7.583333333333333</v>
      </c>
      <c r="AI136" s="308"/>
      <c r="AJ136" s="307"/>
      <c r="AN136" s="107"/>
      <c r="AQ136" s="107"/>
      <c r="AS136" s="321"/>
    </row>
    <row r="137" spans="1:45" ht="12" customHeight="1">
      <c r="A137" s="279" t="str">
        <f t="shared" si="42"/>
        <v>PA-JROHAUL30</v>
      </c>
      <c r="B137" s="307" t="s">
        <v>445</v>
      </c>
      <c r="C137" s="307" t="s">
        <v>446</v>
      </c>
      <c r="D137" s="109">
        <v>113.41</v>
      </c>
      <c r="E137" s="318">
        <v>39</v>
      </c>
      <c r="F137" s="307"/>
      <c r="G137" s="100">
        <v>2948.66</v>
      </c>
      <c r="H137" s="100">
        <v>1927.97</v>
      </c>
      <c r="I137" s="100">
        <v>2721.84</v>
      </c>
      <c r="J137" s="100">
        <v>2154.79</v>
      </c>
      <c r="K137" s="100">
        <v>1701.15</v>
      </c>
      <c r="L137" s="100">
        <v>2041.38</v>
      </c>
      <c r="M137" s="100">
        <v>1927.97</v>
      </c>
      <c r="N137" s="100">
        <v>1927.97</v>
      </c>
      <c r="O137" s="100">
        <v>1927.97</v>
      </c>
      <c r="P137" s="100">
        <v>2495.02</v>
      </c>
      <c r="Q137" s="100">
        <v>2268.1999999999998</v>
      </c>
      <c r="R137" s="100">
        <v>2835.25</v>
      </c>
      <c r="S137" s="100">
        <f t="shared" si="43"/>
        <v>26878.170000000002</v>
      </c>
      <c r="T137" s="288">
        <v>31000</v>
      </c>
      <c r="U137" s="307"/>
      <c r="V137" s="100">
        <f t="shared" si="44"/>
        <v>26</v>
      </c>
      <c r="W137" s="100">
        <f t="shared" si="44"/>
        <v>17</v>
      </c>
      <c r="X137" s="100">
        <f t="shared" si="44"/>
        <v>24.000000000000004</v>
      </c>
      <c r="Y137" s="100">
        <f t="shared" si="44"/>
        <v>19</v>
      </c>
      <c r="Z137" s="100">
        <f t="shared" si="44"/>
        <v>15.000000000000002</v>
      </c>
      <c r="AA137" s="100">
        <f t="shared" si="44"/>
        <v>18</v>
      </c>
      <c r="AB137" s="100">
        <f t="shared" si="44"/>
        <v>17</v>
      </c>
      <c r="AC137" s="100">
        <f t="shared" si="44"/>
        <v>17</v>
      </c>
      <c r="AD137" s="100">
        <f t="shared" si="44"/>
        <v>17</v>
      </c>
      <c r="AE137" s="100">
        <f t="shared" si="44"/>
        <v>22</v>
      </c>
      <c r="AF137" s="100">
        <f t="shared" si="44"/>
        <v>20</v>
      </c>
      <c r="AG137" s="100">
        <f t="shared" si="44"/>
        <v>25</v>
      </c>
      <c r="AH137" s="100">
        <f t="shared" si="45"/>
        <v>19.75</v>
      </c>
      <c r="AI137" s="308"/>
      <c r="AJ137" s="307"/>
      <c r="AN137" s="107"/>
      <c r="AQ137" s="107"/>
      <c r="AS137" s="321"/>
    </row>
    <row r="138" spans="1:45" ht="12" customHeight="1">
      <c r="A138" s="279" t="str">
        <f t="shared" si="42"/>
        <v>PA-JROHAUL30T</v>
      </c>
      <c r="B138" s="307" t="s">
        <v>447</v>
      </c>
      <c r="C138" s="307" t="s">
        <v>448</v>
      </c>
      <c r="D138" s="109">
        <v>242.07</v>
      </c>
      <c r="E138" s="318">
        <v>39</v>
      </c>
      <c r="F138" s="307"/>
      <c r="G138" s="100">
        <v>1936.56</v>
      </c>
      <c r="H138" s="100">
        <v>1452.42</v>
      </c>
      <c r="I138" s="100">
        <v>1210.3499999999999</v>
      </c>
      <c r="J138" s="100">
        <v>1210.3499999999999</v>
      </c>
      <c r="K138" s="100">
        <v>2662.77</v>
      </c>
      <c r="L138" s="100">
        <v>2420.6999999999998</v>
      </c>
      <c r="M138" s="100">
        <v>484.14</v>
      </c>
      <c r="N138" s="100">
        <v>1210.3499999999999</v>
      </c>
      <c r="O138" s="100">
        <v>484.14</v>
      </c>
      <c r="P138" s="100">
        <v>726.21</v>
      </c>
      <c r="Q138" s="100">
        <v>2662.77</v>
      </c>
      <c r="R138" s="100">
        <v>1210.3499999999999</v>
      </c>
      <c r="S138" s="100">
        <f t="shared" si="43"/>
        <v>17671.11</v>
      </c>
      <c r="T138" s="288">
        <v>31000</v>
      </c>
      <c r="U138" s="307"/>
      <c r="V138" s="100">
        <f t="shared" si="44"/>
        <v>8</v>
      </c>
      <c r="W138" s="100">
        <f t="shared" si="44"/>
        <v>6.0000000000000009</v>
      </c>
      <c r="X138" s="100">
        <f t="shared" si="44"/>
        <v>5</v>
      </c>
      <c r="Y138" s="100">
        <f t="shared" si="44"/>
        <v>5</v>
      </c>
      <c r="Z138" s="100">
        <f t="shared" si="44"/>
        <v>11</v>
      </c>
      <c r="AA138" s="100">
        <f t="shared" si="44"/>
        <v>10</v>
      </c>
      <c r="AB138" s="100">
        <f t="shared" si="44"/>
        <v>2</v>
      </c>
      <c r="AC138" s="100">
        <f t="shared" si="44"/>
        <v>5</v>
      </c>
      <c r="AD138" s="100">
        <f t="shared" si="44"/>
        <v>2</v>
      </c>
      <c r="AE138" s="100">
        <f t="shared" si="44"/>
        <v>3.0000000000000004</v>
      </c>
      <c r="AF138" s="100">
        <f t="shared" si="44"/>
        <v>11</v>
      </c>
      <c r="AG138" s="100">
        <f t="shared" si="44"/>
        <v>5</v>
      </c>
      <c r="AH138" s="100">
        <f t="shared" si="45"/>
        <v>6.083333333333333</v>
      </c>
      <c r="AI138" s="308"/>
      <c r="AJ138" s="307"/>
      <c r="AN138" s="107"/>
      <c r="AQ138" s="107"/>
      <c r="AS138" s="321"/>
    </row>
    <row r="139" spans="1:45" ht="12" customHeight="1">
      <c r="A139" s="279" t="str">
        <f t="shared" si="42"/>
        <v>PA-JROMILE</v>
      </c>
      <c r="B139" s="307" t="s">
        <v>449</v>
      </c>
      <c r="C139" s="307" t="s">
        <v>450</v>
      </c>
      <c r="D139" s="109">
        <v>3.84</v>
      </c>
      <c r="E139" s="318">
        <v>39</v>
      </c>
      <c r="F139" s="307"/>
      <c r="G139" s="100">
        <v>1474.56</v>
      </c>
      <c r="H139" s="100">
        <v>879.36</v>
      </c>
      <c r="I139" s="100">
        <v>1286.4000000000001</v>
      </c>
      <c r="J139" s="100">
        <v>710.4</v>
      </c>
      <c r="K139" s="100">
        <v>514.55999999999995</v>
      </c>
      <c r="L139" s="100">
        <v>779.52</v>
      </c>
      <c r="M139" s="100">
        <v>518.4</v>
      </c>
      <c r="N139" s="100">
        <v>706.56</v>
      </c>
      <c r="O139" s="100">
        <v>779.52</v>
      </c>
      <c r="P139" s="100">
        <v>1006.08</v>
      </c>
      <c r="Q139" s="100">
        <v>794.88</v>
      </c>
      <c r="R139" s="100">
        <v>1505.28</v>
      </c>
      <c r="S139" s="100">
        <f t="shared" si="43"/>
        <v>10955.52</v>
      </c>
      <c r="T139" s="288">
        <v>31010</v>
      </c>
      <c r="U139" s="307"/>
      <c r="V139" s="100">
        <f t="shared" si="44"/>
        <v>384</v>
      </c>
      <c r="W139" s="100">
        <f t="shared" si="44"/>
        <v>229</v>
      </c>
      <c r="X139" s="100">
        <f t="shared" si="44"/>
        <v>335.00000000000006</v>
      </c>
      <c r="Y139" s="100">
        <f t="shared" si="44"/>
        <v>185</v>
      </c>
      <c r="Z139" s="100">
        <f t="shared" si="44"/>
        <v>134</v>
      </c>
      <c r="AA139" s="100">
        <f t="shared" si="44"/>
        <v>203</v>
      </c>
      <c r="AB139" s="100">
        <f t="shared" si="44"/>
        <v>135</v>
      </c>
      <c r="AC139" s="100">
        <f t="shared" si="44"/>
        <v>184</v>
      </c>
      <c r="AD139" s="100">
        <f t="shared" si="44"/>
        <v>203</v>
      </c>
      <c r="AE139" s="100">
        <f t="shared" si="44"/>
        <v>262</v>
      </c>
      <c r="AF139" s="100">
        <f t="shared" si="44"/>
        <v>207</v>
      </c>
      <c r="AG139" s="100">
        <f t="shared" si="44"/>
        <v>392</v>
      </c>
      <c r="AH139" s="100">
        <f t="shared" si="45"/>
        <v>237.75</v>
      </c>
      <c r="AI139" s="308"/>
      <c r="AJ139" s="307"/>
      <c r="AN139" s="107"/>
      <c r="AQ139" s="107"/>
      <c r="AS139" s="321"/>
    </row>
    <row r="140" spans="1:45" ht="12" customHeight="1">
      <c r="A140" s="279" t="str">
        <f t="shared" si="42"/>
        <v>PA-JRORELOCATE</v>
      </c>
      <c r="B140" s="307" t="s">
        <v>451</v>
      </c>
      <c r="C140" s="307" t="s">
        <v>452</v>
      </c>
      <c r="D140" s="109">
        <v>122.34</v>
      </c>
      <c r="E140" s="318">
        <v>17</v>
      </c>
      <c r="F140" s="307"/>
      <c r="G140" s="100">
        <v>0</v>
      </c>
      <c r="H140" s="100">
        <v>0</v>
      </c>
      <c r="I140" s="100">
        <v>0</v>
      </c>
      <c r="J140" s="100">
        <v>0</v>
      </c>
      <c r="K140" s="100">
        <v>122.34</v>
      </c>
      <c r="L140" s="100">
        <v>0</v>
      </c>
      <c r="M140" s="100">
        <v>0</v>
      </c>
      <c r="N140" s="100">
        <v>122.34</v>
      </c>
      <c r="O140" s="100">
        <v>0</v>
      </c>
      <c r="P140" s="100">
        <v>0</v>
      </c>
      <c r="Q140" s="100">
        <v>0</v>
      </c>
      <c r="R140" s="100">
        <v>0</v>
      </c>
      <c r="S140" s="100">
        <f t="shared" si="43"/>
        <v>244.68</v>
      </c>
      <c r="T140" s="288">
        <v>31010</v>
      </c>
      <c r="U140" s="307"/>
      <c r="V140" s="100">
        <f t="shared" si="44"/>
        <v>0</v>
      </c>
      <c r="W140" s="100">
        <f t="shared" si="44"/>
        <v>0</v>
      </c>
      <c r="X140" s="100">
        <f t="shared" si="44"/>
        <v>0</v>
      </c>
      <c r="Y140" s="100">
        <f t="shared" si="44"/>
        <v>0</v>
      </c>
      <c r="Z140" s="100">
        <f t="shared" si="44"/>
        <v>1</v>
      </c>
      <c r="AA140" s="100">
        <f t="shared" si="44"/>
        <v>0</v>
      </c>
      <c r="AB140" s="100">
        <f t="shared" si="44"/>
        <v>0</v>
      </c>
      <c r="AC140" s="100">
        <f t="shared" si="44"/>
        <v>1</v>
      </c>
      <c r="AD140" s="100">
        <f t="shared" si="44"/>
        <v>0</v>
      </c>
      <c r="AE140" s="100">
        <f t="shared" si="44"/>
        <v>0</v>
      </c>
      <c r="AF140" s="100">
        <f t="shared" si="44"/>
        <v>0</v>
      </c>
      <c r="AG140" s="100">
        <f t="shared" si="44"/>
        <v>0</v>
      </c>
      <c r="AH140" s="100">
        <f t="shared" si="45"/>
        <v>0.16666666666666666</v>
      </c>
      <c r="AI140" s="308"/>
      <c r="AJ140" s="307"/>
      <c r="AN140" s="107"/>
      <c r="AQ140" s="107"/>
      <c r="AS140" s="321"/>
    </row>
    <row r="141" spans="1:45" s="288" customFormat="1" ht="12" customHeight="1">
      <c r="A141" s="288" t="str">
        <f t="shared" si="42"/>
        <v>PA-JRORENT20D</v>
      </c>
      <c r="B141" s="307" t="s">
        <v>453</v>
      </c>
      <c r="C141" s="307" t="s">
        <v>454</v>
      </c>
      <c r="D141" s="317">
        <v>9.6</v>
      </c>
      <c r="E141" s="318">
        <v>39</v>
      </c>
      <c r="F141" s="99"/>
      <c r="G141" s="100">
        <v>1910.4</v>
      </c>
      <c r="H141" s="100">
        <v>2313.6</v>
      </c>
      <c r="I141" s="100">
        <v>2169.6</v>
      </c>
      <c r="J141" s="100">
        <v>1670.4</v>
      </c>
      <c r="K141" s="100">
        <v>1872</v>
      </c>
      <c r="L141" s="100">
        <v>1824</v>
      </c>
      <c r="M141" s="100">
        <v>1084.8</v>
      </c>
      <c r="N141" s="100">
        <v>547.20000000000005</v>
      </c>
      <c r="O141" s="100">
        <v>969.6</v>
      </c>
      <c r="P141" s="100">
        <v>1248</v>
      </c>
      <c r="Q141" s="100">
        <v>1449.6</v>
      </c>
      <c r="R141" s="100">
        <v>2035.2</v>
      </c>
      <c r="S141" s="100">
        <f t="shared" si="43"/>
        <v>19094.400000000001</v>
      </c>
      <c r="T141" s="288">
        <v>31002</v>
      </c>
      <c r="V141" s="100">
        <f t="shared" ref="V141:AG141" si="46">IFERROR(G141/$D141,0)/30</f>
        <v>6.6333333333333346</v>
      </c>
      <c r="W141" s="100">
        <f t="shared" si="46"/>
        <v>8.0333333333333332</v>
      </c>
      <c r="X141" s="100">
        <f t="shared" si="46"/>
        <v>7.5333333333333332</v>
      </c>
      <c r="Y141" s="100">
        <f t="shared" si="46"/>
        <v>5.8000000000000007</v>
      </c>
      <c r="Z141" s="100">
        <f t="shared" si="46"/>
        <v>6.5</v>
      </c>
      <c r="AA141" s="100">
        <f t="shared" si="46"/>
        <v>6.333333333333333</v>
      </c>
      <c r="AB141" s="100">
        <f t="shared" si="46"/>
        <v>3.7666666666666666</v>
      </c>
      <c r="AC141" s="100">
        <f t="shared" si="46"/>
        <v>1.9000000000000001</v>
      </c>
      <c r="AD141" s="100">
        <f t="shared" si="46"/>
        <v>3.3666666666666667</v>
      </c>
      <c r="AE141" s="100">
        <f t="shared" si="46"/>
        <v>4.333333333333333</v>
      </c>
      <c r="AF141" s="100">
        <f t="shared" si="46"/>
        <v>5.0333333333333332</v>
      </c>
      <c r="AG141" s="100">
        <f t="shared" si="46"/>
        <v>7.0666666666666664</v>
      </c>
      <c r="AH141" s="100">
        <f>IFERROR(AVERAGEIF(V141:AG141,"&gt;0"),0)</f>
        <v>5.5249999999999995</v>
      </c>
      <c r="AI141" s="308"/>
      <c r="AK141" s="281" t="s">
        <v>455</v>
      </c>
      <c r="AL141" s="275"/>
      <c r="AM141" s="275"/>
      <c r="AN141" s="107"/>
      <c r="AO141" s="275"/>
      <c r="AP141" s="275">
        <v>1</v>
      </c>
      <c r="AQ141" s="107">
        <f>+AH141*AP141</f>
        <v>5.5249999999999995</v>
      </c>
      <c r="AR141" s="282"/>
      <c r="AS141" s="321"/>
    </row>
    <row r="142" spans="1:45" s="288" customFormat="1" ht="12" customHeight="1">
      <c r="A142" s="288" t="str">
        <f t="shared" si="42"/>
        <v>PA-JRORENT20M</v>
      </c>
      <c r="B142" s="307" t="s">
        <v>456</v>
      </c>
      <c r="C142" s="307" t="s">
        <v>457</v>
      </c>
      <c r="D142" s="317">
        <v>78.650000000000006</v>
      </c>
      <c r="E142" s="318">
        <v>39</v>
      </c>
      <c r="F142" s="99"/>
      <c r="G142" s="100">
        <v>542.91999999999996</v>
      </c>
      <c r="H142" s="100">
        <v>469.27</v>
      </c>
      <c r="I142" s="100">
        <v>471.9</v>
      </c>
      <c r="J142" s="100">
        <v>471.9</v>
      </c>
      <c r="K142" s="100">
        <v>471.9</v>
      </c>
      <c r="L142" s="100">
        <v>494.73</v>
      </c>
      <c r="M142" s="100">
        <v>550.54999999999995</v>
      </c>
      <c r="N142" s="100">
        <v>550.54999999999995</v>
      </c>
      <c r="O142" s="100">
        <v>550.54999999999995</v>
      </c>
      <c r="P142" s="100">
        <v>474.43</v>
      </c>
      <c r="Q142" s="100">
        <v>458.79</v>
      </c>
      <c r="R142" s="100">
        <v>471.9</v>
      </c>
      <c r="S142" s="100">
        <f t="shared" si="43"/>
        <v>5979.39</v>
      </c>
      <c r="T142" s="288">
        <v>31002</v>
      </c>
      <c r="V142" s="100">
        <f t="shared" ref="V142:AG142" si="47">IFERROR(G142/$D142,0)</f>
        <v>6.9029879211697383</v>
      </c>
      <c r="W142" s="100">
        <f t="shared" si="47"/>
        <v>5.9665607120152568</v>
      </c>
      <c r="X142" s="100">
        <f t="shared" si="47"/>
        <v>5.9999999999999991</v>
      </c>
      <c r="Y142" s="100">
        <f t="shared" si="47"/>
        <v>5.9999999999999991</v>
      </c>
      <c r="Z142" s="100">
        <f t="shared" si="47"/>
        <v>5.9999999999999991</v>
      </c>
      <c r="AA142" s="100">
        <f t="shared" si="47"/>
        <v>6.2902733630006358</v>
      </c>
      <c r="AB142" s="100">
        <f t="shared" si="47"/>
        <v>6.9999999999999991</v>
      </c>
      <c r="AC142" s="100">
        <f t="shared" si="47"/>
        <v>6.9999999999999991</v>
      </c>
      <c r="AD142" s="100">
        <f t="shared" si="47"/>
        <v>6.9999999999999991</v>
      </c>
      <c r="AE142" s="100">
        <f t="shared" si="47"/>
        <v>6.0321678321678318</v>
      </c>
      <c r="AF142" s="100">
        <f t="shared" si="47"/>
        <v>5.8333121424030514</v>
      </c>
      <c r="AG142" s="100">
        <f t="shared" si="47"/>
        <v>5.9999999999999991</v>
      </c>
      <c r="AH142" s="100">
        <f>IFERROR(AVERAGEIF(V142:AG142,"&gt;0"),0)</f>
        <v>6.3354418308963751</v>
      </c>
      <c r="AI142" s="308"/>
      <c r="AK142" s="281" t="s">
        <v>455</v>
      </c>
      <c r="AL142" s="275"/>
      <c r="AM142" s="275"/>
      <c r="AN142" s="107"/>
      <c r="AO142" s="275"/>
      <c r="AP142" s="275">
        <v>1</v>
      </c>
      <c r="AQ142" s="107">
        <f>+AH142*AP142</f>
        <v>6.3354418308963751</v>
      </c>
      <c r="AR142" s="282"/>
      <c r="AS142" s="321"/>
    </row>
    <row r="143" spans="1:45" s="288" customFormat="1" ht="12" customHeight="1">
      <c r="A143" s="288" t="str">
        <f t="shared" si="42"/>
        <v>PA-JRORENT30D</v>
      </c>
      <c r="B143" s="307" t="s">
        <v>458</v>
      </c>
      <c r="C143" s="307" t="s">
        <v>459</v>
      </c>
      <c r="D143" s="317">
        <v>16</v>
      </c>
      <c r="E143" s="318">
        <v>39</v>
      </c>
      <c r="F143" s="99"/>
      <c r="G143" s="100">
        <v>1952</v>
      </c>
      <c r="H143" s="100">
        <v>2672</v>
      </c>
      <c r="I143" s="100">
        <v>3024</v>
      </c>
      <c r="J143" s="100">
        <v>2672</v>
      </c>
      <c r="K143" s="100">
        <v>2096</v>
      </c>
      <c r="L143" s="100">
        <v>1632</v>
      </c>
      <c r="M143" s="100">
        <v>768</v>
      </c>
      <c r="N143" s="100">
        <v>1936</v>
      </c>
      <c r="O143" s="100">
        <v>2928</v>
      </c>
      <c r="P143" s="100">
        <v>2464</v>
      </c>
      <c r="Q143" s="100">
        <v>2704</v>
      </c>
      <c r="R143" s="100">
        <v>1888</v>
      </c>
      <c r="S143" s="100">
        <f t="shared" si="43"/>
        <v>26736</v>
      </c>
      <c r="T143" s="288">
        <v>31002</v>
      </c>
      <c r="V143" s="100">
        <f t="shared" ref="V143:AG143" si="48">IFERROR(G143/$D143,0)/30</f>
        <v>4.0666666666666664</v>
      </c>
      <c r="W143" s="100">
        <f t="shared" si="48"/>
        <v>5.5666666666666664</v>
      </c>
      <c r="X143" s="100">
        <f t="shared" si="48"/>
        <v>6.3</v>
      </c>
      <c r="Y143" s="100">
        <f t="shared" si="48"/>
        <v>5.5666666666666664</v>
      </c>
      <c r="Z143" s="100">
        <f t="shared" si="48"/>
        <v>4.3666666666666663</v>
      </c>
      <c r="AA143" s="100">
        <f t="shared" si="48"/>
        <v>3.4</v>
      </c>
      <c r="AB143" s="100">
        <f t="shared" si="48"/>
        <v>1.6</v>
      </c>
      <c r="AC143" s="100">
        <f t="shared" si="48"/>
        <v>4.0333333333333332</v>
      </c>
      <c r="AD143" s="100">
        <f t="shared" si="48"/>
        <v>6.1</v>
      </c>
      <c r="AE143" s="100">
        <f t="shared" si="48"/>
        <v>5.1333333333333337</v>
      </c>
      <c r="AF143" s="100">
        <f t="shared" si="48"/>
        <v>5.6333333333333337</v>
      </c>
      <c r="AG143" s="100">
        <f t="shared" si="48"/>
        <v>3.9333333333333331</v>
      </c>
      <c r="AH143" s="100">
        <f>IFERROR(AVERAGEIF(V143:AG143,"&gt;0"),0)</f>
        <v>4.6416666666666666</v>
      </c>
      <c r="AI143" s="308"/>
      <c r="AK143" s="281" t="s">
        <v>460</v>
      </c>
      <c r="AL143" s="275"/>
      <c r="AM143" s="275"/>
      <c r="AN143" s="107"/>
      <c r="AO143" s="275"/>
      <c r="AP143" s="275">
        <v>1</v>
      </c>
      <c r="AQ143" s="107">
        <f>+AH143*AP143</f>
        <v>4.6416666666666666</v>
      </c>
      <c r="AR143" s="282"/>
      <c r="AS143" s="321"/>
    </row>
    <row r="144" spans="1:45" s="288" customFormat="1" ht="12" customHeight="1">
      <c r="A144" s="288" t="str">
        <f t="shared" si="42"/>
        <v>PA-JRORENT30M</v>
      </c>
      <c r="B144" s="307" t="s">
        <v>461</v>
      </c>
      <c r="C144" s="307" t="s">
        <v>462</v>
      </c>
      <c r="D144" s="317">
        <v>81.900000000000006</v>
      </c>
      <c r="E144" s="318">
        <v>39</v>
      </c>
      <c r="F144" s="99"/>
      <c r="G144" s="100">
        <v>760.87</v>
      </c>
      <c r="H144" s="100">
        <v>819</v>
      </c>
      <c r="I144" s="100">
        <v>819</v>
      </c>
      <c r="J144" s="100">
        <v>655.20000000000005</v>
      </c>
      <c r="K144" s="100">
        <v>655.20000000000005</v>
      </c>
      <c r="L144" s="100">
        <v>655.20000000000005</v>
      </c>
      <c r="M144" s="100">
        <v>655.20000000000005</v>
      </c>
      <c r="N144" s="100">
        <v>803.14</v>
      </c>
      <c r="O144" s="100">
        <v>788.96</v>
      </c>
      <c r="P144" s="100">
        <v>774.08</v>
      </c>
      <c r="Q144" s="100">
        <v>966.38</v>
      </c>
      <c r="R144" s="100">
        <v>1228.5</v>
      </c>
      <c r="S144" s="100">
        <f t="shared" si="43"/>
        <v>9580.73</v>
      </c>
      <c r="T144" s="288">
        <v>31002</v>
      </c>
      <c r="V144" s="100">
        <f t="shared" ref="V144:AG148" si="49">IFERROR(G144/$D144,0)</f>
        <v>9.2902319902319892</v>
      </c>
      <c r="W144" s="100">
        <f t="shared" si="49"/>
        <v>10</v>
      </c>
      <c r="X144" s="100">
        <f t="shared" si="49"/>
        <v>10</v>
      </c>
      <c r="Y144" s="100">
        <f t="shared" si="49"/>
        <v>8</v>
      </c>
      <c r="Z144" s="100">
        <f t="shared" si="49"/>
        <v>8</v>
      </c>
      <c r="AA144" s="100">
        <f t="shared" si="49"/>
        <v>8</v>
      </c>
      <c r="AB144" s="100">
        <f t="shared" si="49"/>
        <v>8</v>
      </c>
      <c r="AC144" s="100">
        <f t="shared" si="49"/>
        <v>9.8063492063492053</v>
      </c>
      <c r="AD144" s="100">
        <f t="shared" si="49"/>
        <v>9.6332112332112327</v>
      </c>
      <c r="AE144" s="100">
        <f t="shared" si="49"/>
        <v>9.4515262515262517</v>
      </c>
      <c r="AF144" s="100">
        <f t="shared" si="49"/>
        <v>11.799511599511598</v>
      </c>
      <c r="AG144" s="100">
        <f t="shared" si="49"/>
        <v>14.999999999999998</v>
      </c>
      <c r="AH144" s="100">
        <f>IFERROR(AVERAGEIF(V144:AG144,"&gt;0"),0)</f>
        <v>9.7484025234025236</v>
      </c>
      <c r="AI144" s="308"/>
      <c r="AK144" s="281" t="s">
        <v>460</v>
      </c>
      <c r="AL144" s="275"/>
      <c r="AM144" s="275"/>
      <c r="AN144" s="107"/>
      <c r="AO144" s="275"/>
      <c r="AP144" s="275">
        <v>1</v>
      </c>
      <c r="AQ144" s="107">
        <f>+AH144*AP144</f>
        <v>9.7484025234025236</v>
      </c>
      <c r="AR144" s="282"/>
      <c r="AS144" s="321"/>
    </row>
    <row r="145" spans="1:45" s="349" customFormat="1" ht="12" customHeight="1">
      <c r="A145" s="279" t="str">
        <f t="shared" si="42"/>
        <v>PA-JROWAIT</v>
      </c>
      <c r="B145" s="307" t="s">
        <v>463</v>
      </c>
      <c r="C145" s="307" t="s">
        <v>464</v>
      </c>
      <c r="D145" s="109">
        <v>80.72</v>
      </c>
      <c r="E145" s="318">
        <v>29</v>
      </c>
      <c r="F145" s="307"/>
      <c r="G145" s="100">
        <v>0</v>
      </c>
      <c r="H145" s="100">
        <v>0</v>
      </c>
      <c r="I145" s="100">
        <v>20.18</v>
      </c>
      <c r="J145" s="100">
        <v>0</v>
      </c>
      <c r="K145" s="100">
        <v>0</v>
      </c>
      <c r="L145" s="100">
        <v>0</v>
      </c>
      <c r="M145" s="100">
        <v>0</v>
      </c>
      <c r="N145" s="100">
        <v>100.9</v>
      </c>
      <c r="O145" s="100">
        <v>0</v>
      </c>
      <c r="P145" s="100">
        <v>40.36</v>
      </c>
      <c r="Q145" s="100">
        <v>0</v>
      </c>
      <c r="R145" s="100">
        <v>0</v>
      </c>
      <c r="S145" s="100">
        <f t="shared" si="43"/>
        <v>161.44</v>
      </c>
      <c r="T145" s="288">
        <v>31010</v>
      </c>
      <c r="U145" s="307"/>
      <c r="V145" s="100">
        <f t="shared" si="49"/>
        <v>0</v>
      </c>
      <c r="W145" s="100">
        <f t="shared" si="49"/>
        <v>0</v>
      </c>
      <c r="X145" s="100">
        <f t="shared" si="49"/>
        <v>0.25</v>
      </c>
      <c r="Y145" s="100">
        <f t="shared" si="49"/>
        <v>0</v>
      </c>
      <c r="Z145" s="100">
        <f t="shared" si="49"/>
        <v>0</v>
      </c>
      <c r="AA145" s="100">
        <f t="shared" si="49"/>
        <v>0</v>
      </c>
      <c r="AB145" s="100">
        <f t="shared" si="49"/>
        <v>0</v>
      </c>
      <c r="AC145" s="100">
        <f t="shared" si="49"/>
        <v>1.25</v>
      </c>
      <c r="AD145" s="100">
        <f t="shared" si="49"/>
        <v>0</v>
      </c>
      <c r="AE145" s="100">
        <f t="shared" si="49"/>
        <v>0.5</v>
      </c>
      <c r="AF145" s="100">
        <f t="shared" si="49"/>
        <v>0</v>
      </c>
      <c r="AG145" s="100">
        <f t="shared" si="49"/>
        <v>0</v>
      </c>
      <c r="AH145" s="100">
        <f>AVERAGE(V145:AG145)</f>
        <v>0.16666666666666666</v>
      </c>
      <c r="AI145" s="308"/>
      <c r="AJ145" s="307"/>
      <c r="AK145" s="281"/>
      <c r="AL145" s="275"/>
      <c r="AM145" s="275"/>
      <c r="AN145" s="107"/>
      <c r="AO145" s="275"/>
      <c r="AP145" s="275"/>
      <c r="AQ145" s="107"/>
      <c r="AR145" s="282"/>
      <c r="AS145" s="321"/>
    </row>
    <row r="146" spans="1:45" s="336" customFormat="1" ht="12" customHeight="1">
      <c r="A146" s="279" t="str">
        <f t="shared" si="42"/>
        <v>PA-JROHAUL30CO</v>
      </c>
      <c r="B146" s="307" t="s">
        <v>465</v>
      </c>
      <c r="C146" s="307" t="s">
        <v>466</v>
      </c>
      <c r="D146" s="109">
        <v>114.97</v>
      </c>
      <c r="E146" s="318">
        <v>40</v>
      </c>
      <c r="F146" s="307"/>
      <c r="G146" s="100">
        <v>114.97</v>
      </c>
      <c r="H146" s="100">
        <v>0</v>
      </c>
      <c r="I146" s="100">
        <v>229.94</v>
      </c>
      <c r="J146" s="100">
        <v>0</v>
      </c>
      <c r="K146" s="100">
        <v>0</v>
      </c>
      <c r="L146" s="100">
        <v>0</v>
      </c>
      <c r="M146" s="100">
        <v>0</v>
      </c>
      <c r="N146" s="100">
        <v>114.97</v>
      </c>
      <c r="O146" s="100">
        <v>0</v>
      </c>
      <c r="P146" s="100">
        <v>114.97</v>
      </c>
      <c r="Q146" s="100">
        <v>0</v>
      </c>
      <c r="R146" s="100">
        <v>229.94</v>
      </c>
      <c r="S146" s="100">
        <f t="shared" si="43"/>
        <v>804.79</v>
      </c>
      <c r="T146" s="288">
        <v>31000</v>
      </c>
      <c r="U146" s="288"/>
      <c r="V146" s="100">
        <f t="shared" si="49"/>
        <v>1</v>
      </c>
      <c r="W146" s="100">
        <f t="shared" si="49"/>
        <v>0</v>
      </c>
      <c r="X146" s="100">
        <f t="shared" si="49"/>
        <v>2</v>
      </c>
      <c r="Y146" s="100">
        <f t="shared" si="49"/>
        <v>0</v>
      </c>
      <c r="Z146" s="100">
        <f t="shared" si="49"/>
        <v>0</v>
      </c>
      <c r="AA146" s="100">
        <f t="shared" si="49"/>
        <v>0</v>
      </c>
      <c r="AB146" s="100">
        <f t="shared" si="49"/>
        <v>0</v>
      </c>
      <c r="AC146" s="100">
        <f t="shared" si="49"/>
        <v>1</v>
      </c>
      <c r="AD146" s="100">
        <f t="shared" si="49"/>
        <v>0</v>
      </c>
      <c r="AE146" s="100">
        <f t="shared" si="49"/>
        <v>1</v>
      </c>
      <c r="AF146" s="100">
        <f t="shared" si="49"/>
        <v>0</v>
      </c>
      <c r="AG146" s="100">
        <f t="shared" si="49"/>
        <v>2</v>
      </c>
      <c r="AH146" s="100">
        <f>AVERAGE(V146:AG146)</f>
        <v>0.58333333333333337</v>
      </c>
      <c r="AI146" s="308"/>
      <c r="AJ146" s="288"/>
      <c r="AK146" s="281"/>
      <c r="AL146" s="275"/>
      <c r="AM146" s="275"/>
      <c r="AN146" s="107"/>
      <c r="AO146" s="275"/>
      <c r="AP146" s="275"/>
      <c r="AQ146" s="107"/>
      <c r="AR146" s="282"/>
      <c r="AS146" s="321"/>
    </row>
    <row r="147" spans="1:45" s="336" customFormat="1" ht="12" customHeight="1">
      <c r="A147" s="279" t="str">
        <f t="shared" si="42"/>
        <v>PA-JROHAUL40</v>
      </c>
      <c r="B147" s="307" t="s">
        <v>467</v>
      </c>
      <c r="C147" s="307" t="s">
        <v>468</v>
      </c>
      <c r="D147" s="109">
        <v>131.41999999999999</v>
      </c>
      <c r="E147" s="318">
        <v>39</v>
      </c>
      <c r="F147" s="307"/>
      <c r="G147" s="100">
        <v>1182.78</v>
      </c>
      <c r="H147" s="100">
        <v>1182.78</v>
      </c>
      <c r="I147" s="100">
        <v>1182.78</v>
      </c>
      <c r="J147" s="100">
        <v>1051.3599999999999</v>
      </c>
      <c r="K147" s="100">
        <v>1182.78</v>
      </c>
      <c r="L147" s="100">
        <v>1182.78</v>
      </c>
      <c r="M147" s="100">
        <v>1051.3599999999999</v>
      </c>
      <c r="N147" s="100">
        <v>1182.78</v>
      </c>
      <c r="O147" s="100">
        <v>1051.3599999999999</v>
      </c>
      <c r="P147" s="100">
        <v>1051.3599999999999</v>
      </c>
      <c r="Q147" s="100">
        <v>1182.78</v>
      </c>
      <c r="R147" s="100">
        <v>1182.78</v>
      </c>
      <c r="S147" s="100">
        <f t="shared" si="43"/>
        <v>13667.680000000002</v>
      </c>
      <c r="T147" s="288">
        <v>31000</v>
      </c>
      <c r="U147" s="288"/>
      <c r="V147" s="100">
        <f t="shared" si="49"/>
        <v>9</v>
      </c>
      <c r="W147" s="100">
        <f t="shared" si="49"/>
        <v>9</v>
      </c>
      <c r="X147" s="100">
        <f t="shared" si="49"/>
        <v>9</v>
      </c>
      <c r="Y147" s="100">
        <f t="shared" si="49"/>
        <v>8</v>
      </c>
      <c r="Z147" s="100">
        <f t="shared" si="49"/>
        <v>9</v>
      </c>
      <c r="AA147" s="100">
        <f t="shared" si="49"/>
        <v>9</v>
      </c>
      <c r="AB147" s="100">
        <f t="shared" si="49"/>
        <v>8</v>
      </c>
      <c r="AC147" s="100">
        <f t="shared" si="49"/>
        <v>9</v>
      </c>
      <c r="AD147" s="100">
        <f t="shared" si="49"/>
        <v>8</v>
      </c>
      <c r="AE147" s="100">
        <f t="shared" si="49"/>
        <v>8</v>
      </c>
      <c r="AF147" s="100">
        <f t="shared" si="49"/>
        <v>9</v>
      </c>
      <c r="AG147" s="100">
        <f t="shared" si="49"/>
        <v>9</v>
      </c>
      <c r="AH147" s="100">
        <f>AVERAGE(V147:AG147)</f>
        <v>8.6666666666666661</v>
      </c>
      <c r="AI147" s="308"/>
      <c r="AJ147" s="288"/>
      <c r="AK147" s="281"/>
      <c r="AL147" s="275"/>
      <c r="AM147" s="275"/>
      <c r="AN147" s="107"/>
      <c r="AO147" s="275"/>
      <c r="AP147" s="275"/>
      <c r="AQ147" s="107"/>
      <c r="AR147" s="282"/>
      <c r="AS147" s="321"/>
    </row>
    <row r="148" spans="1:45" s="288" customFormat="1" ht="12" customHeight="1">
      <c r="A148" s="288" t="str">
        <f t="shared" si="42"/>
        <v>PA-JRORENT40M</v>
      </c>
      <c r="B148" s="307" t="s">
        <v>469</v>
      </c>
      <c r="C148" s="307" t="s">
        <v>470</v>
      </c>
      <c r="D148" s="317">
        <v>81.900000000000006</v>
      </c>
      <c r="E148" s="318">
        <v>39</v>
      </c>
      <c r="F148" s="99"/>
      <c r="G148" s="100">
        <v>81.900000000000006</v>
      </c>
      <c r="H148" s="100">
        <v>81.900000000000006</v>
      </c>
      <c r="I148" s="100">
        <v>81.900000000000006</v>
      </c>
      <c r="J148" s="100">
        <v>81.900000000000006</v>
      </c>
      <c r="K148" s="100">
        <v>81.900000000000006</v>
      </c>
      <c r="L148" s="100">
        <v>81.900000000000006</v>
      </c>
      <c r="M148" s="100">
        <v>81.900000000000006</v>
      </c>
      <c r="N148" s="100">
        <v>81.900000000000006</v>
      </c>
      <c r="O148" s="100">
        <v>81.900000000000006</v>
      </c>
      <c r="P148" s="100">
        <v>81.900000000000006</v>
      </c>
      <c r="Q148" s="100">
        <v>81.900000000000006</v>
      </c>
      <c r="R148" s="100">
        <v>81.900000000000006</v>
      </c>
      <c r="S148" s="100">
        <f t="shared" si="43"/>
        <v>982.79999999999984</v>
      </c>
      <c r="T148" s="288">
        <v>31002</v>
      </c>
      <c r="V148" s="100">
        <f t="shared" si="49"/>
        <v>1</v>
      </c>
      <c r="W148" s="100">
        <f t="shared" si="49"/>
        <v>1</v>
      </c>
      <c r="X148" s="100">
        <f t="shared" si="49"/>
        <v>1</v>
      </c>
      <c r="Y148" s="100">
        <f t="shared" si="49"/>
        <v>1</v>
      </c>
      <c r="Z148" s="100">
        <f t="shared" si="49"/>
        <v>1</v>
      </c>
      <c r="AA148" s="100">
        <f t="shared" si="49"/>
        <v>1</v>
      </c>
      <c r="AB148" s="100">
        <f t="shared" si="49"/>
        <v>1</v>
      </c>
      <c r="AC148" s="100">
        <f t="shared" si="49"/>
        <v>1</v>
      </c>
      <c r="AD148" s="100">
        <f t="shared" si="49"/>
        <v>1</v>
      </c>
      <c r="AE148" s="100">
        <f t="shared" si="49"/>
        <v>1</v>
      </c>
      <c r="AF148" s="100">
        <f t="shared" si="49"/>
        <v>1</v>
      </c>
      <c r="AG148" s="100">
        <f t="shared" si="49"/>
        <v>1</v>
      </c>
      <c r="AH148" s="100">
        <f>IFERROR(AVERAGEIF(V148:AG148,"&gt;0"),0)</f>
        <v>1</v>
      </c>
      <c r="AI148" s="308"/>
      <c r="AK148" s="281" t="s">
        <v>471</v>
      </c>
      <c r="AL148" s="275"/>
      <c r="AM148" s="275"/>
      <c r="AN148" s="107"/>
      <c r="AO148" s="275"/>
      <c r="AP148" s="275">
        <v>1</v>
      </c>
      <c r="AQ148" s="107">
        <f>+AH148*AP148</f>
        <v>1</v>
      </c>
      <c r="AR148" s="282"/>
      <c r="AS148" s="321"/>
    </row>
    <row r="149" spans="1:45" ht="12" customHeight="1" thickBot="1">
      <c r="A149" s="279"/>
      <c r="B149" s="307"/>
      <c r="C149" s="307"/>
      <c r="D149" s="109"/>
      <c r="E149" s="110"/>
      <c r="F149" s="307"/>
      <c r="G149" s="100"/>
      <c r="H149" s="100"/>
      <c r="I149" s="100"/>
      <c r="J149" s="100"/>
      <c r="K149" s="100"/>
      <c r="L149" s="100"/>
      <c r="M149" s="100"/>
      <c r="N149" s="100"/>
      <c r="O149" s="100"/>
      <c r="P149" s="100"/>
      <c r="Q149" s="100"/>
      <c r="R149" s="100"/>
      <c r="S149" s="100"/>
      <c r="T149" s="288"/>
      <c r="U149" s="307"/>
      <c r="V149" s="100"/>
      <c r="W149" s="100"/>
      <c r="X149" s="100"/>
      <c r="Y149" s="100"/>
      <c r="Z149" s="100"/>
      <c r="AA149" s="100"/>
      <c r="AB149" s="100"/>
      <c r="AC149" s="100"/>
      <c r="AD149" s="100"/>
      <c r="AE149" s="100"/>
      <c r="AF149" s="100"/>
      <c r="AG149" s="100"/>
      <c r="AH149" s="100"/>
      <c r="AI149" s="308"/>
      <c r="AJ149" s="307"/>
      <c r="AN149" s="107"/>
      <c r="AP149" s="107"/>
    </row>
    <row r="150" spans="1:45" s="300" customFormat="1" ht="12" customHeight="1" thickBot="1">
      <c r="B150" s="322"/>
      <c r="C150" s="322"/>
      <c r="D150" s="322"/>
      <c r="E150" s="323"/>
      <c r="F150" s="322"/>
      <c r="G150" s="102">
        <f t="shared" ref="G150:R150" si="50">SUM(G131:G148)</f>
        <v>18899.289999999997</v>
      </c>
      <c r="H150" s="102">
        <f t="shared" si="50"/>
        <v>16671.670000000002</v>
      </c>
      <c r="I150" s="102">
        <f t="shared" si="50"/>
        <v>18063.88</v>
      </c>
      <c r="J150" s="102">
        <f t="shared" si="50"/>
        <v>13578.039999999999</v>
      </c>
      <c r="K150" s="102">
        <f t="shared" si="50"/>
        <v>14240.470000000001</v>
      </c>
      <c r="L150" s="102">
        <f t="shared" si="50"/>
        <v>14879.190000000002</v>
      </c>
      <c r="M150" s="102">
        <f t="shared" si="50"/>
        <v>10048.370000000001</v>
      </c>
      <c r="N150" s="102">
        <f t="shared" si="50"/>
        <v>13410.899999999998</v>
      </c>
      <c r="O150" s="102">
        <f t="shared" si="50"/>
        <v>12088.660000000002</v>
      </c>
      <c r="P150" s="102">
        <f t="shared" si="50"/>
        <v>16302.240000000002</v>
      </c>
      <c r="Q150" s="102">
        <f t="shared" si="50"/>
        <v>17576.11</v>
      </c>
      <c r="R150" s="102">
        <f t="shared" si="50"/>
        <v>16754.980000000003</v>
      </c>
      <c r="S150" s="102">
        <f>SUM(G150:R150)</f>
        <v>182513.79999999996</v>
      </c>
      <c r="T150" s="304"/>
      <c r="U150" s="322"/>
      <c r="V150" s="327">
        <f t="shared" ref="V150:AH150" si="51">+SUM(V132:V133,V141:V144,V148)</f>
        <v>32.893219911401729</v>
      </c>
      <c r="W150" s="327">
        <f t="shared" si="51"/>
        <v>32.56656071201526</v>
      </c>
      <c r="X150" s="327">
        <f t="shared" si="51"/>
        <v>33.833333333333329</v>
      </c>
      <c r="Y150" s="327">
        <f t="shared" si="51"/>
        <v>29.366666666666667</v>
      </c>
      <c r="Z150" s="327">
        <f t="shared" si="51"/>
        <v>27.866666666666667</v>
      </c>
      <c r="AA150" s="327">
        <f t="shared" si="51"/>
        <v>27.023606696333967</v>
      </c>
      <c r="AB150" s="327">
        <f t="shared" si="51"/>
        <v>24.366666666666667</v>
      </c>
      <c r="AC150" s="327">
        <f t="shared" si="51"/>
        <v>26.739682539682537</v>
      </c>
      <c r="AD150" s="327">
        <f t="shared" si="51"/>
        <v>29.099877899877903</v>
      </c>
      <c r="AE150" s="327">
        <f t="shared" si="51"/>
        <v>29.950360750360751</v>
      </c>
      <c r="AF150" s="327">
        <f t="shared" si="51"/>
        <v>31.299490408581313</v>
      </c>
      <c r="AG150" s="327">
        <f t="shared" si="51"/>
        <v>37</v>
      </c>
      <c r="AH150" s="327">
        <f t="shared" si="51"/>
        <v>28.333844354298897</v>
      </c>
      <c r="AI150" s="308"/>
      <c r="AJ150" s="322"/>
      <c r="AK150" s="281"/>
      <c r="AL150" s="275"/>
      <c r="AM150" s="329">
        <f>SUM(AM126:AM149)</f>
        <v>0</v>
      </c>
      <c r="AN150" s="282"/>
      <c r="AO150" s="329">
        <f>SUM(AO126:AO149)</f>
        <v>0</v>
      </c>
      <c r="AP150" s="282"/>
      <c r="AQ150" s="329">
        <f>SUM(AQ126:AQ149)</f>
        <v>27.250511020965561</v>
      </c>
      <c r="AR150" s="282"/>
      <c r="AS150" s="282"/>
    </row>
    <row r="151" spans="1:45" ht="12" customHeight="1">
      <c r="B151" s="288"/>
      <c r="C151" s="288"/>
      <c r="D151" s="304"/>
      <c r="E151" s="305"/>
      <c r="F151" s="307"/>
      <c r="G151" s="307"/>
      <c r="H151" s="307"/>
      <c r="I151" s="307"/>
      <c r="J151" s="307"/>
      <c r="K151" s="307"/>
      <c r="L151" s="307"/>
      <c r="M151" s="307"/>
      <c r="N151" s="307"/>
      <c r="O151" s="307"/>
      <c r="P151" s="307"/>
      <c r="Q151" s="307"/>
      <c r="R151" s="307"/>
      <c r="S151" s="307"/>
      <c r="T151" s="288"/>
      <c r="U151" s="307"/>
      <c r="V151" s="350"/>
      <c r="W151" s="350"/>
      <c r="X151" s="350"/>
      <c r="Y151" s="350"/>
      <c r="Z151" s="350"/>
      <c r="AA151" s="350"/>
      <c r="AB151" s="350"/>
      <c r="AC151" s="350"/>
      <c r="AD151" s="350"/>
      <c r="AE151" s="350"/>
      <c r="AF151" s="350"/>
      <c r="AG151" s="350"/>
      <c r="AH151" s="350"/>
      <c r="AI151" s="308"/>
      <c r="AJ151" s="307"/>
    </row>
    <row r="152" spans="1:45" ht="12" customHeight="1">
      <c r="B152" s="296" t="s">
        <v>472</v>
      </c>
      <c r="C152" s="296" t="s">
        <v>472</v>
      </c>
      <c r="D152" s="347"/>
      <c r="E152" s="348"/>
      <c r="F152" s="307"/>
      <c r="G152" s="100"/>
      <c r="H152" s="100"/>
      <c r="I152" s="100"/>
      <c r="J152" s="100"/>
      <c r="K152" s="100"/>
      <c r="L152" s="100"/>
      <c r="M152" s="100"/>
      <c r="N152" s="100"/>
      <c r="O152" s="100"/>
      <c r="P152" s="100"/>
      <c r="Q152" s="100"/>
      <c r="R152" s="100"/>
      <c r="S152" s="100"/>
      <c r="T152" s="288"/>
      <c r="U152" s="307"/>
      <c r="V152" s="350"/>
      <c r="W152" s="350"/>
      <c r="X152" s="350"/>
      <c r="Y152" s="350"/>
      <c r="Z152" s="350"/>
      <c r="AA152" s="350"/>
      <c r="AB152" s="350"/>
      <c r="AC152" s="350"/>
      <c r="AD152" s="350"/>
      <c r="AE152" s="350"/>
      <c r="AF152" s="350"/>
      <c r="AG152" s="350"/>
      <c r="AH152" s="350"/>
      <c r="AI152" s="308"/>
      <c r="AJ152" s="307"/>
    </row>
    <row r="153" spans="1:45" ht="12" customHeight="1">
      <c r="A153" s="279" t="str">
        <f>"PA-J"&amp;B153</f>
        <v>PA-JDISP</v>
      </c>
      <c r="B153" s="307" t="s">
        <v>473</v>
      </c>
      <c r="C153" s="307" t="s">
        <v>474</v>
      </c>
      <c r="D153" s="109">
        <v>157.27000000000001</v>
      </c>
      <c r="E153" s="318">
        <v>34</v>
      </c>
      <c r="F153" s="307"/>
      <c r="G153" s="100">
        <v>29686.29</v>
      </c>
      <c r="H153" s="100">
        <v>20401.03</v>
      </c>
      <c r="I153" s="100">
        <v>23127.43</v>
      </c>
      <c r="J153" s="100">
        <v>19751.560000000001</v>
      </c>
      <c r="K153" s="100">
        <v>19124.009999999998</v>
      </c>
      <c r="L153" s="100">
        <v>25020.1</v>
      </c>
      <c r="M153" s="100">
        <v>12109.79</v>
      </c>
      <c r="N153" s="100">
        <v>16054.15</v>
      </c>
      <c r="O153" s="100">
        <v>13167.77</v>
      </c>
      <c r="P153" s="100">
        <v>22744.26</v>
      </c>
      <c r="Q153" s="100">
        <v>20595.63</v>
      </c>
      <c r="R153" s="100">
        <v>19476.310000000001</v>
      </c>
      <c r="S153" s="100">
        <f>SUM(G153:R153)</f>
        <v>241258.33</v>
      </c>
      <c r="T153" s="288">
        <v>31005</v>
      </c>
      <c r="U153" s="307"/>
      <c r="V153" s="350"/>
      <c r="W153" s="350"/>
      <c r="X153" s="350"/>
      <c r="Y153" s="350"/>
      <c r="Z153" s="350"/>
      <c r="AA153" s="350"/>
      <c r="AB153" s="350"/>
      <c r="AC153" s="350"/>
      <c r="AD153" s="350"/>
      <c r="AE153" s="350"/>
      <c r="AF153" s="350"/>
      <c r="AG153" s="350"/>
      <c r="AH153" s="350"/>
      <c r="AI153" s="308"/>
      <c r="AJ153" s="307"/>
    </row>
    <row r="154" spans="1:45" ht="12" customHeight="1">
      <c r="A154" s="279"/>
      <c r="B154" s="307"/>
      <c r="C154" s="307"/>
      <c r="D154" s="109"/>
      <c r="E154" s="110"/>
      <c r="F154" s="307"/>
      <c r="G154" s="100"/>
      <c r="H154" s="100"/>
      <c r="I154" s="100"/>
      <c r="J154" s="100"/>
      <c r="K154" s="100"/>
      <c r="L154" s="100"/>
      <c r="M154" s="100"/>
      <c r="N154" s="100"/>
      <c r="O154" s="100"/>
      <c r="P154" s="100"/>
      <c r="Q154" s="100"/>
      <c r="R154" s="100"/>
      <c r="S154" s="100"/>
      <c r="T154" s="288"/>
      <c r="U154" s="307"/>
      <c r="V154" s="350"/>
      <c r="W154" s="350"/>
      <c r="X154" s="350"/>
      <c r="Y154" s="350"/>
      <c r="Z154" s="350"/>
      <c r="AA154" s="350"/>
      <c r="AB154" s="350"/>
      <c r="AC154" s="350"/>
      <c r="AD154" s="350"/>
      <c r="AE154" s="350"/>
      <c r="AF154" s="350"/>
      <c r="AG154" s="350"/>
      <c r="AH154" s="350"/>
      <c r="AI154" s="308"/>
      <c r="AJ154" s="307"/>
    </row>
    <row r="155" spans="1:45" ht="12" customHeight="1">
      <c r="A155" s="279"/>
      <c r="B155" s="307"/>
      <c r="C155" s="307"/>
      <c r="D155" s="109"/>
      <c r="E155" s="110"/>
      <c r="F155" s="307"/>
      <c r="G155" s="100"/>
      <c r="H155" s="100"/>
      <c r="I155" s="100"/>
      <c r="J155" s="100"/>
      <c r="K155" s="100"/>
      <c r="L155" s="100"/>
      <c r="M155" s="100"/>
      <c r="N155" s="100"/>
      <c r="O155" s="100"/>
      <c r="P155" s="100"/>
      <c r="Q155" s="100"/>
      <c r="R155" s="100"/>
      <c r="S155" s="100"/>
      <c r="T155" s="288"/>
      <c r="U155" s="307"/>
      <c r="V155" s="350"/>
      <c r="W155" s="350"/>
      <c r="X155" s="350"/>
      <c r="Y155" s="350"/>
      <c r="Z155" s="350"/>
      <c r="AA155" s="350"/>
      <c r="AB155" s="350"/>
      <c r="AC155" s="350"/>
      <c r="AD155" s="350"/>
      <c r="AE155" s="350"/>
      <c r="AF155" s="350"/>
      <c r="AG155" s="350"/>
      <c r="AH155" s="350"/>
      <c r="AI155" s="308"/>
      <c r="AJ155" s="307"/>
    </row>
    <row r="156" spans="1:45" ht="12" customHeight="1">
      <c r="B156" s="307"/>
      <c r="C156" s="307"/>
      <c r="D156" s="322"/>
      <c r="E156" s="323"/>
      <c r="F156" s="307"/>
      <c r="G156" s="307"/>
      <c r="H156" s="307"/>
      <c r="I156" s="307"/>
      <c r="J156" s="307"/>
      <c r="K156" s="307"/>
      <c r="L156" s="307"/>
      <c r="M156" s="307"/>
      <c r="N156" s="307"/>
      <c r="O156" s="307"/>
      <c r="P156" s="307"/>
      <c r="Q156" s="307"/>
      <c r="R156" s="307"/>
      <c r="S156" s="307"/>
      <c r="T156" s="288"/>
      <c r="U156" s="307"/>
      <c r="V156" s="350"/>
      <c r="W156" s="350"/>
      <c r="X156" s="350"/>
      <c r="Y156" s="350"/>
      <c r="Z156" s="350"/>
      <c r="AA156" s="350"/>
      <c r="AB156" s="350"/>
      <c r="AC156" s="350"/>
      <c r="AD156" s="350"/>
      <c r="AE156" s="350"/>
      <c r="AF156" s="350"/>
      <c r="AG156" s="350"/>
      <c r="AH156" s="350"/>
      <c r="AI156" s="308"/>
      <c r="AJ156" s="307"/>
    </row>
    <row r="157" spans="1:45" ht="12" customHeight="1">
      <c r="B157" s="288"/>
      <c r="C157" s="333" t="s">
        <v>475</v>
      </c>
      <c r="D157" s="325"/>
      <c r="E157" s="326"/>
      <c r="F157" s="307"/>
      <c r="G157" s="111">
        <f t="shared" ref="G157:R157" si="52">SUM(G153:G156)</f>
        <v>29686.29</v>
      </c>
      <c r="H157" s="111">
        <f t="shared" si="52"/>
        <v>20401.03</v>
      </c>
      <c r="I157" s="111">
        <f t="shared" si="52"/>
        <v>23127.43</v>
      </c>
      <c r="J157" s="111">
        <f t="shared" si="52"/>
        <v>19751.560000000001</v>
      </c>
      <c r="K157" s="111">
        <f t="shared" si="52"/>
        <v>19124.009999999998</v>
      </c>
      <c r="L157" s="111">
        <f t="shared" si="52"/>
        <v>25020.1</v>
      </c>
      <c r="M157" s="111">
        <f t="shared" si="52"/>
        <v>12109.79</v>
      </c>
      <c r="N157" s="111">
        <f t="shared" si="52"/>
        <v>16054.15</v>
      </c>
      <c r="O157" s="111">
        <f t="shared" si="52"/>
        <v>13167.77</v>
      </c>
      <c r="P157" s="111">
        <f t="shared" si="52"/>
        <v>22744.26</v>
      </c>
      <c r="Q157" s="111">
        <f t="shared" si="52"/>
        <v>20595.63</v>
      </c>
      <c r="R157" s="111">
        <f t="shared" si="52"/>
        <v>19476.310000000001</v>
      </c>
      <c r="S157" s="111">
        <f>SUM(G157:R157)</f>
        <v>241258.33</v>
      </c>
      <c r="T157" s="288"/>
      <c r="U157" s="307"/>
      <c r="V157" s="350"/>
      <c r="W157" s="350"/>
      <c r="X157" s="350"/>
      <c r="Y157" s="350"/>
      <c r="Z157" s="350"/>
      <c r="AA157" s="350"/>
      <c r="AB157" s="350"/>
      <c r="AC157" s="350"/>
      <c r="AD157" s="350"/>
      <c r="AE157" s="350"/>
      <c r="AF157" s="350"/>
      <c r="AG157" s="350"/>
      <c r="AH157" s="350"/>
      <c r="AI157" s="308"/>
      <c r="AJ157" s="307"/>
    </row>
    <row r="158" spans="1:45" s="300" customFormat="1" ht="12" customHeight="1">
      <c r="B158" s="304"/>
      <c r="C158" s="325"/>
      <c r="D158" s="325"/>
      <c r="E158" s="326"/>
      <c r="F158" s="322"/>
      <c r="G158" s="112"/>
      <c r="H158" s="112"/>
      <c r="I158" s="112"/>
      <c r="J158" s="112"/>
      <c r="K158" s="112"/>
      <c r="L158" s="112"/>
      <c r="M158" s="112"/>
      <c r="N158" s="112"/>
      <c r="O158" s="112"/>
      <c r="P158" s="112"/>
      <c r="Q158" s="112"/>
      <c r="R158" s="112"/>
      <c r="S158" s="112"/>
      <c r="T158" s="304"/>
      <c r="U158" s="322"/>
      <c r="V158" s="350"/>
      <c r="W158" s="350"/>
      <c r="X158" s="350"/>
      <c r="Y158" s="350"/>
      <c r="Z158" s="350"/>
      <c r="AA158" s="350"/>
      <c r="AB158" s="350"/>
      <c r="AC158" s="350"/>
      <c r="AD158" s="350"/>
      <c r="AE158" s="350"/>
      <c r="AF158" s="350"/>
      <c r="AG158" s="350"/>
      <c r="AH158" s="350"/>
      <c r="AI158" s="308"/>
      <c r="AJ158" s="322"/>
      <c r="AK158" s="281"/>
      <c r="AL158" s="275"/>
      <c r="AM158" s="275"/>
      <c r="AN158" s="275"/>
      <c r="AO158" s="275"/>
      <c r="AP158" s="275"/>
      <c r="AQ158" s="275"/>
      <c r="AR158" s="282"/>
      <c r="AS158" s="282"/>
    </row>
    <row r="159" spans="1:45" s="279" customFormat="1" ht="12" customHeight="1">
      <c r="B159" s="346" t="s">
        <v>476</v>
      </c>
      <c r="C159" s="346" t="s">
        <v>476</v>
      </c>
      <c r="D159" s="330"/>
      <c r="E159" s="331"/>
      <c r="F159" s="99"/>
      <c r="G159" s="104"/>
      <c r="H159" s="100"/>
      <c r="I159" s="100"/>
      <c r="J159" s="288"/>
      <c r="K159" s="288"/>
      <c r="L159" s="288"/>
      <c r="M159" s="288"/>
      <c r="N159" s="288"/>
      <c r="O159" s="288"/>
      <c r="P159" s="288"/>
      <c r="Q159" s="288"/>
      <c r="R159" s="288"/>
      <c r="S159" s="288"/>
      <c r="T159" s="288"/>
      <c r="U159" s="288"/>
      <c r="V159" s="113"/>
      <c r="W159" s="113"/>
      <c r="X159" s="113"/>
      <c r="Y159" s="113"/>
      <c r="Z159" s="113"/>
      <c r="AA159" s="113"/>
      <c r="AB159" s="113"/>
      <c r="AC159" s="113"/>
      <c r="AD159" s="113"/>
      <c r="AE159" s="113"/>
      <c r="AF159" s="113"/>
      <c r="AG159" s="113"/>
      <c r="AH159" s="350"/>
      <c r="AI159" s="308"/>
      <c r="AJ159" s="288"/>
      <c r="AK159" s="281"/>
      <c r="AL159" s="275"/>
      <c r="AM159" s="275"/>
      <c r="AN159" s="275"/>
      <c r="AO159" s="275"/>
      <c r="AP159" s="275"/>
      <c r="AQ159" s="275"/>
      <c r="AR159" s="282"/>
      <c r="AS159" s="282"/>
    </row>
    <row r="160" spans="1:45" s="279" customFormat="1" ht="12" customHeight="1">
      <c r="A160" s="279" t="str">
        <f>"PA-J"&amp;B160</f>
        <v>PA-JFINCHG</v>
      </c>
      <c r="B160" s="307" t="s">
        <v>477</v>
      </c>
      <c r="C160" s="307" t="s">
        <v>478</v>
      </c>
      <c r="D160" s="109">
        <v>1</v>
      </c>
      <c r="E160" s="318">
        <v>8</v>
      </c>
      <c r="F160" s="99"/>
      <c r="G160" s="100">
        <v>336.07</v>
      </c>
      <c r="H160" s="100">
        <v>196</v>
      </c>
      <c r="I160" s="100">
        <v>143.92999999999998</v>
      </c>
      <c r="J160" s="100">
        <v>194.16</v>
      </c>
      <c r="K160" s="100">
        <v>238.51</v>
      </c>
      <c r="L160" s="100">
        <v>322.66000000000008</v>
      </c>
      <c r="M160" s="100">
        <v>343.87</v>
      </c>
      <c r="N160" s="100">
        <v>146.65</v>
      </c>
      <c r="O160" s="100">
        <v>827.41</v>
      </c>
      <c r="P160" s="100">
        <v>-410.56000000000006</v>
      </c>
      <c r="Q160" s="100">
        <v>162.54000000000002</v>
      </c>
      <c r="R160" s="100">
        <v>219.08999999999997</v>
      </c>
      <c r="S160" s="100">
        <f>SUM(G160:R160)</f>
        <v>2720.33</v>
      </c>
      <c r="T160" s="288">
        <v>38000</v>
      </c>
      <c r="U160" s="288"/>
      <c r="V160" s="113"/>
      <c r="W160" s="113"/>
      <c r="X160" s="113"/>
      <c r="Y160" s="113"/>
      <c r="Z160" s="113"/>
      <c r="AA160" s="113"/>
      <c r="AB160" s="113"/>
      <c r="AC160" s="113"/>
      <c r="AD160" s="113"/>
      <c r="AE160" s="113"/>
      <c r="AF160" s="113"/>
      <c r="AG160" s="113"/>
      <c r="AH160" s="350"/>
      <c r="AI160" s="308"/>
      <c r="AJ160" s="288"/>
      <c r="AK160" s="281"/>
      <c r="AL160" s="275"/>
      <c r="AM160" s="275"/>
      <c r="AN160" s="275"/>
      <c r="AO160" s="275"/>
      <c r="AP160" s="275"/>
      <c r="AQ160" s="275"/>
      <c r="AR160" s="282"/>
      <c r="AS160" s="282"/>
    </row>
    <row r="161" spans="1:45" s="279" customFormat="1" ht="12" customHeight="1">
      <c r="B161" s="307"/>
      <c r="C161" s="307"/>
      <c r="D161" s="322"/>
      <c r="E161" s="323"/>
      <c r="F161" s="99"/>
      <c r="G161" s="104"/>
      <c r="H161" s="100"/>
      <c r="I161" s="100"/>
      <c r="J161" s="288"/>
      <c r="K161" s="288"/>
      <c r="L161" s="288"/>
      <c r="M161" s="288"/>
      <c r="N161" s="288"/>
      <c r="O161" s="288"/>
      <c r="P161" s="288"/>
      <c r="Q161" s="288"/>
      <c r="R161" s="288"/>
      <c r="S161" s="288"/>
      <c r="T161" s="288"/>
      <c r="U161" s="288"/>
      <c r="V161" s="113"/>
      <c r="W161" s="113"/>
      <c r="X161" s="113"/>
      <c r="Y161" s="113"/>
      <c r="Z161" s="113"/>
      <c r="AA161" s="113"/>
      <c r="AB161" s="113"/>
      <c r="AC161" s="113"/>
      <c r="AD161" s="113"/>
      <c r="AE161" s="113"/>
      <c r="AF161" s="113"/>
      <c r="AG161" s="113"/>
      <c r="AH161" s="350"/>
      <c r="AI161" s="308"/>
      <c r="AJ161" s="288"/>
      <c r="AK161" s="302"/>
      <c r="AL161" s="275"/>
      <c r="AM161" s="275"/>
      <c r="AN161" s="275"/>
      <c r="AO161" s="275"/>
      <c r="AP161" s="275"/>
      <c r="AQ161" s="275"/>
      <c r="AR161" s="282"/>
      <c r="AS161" s="282"/>
    </row>
    <row r="162" spans="1:45" s="277" customFormat="1" ht="12" customHeight="1" thickBot="1">
      <c r="B162" s="304"/>
      <c r="C162" s="325" t="s">
        <v>479</v>
      </c>
      <c r="D162" s="325"/>
      <c r="E162" s="326"/>
      <c r="F162" s="101"/>
      <c r="G162" s="102">
        <f t="shared" ref="G162:R162" si="53">SUM(G160:G161)</f>
        <v>336.07</v>
      </c>
      <c r="H162" s="102">
        <f t="shared" si="53"/>
        <v>196</v>
      </c>
      <c r="I162" s="102">
        <f t="shared" si="53"/>
        <v>143.92999999999998</v>
      </c>
      <c r="J162" s="102">
        <f t="shared" si="53"/>
        <v>194.16</v>
      </c>
      <c r="K162" s="102">
        <f t="shared" si="53"/>
        <v>238.51</v>
      </c>
      <c r="L162" s="102">
        <f t="shared" si="53"/>
        <v>322.66000000000008</v>
      </c>
      <c r="M162" s="102">
        <f t="shared" si="53"/>
        <v>343.87</v>
      </c>
      <c r="N162" s="102">
        <f t="shared" si="53"/>
        <v>146.65</v>
      </c>
      <c r="O162" s="102">
        <f t="shared" si="53"/>
        <v>827.41</v>
      </c>
      <c r="P162" s="102">
        <f t="shared" si="53"/>
        <v>-410.56000000000006</v>
      </c>
      <c r="Q162" s="102">
        <f t="shared" si="53"/>
        <v>162.54000000000002</v>
      </c>
      <c r="R162" s="102">
        <f t="shared" si="53"/>
        <v>219.08999999999997</v>
      </c>
      <c r="S162" s="102">
        <f>SUM(G162:R162)</f>
        <v>2720.33</v>
      </c>
      <c r="T162" s="304"/>
      <c r="U162" s="304"/>
      <c r="V162" s="113"/>
      <c r="W162" s="113"/>
      <c r="X162" s="113"/>
      <c r="Y162" s="113"/>
      <c r="Z162" s="113"/>
      <c r="AA162" s="113"/>
      <c r="AB162" s="113"/>
      <c r="AC162" s="113"/>
      <c r="AD162" s="113"/>
      <c r="AE162" s="113"/>
      <c r="AF162" s="113"/>
      <c r="AG162" s="113" t="s">
        <v>480</v>
      </c>
      <c r="AH162" s="351">
        <f>+AH150+AH125+AH56+AH50</f>
        <v>6111.8848764541872</v>
      </c>
      <c r="AI162" s="308"/>
      <c r="AJ162" s="304"/>
      <c r="AK162" s="302"/>
      <c r="AL162" s="275"/>
      <c r="AM162" s="275"/>
      <c r="AN162" s="275"/>
      <c r="AO162" s="275"/>
      <c r="AP162" s="275"/>
      <c r="AQ162" s="275"/>
      <c r="AR162" s="282"/>
      <c r="AS162" s="282"/>
    </row>
    <row r="163" spans="1:45" ht="12" customHeight="1">
      <c r="B163" s="288"/>
      <c r="C163" s="333"/>
      <c r="D163" s="325"/>
      <c r="E163" s="326"/>
      <c r="F163" s="307"/>
      <c r="G163" s="307"/>
      <c r="H163" s="307"/>
      <c r="I163" s="307"/>
      <c r="J163" s="307"/>
      <c r="K163" s="307"/>
      <c r="L163" s="307"/>
      <c r="M163" s="307"/>
      <c r="N163" s="307"/>
      <c r="O163" s="307"/>
      <c r="P163" s="307"/>
      <c r="Q163" s="307"/>
      <c r="R163" s="307"/>
      <c r="S163" s="307"/>
      <c r="T163" s="288"/>
      <c r="U163" s="307"/>
      <c r="V163" s="350"/>
      <c r="W163" s="350"/>
      <c r="X163" s="350"/>
      <c r="Y163" s="350"/>
      <c r="Z163" s="350"/>
      <c r="AA163" s="350"/>
      <c r="AB163" s="350"/>
      <c r="AC163" s="350"/>
      <c r="AD163" s="350"/>
      <c r="AE163" s="350"/>
      <c r="AF163" s="350"/>
      <c r="AG163" s="350"/>
      <c r="AH163" s="350"/>
      <c r="AI163" s="308"/>
      <c r="AJ163" s="307"/>
      <c r="AK163" s="302"/>
    </row>
    <row r="164" spans="1:45">
      <c r="V164" s="280"/>
      <c r="W164" s="280"/>
      <c r="X164" s="280"/>
      <c r="Y164" s="280"/>
      <c r="Z164" s="280"/>
      <c r="AA164" s="280"/>
      <c r="AB164" s="280"/>
      <c r="AC164" s="280"/>
      <c r="AD164" s="280"/>
      <c r="AE164" s="280"/>
      <c r="AF164" s="280"/>
      <c r="AG164" s="280"/>
      <c r="AH164" s="350"/>
      <c r="AI164" s="308"/>
      <c r="AK164" s="302"/>
    </row>
    <row r="165" spans="1:45">
      <c r="B165" s="296"/>
      <c r="C165" s="296"/>
      <c r="D165" s="347"/>
      <c r="E165" s="348"/>
      <c r="F165" s="307"/>
      <c r="G165" s="307"/>
      <c r="H165" s="307"/>
      <c r="I165" s="307"/>
      <c r="J165" s="307"/>
      <c r="K165" s="307"/>
      <c r="L165" s="307"/>
      <c r="M165" s="307"/>
      <c r="N165" s="307"/>
      <c r="O165" s="307"/>
      <c r="P165" s="307"/>
      <c r="Q165" s="307"/>
      <c r="R165" s="307"/>
      <c r="S165" s="307"/>
      <c r="T165" s="288"/>
      <c r="U165" s="307"/>
      <c r="V165" s="350"/>
      <c r="W165" s="350"/>
      <c r="X165" s="350"/>
      <c r="Y165" s="350"/>
      <c r="Z165" s="350"/>
      <c r="AA165" s="350"/>
      <c r="AB165" s="350"/>
      <c r="AC165" s="350"/>
      <c r="AD165" s="350"/>
      <c r="AE165" s="350"/>
      <c r="AF165" s="350"/>
      <c r="AG165" s="350"/>
      <c r="AH165" s="350"/>
      <c r="AI165" s="308"/>
      <c r="AJ165" s="307"/>
      <c r="AK165" s="302"/>
    </row>
    <row r="166" spans="1:45">
      <c r="B166" s="307"/>
      <c r="C166" s="307"/>
      <c r="D166" s="322"/>
      <c r="E166" s="323"/>
      <c r="F166" s="307"/>
      <c r="G166" s="307"/>
      <c r="H166" s="307"/>
      <c r="I166" s="307"/>
      <c r="J166" s="307"/>
      <c r="K166" s="307"/>
      <c r="L166" s="307"/>
      <c r="M166" s="307"/>
      <c r="N166" s="307"/>
      <c r="O166" s="307"/>
      <c r="P166" s="307"/>
      <c r="Q166" s="307"/>
      <c r="R166" s="307"/>
      <c r="S166" s="307"/>
      <c r="T166" s="288"/>
      <c r="U166" s="307"/>
      <c r="V166" s="350"/>
      <c r="W166" s="350"/>
      <c r="X166" s="350"/>
      <c r="Y166" s="350"/>
      <c r="Z166" s="350"/>
      <c r="AA166" s="350"/>
      <c r="AB166" s="350"/>
      <c r="AC166" s="350"/>
      <c r="AD166" s="350"/>
      <c r="AE166" s="350"/>
      <c r="AF166" s="350"/>
      <c r="AG166" s="350"/>
      <c r="AH166" s="350"/>
      <c r="AI166" s="308"/>
      <c r="AJ166" s="307"/>
    </row>
    <row r="167" spans="1:45">
      <c r="B167" s="346" t="s">
        <v>476</v>
      </c>
      <c r="C167" s="346" t="s">
        <v>313</v>
      </c>
      <c r="D167" s="322"/>
      <c r="E167" s="323"/>
      <c r="F167" s="307"/>
      <c r="G167" s="307"/>
      <c r="H167" s="307"/>
      <c r="I167" s="307"/>
      <c r="J167" s="307"/>
      <c r="K167" s="307"/>
      <c r="L167" s="307"/>
      <c r="M167" s="307"/>
      <c r="N167" s="307"/>
      <c r="O167" s="307"/>
      <c r="P167" s="307"/>
      <c r="Q167" s="307"/>
      <c r="R167" s="307"/>
      <c r="S167" s="307"/>
      <c r="T167" s="288"/>
      <c r="U167" s="307"/>
      <c r="V167" s="350"/>
      <c r="W167" s="350"/>
      <c r="X167" s="350"/>
      <c r="Y167" s="350"/>
      <c r="Z167" s="350"/>
      <c r="AA167" s="350"/>
      <c r="AB167" s="350"/>
      <c r="AC167" s="350"/>
      <c r="AD167" s="350"/>
      <c r="AE167" s="350"/>
      <c r="AF167" s="350"/>
      <c r="AG167" s="350"/>
      <c r="AH167" s="350"/>
      <c r="AI167" s="308"/>
      <c r="AJ167" s="307"/>
    </row>
    <row r="168" spans="1:45" s="279" customFormat="1" ht="12" customHeight="1">
      <c r="A168" s="279" t="str">
        <f>"PA-J"&amp;B168</f>
        <v>PA-JROWKND</v>
      </c>
      <c r="B168" s="307" t="s">
        <v>481</v>
      </c>
      <c r="C168" s="307" t="s">
        <v>482</v>
      </c>
      <c r="D168" s="109">
        <v>250.7</v>
      </c>
      <c r="E168" s="318">
        <v>16</v>
      </c>
      <c r="F168" s="307"/>
      <c r="G168" s="100">
        <v>0</v>
      </c>
      <c r="H168" s="100">
        <v>0</v>
      </c>
      <c r="I168" s="100">
        <v>0</v>
      </c>
      <c r="J168" s="100">
        <v>0</v>
      </c>
      <c r="K168" s="100">
        <v>3284.18</v>
      </c>
      <c r="L168" s="100">
        <v>1353.78</v>
      </c>
      <c r="M168" s="100">
        <v>0</v>
      </c>
      <c r="N168" s="100">
        <v>0</v>
      </c>
      <c r="O168" s="100">
        <v>0</v>
      </c>
      <c r="P168" s="100">
        <v>0</v>
      </c>
      <c r="Q168" s="100">
        <v>0</v>
      </c>
      <c r="R168" s="100">
        <v>0</v>
      </c>
      <c r="S168" s="100">
        <f>SUM(G168:R168)</f>
        <v>4637.96</v>
      </c>
      <c r="T168" s="288">
        <v>31020</v>
      </c>
      <c r="U168" s="288"/>
      <c r="V168" s="113"/>
      <c r="W168" s="113"/>
      <c r="X168" s="113"/>
      <c r="Y168" s="113"/>
      <c r="Z168" s="113"/>
      <c r="AA168" s="113"/>
      <c r="AB168" s="113"/>
      <c r="AC168" s="113"/>
      <c r="AD168" s="113"/>
      <c r="AE168" s="113"/>
      <c r="AF168" s="113"/>
      <c r="AG168" s="113"/>
      <c r="AH168" s="350"/>
      <c r="AI168" s="308"/>
      <c r="AJ168" s="288"/>
      <c r="AK168" s="281"/>
      <c r="AL168" s="275"/>
      <c r="AM168" s="275"/>
      <c r="AN168" s="275"/>
      <c r="AO168" s="275"/>
      <c r="AP168" s="275"/>
      <c r="AQ168" s="275"/>
      <c r="AR168" s="282"/>
      <c r="AS168" s="282"/>
    </row>
    <row r="169" spans="1:45" s="279" customFormat="1" ht="12" customHeight="1">
      <c r="A169" s="307" t="s">
        <v>483</v>
      </c>
      <c r="B169" s="279" t="s">
        <v>484</v>
      </c>
      <c r="C169" s="307" t="s">
        <v>485</v>
      </c>
      <c r="D169" s="109">
        <v>2334.2399999999998</v>
      </c>
      <c r="E169" s="318">
        <v>16</v>
      </c>
      <c r="F169" s="307"/>
      <c r="G169" s="100">
        <v>9336.9599999999991</v>
      </c>
      <c r="H169" s="100">
        <v>0</v>
      </c>
      <c r="I169" s="100">
        <v>9336.9599999999991</v>
      </c>
      <c r="J169" s="100">
        <v>11671.2</v>
      </c>
      <c r="K169" s="100">
        <v>0</v>
      </c>
      <c r="L169" s="100">
        <v>11671.2</v>
      </c>
      <c r="M169" s="100">
        <v>21008.16</v>
      </c>
      <c r="N169" s="100">
        <v>0</v>
      </c>
      <c r="O169" s="100">
        <v>16339.68</v>
      </c>
      <c r="P169" s="100">
        <v>11671.2</v>
      </c>
      <c r="Q169" s="100">
        <v>4668.4799999999996</v>
      </c>
      <c r="R169" s="100">
        <v>11671.2</v>
      </c>
      <c r="S169" s="100">
        <f>SUM(G169:R169)</f>
        <v>107375.03999999999</v>
      </c>
      <c r="T169" s="288">
        <v>31020</v>
      </c>
      <c r="U169" s="288"/>
      <c r="V169" s="100"/>
      <c r="W169" s="100"/>
      <c r="X169" s="100"/>
      <c r="Y169" s="100"/>
      <c r="Z169" s="100"/>
      <c r="AA169" s="100"/>
      <c r="AB169" s="100"/>
      <c r="AC169" s="100"/>
      <c r="AD169" s="100"/>
      <c r="AE169" s="100"/>
      <c r="AF169" s="100"/>
      <c r="AG169" s="100"/>
      <c r="AH169" s="307"/>
      <c r="AI169" s="308"/>
      <c r="AJ169" s="288"/>
      <c r="AK169" s="281"/>
      <c r="AL169" s="275"/>
      <c r="AM169" s="275"/>
      <c r="AN169" s="275"/>
      <c r="AO169" s="275"/>
      <c r="AP169" s="275"/>
      <c r="AQ169" s="275"/>
      <c r="AR169" s="282"/>
      <c r="AS169" s="282"/>
    </row>
    <row r="170" spans="1:45" s="279" customFormat="1" ht="12" customHeight="1">
      <c r="A170" s="307" t="s">
        <v>483</v>
      </c>
      <c r="B170" s="279" t="s">
        <v>486</v>
      </c>
      <c r="C170" s="307" t="s">
        <v>485</v>
      </c>
      <c r="D170" s="109">
        <v>1731.88</v>
      </c>
      <c r="E170" s="318">
        <v>16</v>
      </c>
      <c r="F170" s="307"/>
      <c r="G170" s="114">
        <v>121548.24</v>
      </c>
      <c r="H170" s="114">
        <v>94537.52</v>
      </c>
      <c r="I170" s="114">
        <v>64150.46</v>
      </c>
      <c r="J170" s="114">
        <v>75967.649999999994</v>
      </c>
      <c r="K170" s="114">
        <v>54021.440000000002</v>
      </c>
      <c r="L170" s="114">
        <v>86096.67</v>
      </c>
      <c r="M170" s="114">
        <v>102978.37</v>
      </c>
      <c r="N170" s="114">
        <v>108042.88</v>
      </c>
      <c r="O170" s="114">
        <v>87784.84</v>
      </c>
      <c r="P170" s="114">
        <v>106354.71</v>
      </c>
      <c r="Q170" s="114">
        <v>87784.84</v>
      </c>
      <c r="R170" s="114">
        <v>41567.519999999997</v>
      </c>
      <c r="S170" s="114">
        <f>SUM(G170:R170)</f>
        <v>1030835.1399999999</v>
      </c>
      <c r="T170" s="288">
        <v>31020</v>
      </c>
      <c r="U170" s="288"/>
      <c r="V170" s="100"/>
      <c r="W170" s="100"/>
      <c r="X170" s="100"/>
      <c r="Y170" s="100"/>
      <c r="Z170" s="100"/>
      <c r="AA170" s="100"/>
      <c r="AB170" s="100"/>
      <c r="AC170" s="100"/>
      <c r="AD170" s="100"/>
      <c r="AE170" s="100"/>
      <c r="AF170" s="100"/>
      <c r="AG170" s="100"/>
      <c r="AH170" s="353"/>
      <c r="AI170" s="308"/>
      <c r="AJ170" s="288"/>
      <c r="AK170" s="281"/>
      <c r="AL170" s="275"/>
      <c r="AM170" s="275"/>
      <c r="AN170" s="275"/>
      <c r="AO170" s="275"/>
      <c r="AP170" s="275"/>
      <c r="AQ170" s="275"/>
      <c r="AR170" s="282"/>
      <c r="AS170" s="282"/>
    </row>
    <row r="171" spans="1:45">
      <c r="B171" s="307"/>
      <c r="C171" s="307"/>
      <c r="D171" s="322"/>
      <c r="E171" s="323"/>
      <c r="F171" s="307"/>
      <c r="G171" s="354">
        <f t="shared" ref="G171:S171" si="54">SUM(G168:G170)</f>
        <v>130885.20000000001</v>
      </c>
      <c r="H171" s="354">
        <f t="shared" si="54"/>
        <v>94537.52</v>
      </c>
      <c r="I171" s="354">
        <f t="shared" si="54"/>
        <v>73487.42</v>
      </c>
      <c r="J171" s="354">
        <f t="shared" si="54"/>
        <v>87638.849999999991</v>
      </c>
      <c r="K171" s="354">
        <f t="shared" si="54"/>
        <v>57305.62</v>
      </c>
      <c r="L171" s="354">
        <f t="shared" si="54"/>
        <v>99121.65</v>
      </c>
      <c r="M171" s="354">
        <f t="shared" si="54"/>
        <v>123986.53</v>
      </c>
      <c r="N171" s="354">
        <f t="shared" si="54"/>
        <v>108042.88</v>
      </c>
      <c r="O171" s="354">
        <f t="shared" si="54"/>
        <v>104124.51999999999</v>
      </c>
      <c r="P171" s="354">
        <f t="shared" si="54"/>
        <v>118025.91</v>
      </c>
      <c r="Q171" s="354">
        <f t="shared" si="54"/>
        <v>92453.319999999992</v>
      </c>
      <c r="R171" s="354">
        <f t="shared" si="54"/>
        <v>53238.720000000001</v>
      </c>
      <c r="S171" s="354">
        <f t="shared" si="54"/>
        <v>1142848.1399999999</v>
      </c>
      <c r="T171" s="288"/>
      <c r="U171" s="307"/>
      <c r="V171" s="307"/>
      <c r="W171" s="307"/>
      <c r="X171" s="307"/>
      <c r="Y171" s="307"/>
      <c r="Z171" s="307"/>
      <c r="AA171" s="307"/>
      <c r="AB171" s="307"/>
      <c r="AC171" s="307"/>
      <c r="AD171" s="307"/>
      <c r="AE171" s="307"/>
      <c r="AF171" s="307"/>
      <c r="AG171" s="307"/>
      <c r="AI171" s="308"/>
      <c r="AJ171" s="307"/>
    </row>
    <row r="172" spans="1:45" ht="15.75" thickBot="1">
      <c r="B172" s="307"/>
      <c r="C172" s="307"/>
      <c r="D172" s="322"/>
      <c r="E172" s="323"/>
      <c r="F172" s="307"/>
      <c r="G172" s="307"/>
      <c r="H172" s="307"/>
      <c r="I172" s="307"/>
      <c r="J172" s="307"/>
      <c r="K172" s="307"/>
      <c r="L172" s="307"/>
      <c r="M172" s="307"/>
      <c r="N172" s="307"/>
      <c r="O172" s="307"/>
      <c r="P172" s="307"/>
      <c r="Q172" s="307"/>
      <c r="R172" s="307"/>
      <c r="S172" s="115"/>
      <c r="T172" s="288"/>
      <c r="U172" s="307"/>
      <c r="V172" s="307"/>
      <c r="W172" s="307"/>
      <c r="X172" s="307"/>
      <c r="Y172" s="307"/>
      <c r="Z172" s="307"/>
      <c r="AA172" s="307"/>
      <c r="AB172" s="307"/>
      <c r="AC172" s="307"/>
      <c r="AD172" s="307"/>
      <c r="AE172" s="307"/>
      <c r="AF172" s="307"/>
      <c r="AG172" s="307"/>
      <c r="AI172" s="308"/>
      <c r="AJ172" s="307"/>
    </row>
    <row r="173" spans="1:45" s="300" customFormat="1" ht="12" customHeight="1" thickBot="1">
      <c r="B173" s="347"/>
      <c r="C173" s="325" t="s">
        <v>487</v>
      </c>
      <c r="D173" s="325"/>
      <c r="E173" s="326"/>
      <c r="F173" s="322"/>
      <c r="G173" s="102">
        <f t="shared" ref="G173:S173" si="55">SUM(G50,G56,G125,G150,G157,G162,G171)</f>
        <v>395151.6</v>
      </c>
      <c r="H173" s="102">
        <f t="shared" si="55"/>
        <v>349692.93</v>
      </c>
      <c r="I173" s="102">
        <f t="shared" si="55"/>
        <v>324398.08999999997</v>
      </c>
      <c r="J173" s="102">
        <f t="shared" si="55"/>
        <v>326199.37999999995</v>
      </c>
      <c r="K173" s="102">
        <f t="shared" si="55"/>
        <v>293292.77</v>
      </c>
      <c r="L173" s="102">
        <f t="shared" si="55"/>
        <v>345526.9800000001</v>
      </c>
      <c r="M173" s="102">
        <f t="shared" si="55"/>
        <v>348958.20999999996</v>
      </c>
      <c r="N173" s="102">
        <f t="shared" si="55"/>
        <v>344171.39</v>
      </c>
      <c r="O173" s="102">
        <f t="shared" si="55"/>
        <v>338510.51999999996</v>
      </c>
      <c r="P173" s="102">
        <f t="shared" si="55"/>
        <v>376358.89</v>
      </c>
      <c r="Q173" s="102">
        <f t="shared" si="55"/>
        <v>352460.69999999995</v>
      </c>
      <c r="R173" s="102">
        <f t="shared" si="55"/>
        <v>315719.17000000004</v>
      </c>
      <c r="S173" s="102">
        <f t="shared" si="55"/>
        <v>4110440.63</v>
      </c>
      <c r="T173" s="304"/>
      <c r="U173" s="322"/>
      <c r="V173" s="322"/>
      <c r="W173" s="322"/>
      <c r="X173" s="322"/>
      <c r="Y173" s="322"/>
      <c r="Z173" s="322"/>
      <c r="AA173" s="322"/>
      <c r="AB173" s="322"/>
      <c r="AC173" s="322"/>
      <c r="AD173" s="322"/>
      <c r="AE173" s="322"/>
      <c r="AF173" s="322"/>
      <c r="AG173" s="322"/>
      <c r="AH173" s="307"/>
      <c r="AI173" s="308"/>
      <c r="AJ173" s="322"/>
      <c r="AK173" s="281"/>
      <c r="AL173" s="275"/>
      <c r="AM173" s="329">
        <f>AM50+AM56+AM125+AM150</f>
        <v>5319.2817726321664</v>
      </c>
      <c r="AN173" s="282"/>
      <c r="AO173" s="329">
        <f>AO50+AO56+AO125+AO150</f>
        <v>740.82188028740961</v>
      </c>
      <c r="AP173" s="282"/>
      <c r="AQ173" s="329">
        <f>AQ50+AQ56+AQ125+AQ150</f>
        <v>27.250511020965561</v>
      </c>
      <c r="AR173" s="282"/>
      <c r="AS173" s="282"/>
    </row>
    <row r="174" spans="1:45">
      <c r="T174" s="288"/>
      <c r="AI174" s="308"/>
    </row>
    <row r="175" spans="1:45">
      <c r="G175" s="334"/>
      <c r="H175" s="334"/>
      <c r="I175" s="334"/>
      <c r="J175" s="334"/>
      <c r="K175" s="334"/>
      <c r="L175" s="334"/>
      <c r="M175" s="334"/>
      <c r="N175" s="334"/>
      <c r="O175" s="334"/>
      <c r="P175" s="334"/>
      <c r="Q175" s="334"/>
      <c r="R175" s="334"/>
      <c r="T175" s="288"/>
      <c r="AI175" s="308"/>
    </row>
    <row r="176" spans="1:45">
      <c r="T176" s="288"/>
      <c r="AI176" s="308"/>
    </row>
    <row r="177" spans="20:35">
      <c r="T177" s="288"/>
      <c r="AI177" s="308"/>
    </row>
    <row r="178" spans="20:35">
      <c r="T178" s="288"/>
      <c r="AI178" s="308"/>
    </row>
    <row r="179" spans="20:35">
      <c r="T179" s="288"/>
      <c r="AI179" s="308"/>
    </row>
    <row r="180" spans="20:35">
      <c r="T180" s="288"/>
      <c r="AI180" s="308"/>
    </row>
    <row r="181" spans="20:35">
      <c r="T181" s="288"/>
      <c r="AI181" s="308"/>
    </row>
    <row r="182" spans="20:35">
      <c r="T182" s="288"/>
      <c r="AI182" s="308"/>
    </row>
    <row r="183" spans="20:35">
      <c r="T183" s="288"/>
    </row>
    <row r="184" spans="20:35">
      <c r="T184" s="288"/>
    </row>
    <row r="185" spans="20:35">
      <c r="T185" s="288"/>
    </row>
    <row r="186" spans="20:35">
      <c r="T186" s="288"/>
    </row>
  </sheetData>
  <autoFilter ref="B5:AJ176" xr:uid="{00000000-0001-0000-0400-000000000000}"/>
  <conditionalFormatting sqref="B168:B170">
    <cfRule type="duplicateValues" dxfId="9" priority="5"/>
  </conditionalFormatting>
  <conditionalFormatting sqref="AJ13:AJ48 AJ62:AJ123">
    <cfRule type="cellIs" dxfId="8" priority="4" operator="greaterThan">
      <formula>0</formula>
    </cfRule>
  </conditionalFormatting>
  <conditionalFormatting sqref="AJ53:AJ54">
    <cfRule type="cellIs" dxfId="7" priority="3" operator="greaterThan">
      <formula>0</formula>
    </cfRule>
  </conditionalFormatting>
  <conditionalFormatting sqref="AS62:AS123">
    <cfRule type="cellIs" dxfId="6" priority="2" operator="greaterThan">
      <formula>0.009</formula>
    </cfRule>
  </conditionalFormatting>
  <pageMargins left="0.7" right="0.7" top="0.75" bottom="0.75" header="0.3" footer="0.3"/>
  <pageSetup scale="96" fitToWidth="5" fitToHeight="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4EF41-BCCD-4E52-8AA8-D556ADA1A9FC}">
  <sheetPr>
    <tabColor theme="7" tint="0.59999389629810485"/>
    <pageSetUpPr fitToPage="1"/>
  </sheetPr>
  <dimension ref="A1:S135"/>
  <sheetViews>
    <sheetView tabSelected="1" topLeftCell="A44" workbookViewId="0">
      <selection activeCell="G22" sqref="G22"/>
    </sheetView>
  </sheetViews>
  <sheetFormatPr defaultColWidth="9.140625" defaultRowHeight="15"/>
  <cols>
    <col min="1" max="1" width="23.28515625" style="120" customWidth="1"/>
    <col min="2" max="5" width="16.5703125" style="120" customWidth="1"/>
    <col min="6" max="6" width="16.28515625" style="120" customWidth="1"/>
    <col min="7" max="7" width="13.42578125" style="120" customWidth="1"/>
    <col min="8" max="8" width="13.5703125" style="120" customWidth="1"/>
    <col min="9" max="9" width="15.5703125" style="120" customWidth="1"/>
    <col min="10" max="10" width="13.42578125" style="120" customWidth="1"/>
    <col min="11" max="11" width="15.7109375" style="120" customWidth="1"/>
    <col min="12" max="12" width="14.85546875" style="120" customWidth="1"/>
    <col min="13" max="13" width="17.28515625" style="120" customWidth="1"/>
    <col min="14" max="14" width="15.5703125" style="251" customWidth="1"/>
    <col min="15" max="15" width="5.7109375" customWidth="1"/>
    <col min="16" max="16" width="14.5703125" style="120" bestFit="1" customWidth="1"/>
    <col min="17" max="17" width="14" style="121" bestFit="1" customWidth="1"/>
    <col min="18" max="18" width="9.140625" style="121"/>
    <col min="19" max="256" width="9.140625" style="120"/>
    <col min="257" max="261" width="16.5703125" style="120" customWidth="1"/>
    <col min="262" max="262" width="16.28515625" style="120" customWidth="1"/>
    <col min="263" max="263" width="13.42578125" style="120" customWidth="1"/>
    <col min="264" max="264" width="13.5703125" style="120" customWidth="1"/>
    <col min="265" max="265" width="15.5703125" style="120" customWidth="1"/>
    <col min="266" max="266" width="13.42578125" style="120" customWidth="1"/>
    <col min="267" max="267" width="15.7109375" style="120" customWidth="1"/>
    <col min="268" max="268" width="14.85546875" style="120" customWidth="1"/>
    <col min="269" max="269" width="17.28515625" style="120" customWidth="1"/>
    <col min="270" max="270" width="15.5703125" style="120" customWidth="1"/>
    <col min="271" max="271" width="16.28515625" style="120" customWidth="1"/>
    <col min="272" max="272" width="14.5703125" style="120" bestFit="1" customWidth="1"/>
    <col min="273" max="273" width="14" style="120" bestFit="1" customWidth="1"/>
    <col min="274" max="512" width="9.140625" style="120"/>
    <col min="513" max="517" width="16.5703125" style="120" customWidth="1"/>
    <col min="518" max="518" width="16.28515625" style="120" customWidth="1"/>
    <col min="519" max="519" width="13.42578125" style="120" customWidth="1"/>
    <col min="520" max="520" width="13.5703125" style="120" customWidth="1"/>
    <col min="521" max="521" width="15.5703125" style="120" customWidth="1"/>
    <col min="522" max="522" width="13.42578125" style="120" customWidth="1"/>
    <col min="523" max="523" width="15.7109375" style="120" customWidth="1"/>
    <col min="524" max="524" width="14.85546875" style="120" customWidth="1"/>
    <col min="525" max="525" width="17.28515625" style="120" customWidth="1"/>
    <col min="526" max="526" width="15.5703125" style="120" customWidth="1"/>
    <col min="527" max="527" width="16.28515625" style="120" customWidth="1"/>
    <col min="528" max="528" width="14.5703125" style="120" bestFit="1" customWidth="1"/>
    <col min="529" max="529" width="14" style="120" bestFit="1" customWidth="1"/>
    <col min="530" max="768" width="9.140625" style="120"/>
    <col min="769" max="773" width="16.5703125" style="120" customWidth="1"/>
    <col min="774" max="774" width="16.28515625" style="120" customWidth="1"/>
    <col min="775" max="775" width="13.42578125" style="120" customWidth="1"/>
    <col min="776" max="776" width="13.5703125" style="120" customWidth="1"/>
    <col min="777" max="777" width="15.5703125" style="120" customWidth="1"/>
    <col min="778" max="778" width="13.42578125" style="120" customWidth="1"/>
    <col min="779" max="779" width="15.7109375" style="120" customWidth="1"/>
    <col min="780" max="780" width="14.85546875" style="120" customWidth="1"/>
    <col min="781" max="781" width="17.28515625" style="120" customWidth="1"/>
    <col min="782" max="782" width="15.5703125" style="120" customWidth="1"/>
    <col min="783" max="783" width="16.28515625" style="120" customWidth="1"/>
    <col min="784" max="784" width="14.5703125" style="120" bestFit="1" customWidth="1"/>
    <col min="785" max="785" width="14" style="120" bestFit="1" customWidth="1"/>
    <col min="786" max="1024" width="9.140625" style="120"/>
    <col min="1025" max="1029" width="16.5703125" style="120" customWidth="1"/>
    <col min="1030" max="1030" width="16.28515625" style="120" customWidth="1"/>
    <col min="1031" max="1031" width="13.42578125" style="120" customWidth="1"/>
    <col min="1032" max="1032" width="13.5703125" style="120" customWidth="1"/>
    <col min="1033" max="1033" width="15.5703125" style="120" customWidth="1"/>
    <col min="1034" max="1034" width="13.42578125" style="120" customWidth="1"/>
    <col min="1035" max="1035" width="15.7109375" style="120" customWidth="1"/>
    <col min="1036" max="1036" width="14.85546875" style="120" customWidth="1"/>
    <col min="1037" max="1037" width="17.28515625" style="120" customWidth="1"/>
    <col min="1038" max="1038" width="15.5703125" style="120" customWidth="1"/>
    <col min="1039" max="1039" width="16.28515625" style="120" customWidth="1"/>
    <col min="1040" max="1040" width="14.5703125" style="120" bestFit="1" customWidth="1"/>
    <col min="1041" max="1041" width="14" style="120" bestFit="1" customWidth="1"/>
    <col min="1042" max="1280" width="9.140625" style="120"/>
    <col min="1281" max="1285" width="16.5703125" style="120" customWidth="1"/>
    <col min="1286" max="1286" width="16.28515625" style="120" customWidth="1"/>
    <col min="1287" max="1287" width="13.42578125" style="120" customWidth="1"/>
    <col min="1288" max="1288" width="13.5703125" style="120" customWidth="1"/>
    <col min="1289" max="1289" width="15.5703125" style="120" customWidth="1"/>
    <col min="1290" max="1290" width="13.42578125" style="120" customWidth="1"/>
    <col min="1291" max="1291" width="15.7109375" style="120" customWidth="1"/>
    <col min="1292" max="1292" width="14.85546875" style="120" customWidth="1"/>
    <col min="1293" max="1293" width="17.28515625" style="120" customWidth="1"/>
    <col min="1294" max="1294" width="15.5703125" style="120" customWidth="1"/>
    <col min="1295" max="1295" width="16.28515625" style="120" customWidth="1"/>
    <col min="1296" max="1296" width="14.5703125" style="120" bestFit="1" customWidth="1"/>
    <col min="1297" max="1297" width="14" style="120" bestFit="1" customWidth="1"/>
    <col min="1298" max="1536" width="9.140625" style="120"/>
    <col min="1537" max="1541" width="16.5703125" style="120" customWidth="1"/>
    <col min="1542" max="1542" width="16.28515625" style="120" customWidth="1"/>
    <col min="1543" max="1543" width="13.42578125" style="120" customWidth="1"/>
    <col min="1544" max="1544" width="13.5703125" style="120" customWidth="1"/>
    <col min="1545" max="1545" width="15.5703125" style="120" customWidth="1"/>
    <col min="1546" max="1546" width="13.42578125" style="120" customWidth="1"/>
    <col min="1547" max="1547" width="15.7109375" style="120" customWidth="1"/>
    <col min="1548" max="1548" width="14.85546875" style="120" customWidth="1"/>
    <col min="1549" max="1549" width="17.28515625" style="120" customWidth="1"/>
    <col min="1550" max="1550" width="15.5703125" style="120" customWidth="1"/>
    <col min="1551" max="1551" width="16.28515625" style="120" customWidth="1"/>
    <col min="1552" max="1552" width="14.5703125" style="120" bestFit="1" customWidth="1"/>
    <col min="1553" max="1553" width="14" style="120" bestFit="1" customWidth="1"/>
    <col min="1554" max="1792" width="9.140625" style="120"/>
    <col min="1793" max="1797" width="16.5703125" style="120" customWidth="1"/>
    <col min="1798" max="1798" width="16.28515625" style="120" customWidth="1"/>
    <col min="1799" max="1799" width="13.42578125" style="120" customWidth="1"/>
    <col min="1800" max="1800" width="13.5703125" style="120" customWidth="1"/>
    <col min="1801" max="1801" width="15.5703125" style="120" customWidth="1"/>
    <col min="1802" max="1802" width="13.42578125" style="120" customWidth="1"/>
    <col min="1803" max="1803" width="15.7109375" style="120" customWidth="1"/>
    <col min="1804" max="1804" width="14.85546875" style="120" customWidth="1"/>
    <col min="1805" max="1805" width="17.28515625" style="120" customWidth="1"/>
    <col min="1806" max="1806" width="15.5703125" style="120" customWidth="1"/>
    <col min="1807" max="1807" width="16.28515625" style="120" customWidth="1"/>
    <col min="1808" max="1808" width="14.5703125" style="120" bestFit="1" customWidth="1"/>
    <col min="1809" max="1809" width="14" style="120" bestFit="1" customWidth="1"/>
    <col min="1810" max="2048" width="9.140625" style="120"/>
    <col min="2049" max="2053" width="16.5703125" style="120" customWidth="1"/>
    <col min="2054" max="2054" width="16.28515625" style="120" customWidth="1"/>
    <col min="2055" max="2055" width="13.42578125" style="120" customWidth="1"/>
    <col min="2056" max="2056" width="13.5703125" style="120" customWidth="1"/>
    <col min="2057" max="2057" width="15.5703125" style="120" customWidth="1"/>
    <col min="2058" max="2058" width="13.42578125" style="120" customWidth="1"/>
    <col min="2059" max="2059" width="15.7109375" style="120" customWidth="1"/>
    <col min="2060" max="2060" width="14.85546875" style="120" customWidth="1"/>
    <col min="2061" max="2061" width="17.28515625" style="120" customWidth="1"/>
    <col min="2062" max="2062" width="15.5703125" style="120" customWidth="1"/>
    <col min="2063" max="2063" width="16.28515625" style="120" customWidth="1"/>
    <col min="2064" max="2064" width="14.5703125" style="120" bestFit="1" customWidth="1"/>
    <col min="2065" max="2065" width="14" style="120" bestFit="1" customWidth="1"/>
    <col min="2066" max="2304" width="9.140625" style="120"/>
    <col min="2305" max="2309" width="16.5703125" style="120" customWidth="1"/>
    <col min="2310" max="2310" width="16.28515625" style="120" customWidth="1"/>
    <col min="2311" max="2311" width="13.42578125" style="120" customWidth="1"/>
    <col min="2312" max="2312" width="13.5703125" style="120" customWidth="1"/>
    <col min="2313" max="2313" width="15.5703125" style="120" customWidth="1"/>
    <col min="2314" max="2314" width="13.42578125" style="120" customWidth="1"/>
    <col min="2315" max="2315" width="15.7109375" style="120" customWidth="1"/>
    <col min="2316" max="2316" width="14.85546875" style="120" customWidth="1"/>
    <col min="2317" max="2317" width="17.28515625" style="120" customWidth="1"/>
    <col min="2318" max="2318" width="15.5703125" style="120" customWidth="1"/>
    <col min="2319" max="2319" width="16.28515625" style="120" customWidth="1"/>
    <col min="2320" max="2320" width="14.5703125" style="120" bestFit="1" customWidth="1"/>
    <col min="2321" max="2321" width="14" style="120" bestFit="1" customWidth="1"/>
    <col min="2322" max="2560" width="9.140625" style="120"/>
    <col min="2561" max="2565" width="16.5703125" style="120" customWidth="1"/>
    <col min="2566" max="2566" width="16.28515625" style="120" customWidth="1"/>
    <col min="2567" max="2567" width="13.42578125" style="120" customWidth="1"/>
    <col min="2568" max="2568" width="13.5703125" style="120" customWidth="1"/>
    <col min="2569" max="2569" width="15.5703125" style="120" customWidth="1"/>
    <col min="2570" max="2570" width="13.42578125" style="120" customWidth="1"/>
    <col min="2571" max="2571" width="15.7109375" style="120" customWidth="1"/>
    <col min="2572" max="2572" width="14.85546875" style="120" customWidth="1"/>
    <col min="2573" max="2573" width="17.28515625" style="120" customWidth="1"/>
    <col min="2574" max="2574" width="15.5703125" style="120" customWidth="1"/>
    <col min="2575" max="2575" width="16.28515625" style="120" customWidth="1"/>
    <col min="2576" max="2576" width="14.5703125" style="120" bestFit="1" customWidth="1"/>
    <col min="2577" max="2577" width="14" style="120" bestFit="1" customWidth="1"/>
    <col min="2578" max="2816" width="9.140625" style="120"/>
    <col min="2817" max="2821" width="16.5703125" style="120" customWidth="1"/>
    <col min="2822" max="2822" width="16.28515625" style="120" customWidth="1"/>
    <col min="2823" max="2823" width="13.42578125" style="120" customWidth="1"/>
    <col min="2824" max="2824" width="13.5703125" style="120" customWidth="1"/>
    <col min="2825" max="2825" width="15.5703125" style="120" customWidth="1"/>
    <col min="2826" max="2826" width="13.42578125" style="120" customWidth="1"/>
    <col min="2827" max="2827" width="15.7109375" style="120" customWidth="1"/>
    <col min="2828" max="2828" width="14.85546875" style="120" customWidth="1"/>
    <col min="2829" max="2829" width="17.28515625" style="120" customWidth="1"/>
    <col min="2830" max="2830" width="15.5703125" style="120" customWidth="1"/>
    <col min="2831" max="2831" width="16.28515625" style="120" customWidth="1"/>
    <col min="2832" max="2832" width="14.5703125" style="120" bestFit="1" customWidth="1"/>
    <col min="2833" max="2833" width="14" style="120" bestFit="1" customWidth="1"/>
    <col min="2834" max="3072" width="9.140625" style="120"/>
    <col min="3073" max="3077" width="16.5703125" style="120" customWidth="1"/>
    <col min="3078" max="3078" width="16.28515625" style="120" customWidth="1"/>
    <col min="3079" max="3079" width="13.42578125" style="120" customWidth="1"/>
    <col min="3080" max="3080" width="13.5703125" style="120" customWidth="1"/>
    <col min="3081" max="3081" width="15.5703125" style="120" customWidth="1"/>
    <col min="3082" max="3082" width="13.42578125" style="120" customWidth="1"/>
    <col min="3083" max="3083" width="15.7109375" style="120" customWidth="1"/>
    <col min="3084" max="3084" width="14.85546875" style="120" customWidth="1"/>
    <col min="3085" max="3085" width="17.28515625" style="120" customWidth="1"/>
    <col min="3086" max="3086" width="15.5703125" style="120" customWidth="1"/>
    <col min="3087" max="3087" width="16.28515625" style="120" customWidth="1"/>
    <col min="3088" max="3088" width="14.5703125" style="120" bestFit="1" customWidth="1"/>
    <col min="3089" max="3089" width="14" style="120" bestFit="1" customWidth="1"/>
    <col min="3090" max="3328" width="9.140625" style="120"/>
    <col min="3329" max="3333" width="16.5703125" style="120" customWidth="1"/>
    <col min="3334" max="3334" width="16.28515625" style="120" customWidth="1"/>
    <col min="3335" max="3335" width="13.42578125" style="120" customWidth="1"/>
    <col min="3336" max="3336" width="13.5703125" style="120" customWidth="1"/>
    <col min="3337" max="3337" width="15.5703125" style="120" customWidth="1"/>
    <col min="3338" max="3338" width="13.42578125" style="120" customWidth="1"/>
    <col min="3339" max="3339" width="15.7109375" style="120" customWidth="1"/>
    <col min="3340" max="3340" width="14.85546875" style="120" customWidth="1"/>
    <col min="3341" max="3341" width="17.28515625" style="120" customWidth="1"/>
    <col min="3342" max="3342" width="15.5703125" style="120" customWidth="1"/>
    <col min="3343" max="3343" width="16.28515625" style="120" customWidth="1"/>
    <col min="3344" max="3344" width="14.5703125" style="120" bestFit="1" customWidth="1"/>
    <col min="3345" max="3345" width="14" style="120" bestFit="1" customWidth="1"/>
    <col min="3346" max="3584" width="9.140625" style="120"/>
    <col min="3585" max="3589" width="16.5703125" style="120" customWidth="1"/>
    <col min="3590" max="3590" width="16.28515625" style="120" customWidth="1"/>
    <col min="3591" max="3591" width="13.42578125" style="120" customWidth="1"/>
    <col min="3592" max="3592" width="13.5703125" style="120" customWidth="1"/>
    <col min="3593" max="3593" width="15.5703125" style="120" customWidth="1"/>
    <col min="3594" max="3594" width="13.42578125" style="120" customWidth="1"/>
    <col min="3595" max="3595" width="15.7109375" style="120" customWidth="1"/>
    <col min="3596" max="3596" width="14.85546875" style="120" customWidth="1"/>
    <col min="3597" max="3597" width="17.28515625" style="120" customWidth="1"/>
    <col min="3598" max="3598" width="15.5703125" style="120" customWidth="1"/>
    <col min="3599" max="3599" width="16.28515625" style="120" customWidth="1"/>
    <col min="3600" max="3600" width="14.5703125" style="120" bestFit="1" customWidth="1"/>
    <col min="3601" max="3601" width="14" style="120" bestFit="1" customWidth="1"/>
    <col min="3602" max="3840" width="9.140625" style="120"/>
    <col min="3841" max="3845" width="16.5703125" style="120" customWidth="1"/>
    <col min="3846" max="3846" width="16.28515625" style="120" customWidth="1"/>
    <col min="3847" max="3847" width="13.42578125" style="120" customWidth="1"/>
    <col min="3848" max="3848" width="13.5703125" style="120" customWidth="1"/>
    <col min="3849" max="3849" width="15.5703125" style="120" customWidth="1"/>
    <col min="3850" max="3850" width="13.42578125" style="120" customWidth="1"/>
    <col min="3851" max="3851" width="15.7109375" style="120" customWidth="1"/>
    <col min="3852" max="3852" width="14.85546875" style="120" customWidth="1"/>
    <col min="3853" max="3853" width="17.28515625" style="120" customWidth="1"/>
    <col min="3854" max="3854" width="15.5703125" style="120" customWidth="1"/>
    <col min="3855" max="3855" width="16.28515625" style="120" customWidth="1"/>
    <col min="3856" max="3856" width="14.5703125" style="120" bestFit="1" customWidth="1"/>
    <col min="3857" max="3857" width="14" style="120" bestFit="1" customWidth="1"/>
    <col min="3858" max="4096" width="9.140625" style="120"/>
    <col min="4097" max="4101" width="16.5703125" style="120" customWidth="1"/>
    <col min="4102" max="4102" width="16.28515625" style="120" customWidth="1"/>
    <col min="4103" max="4103" width="13.42578125" style="120" customWidth="1"/>
    <col min="4104" max="4104" width="13.5703125" style="120" customWidth="1"/>
    <col min="4105" max="4105" width="15.5703125" style="120" customWidth="1"/>
    <col min="4106" max="4106" width="13.42578125" style="120" customWidth="1"/>
    <col min="4107" max="4107" width="15.7109375" style="120" customWidth="1"/>
    <col min="4108" max="4108" width="14.85546875" style="120" customWidth="1"/>
    <col min="4109" max="4109" width="17.28515625" style="120" customWidth="1"/>
    <col min="4110" max="4110" width="15.5703125" style="120" customWidth="1"/>
    <col min="4111" max="4111" width="16.28515625" style="120" customWidth="1"/>
    <col min="4112" max="4112" width="14.5703125" style="120" bestFit="1" customWidth="1"/>
    <col min="4113" max="4113" width="14" style="120" bestFit="1" customWidth="1"/>
    <col min="4114" max="4352" width="9.140625" style="120"/>
    <col min="4353" max="4357" width="16.5703125" style="120" customWidth="1"/>
    <col min="4358" max="4358" width="16.28515625" style="120" customWidth="1"/>
    <col min="4359" max="4359" width="13.42578125" style="120" customWidth="1"/>
    <col min="4360" max="4360" width="13.5703125" style="120" customWidth="1"/>
    <col min="4361" max="4361" width="15.5703125" style="120" customWidth="1"/>
    <col min="4362" max="4362" width="13.42578125" style="120" customWidth="1"/>
    <col min="4363" max="4363" width="15.7109375" style="120" customWidth="1"/>
    <col min="4364" max="4364" width="14.85546875" style="120" customWidth="1"/>
    <col min="4365" max="4365" width="17.28515625" style="120" customWidth="1"/>
    <col min="4366" max="4366" width="15.5703125" style="120" customWidth="1"/>
    <col min="4367" max="4367" width="16.28515625" style="120" customWidth="1"/>
    <col min="4368" max="4368" width="14.5703125" style="120" bestFit="1" customWidth="1"/>
    <col min="4369" max="4369" width="14" style="120" bestFit="1" customWidth="1"/>
    <col min="4370" max="4608" width="9.140625" style="120"/>
    <col min="4609" max="4613" width="16.5703125" style="120" customWidth="1"/>
    <col min="4614" max="4614" width="16.28515625" style="120" customWidth="1"/>
    <col min="4615" max="4615" width="13.42578125" style="120" customWidth="1"/>
    <col min="4616" max="4616" width="13.5703125" style="120" customWidth="1"/>
    <col min="4617" max="4617" width="15.5703125" style="120" customWidth="1"/>
    <col min="4618" max="4618" width="13.42578125" style="120" customWidth="1"/>
    <col min="4619" max="4619" width="15.7109375" style="120" customWidth="1"/>
    <col min="4620" max="4620" width="14.85546875" style="120" customWidth="1"/>
    <col min="4621" max="4621" width="17.28515625" style="120" customWidth="1"/>
    <col min="4622" max="4622" width="15.5703125" style="120" customWidth="1"/>
    <col min="4623" max="4623" width="16.28515625" style="120" customWidth="1"/>
    <col min="4624" max="4624" width="14.5703125" style="120" bestFit="1" customWidth="1"/>
    <col min="4625" max="4625" width="14" style="120" bestFit="1" customWidth="1"/>
    <col min="4626" max="4864" width="9.140625" style="120"/>
    <col min="4865" max="4869" width="16.5703125" style="120" customWidth="1"/>
    <col min="4870" max="4870" width="16.28515625" style="120" customWidth="1"/>
    <col min="4871" max="4871" width="13.42578125" style="120" customWidth="1"/>
    <col min="4872" max="4872" width="13.5703125" style="120" customWidth="1"/>
    <col min="4873" max="4873" width="15.5703125" style="120" customWidth="1"/>
    <col min="4874" max="4874" width="13.42578125" style="120" customWidth="1"/>
    <col min="4875" max="4875" width="15.7109375" style="120" customWidth="1"/>
    <col min="4876" max="4876" width="14.85546875" style="120" customWidth="1"/>
    <col min="4877" max="4877" width="17.28515625" style="120" customWidth="1"/>
    <col min="4878" max="4878" width="15.5703125" style="120" customWidth="1"/>
    <col min="4879" max="4879" width="16.28515625" style="120" customWidth="1"/>
    <col min="4880" max="4880" width="14.5703125" style="120" bestFit="1" customWidth="1"/>
    <col min="4881" max="4881" width="14" style="120" bestFit="1" customWidth="1"/>
    <col min="4882" max="5120" width="9.140625" style="120"/>
    <col min="5121" max="5125" width="16.5703125" style="120" customWidth="1"/>
    <col min="5126" max="5126" width="16.28515625" style="120" customWidth="1"/>
    <col min="5127" max="5127" width="13.42578125" style="120" customWidth="1"/>
    <col min="5128" max="5128" width="13.5703125" style="120" customWidth="1"/>
    <col min="5129" max="5129" width="15.5703125" style="120" customWidth="1"/>
    <col min="5130" max="5130" width="13.42578125" style="120" customWidth="1"/>
    <col min="5131" max="5131" width="15.7109375" style="120" customWidth="1"/>
    <col min="5132" max="5132" width="14.85546875" style="120" customWidth="1"/>
    <col min="5133" max="5133" width="17.28515625" style="120" customWidth="1"/>
    <col min="5134" max="5134" width="15.5703125" style="120" customWidth="1"/>
    <col min="5135" max="5135" width="16.28515625" style="120" customWidth="1"/>
    <col min="5136" max="5136" width="14.5703125" style="120" bestFit="1" customWidth="1"/>
    <col min="5137" max="5137" width="14" style="120" bestFit="1" customWidth="1"/>
    <col min="5138" max="5376" width="9.140625" style="120"/>
    <col min="5377" max="5381" width="16.5703125" style="120" customWidth="1"/>
    <col min="5382" max="5382" width="16.28515625" style="120" customWidth="1"/>
    <col min="5383" max="5383" width="13.42578125" style="120" customWidth="1"/>
    <col min="5384" max="5384" width="13.5703125" style="120" customWidth="1"/>
    <col min="5385" max="5385" width="15.5703125" style="120" customWidth="1"/>
    <col min="5386" max="5386" width="13.42578125" style="120" customWidth="1"/>
    <col min="5387" max="5387" width="15.7109375" style="120" customWidth="1"/>
    <col min="5388" max="5388" width="14.85546875" style="120" customWidth="1"/>
    <col min="5389" max="5389" width="17.28515625" style="120" customWidth="1"/>
    <col min="5390" max="5390" width="15.5703125" style="120" customWidth="1"/>
    <col min="5391" max="5391" width="16.28515625" style="120" customWidth="1"/>
    <col min="5392" max="5392" width="14.5703125" style="120" bestFit="1" customWidth="1"/>
    <col min="5393" max="5393" width="14" style="120" bestFit="1" customWidth="1"/>
    <col min="5394" max="5632" width="9.140625" style="120"/>
    <col min="5633" max="5637" width="16.5703125" style="120" customWidth="1"/>
    <col min="5638" max="5638" width="16.28515625" style="120" customWidth="1"/>
    <col min="5639" max="5639" width="13.42578125" style="120" customWidth="1"/>
    <col min="5640" max="5640" width="13.5703125" style="120" customWidth="1"/>
    <col min="5641" max="5641" width="15.5703125" style="120" customWidth="1"/>
    <col min="5642" max="5642" width="13.42578125" style="120" customWidth="1"/>
    <col min="5643" max="5643" width="15.7109375" style="120" customWidth="1"/>
    <col min="5644" max="5644" width="14.85546875" style="120" customWidth="1"/>
    <col min="5645" max="5645" width="17.28515625" style="120" customWidth="1"/>
    <col min="5646" max="5646" width="15.5703125" style="120" customWidth="1"/>
    <col min="5647" max="5647" width="16.28515625" style="120" customWidth="1"/>
    <col min="5648" max="5648" width="14.5703125" style="120" bestFit="1" customWidth="1"/>
    <col min="5649" max="5649" width="14" style="120" bestFit="1" customWidth="1"/>
    <col min="5650" max="5888" width="9.140625" style="120"/>
    <col min="5889" max="5893" width="16.5703125" style="120" customWidth="1"/>
    <col min="5894" max="5894" width="16.28515625" style="120" customWidth="1"/>
    <col min="5895" max="5895" width="13.42578125" style="120" customWidth="1"/>
    <col min="5896" max="5896" width="13.5703125" style="120" customWidth="1"/>
    <col min="5897" max="5897" width="15.5703125" style="120" customWidth="1"/>
    <col min="5898" max="5898" width="13.42578125" style="120" customWidth="1"/>
    <col min="5899" max="5899" width="15.7109375" style="120" customWidth="1"/>
    <col min="5900" max="5900" width="14.85546875" style="120" customWidth="1"/>
    <col min="5901" max="5901" width="17.28515625" style="120" customWidth="1"/>
    <col min="5902" max="5902" width="15.5703125" style="120" customWidth="1"/>
    <col min="5903" max="5903" width="16.28515625" style="120" customWidth="1"/>
    <col min="5904" max="5904" width="14.5703125" style="120" bestFit="1" customWidth="1"/>
    <col min="5905" max="5905" width="14" style="120" bestFit="1" customWidth="1"/>
    <col min="5906" max="6144" width="9.140625" style="120"/>
    <col min="6145" max="6149" width="16.5703125" style="120" customWidth="1"/>
    <col min="6150" max="6150" width="16.28515625" style="120" customWidth="1"/>
    <col min="6151" max="6151" width="13.42578125" style="120" customWidth="1"/>
    <col min="6152" max="6152" width="13.5703125" style="120" customWidth="1"/>
    <col min="6153" max="6153" width="15.5703125" style="120" customWidth="1"/>
    <col min="6154" max="6154" width="13.42578125" style="120" customWidth="1"/>
    <col min="6155" max="6155" width="15.7109375" style="120" customWidth="1"/>
    <col min="6156" max="6156" width="14.85546875" style="120" customWidth="1"/>
    <col min="6157" max="6157" width="17.28515625" style="120" customWidth="1"/>
    <col min="6158" max="6158" width="15.5703125" style="120" customWidth="1"/>
    <col min="6159" max="6159" width="16.28515625" style="120" customWidth="1"/>
    <col min="6160" max="6160" width="14.5703125" style="120" bestFit="1" customWidth="1"/>
    <col min="6161" max="6161" width="14" style="120" bestFit="1" customWidth="1"/>
    <col min="6162" max="6400" width="9.140625" style="120"/>
    <col min="6401" max="6405" width="16.5703125" style="120" customWidth="1"/>
    <col min="6406" max="6406" width="16.28515625" style="120" customWidth="1"/>
    <col min="6407" max="6407" width="13.42578125" style="120" customWidth="1"/>
    <col min="6408" max="6408" width="13.5703125" style="120" customWidth="1"/>
    <col min="6409" max="6409" width="15.5703125" style="120" customWidth="1"/>
    <col min="6410" max="6410" width="13.42578125" style="120" customWidth="1"/>
    <col min="6411" max="6411" width="15.7109375" style="120" customWidth="1"/>
    <col min="6412" max="6412" width="14.85546875" style="120" customWidth="1"/>
    <col min="6413" max="6413" width="17.28515625" style="120" customWidth="1"/>
    <col min="6414" max="6414" width="15.5703125" style="120" customWidth="1"/>
    <col min="6415" max="6415" width="16.28515625" style="120" customWidth="1"/>
    <col min="6416" max="6416" width="14.5703125" style="120" bestFit="1" customWidth="1"/>
    <col min="6417" max="6417" width="14" style="120" bestFit="1" customWidth="1"/>
    <col min="6418" max="6656" width="9.140625" style="120"/>
    <col min="6657" max="6661" width="16.5703125" style="120" customWidth="1"/>
    <col min="6662" max="6662" width="16.28515625" style="120" customWidth="1"/>
    <col min="6663" max="6663" width="13.42578125" style="120" customWidth="1"/>
    <col min="6664" max="6664" width="13.5703125" style="120" customWidth="1"/>
    <col min="6665" max="6665" width="15.5703125" style="120" customWidth="1"/>
    <col min="6666" max="6666" width="13.42578125" style="120" customWidth="1"/>
    <col min="6667" max="6667" width="15.7109375" style="120" customWidth="1"/>
    <col min="6668" max="6668" width="14.85546875" style="120" customWidth="1"/>
    <col min="6669" max="6669" width="17.28515625" style="120" customWidth="1"/>
    <col min="6670" max="6670" width="15.5703125" style="120" customWidth="1"/>
    <col min="6671" max="6671" width="16.28515625" style="120" customWidth="1"/>
    <col min="6672" max="6672" width="14.5703125" style="120" bestFit="1" customWidth="1"/>
    <col min="6673" max="6673" width="14" style="120" bestFit="1" customWidth="1"/>
    <col min="6674" max="6912" width="9.140625" style="120"/>
    <col min="6913" max="6917" width="16.5703125" style="120" customWidth="1"/>
    <col min="6918" max="6918" width="16.28515625" style="120" customWidth="1"/>
    <col min="6919" max="6919" width="13.42578125" style="120" customWidth="1"/>
    <col min="6920" max="6920" width="13.5703125" style="120" customWidth="1"/>
    <col min="6921" max="6921" width="15.5703125" style="120" customWidth="1"/>
    <col min="6922" max="6922" width="13.42578125" style="120" customWidth="1"/>
    <col min="6923" max="6923" width="15.7109375" style="120" customWidth="1"/>
    <col min="6924" max="6924" width="14.85546875" style="120" customWidth="1"/>
    <col min="6925" max="6925" width="17.28515625" style="120" customWidth="1"/>
    <col min="6926" max="6926" width="15.5703125" style="120" customWidth="1"/>
    <col min="6927" max="6927" width="16.28515625" style="120" customWidth="1"/>
    <col min="6928" max="6928" width="14.5703125" style="120" bestFit="1" customWidth="1"/>
    <col min="6929" max="6929" width="14" style="120" bestFit="1" customWidth="1"/>
    <col min="6930" max="7168" width="9.140625" style="120"/>
    <col min="7169" max="7173" width="16.5703125" style="120" customWidth="1"/>
    <col min="7174" max="7174" width="16.28515625" style="120" customWidth="1"/>
    <col min="7175" max="7175" width="13.42578125" style="120" customWidth="1"/>
    <col min="7176" max="7176" width="13.5703125" style="120" customWidth="1"/>
    <col min="7177" max="7177" width="15.5703125" style="120" customWidth="1"/>
    <col min="7178" max="7178" width="13.42578125" style="120" customWidth="1"/>
    <col min="7179" max="7179" width="15.7109375" style="120" customWidth="1"/>
    <col min="7180" max="7180" width="14.85546875" style="120" customWidth="1"/>
    <col min="7181" max="7181" width="17.28515625" style="120" customWidth="1"/>
    <col min="7182" max="7182" width="15.5703125" style="120" customWidth="1"/>
    <col min="7183" max="7183" width="16.28515625" style="120" customWidth="1"/>
    <col min="7184" max="7184" width="14.5703125" style="120" bestFit="1" customWidth="1"/>
    <col min="7185" max="7185" width="14" style="120" bestFit="1" customWidth="1"/>
    <col min="7186" max="7424" width="9.140625" style="120"/>
    <col min="7425" max="7429" width="16.5703125" style="120" customWidth="1"/>
    <col min="7430" max="7430" width="16.28515625" style="120" customWidth="1"/>
    <col min="7431" max="7431" width="13.42578125" style="120" customWidth="1"/>
    <col min="7432" max="7432" width="13.5703125" style="120" customWidth="1"/>
    <col min="7433" max="7433" width="15.5703125" style="120" customWidth="1"/>
    <col min="7434" max="7434" width="13.42578125" style="120" customWidth="1"/>
    <col min="7435" max="7435" width="15.7109375" style="120" customWidth="1"/>
    <col min="7436" max="7436" width="14.85546875" style="120" customWidth="1"/>
    <col min="7437" max="7437" width="17.28515625" style="120" customWidth="1"/>
    <col min="7438" max="7438" width="15.5703125" style="120" customWidth="1"/>
    <col min="7439" max="7439" width="16.28515625" style="120" customWidth="1"/>
    <col min="7440" max="7440" width="14.5703125" style="120" bestFit="1" customWidth="1"/>
    <col min="7441" max="7441" width="14" style="120" bestFit="1" customWidth="1"/>
    <col min="7442" max="7680" width="9.140625" style="120"/>
    <col min="7681" max="7685" width="16.5703125" style="120" customWidth="1"/>
    <col min="7686" max="7686" width="16.28515625" style="120" customWidth="1"/>
    <col min="7687" max="7687" width="13.42578125" style="120" customWidth="1"/>
    <col min="7688" max="7688" width="13.5703125" style="120" customWidth="1"/>
    <col min="7689" max="7689" width="15.5703125" style="120" customWidth="1"/>
    <col min="7690" max="7690" width="13.42578125" style="120" customWidth="1"/>
    <col min="7691" max="7691" width="15.7109375" style="120" customWidth="1"/>
    <col min="7692" max="7692" width="14.85546875" style="120" customWidth="1"/>
    <col min="7693" max="7693" width="17.28515625" style="120" customWidth="1"/>
    <col min="7694" max="7694" width="15.5703125" style="120" customWidth="1"/>
    <col min="7695" max="7695" width="16.28515625" style="120" customWidth="1"/>
    <col min="7696" max="7696" width="14.5703125" style="120" bestFit="1" customWidth="1"/>
    <col min="7697" max="7697" width="14" style="120" bestFit="1" customWidth="1"/>
    <col min="7698" max="7936" width="9.140625" style="120"/>
    <col min="7937" max="7941" width="16.5703125" style="120" customWidth="1"/>
    <col min="7942" max="7942" width="16.28515625" style="120" customWidth="1"/>
    <col min="7943" max="7943" width="13.42578125" style="120" customWidth="1"/>
    <col min="7944" max="7944" width="13.5703125" style="120" customWidth="1"/>
    <col min="7945" max="7945" width="15.5703125" style="120" customWidth="1"/>
    <col min="7946" max="7946" width="13.42578125" style="120" customWidth="1"/>
    <col min="7947" max="7947" width="15.7109375" style="120" customWidth="1"/>
    <col min="7948" max="7948" width="14.85546875" style="120" customWidth="1"/>
    <col min="7949" max="7949" width="17.28515625" style="120" customWidth="1"/>
    <col min="7950" max="7950" width="15.5703125" style="120" customWidth="1"/>
    <col min="7951" max="7951" width="16.28515625" style="120" customWidth="1"/>
    <col min="7952" max="7952" width="14.5703125" style="120" bestFit="1" customWidth="1"/>
    <col min="7953" max="7953" width="14" style="120" bestFit="1" customWidth="1"/>
    <col min="7954" max="8192" width="9.140625" style="120"/>
    <col min="8193" max="8197" width="16.5703125" style="120" customWidth="1"/>
    <col min="8198" max="8198" width="16.28515625" style="120" customWidth="1"/>
    <col min="8199" max="8199" width="13.42578125" style="120" customWidth="1"/>
    <col min="8200" max="8200" width="13.5703125" style="120" customWidth="1"/>
    <col min="8201" max="8201" width="15.5703125" style="120" customWidth="1"/>
    <col min="8202" max="8202" width="13.42578125" style="120" customWidth="1"/>
    <col min="8203" max="8203" width="15.7109375" style="120" customWidth="1"/>
    <col min="8204" max="8204" width="14.85546875" style="120" customWidth="1"/>
    <col min="8205" max="8205" width="17.28515625" style="120" customWidth="1"/>
    <col min="8206" max="8206" width="15.5703125" style="120" customWidth="1"/>
    <col min="8207" max="8207" width="16.28515625" style="120" customWidth="1"/>
    <col min="8208" max="8208" width="14.5703125" style="120" bestFit="1" customWidth="1"/>
    <col min="8209" max="8209" width="14" style="120" bestFit="1" customWidth="1"/>
    <col min="8210" max="8448" width="9.140625" style="120"/>
    <col min="8449" max="8453" width="16.5703125" style="120" customWidth="1"/>
    <col min="8454" max="8454" width="16.28515625" style="120" customWidth="1"/>
    <col min="8455" max="8455" width="13.42578125" style="120" customWidth="1"/>
    <col min="8456" max="8456" width="13.5703125" style="120" customWidth="1"/>
    <col min="8457" max="8457" width="15.5703125" style="120" customWidth="1"/>
    <col min="8458" max="8458" width="13.42578125" style="120" customWidth="1"/>
    <col min="8459" max="8459" width="15.7109375" style="120" customWidth="1"/>
    <col min="8460" max="8460" width="14.85546875" style="120" customWidth="1"/>
    <col min="8461" max="8461" width="17.28515625" style="120" customWidth="1"/>
    <col min="8462" max="8462" width="15.5703125" style="120" customWidth="1"/>
    <col min="8463" max="8463" width="16.28515625" style="120" customWidth="1"/>
    <col min="8464" max="8464" width="14.5703125" style="120" bestFit="1" customWidth="1"/>
    <col min="8465" max="8465" width="14" style="120" bestFit="1" customWidth="1"/>
    <col min="8466" max="8704" width="9.140625" style="120"/>
    <col min="8705" max="8709" width="16.5703125" style="120" customWidth="1"/>
    <col min="8710" max="8710" width="16.28515625" style="120" customWidth="1"/>
    <col min="8711" max="8711" width="13.42578125" style="120" customWidth="1"/>
    <col min="8712" max="8712" width="13.5703125" style="120" customWidth="1"/>
    <col min="8713" max="8713" width="15.5703125" style="120" customWidth="1"/>
    <col min="8714" max="8714" width="13.42578125" style="120" customWidth="1"/>
    <col min="8715" max="8715" width="15.7109375" style="120" customWidth="1"/>
    <col min="8716" max="8716" width="14.85546875" style="120" customWidth="1"/>
    <col min="8717" max="8717" width="17.28515625" style="120" customWidth="1"/>
    <col min="8718" max="8718" width="15.5703125" style="120" customWidth="1"/>
    <col min="8719" max="8719" width="16.28515625" style="120" customWidth="1"/>
    <col min="8720" max="8720" width="14.5703125" style="120" bestFit="1" customWidth="1"/>
    <col min="8721" max="8721" width="14" style="120" bestFit="1" customWidth="1"/>
    <col min="8722" max="8960" width="9.140625" style="120"/>
    <col min="8961" max="8965" width="16.5703125" style="120" customWidth="1"/>
    <col min="8966" max="8966" width="16.28515625" style="120" customWidth="1"/>
    <col min="8967" max="8967" width="13.42578125" style="120" customWidth="1"/>
    <col min="8968" max="8968" width="13.5703125" style="120" customWidth="1"/>
    <col min="8969" max="8969" width="15.5703125" style="120" customWidth="1"/>
    <col min="8970" max="8970" width="13.42578125" style="120" customWidth="1"/>
    <col min="8971" max="8971" width="15.7109375" style="120" customWidth="1"/>
    <col min="8972" max="8972" width="14.85546875" style="120" customWidth="1"/>
    <col min="8973" max="8973" width="17.28515625" style="120" customWidth="1"/>
    <col min="8974" max="8974" width="15.5703125" style="120" customWidth="1"/>
    <col min="8975" max="8975" width="16.28515625" style="120" customWidth="1"/>
    <col min="8976" max="8976" width="14.5703125" style="120" bestFit="1" customWidth="1"/>
    <col min="8977" max="8977" width="14" style="120" bestFit="1" customWidth="1"/>
    <col min="8978" max="9216" width="9.140625" style="120"/>
    <col min="9217" max="9221" width="16.5703125" style="120" customWidth="1"/>
    <col min="9222" max="9222" width="16.28515625" style="120" customWidth="1"/>
    <col min="9223" max="9223" width="13.42578125" style="120" customWidth="1"/>
    <col min="9224" max="9224" width="13.5703125" style="120" customWidth="1"/>
    <col min="9225" max="9225" width="15.5703125" style="120" customWidth="1"/>
    <col min="9226" max="9226" width="13.42578125" style="120" customWidth="1"/>
    <col min="9227" max="9227" width="15.7109375" style="120" customWidth="1"/>
    <col min="9228" max="9228" width="14.85546875" style="120" customWidth="1"/>
    <col min="9229" max="9229" width="17.28515625" style="120" customWidth="1"/>
    <col min="9230" max="9230" width="15.5703125" style="120" customWidth="1"/>
    <col min="9231" max="9231" width="16.28515625" style="120" customWidth="1"/>
    <col min="9232" max="9232" width="14.5703125" style="120" bestFit="1" customWidth="1"/>
    <col min="9233" max="9233" width="14" style="120" bestFit="1" customWidth="1"/>
    <col min="9234" max="9472" width="9.140625" style="120"/>
    <col min="9473" max="9477" width="16.5703125" style="120" customWidth="1"/>
    <col min="9478" max="9478" width="16.28515625" style="120" customWidth="1"/>
    <col min="9479" max="9479" width="13.42578125" style="120" customWidth="1"/>
    <col min="9480" max="9480" width="13.5703125" style="120" customWidth="1"/>
    <col min="9481" max="9481" width="15.5703125" style="120" customWidth="1"/>
    <col min="9482" max="9482" width="13.42578125" style="120" customWidth="1"/>
    <col min="9483" max="9483" width="15.7109375" style="120" customWidth="1"/>
    <col min="9484" max="9484" width="14.85546875" style="120" customWidth="1"/>
    <col min="9485" max="9485" width="17.28515625" style="120" customWidth="1"/>
    <col min="9486" max="9486" width="15.5703125" style="120" customWidth="1"/>
    <col min="9487" max="9487" width="16.28515625" style="120" customWidth="1"/>
    <col min="9488" max="9488" width="14.5703125" style="120" bestFit="1" customWidth="1"/>
    <col min="9489" max="9489" width="14" style="120" bestFit="1" customWidth="1"/>
    <col min="9490" max="9728" width="9.140625" style="120"/>
    <col min="9729" max="9733" width="16.5703125" style="120" customWidth="1"/>
    <col min="9734" max="9734" width="16.28515625" style="120" customWidth="1"/>
    <col min="9735" max="9735" width="13.42578125" style="120" customWidth="1"/>
    <col min="9736" max="9736" width="13.5703125" style="120" customWidth="1"/>
    <col min="9737" max="9737" width="15.5703125" style="120" customWidth="1"/>
    <col min="9738" max="9738" width="13.42578125" style="120" customWidth="1"/>
    <col min="9739" max="9739" width="15.7109375" style="120" customWidth="1"/>
    <col min="9740" max="9740" width="14.85546875" style="120" customWidth="1"/>
    <col min="9741" max="9741" width="17.28515625" style="120" customWidth="1"/>
    <col min="9742" max="9742" width="15.5703125" style="120" customWidth="1"/>
    <col min="9743" max="9743" width="16.28515625" style="120" customWidth="1"/>
    <col min="9744" max="9744" width="14.5703125" style="120" bestFit="1" customWidth="1"/>
    <col min="9745" max="9745" width="14" style="120" bestFit="1" customWidth="1"/>
    <col min="9746" max="9984" width="9.140625" style="120"/>
    <col min="9985" max="9989" width="16.5703125" style="120" customWidth="1"/>
    <col min="9990" max="9990" width="16.28515625" style="120" customWidth="1"/>
    <col min="9991" max="9991" width="13.42578125" style="120" customWidth="1"/>
    <col min="9992" max="9992" width="13.5703125" style="120" customWidth="1"/>
    <col min="9993" max="9993" width="15.5703125" style="120" customWidth="1"/>
    <col min="9994" max="9994" width="13.42578125" style="120" customWidth="1"/>
    <col min="9995" max="9995" width="15.7109375" style="120" customWidth="1"/>
    <col min="9996" max="9996" width="14.85546875" style="120" customWidth="1"/>
    <col min="9997" max="9997" width="17.28515625" style="120" customWidth="1"/>
    <col min="9998" max="9998" width="15.5703125" style="120" customWidth="1"/>
    <col min="9999" max="9999" width="16.28515625" style="120" customWidth="1"/>
    <col min="10000" max="10000" width="14.5703125" style="120" bestFit="1" customWidth="1"/>
    <col min="10001" max="10001" width="14" style="120" bestFit="1" customWidth="1"/>
    <col min="10002" max="10240" width="9.140625" style="120"/>
    <col min="10241" max="10245" width="16.5703125" style="120" customWidth="1"/>
    <col min="10246" max="10246" width="16.28515625" style="120" customWidth="1"/>
    <col min="10247" max="10247" width="13.42578125" style="120" customWidth="1"/>
    <col min="10248" max="10248" width="13.5703125" style="120" customWidth="1"/>
    <col min="10249" max="10249" width="15.5703125" style="120" customWidth="1"/>
    <col min="10250" max="10250" width="13.42578125" style="120" customWidth="1"/>
    <col min="10251" max="10251" width="15.7109375" style="120" customWidth="1"/>
    <col min="10252" max="10252" width="14.85546875" style="120" customWidth="1"/>
    <col min="10253" max="10253" width="17.28515625" style="120" customWidth="1"/>
    <col min="10254" max="10254" width="15.5703125" style="120" customWidth="1"/>
    <col min="10255" max="10255" width="16.28515625" style="120" customWidth="1"/>
    <col min="10256" max="10256" width="14.5703125" style="120" bestFit="1" customWidth="1"/>
    <col min="10257" max="10257" width="14" style="120" bestFit="1" customWidth="1"/>
    <col min="10258" max="10496" width="9.140625" style="120"/>
    <col min="10497" max="10501" width="16.5703125" style="120" customWidth="1"/>
    <col min="10502" max="10502" width="16.28515625" style="120" customWidth="1"/>
    <col min="10503" max="10503" width="13.42578125" style="120" customWidth="1"/>
    <col min="10504" max="10504" width="13.5703125" style="120" customWidth="1"/>
    <col min="10505" max="10505" width="15.5703125" style="120" customWidth="1"/>
    <col min="10506" max="10506" width="13.42578125" style="120" customWidth="1"/>
    <col min="10507" max="10507" width="15.7109375" style="120" customWidth="1"/>
    <col min="10508" max="10508" width="14.85546875" style="120" customWidth="1"/>
    <col min="10509" max="10509" width="17.28515625" style="120" customWidth="1"/>
    <col min="10510" max="10510" width="15.5703125" style="120" customWidth="1"/>
    <col min="10511" max="10511" width="16.28515625" style="120" customWidth="1"/>
    <col min="10512" max="10512" width="14.5703125" style="120" bestFit="1" customWidth="1"/>
    <col min="10513" max="10513" width="14" style="120" bestFit="1" customWidth="1"/>
    <col min="10514" max="10752" width="9.140625" style="120"/>
    <col min="10753" max="10757" width="16.5703125" style="120" customWidth="1"/>
    <col min="10758" max="10758" width="16.28515625" style="120" customWidth="1"/>
    <col min="10759" max="10759" width="13.42578125" style="120" customWidth="1"/>
    <col min="10760" max="10760" width="13.5703125" style="120" customWidth="1"/>
    <col min="10761" max="10761" width="15.5703125" style="120" customWidth="1"/>
    <col min="10762" max="10762" width="13.42578125" style="120" customWidth="1"/>
    <col min="10763" max="10763" width="15.7109375" style="120" customWidth="1"/>
    <col min="10764" max="10764" width="14.85546875" style="120" customWidth="1"/>
    <col min="10765" max="10765" width="17.28515625" style="120" customWidth="1"/>
    <col min="10766" max="10766" width="15.5703125" style="120" customWidth="1"/>
    <col min="10767" max="10767" width="16.28515625" style="120" customWidth="1"/>
    <col min="10768" max="10768" width="14.5703125" style="120" bestFit="1" customWidth="1"/>
    <col min="10769" max="10769" width="14" style="120" bestFit="1" customWidth="1"/>
    <col min="10770" max="11008" width="9.140625" style="120"/>
    <col min="11009" max="11013" width="16.5703125" style="120" customWidth="1"/>
    <col min="11014" max="11014" width="16.28515625" style="120" customWidth="1"/>
    <col min="11015" max="11015" width="13.42578125" style="120" customWidth="1"/>
    <col min="11016" max="11016" width="13.5703125" style="120" customWidth="1"/>
    <col min="11017" max="11017" width="15.5703125" style="120" customWidth="1"/>
    <col min="11018" max="11018" width="13.42578125" style="120" customWidth="1"/>
    <col min="11019" max="11019" width="15.7109375" style="120" customWidth="1"/>
    <col min="11020" max="11020" width="14.85546875" style="120" customWidth="1"/>
    <col min="11021" max="11021" width="17.28515625" style="120" customWidth="1"/>
    <col min="11022" max="11022" width="15.5703125" style="120" customWidth="1"/>
    <col min="11023" max="11023" width="16.28515625" style="120" customWidth="1"/>
    <col min="11024" max="11024" width="14.5703125" style="120" bestFit="1" customWidth="1"/>
    <col min="11025" max="11025" width="14" style="120" bestFit="1" customWidth="1"/>
    <col min="11026" max="11264" width="9.140625" style="120"/>
    <col min="11265" max="11269" width="16.5703125" style="120" customWidth="1"/>
    <col min="11270" max="11270" width="16.28515625" style="120" customWidth="1"/>
    <col min="11271" max="11271" width="13.42578125" style="120" customWidth="1"/>
    <col min="11272" max="11272" width="13.5703125" style="120" customWidth="1"/>
    <col min="11273" max="11273" width="15.5703125" style="120" customWidth="1"/>
    <col min="11274" max="11274" width="13.42578125" style="120" customWidth="1"/>
    <col min="11275" max="11275" width="15.7109375" style="120" customWidth="1"/>
    <col min="11276" max="11276" width="14.85546875" style="120" customWidth="1"/>
    <col min="11277" max="11277" width="17.28515625" style="120" customWidth="1"/>
    <col min="11278" max="11278" width="15.5703125" style="120" customWidth="1"/>
    <col min="11279" max="11279" width="16.28515625" style="120" customWidth="1"/>
    <col min="11280" max="11280" width="14.5703125" style="120" bestFit="1" customWidth="1"/>
    <col min="11281" max="11281" width="14" style="120" bestFit="1" customWidth="1"/>
    <col min="11282" max="11520" width="9.140625" style="120"/>
    <col min="11521" max="11525" width="16.5703125" style="120" customWidth="1"/>
    <col min="11526" max="11526" width="16.28515625" style="120" customWidth="1"/>
    <col min="11527" max="11527" width="13.42578125" style="120" customWidth="1"/>
    <col min="11528" max="11528" width="13.5703125" style="120" customWidth="1"/>
    <col min="11529" max="11529" width="15.5703125" style="120" customWidth="1"/>
    <col min="11530" max="11530" width="13.42578125" style="120" customWidth="1"/>
    <col min="11531" max="11531" width="15.7109375" style="120" customWidth="1"/>
    <col min="11532" max="11532" width="14.85546875" style="120" customWidth="1"/>
    <col min="11533" max="11533" width="17.28515625" style="120" customWidth="1"/>
    <col min="11534" max="11534" width="15.5703125" style="120" customWidth="1"/>
    <col min="11535" max="11535" width="16.28515625" style="120" customWidth="1"/>
    <col min="11536" max="11536" width="14.5703125" style="120" bestFit="1" customWidth="1"/>
    <col min="11537" max="11537" width="14" style="120" bestFit="1" customWidth="1"/>
    <col min="11538" max="11776" width="9.140625" style="120"/>
    <col min="11777" max="11781" width="16.5703125" style="120" customWidth="1"/>
    <col min="11782" max="11782" width="16.28515625" style="120" customWidth="1"/>
    <col min="11783" max="11783" width="13.42578125" style="120" customWidth="1"/>
    <col min="11784" max="11784" width="13.5703125" style="120" customWidth="1"/>
    <col min="11785" max="11785" width="15.5703125" style="120" customWidth="1"/>
    <col min="11786" max="11786" width="13.42578125" style="120" customWidth="1"/>
    <col min="11787" max="11787" width="15.7109375" style="120" customWidth="1"/>
    <col min="11788" max="11788" width="14.85546875" style="120" customWidth="1"/>
    <col min="11789" max="11789" width="17.28515625" style="120" customWidth="1"/>
    <col min="11790" max="11790" width="15.5703125" style="120" customWidth="1"/>
    <col min="11791" max="11791" width="16.28515625" style="120" customWidth="1"/>
    <col min="11792" max="11792" width="14.5703125" style="120" bestFit="1" customWidth="1"/>
    <col min="11793" max="11793" width="14" style="120" bestFit="1" customWidth="1"/>
    <col min="11794" max="12032" width="9.140625" style="120"/>
    <col min="12033" max="12037" width="16.5703125" style="120" customWidth="1"/>
    <col min="12038" max="12038" width="16.28515625" style="120" customWidth="1"/>
    <col min="12039" max="12039" width="13.42578125" style="120" customWidth="1"/>
    <col min="12040" max="12040" width="13.5703125" style="120" customWidth="1"/>
    <col min="12041" max="12041" width="15.5703125" style="120" customWidth="1"/>
    <col min="12042" max="12042" width="13.42578125" style="120" customWidth="1"/>
    <col min="12043" max="12043" width="15.7109375" style="120" customWidth="1"/>
    <col min="12044" max="12044" width="14.85546875" style="120" customWidth="1"/>
    <col min="12045" max="12045" width="17.28515625" style="120" customWidth="1"/>
    <col min="12046" max="12046" width="15.5703125" style="120" customWidth="1"/>
    <col min="12047" max="12047" width="16.28515625" style="120" customWidth="1"/>
    <col min="12048" max="12048" width="14.5703125" style="120" bestFit="1" customWidth="1"/>
    <col min="12049" max="12049" width="14" style="120" bestFit="1" customWidth="1"/>
    <col min="12050" max="12288" width="9.140625" style="120"/>
    <col min="12289" max="12293" width="16.5703125" style="120" customWidth="1"/>
    <col min="12294" max="12294" width="16.28515625" style="120" customWidth="1"/>
    <col min="12295" max="12295" width="13.42578125" style="120" customWidth="1"/>
    <col min="12296" max="12296" width="13.5703125" style="120" customWidth="1"/>
    <col min="12297" max="12297" width="15.5703125" style="120" customWidth="1"/>
    <col min="12298" max="12298" width="13.42578125" style="120" customWidth="1"/>
    <col min="12299" max="12299" width="15.7109375" style="120" customWidth="1"/>
    <col min="12300" max="12300" width="14.85546875" style="120" customWidth="1"/>
    <col min="12301" max="12301" width="17.28515625" style="120" customWidth="1"/>
    <col min="12302" max="12302" width="15.5703125" style="120" customWidth="1"/>
    <col min="12303" max="12303" width="16.28515625" style="120" customWidth="1"/>
    <col min="12304" max="12304" width="14.5703125" style="120" bestFit="1" customWidth="1"/>
    <col min="12305" max="12305" width="14" style="120" bestFit="1" customWidth="1"/>
    <col min="12306" max="12544" width="9.140625" style="120"/>
    <col min="12545" max="12549" width="16.5703125" style="120" customWidth="1"/>
    <col min="12550" max="12550" width="16.28515625" style="120" customWidth="1"/>
    <col min="12551" max="12551" width="13.42578125" style="120" customWidth="1"/>
    <col min="12552" max="12552" width="13.5703125" style="120" customWidth="1"/>
    <col min="12553" max="12553" width="15.5703125" style="120" customWidth="1"/>
    <col min="12554" max="12554" width="13.42578125" style="120" customWidth="1"/>
    <col min="12555" max="12555" width="15.7109375" style="120" customWidth="1"/>
    <col min="12556" max="12556" width="14.85546875" style="120" customWidth="1"/>
    <col min="12557" max="12557" width="17.28515625" style="120" customWidth="1"/>
    <col min="12558" max="12558" width="15.5703125" style="120" customWidth="1"/>
    <col min="12559" max="12559" width="16.28515625" style="120" customWidth="1"/>
    <col min="12560" max="12560" width="14.5703125" style="120" bestFit="1" customWidth="1"/>
    <col min="12561" max="12561" width="14" style="120" bestFit="1" customWidth="1"/>
    <col min="12562" max="12800" width="9.140625" style="120"/>
    <col min="12801" max="12805" width="16.5703125" style="120" customWidth="1"/>
    <col min="12806" max="12806" width="16.28515625" style="120" customWidth="1"/>
    <col min="12807" max="12807" width="13.42578125" style="120" customWidth="1"/>
    <col min="12808" max="12808" width="13.5703125" style="120" customWidth="1"/>
    <col min="12809" max="12809" width="15.5703125" style="120" customWidth="1"/>
    <col min="12810" max="12810" width="13.42578125" style="120" customWidth="1"/>
    <col min="12811" max="12811" width="15.7109375" style="120" customWidth="1"/>
    <col min="12812" max="12812" width="14.85546875" style="120" customWidth="1"/>
    <col min="12813" max="12813" width="17.28515625" style="120" customWidth="1"/>
    <col min="12814" max="12814" width="15.5703125" style="120" customWidth="1"/>
    <col min="12815" max="12815" width="16.28515625" style="120" customWidth="1"/>
    <col min="12816" max="12816" width="14.5703125" style="120" bestFit="1" customWidth="1"/>
    <col min="12817" max="12817" width="14" style="120" bestFit="1" customWidth="1"/>
    <col min="12818" max="13056" width="9.140625" style="120"/>
    <col min="13057" max="13061" width="16.5703125" style="120" customWidth="1"/>
    <col min="13062" max="13062" width="16.28515625" style="120" customWidth="1"/>
    <col min="13063" max="13063" width="13.42578125" style="120" customWidth="1"/>
    <col min="13064" max="13064" width="13.5703125" style="120" customWidth="1"/>
    <col min="13065" max="13065" width="15.5703125" style="120" customWidth="1"/>
    <col min="13066" max="13066" width="13.42578125" style="120" customWidth="1"/>
    <col min="13067" max="13067" width="15.7109375" style="120" customWidth="1"/>
    <col min="13068" max="13068" width="14.85546875" style="120" customWidth="1"/>
    <col min="13069" max="13069" width="17.28515625" style="120" customWidth="1"/>
    <col min="13070" max="13070" width="15.5703125" style="120" customWidth="1"/>
    <col min="13071" max="13071" width="16.28515625" style="120" customWidth="1"/>
    <col min="13072" max="13072" width="14.5703125" style="120" bestFit="1" customWidth="1"/>
    <col min="13073" max="13073" width="14" style="120" bestFit="1" customWidth="1"/>
    <col min="13074" max="13312" width="9.140625" style="120"/>
    <col min="13313" max="13317" width="16.5703125" style="120" customWidth="1"/>
    <col min="13318" max="13318" width="16.28515625" style="120" customWidth="1"/>
    <col min="13319" max="13319" width="13.42578125" style="120" customWidth="1"/>
    <col min="13320" max="13320" width="13.5703125" style="120" customWidth="1"/>
    <col min="13321" max="13321" width="15.5703125" style="120" customWidth="1"/>
    <col min="13322" max="13322" width="13.42578125" style="120" customWidth="1"/>
    <col min="13323" max="13323" width="15.7109375" style="120" customWidth="1"/>
    <col min="13324" max="13324" width="14.85546875" style="120" customWidth="1"/>
    <col min="13325" max="13325" width="17.28515625" style="120" customWidth="1"/>
    <col min="13326" max="13326" width="15.5703125" style="120" customWidth="1"/>
    <col min="13327" max="13327" width="16.28515625" style="120" customWidth="1"/>
    <col min="13328" max="13328" width="14.5703125" style="120" bestFit="1" customWidth="1"/>
    <col min="13329" max="13329" width="14" style="120" bestFit="1" customWidth="1"/>
    <col min="13330" max="13568" width="9.140625" style="120"/>
    <col min="13569" max="13573" width="16.5703125" style="120" customWidth="1"/>
    <col min="13574" max="13574" width="16.28515625" style="120" customWidth="1"/>
    <col min="13575" max="13575" width="13.42578125" style="120" customWidth="1"/>
    <col min="13576" max="13576" width="13.5703125" style="120" customWidth="1"/>
    <col min="13577" max="13577" width="15.5703125" style="120" customWidth="1"/>
    <col min="13578" max="13578" width="13.42578125" style="120" customWidth="1"/>
    <col min="13579" max="13579" width="15.7109375" style="120" customWidth="1"/>
    <col min="13580" max="13580" width="14.85546875" style="120" customWidth="1"/>
    <col min="13581" max="13581" width="17.28515625" style="120" customWidth="1"/>
    <col min="13582" max="13582" width="15.5703125" style="120" customWidth="1"/>
    <col min="13583" max="13583" width="16.28515625" style="120" customWidth="1"/>
    <col min="13584" max="13584" width="14.5703125" style="120" bestFit="1" customWidth="1"/>
    <col min="13585" max="13585" width="14" style="120" bestFit="1" customWidth="1"/>
    <col min="13586" max="13824" width="9.140625" style="120"/>
    <col min="13825" max="13829" width="16.5703125" style="120" customWidth="1"/>
    <col min="13830" max="13830" width="16.28515625" style="120" customWidth="1"/>
    <col min="13831" max="13831" width="13.42578125" style="120" customWidth="1"/>
    <col min="13832" max="13832" width="13.5703125" style="120" customWidth="1"/>
    <col min="13833" max="13833" width="15.5703125" style="120" customWidth="1"/>
    <col min="13834" max="13834" width="13.42578125" style="120" customWidth="1"/>
    <col min="13835" max="13835" width="15.7109375" style="120" customWidth="1"/>
    <col min="13836" max="13836" width="14.85546875" style="120" customWidth="1"/>
    <col min="13837" max="13837" width="17.28515625" style="120" customWidth="1"/>
    <col min="13838" max="13838" width="15.5703125" style="120" customWidth="1"/>
    <col min="13839" max="13839" width="16.28515625" style="120" customWidth="1"/>
    <col min="13840" max="13840" width="14.5703125" style="120" bestFit="1" customWidth="1"/>
    <col min="13841" max="13841" width="14" style="120" bestFit="1" customWidth="1"/>
    <col min="13842" max="14080" width="9.140625" style="120"/>
    <col min="14081" max="14085" width="16.5703125" style="120" customWidth="1"/>
    <col min="14086" max="14086" width="16.28515625" style="120" customWidth="1"/>
    <col min="14087" max="14087" width="13.42578125" style="120" customWidth="1"/>
    <col min="14088" max="14088" width="13.5703125" style="120" customWidth="1"/>
    <col min="14089" max="14089" width="15.5703125" style="120" customWidth="1"/>
    <col min="14090" max="14090" width="13.42578125" style="120" customWidth="1"/>
    <col min="14091" max="14091" width="15.7109375" style="120" customWidth="1"/>
    <col min="14092" max="14092" width="14.85546875" style="120" customWidth="1"/>
    <col min="14093" max="14093" width="17.28515625" style="120" customWidth="1"/>
    <col min="14094" max="14094" width="15.5703125" style="120" customWidth="1"/>
    <col min="14095" max="14095" width="16.28515625" style="120" customWidth="1"/>
    <col min="14096" max="14096" width="14.5703125" style="120" bestFit="1" customWidth="1"/>
    <col min="14097" max="14097" width="14" style="120" bestFit="1" customWidth="1"/>
    <col min="14098" max="14336" width="9.140625" style="120"/>
    <col min="14337" max="14341" width="16.5703125" style="120" customWidth="1"/>
    <col min="14342" max="14342" width="16.28515625" style="120" customWidth="1"/>
    <col min="14343" max="14343" width="13.42578125" style="120" customWidth="1"/>
    <col min="14344" max="14344" width="13.5703125" style="120" customWidth="1"/>
    <col min="14345" max="14345" width="15.5703125" style="120" customWidth="1"/>
    <col min="14346" max="14346" width="13.42578125" style="120" customWidth="1"/>
    <col min="14347" max="14347" width="15.7109375" style="120" customWidth="1"/>
    <col min="14348" max="14348" width="14.85546875" style="120" customWidth="1"/>
    <col min="14349" max="14349" width="17.28515625" style="120" customWidth="1"/>
    <col min="14350" max="14350" width="15.5703125" style="120" customWidth="1"/>
    <col min="14351" max="14351" width="16.28515625" style="120" customWidth="1"/>
    <col min="14352" max="14352" width="14.5703125" style="120" bestFit="1" customWidth="1"/>
    <col min="14353" max="14353" width="14" style="120" bestFit="1" customWidth="1"/>
    <col min="14354" max="14592" width="9.140625" style="120"/>
    <col min="14593" max="14597" width="16.5703125" style="120" customWidth="1"/>
    <col min="14598" max="14598" width="16.28515625" style="120" customWidth="1"/>
    <col min="14599" max="14599" width="13.42578125" style="120" customWidth="1"/>
    <col min="14600" max="14600" width="13.5703125" style="120" customWidth="1"/>
    <col min="14601" max="14601" width="15.5703125" style="120" customWidth="1"/>
    <col min="14602" max="14602" width="13.42578125" style="120" customWidth="1"/>
    <col min="14603" max="14603" width="15.7109375" style="120" customWidth="1"/>
    <col min="14604" max="14604" width="14.85546875" style="120" customWidth="1"/>
    <col min="14605" max="14605" width="17.28515625" style="120" customWidth="1"/>
    <col min="14606" max="14606" width="15.5703125" style="120" customWidth="1"/>
    <col min="14607" max="14607" width="16.28515625" style="120" customWidth="1"/>
    <col min="14608" max="14608" width="14.5703125" style="120" bestFit="1" customWidth="1"/>
    <col min="14609" max="14609" width="14" style="120" bestFit="1" customWidth="1"/>
    <col min="14610" max="14848" width="9.140625" style="120"/>
    <col min="14849" max="14853" width="16.5703125" style="120" customWidth="1"/>
    <col min="14854" max="14854" width="16.28515625" style="120" customWidth="1"/>
    <col min="14855" max="14855" width="13.42578125" style="120" customWidth="1"/>
    <col min="14856" max="14856" width="13.5703125" style="120" customWidth="1"/>
    <col min="14857" max="14857" width="15.5703125" style="120" customWidth="1"/>
    <col min="14858" max="14858" width="13.42578125" style="120" customWidth="1"/>
    <col min="14859" max="14859" width="15.7109375" style="120" customWidth="1"/>
    <col min="14860" max="14860" width="14.85546875" style="120" customWidth="1"/>
    <col min="14861" max="14861" width="17.28515625" style="120" customWidth="1"/>
    <col min="14862" max="14862" width="15.5703125" style="120" customWidth="1"/>
    <col min="14863" max="14863" width="16.28515625" style="120" customWidth="1"/>
    <col min="14864" max="14864" width="14.5703125" style="120" bestFit="1" customWidth="1"/>
    <col min="14865" max="14865" width="14" style="120" bestFit="1" customWidth="1"/>
    <col min="14866" max="15104" width="9.140625" style="120"/>
    <col min="15105" max="15109" width="16.5703125" style="120" customWidth="1"/>
    <col min="15110" max="15110" width="16.28515625" style="120" customWidth="1"/>
    <col min="15111" max="15111" width="13.42578125" style="120" customWidth="1"/>
    <col min="15112" max="15112" width="13.5703125" style="120" customWidth="1"/>
    <col min="15113" max="15113" width="15.5703125" style="120" customWidth="1"/>
    <col min="15114" max="15114" width="13.42578125" style="120" customWidth="1"/>
    <col min="15115" max="15115" width="15.7109375" style="120" customWidth="1"/>
    <col min="15116" max="15116" width="14.85546875" style="120" customWidth="1"/>
    <col min="15117" max="15117" width="17.28515625" style="120" customWidth="1"/>
    <col min="15118" max="15118" width="15.5703125" style="120" customWidth="1"/>
    <col min="15119" max="15119" width="16.28515625" style="120" customWidth="1"/>
    <col min="15120" max="15120" width="14.5703125" style="120" bestFit="1" customWidth="1"/>
    <col min="15121" max="15121" width="14" style="120" bestFit="1" customWidth="1"/>
    <col min="15122" max="15360" width="9.140625" style="120"/>
    <col min="15361" max="15365" width="16.5703125" style="120" customWidth="1"/>
    <col min="15366" max="15366" width="16.28515625" style="120" customWidth="1"/>
    <col min="15367" max="15367" width="13.42578125" style="120" customWidth="1"/>
    <col min="15368" max="15368" width="13.5703125" style="120" customWidth="1"/>
    <col min="15369" max="15369" width="15.5703125" style="120" customWidth="1"/>
    <col min="15370" max="15370" width="13.42578125" style="120" customWidth="1"/>
    <col min="15371" max="15371" width="15.7109375" style="120" customWidth="1"/>
    <col min="15372" max="15372" width="14.85546875" style="120" customWidth="1"/>
    <col min="15373" max="15373" width="17.28515625" style="120" customWidth="1"/>
    <col min="15374" max="15374" width="15.5703125" style="120" customWidth="1"/>
    <col min="15375" max="15375" width="16.28515625" style="120" customWidth="1"/>
    <col min="15376" max="15376" width="14.5703125" style="120" bestFit="1" customWidth="1"/>
    <col min="15377" max="15377" width="14" style="120" bestFit="1" customWidth="1"/>
    <col min="15378" max="15616" width="9.140625" style="120"/>
    <col min="15617" max="15621" width="16.5703125" style="120" customWidth="1"/>
    <col min="15622" max="15622" width="16.28515625" style="120" customWidth="1"/>
    <col min="15623" max="15623" width="13.42578125" style="120" customWidth="1"/>
    <col min="15624" max="15624" width="13.5703125" style="120" customWidth="1"/>
    <col min="15625" max="15625" width="15.5703125" style="120" customWidth="1"/>
    <col min="15626" max="15626" width="13.42578125" style="120" customWidth="1"/>
    <col min="15627" max="15627" width="15.7109375" style="120" customWidth="1"/>
    <col min="15628" max="15628" width="14.85546875" style="120" customWidth="1"/>
    <col min="15629" max="15629" width="17.28515625" style="120" customWidth="1"/>
    <col min="15630" max="15630" width="15.5703125" style="120" customWidth="1"/>
    <col min="15631" max="15631" width="16.28515625" style="120" customWidth="1"/>
    <col min="15632" max="15632" width="14.5703125" style="120" bestFit="1" customWidth="1"/>
    <col min="15633" max="15633" width="14" style="120" bestFit="1" customWidth="1"/>
    <col min="15634" max="15872" width="9.140625" style="120"/>
    <col min="15873" max="15877" width="16.5703125" style="120" customWidth="1"/>
    <col min="15878" max="15878" width="16.28515625" style="120" customWidth="1"/>
    <col min="15879" max="15879" width="13.42578125" style="120" customWidth="1"/>
    <col min="15880" max="15880" width="13.5703125" style="120" customWidth="1"/>
    <col min="15881" max="15881" width="15.5703125" style="120" customWidth="1"/>
    <col min="15882" max="15882" width="13.42578125" style="120" customWidth="1"/>
    <col min="15883" max="15883" width="15.7109375" style="120" customWidth="1"/>
    <col min="15884" max="15884" width="14.85546875" style="120" customWidth="1"/>
    <col min="15885" max="15885" width="17.28515625" style="120" customWidth="1"/>
    <col min="15886" max="15886" width="15.5703125" style="120" customWidth="1"/>
    <col min="15887" max="15887" width="16.28515625" style="120" customWidth="1"/>
    <col min="15888" max="15888" width="14.5703125" style="120" bestFit="1" customWidth="1"/>
    <col min="15889" max="15889" width="14" style="120" bestFit="1" customWidth="1"/>
    <col min="15890" max="16128" width="9.140625" style="120"/>
    <col min="16129" max="16133" width="16.5703125" style="120" customWidth="1"/>
    <col min="16134" max="16134" width="16.28515625" style="120" customWidth="1"/>
    <col min="16135" max="16135" width="13.42578125" style="120" customWidth="1"/>
    <col min="16136" max="16136" width="13.5703125" style="120" customWidth="1"/>
    <col min="16137" max="16137" width="15.5703125" style="120" customWidth="1"/>
    <col min="16138" max="16138" width="13.42578125" style="120" customWidth="1"/>
    <col min="16139" max="16139" width="15.7109375" style="120" customWidth="1"/>
    <col min="16140" max="16140" width="14.85546875" style="120" customWidth="1"/>
    <col min="16141" max="16141" width="17.28515625" style="120" customWidth="1"/>
    <col min="16142" max="16142" width="15.5703125" style="120" customWidth="1"/>
    <col min="16143" max="16143" width="16.28515625" style="120" customWidth="1"/>
    <col min="16144" max="16144" width="14.5703125" style="120" bestFit="1" customWidth="1"/>
    <col min="16145" max="16145" width="14" style="120" bestFit="1" customWidth="1"/>
    <col min="16146" max="16384" width="9.140625" style="120"/>
  </cols>
  <sheetData>
    <row r="1" spans="1:18">
      <c r="A1" s="116" t="s">
        <v>488</v>
      </c>
      <c r="B1" s="116"/>
      <c r="C1" s="116"/>
      <c r="D1" s="116"/>
      <c r="E1" s="117"/>
      <c r="F1" s="118"/>
      <c r="G1" s="118"/>
      <c r="H1" s="118"/>
      <c r="I1" s="118"/>
      <c r="J1" s="118"/>
      <c r="K1" s="118"/>
      <c r="L1" s="118"/>
      <c r="M1" s="118"/>
      <c r="N1" s="119"/>
    </row>
    <row r="2" spans="1:18">
      <c r="A2" s="252" t="s">
        <v>543</v>
      </c>
      <c r="B2" s="116"/>
      <c r="C2" s="116"/>
      <c r="D2" s="116"/>
      <c r="E2" s="117"/>
      <c r="F2" s="118"/>
      <c r="G2" s="118"/>
      <c r="H2" s="118"/>
      <c r="I2" s="118"/>
      <c r="J2" s="118"/>
      <c r="K2" s="118"/>
      <c r="L2" s="118"/>
      <c r="M2" s="118"/>
      <c r="N2" s="119"/>
    </row>
    <row r="3" spans="1:18">
      <c r="A3" s="116"/>
      <c r="B3" s="116"/>
      <c r="C3" s="116"/>
      <c r="D3" s="116"/>
      <c r="E3" s="117"/>
      <c r="F3" s="118"/>
      <c r="G3" s="118"/>
      <c r="H3" s="118"/>
      <c r="I3" s="118"/>
      <c r="J3" s="118"/>
      <c r="K3" s="118"/>
      <c r="L3" s="118"/>
      <c r="M3" s="118"/>
      <c r="N3" s="119"/>
    </row>
    <row r="4" spans="1:18" ht="15.75" thickBot="1">
      <c r="A4" s="116" t="s">
        <v>489</v>
      </c>
      <c r="B4" s="116"/>
      <c r="C4" s="116"/>
      <c r="D4" s="116"/>
      <c r="E4" s="117"/>
      <c r="F4" s="118"/>
      <c r="G4" s="118"/>
      <c r="H4" s="118"/>
      <c r="I4" s="118"/>
      <c r="J4" s="118"/>
      <c r="K4" s="118"/>
      <c r="L4" s="118"/>
      <c r="M4" s="118"/>
      <c r="N4" s="119"/>
    </row>
    <row r="5" spans="1:18" ht="16.5" thickTop="1" thickBot="1">
      <c r="A5" s="122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4"/>
      <c r="O5" s="125"/>
      <c r="P5" s="123"/>
      <c r="Q5" s="126"/>
      <c r="R5" s="127"/>
    </row>
    <row r="6" spans="1:18">
      <c r="A6" s="128" t="s">
        <v>490</v>
      </c>
      <c r="B6" s="129"/>
      <c r="C6" s="129"/>
      <c r="D6" s="129"/>
      <c r="E6" s="129"/>
      <c r="F6" s="130"/>
      <c r="G6" s="130"/>
      <c r="H6" s="130"/>
      <c r="I6" s="131"/>
      <c r="J6" s="130"/>
      <c r="K6" s="130"/>
      <c r="L6" s="130"/>
      <c r="M6" s="130"/>
      <c r="N6" s="132"/>
      <c r="O6" s="133"/>
      <c r="P6" s="134"/>
      <c r="Q6" s="135"/>
      <c r="R6" s="136"/>
    </row>
    <row r="7" spans="1:18">
      <c r="A7" s="137" t="s">
        <v>491</v>
      </c>
      <c r="B7" s="138">
        <f t="shared" ref="B7:M7" si="0">MONTH(B8)</f>
        <v>8</v>
      </c>
      <c r="C7" s="138">
        <f t="shared" si="0"/>
        <v>9</v>
      </c>
      <c r="D7" s="138">
        <f t="shared" si="0"/>
        <v>10</v>
      </c>
      <c r="E7" s="138">
        <f t="shared" si="0"/>
        <v>11</v>
      </c>
      <c r="F7" s="138">
        <f t="shared" si="0"/>
        <v>12</v>
      </c>
      <c r="G7" s="138">
        <f t="shared" si="0"/>
        <v>1</v>
      </c>
      <c r="H7" s="138">
        <f t="shared" si="0"/>
        <v>2</v>
      </c>
      <c r="I7" s="138">
        <f t="shared" si="0"/>
        <v>3</v>
      </c>
      <c r="J7" s="138">
        <f t="shared" si="0"/>
        <v>4</v>
      </c>
      <c r="K7" s="138">
        <f t="shared" si="0"/>
        <v>5</v>
      </c>
      <c r="L7" s="138">
        <f t="shared" si="0"/>
        <v>6</v>
      </c>
      <c r="M7" s="138">
        <f t="shared" si="0"/>
        <v>7</v>
      </c>
      <c r="N7" s="139"/>
      <c r="O7" s="133"/>
      <c r="P7" s="134"/>
      <c r="Q7" s="135"/>
      <c r="R7" s="136"/>
    </row>
    <row r="8" spans="1:18" s="146" customFormat="1">
      <c r="A8" s="140" t="s">
        <v>492</v>
      </c>
      <c r="B8" s="141">
        <v>44774</v>
      </c>
      <c r="C8" s="141">
        <f>EOMONTH(B8, 0)+1</f>
        <v>44805</v>
      </c>
      <c r="D8" s="141">
        <f t="shared" ref="D8:M8" si="1">EOMONTH(C8, 0)+1</f>
        <v>44835</v>
      </c>
      <c r="E8" s="141">
        <f t="shared" si="1"/>
        <v>44866</v>
      </c>
      <c r="F8" s="141">
        <f t="shared" si="1"/>
        <v>44896</v>
      </c>
      <c r="G8" s="141">
        <f t="shared" si="1"/>
        <v>44927</v>
      </c>
      <c r="H8" s="141">
        <f t="shared" si="1"/>
        <v>44958</v>
      </c>
      <c r="I8" s="141">
        <f t="shared" si="1"/>
        <v>44986</v>
      </c>
      <c r="J8" s="141">
        <f t="shared" si="1"/>
        <v>45017</v>
      </c>
      <c r="K8" s="141">
        <f t="shared" si="1"/>
        <v>45047</v>
      </c>
      <c r="L8" s="141">
        <f t="shared" si="1"/>
        <v>45078</v>
      </c>
      <c r="M8" s="141">
        <f t="shared" si="1"/>
        <v>45108</v>
      </c>
      <c r="N8" s="142" t="s">
        <v>493</v>
      </c>
      <c r="O8" s="133"/>
      <c r="P8" s="143"/>
      <c r="Q8" s="144"/>
      <c r="R8" s="145"/>
    </row>
    <row r="9" spans="1:18">
      <c r="A9" s="147" t="s">
        <v>494</v>
      </c>
      <c r="B9" s="148">
        <v>541.85000000000014</v>
      </c>
      <c r="C9" s="148">
        <v>405.5200000000001</v>
      </c>
      <c r="D9" s="148">
        <v>471.04</v>
      </c>
      <c r="E9" s="148">
        <v>431.74000000000018</v>
      </c>
      <c r="F9" s="148">
        <v>397.81000000000017</v>
      </c>
      <c r="G9" s="148">
        <v>422.45999999999987</v>
      </c>
      <c r="H9" s="148">
        <v>466.29999999999984</v>
      </c>
      <c r="I9" s="148">
        <v>478.7399999999999</v>
      </c>
      <c r="J9" s="148">
        <v>373.70000000000005</v>
      </c>
      <c r="K9" s="148">
        <v>503.65999999999991</v>
      </c>
      <c r="L9" s="148">
        <v>445.02999999999986</v>
      </c>
      <c r="M9" s="148">
        <v>375.76000000000016</v>
      </c>
      <c r="N9" s="149">
        <f>SUM(B9:M9)</f>
        <v>5313.6100000000006</v>
      </c>
      <c r="O9" s="133"/>
      <c r="P9" s="134"/>
      <c r="Q9" s="135"/>
      <c r="R9" s="136"/>
    </row>
    <row r="10" spans="1:18">
      <c r="A10" s="147" t="s">
        <v>495</v>
      </c>
      <c r="B10" s="148">
        <v>300.90999999999997</v>
      </c>
      <c r="C10" s="148">
        <v>291.12</v>
      </c>
      <c r="D10" s="148">
        <v>219.54999999999995</v>
      </c>
      <c r="E10" s="148">
        <v>264.44</v>
      </c>
      <c r="F10" s="148">
        <v>228.13</v>
      </c>
      <c r="G10" s="148">
        <v>260.38</v>
      </c>
      <c r="H10" s="148">
        <v>233.93</v>
      </c>
      <c r="I10" s="148">
        <v>277.08000000000004</v>
      </c>
      <c r="J10" s="148">
        <v>245.86</v>
      </c>
      <c r="K10" s="148">
        <v>311.71999999999997</v>
      </c>
      <c r="L10" s="148">
        <v>330.77</v>
      </c>
      <c r="M10" s="148">
        <v>265.24999999999989</v>
      </c>
      <c r="N10" s="149">
        <f>SUM(B10:M10)</f>
        <v>3229.1400000000003</v>
      </c>
      <c r="O10" s="133"/>
      <c r="P10" s="134"/>
      <c r="Q10" s="135"/>
      <c r="R10" s="136"/>
    </row>
    <row r="11" spans="1:18" s="152" customFormat="1">
      <c r="A11" s="147" t="s">
        <v>496</v>
      </c>
      <c r="B11" s="150">
        <v>144.99</v>
      </c>
      <c r="C11" s="150">
        <v>144.99</v>
      </c>
      <c r="D11" s="150">
        <v>144.99</v>
      </c>
      <c r="E11" s="150">
        <v>144.99</v>
      </c>
      <c r="F11" s="150">
        <v>144.99</v>
      </c>
      <c r="G11" s="150">
        <v>144.99</v>
      </c>
      <c r="H11" s="150">
        <v>144.99</v>
      </c>
      <c r="I11" s="150">
        <v>144.99</v>
      </c>
      <c r="J11" s="150">
        <v>144.99</v>
      </c>
      <c r="K11" s="150">
        <v>144.99</v>
      </c>
      <c r="L11" s="150">
        <v>144.99</v>
      </c>
      <c r="M11" s="150">
        <v>144.99</v>
      </c>
      <c r="N11" s="139"/>
      <c r="O11" s="133"/>
      <c r="P11" s="151"/>
      <c r="Q11" s="135"/>
      <c r="R11" s="136"/>
    </row>
    <row r="12" spans="1:18" s="152" customFormat="1">
      <c r="A12" s="147" t="s">
        <v>497</v>
      </c>
      <c r="B12" s="153">
        <f t="shared" ref="B12:I12" si="2">ROUND(SUM(B9:B10)*B11,2)</f>
        <v>122191.77</v>
      </c>
      <c r="C12" s="153">
        <f t="shared" si="2"/>
        <v>101005.83</v>
      </c>
      <c r="D12" s="153">
        <f t="shared" si="2"/>
        <v>100128.64</v>
      </c>
      <c r="E12" s="153">
        <f t="shared" si="2"/>
        <v>100939.14</v>
      </c>
      <c r="F12" s="153">
        <f t="shared" si="2"/>
        <v>90755.04</v>
      </c>
      <c r="G12" s="153">
        <f t="shared" si="2"/>
        <v>99004.97</v>
      </c>
      <c r="H12" s="153">
        <f t="shared" si="2"/>
        <v>101526.35</v>
      </c>
      <c r="I12" s="153">
        <f t="shared" si="2"/>
        <v>109586.34</v>
      </c>
      <c r="J12" s="153">
        <f>ROUND(SUM(J9:J10)*J11,2)</f>
        <v>89830</v>
      </c>
      <c r="K12" s="153">
        <f>ROUND(SUM(K9:K10)*K11,2)</f>
        <v>118221.95</v>
      </c>
      <c r="L12" s="153">
        <f>ROUND(SUM(L9:L10)*L11,2)</f>
        <v>112483.24</v>
      </c>
      <c r="M12" s="153">
        <f>ROUND(SUM(M9:M10)*M11,2)</f>
        <v>92940.04</v>
      </c>
      <c r="N12" s="154">
        <f>SUM(B12:M12)</f>
        <v>1238613.31</v>
      </c>
      <c r="O12" s="133"/>
      <c r="P12" s="151"/>
      <c r="Q12" s="135"/>
      <c r="R12" s="136"/>
    </row>
    <row r="13" spans="1:18" s="152" customFormat="1">
      <c r="A13" s="147" t="s">
        <v>498</v>
      </c>
      <c r="B13" s="153">
        <f>B9*B11</f>
        <v>78562.831500000029</v>
      </c>
      <c r="C13" s="153">
        <f t="shared" ref="C13:M13" si="3">C9*C11</f>
        <v>58796.344800000021</v>
      </c>
      <c r="D13" s="153">
        <f t="shared" si="3"/>
        <v>68296.089600000007</v>
      </c>
      <c r="E13" s="153">
        <f t="shared" si="3"/>
        <v>62597.982600000032</v>
      </c>
      <c r="F13" s="153">
        <f t="shared" si="3"/>
        <v>57678.471900000026</v>
      </c>
      <c r="G13" s="153">
        <f t="shared" si="3"/>
        <v>61252.475399999981</v>
      </c>
      <c r="H13" s="153">
        <f t="shared" si="3"/>
        <v>67608.836999999985</v>
      </c>
      <c r="I13" s="153">
        <f t="shared" si="3"/>
        <v>69412.512599999987</v>
      </c>
      <c r="J13" s="153">
        <f t="shared" si="3"/>
        <v>54182.763000000014</v>
      </c>
      <c r="K13" s="153">
        <f t="shared" si="3"/>
        <v>73025.66339999999</v>
      </c>
      <c r="L13" s="153">
        <f t="shared" si="3"/>
        <v>64524.899699999987</v>
      </c>
      <c r="M13" s="153">
        <f t="shared" si="3"/>
        <v>54481.442400000029</v>
      </c>
      <c r="N13" s="154">
        <f>SUM(B13:M13)</f>
        <v>770420.31390000007</v>
      </c>
      <c r="O13" s="133"/>
      <c r="P13" s="151"/>
      <c r="Q13" s="135"/>
      <c r="R13" s="136"/>
    </row>
    <row r="14" spans="1:18" s="152" customFormat="1">
      <c r="A14" s="147" t="s">
        <v>499</v>
      </c>
      <c r="B14" s="153">
        <f>B10*B11</f>
        <v>43628.940900000001</v>
      </c>
      <c r="C14" s="153">
        <f t="shared" ref="C14:M14" si="4">C10*C11</f>
        <v>42209.488800000006</v>
      </c>
      <c r="D14" s="153">
        <f t="shared" si="4"/>
        <v>31832.554499999995</v>
      </c>
      <c r="E14" s="153">
        <f t="shared" si="4"/>
        <v>38341.155600000006</v>
      </c>
      <c r="F14" s="153">
        <f t="shared" si="4"/>
        <v>33076.568700000003</v>
      </c>
      <c r="G14" s="153">
        <f t="shared" si="4"/>
        <v>37752.496200000001</v>
      </c>
      <c r="H14" s="153">
        <f t="shared" si="4"/>
        <v>33917.510700000006</v>
      </c>
      <c r="I14" s="153">
        <f t="shared" si="4"/>
        <v>40173.829200000007</v>
      </c>
      <c r="J14" s="153">
        <f t="shared" si="4"/>
        <v>35647.241400000006</v>
      </c>
      <c r="K14" s="153">
        <f t="shared" si="4"/>
        <v>45196.282800000001</v>
      </c>
      <c r="L14" s="153">
        <f t="shared" si="4"/>
        <v>47958.342300000004</v>
      </c>
      <c r="M14" s="153">
        <f t="shared" si="4"/>
        <v>38458.597499999989</v>
      </c>
      <c r="N14" s="154">
        <f>SUM(B14:M14)</f>
        <v>468193.0086</v>
      </c>
      <c r="O14" s="133"/>
      <c r="P14" s="151"/>
      <c r="Q14" s="135"/>
      <c r="R14" s="136"/>
    </row>
    <row r="15" spans="1:18">
      <c r="A15" s="137"/>
      <c r="B15" s="134"/>
      <c r="C15" s="134"/>
      <c r="D15" s="134"/>
      <c r="E15" s="134"/>
      <c r="F15" s="155"/>
      <c r="G15" s="155"/>
      <c r="H15" s="155"/>
      <c r="I15" s="155"/>
      <c r="J15" s="155"/>
      <c r="K15" s="155"/>
      <c r="L15" s="155"/>
      <c r="M15" s="155"/>
      <c r="N15" s="139">
        <f>SUM(N13:N14)-N12</f>
        <v>1.2499999953433871E-2</v>
      </c>
      <c r="O15" s="133"/>
      <c r="P15" s="151"/>
      <c r="Q15" s="135"/>
      <c r="R15" s="136"/>
    </row>
    <row r="16" spans="1:18">
      <c r="A16" s="140" t="s">
        <v>500</v>
      </c>
      <c r="B16" s="156"/>
      <c r="C16" s="156"/>
      <c r="D16" s="156"/>
      <c r="E16" s="156"/>
      <c r="F16" s="157"/>
      <c r="G16" s="157"/>
      <c r="H16" s="157"/>
      <c r="I16" s="157"/>
      <c r="J16" s="157"/>
      <c r="K16" s="157"/>
      <c r="L16" s="157"/>
      <c r="M16" s="157"/>
      <c r="N16" s="139"/>
      <c r="O16" s="133"/>
      <c r="P16" s="151" t="s">
        <v>501</v>
      </c>
      <c r="Q16" s="135"/>
      <c r="R16" s="136"/>
    </row>
    <row r="17" spans="1:19">
      <c r="A17" s="147" t="s">
        <v>502</v>
      </c>
      <c r="B17" s="148">
        <v>793.43999999999994</v>
      </c>
      <c r="C17" s="148">
        <v>760.06</v>
      </c>
      <c r="D17" s="148">
        <v>678.39</v>
      </c>
      <c r="E17" s="148">
        <v>786.67</v>
      </c>
      <c r="F17" s="148">
        <v>669.81</v>
      </c>
      <c r="G17" s="148">
        <v>746.18000000000018</v>
      </c>
      <c r="H17" s="148">
        <v>605.06999999999994</v>
      </c>
      <c r="I17" s="148">
        <v>740.9</v>
      </c>
      <c r="J17" s="148">
        <v>668.68</v>
      </c>
      <c r="K17" s="148">
        <v>814.09</v>
      </c>
      <c r="L17" s="148">
        <v>783.44</v>
      </c>
      <c r="M17" s="148">
        <v>767.98</v>
      </c>
      <c r="N17" s="149">
        <f>SUM(B17:M17)</f>
        <v>8814.7099999999991</v>
      </c>
      <c r="O17" s="133"/>
      <c r="P17" s="151" t="s">
        <v>503</v>
      </c>
      <c r="Q17" s="158"/>
      <c r="R17" s="136"/>
    </row>
    <row r="18" spans="1:19">
      <c r="A18" s="147" t="s">
        <v>504</v>
      </c>
      <c r="B18" s="148">
        <v>429.2700000000001</v>
      </c>
      <c r="C18" s="148">
        <v>382.79000000000013</v>
      </c>
      <c r="D18" s="148">
        <v>374.55999999999995</v>
      </c>
      <c r="E18" s="148">
        <v>406.78000000000003</v>
      </c>
      <c r="F18" s="148">
        <v>323.73400000000004</v>
      </c>
      <c r="G18" s="148">
        <v>363.22</v>
      </c>
      <c r="H18" s="148">
        <v>319.13</v>
      </c>
      <c r="I18" s="148">
        <v>395.67999999999995</v>
      </c>
      <c r="J18" s="148">
        <v>333.35</v>
      </c>
      <c r="K18" s="148">
        <v>405.58</v>
      </c>
      <c r="L18" s="148">
        <v>411.63</v>
      </c>
      <c r="M18" s="148">
        <v>390.25999999999988</v>
      </c>
      <c r="N18" s="149">
        <f>SUM(B18:M18)</f>
        <v>4535.9840000000004</v>
      </c>
      <c r="O18" s="133"/>
      <c r="P18" s="151" t="s">
        <v>505</v>
      </c>
      <c r="Q18" s="159">
        <f>+N23+N24</f>
        <v>1935717.1230600001</v>
      </c>
      <c r="R18" s="136">
        <f>+Q18/$Q$21</f>
        <v>0.46798352438724622</v>
      </c>
    </row>
    <row r="19" spans="1:19">
      <c r="A19" s="147" t="s">
        <v>495</v>
      </c>
      <c r="B19" s="148">
        <v>512.4</v>
      </c>
      <c r="C19" s="148">
        <v>456.03999999999996</v>
      </c>
      <c r="D19" s="148">
        <v>398.87</v>
      </c>
      <c r="E19" s="148">
        <v>401.27</v>
      </c>
      <c r="F19" s="148">
        <v>369.43</v>
      </c>
      <c r="G19" s="148">
        <v>428.95000000000005</v>
      </c>
      <c r="H19" s="148">
        <v>348.78</v>
      </c>
      <c r="I19" s="148">
        <v>406.56999999999994</v>
      </c>
      <c r="J19" s="148">
        <v>368.53</v>
      </c>
      <c r="K19" s="148">
        <v>449.20999999999992</v>
      </c>
      <c r="L19" s="148">
        <v>438.65</v>
      </c>
      <c r="M19" s="148">
        <v>431.19999999999993</v>
      </c>
      <c r="N19" s="149">
        <f>SUM(B19:M19)</f>
        <v>5009.8999999999987</v>
      </c>
      <c r="O19" s="133"/>
      <c r="P19" s="151" t="s">
        <v>506</v>
      </c>
      <c r="Q19" s="159">
        <f>+N47+N48</f>
        <v>899285.58700000017</v>
      </c>
      <c r="R19" s="136">
        <f>+Q19/$Q$21</f>
        <v>0.21741339859081713</v>
      </c>
    </row>
    <row r="20" spans="1:19" s="152" customFormat="1">
      <c r="A20" s="147" t="s">
        <v>496</v>
      </c>
      <c r="B20" s="160">
        <v>144.99</v>
      </c>
      <c r="C20" s="160">
        <v>144.99</v>
      </c>
      <c r="D20" s="160">
        <v>144.99</v>
      </c>
      <c r="E20" s="160">
        <v>144.99</v>
      </c>
      <c r="F20" s="160">
        <v>144.99</v>
      </c>
      <c r="G20" s="160">
        <v>144.99</v>
      </c>
      <c r="H20" s="160">
        <v>144.99</v>
      </c>
      <c r="I20" s="160">
        <v>144.99</v>
      </c>
      <c r="J20" s="160">
        <v>144.99</v>
      </c>
      <c r="K20" s="160">
        <v>144.99</v>
      </c>
      <c r="L20" s="160">
        <v>144.99</v>
      </c>
      <c r="M20" s="160">
        <v>144.99</v>
      </c>
      <c r="N20" s="139"/>
      <c r="O20" s="133"/>
      <c r="P20" s="151" t="s">
        <v>507</v>
      </c>
      <c r="Q20" s="161">
        <f>+N25+N49</f>
        <v>1301290.6041000001</v>
      </c>
      <c r="R20" s="136">
        <f>+Q20/$Q$21</f>
        <v>0.31460307702193663</v>
      </c>
    </row>
    <row r="21" spans="1:19" s="152" customFormat="1">
      <c r="A21" s="147" t="s">
        <v>497</v>
      </c>
      <c r="B21" s="162">
        <f>ROUND(SUM(B17:B19)*B20,2)</f>
        <v>251573.6</v>
      </c>
      <c r="C21" s="162">
        <f>ROUND(SUM(C17:C19)*C20,2)</f>
        <v>231823.06</v>
      </c>
      <c r="D21" s="162">
        <f>ROUND(SUM(D17:D19)*D20,2)</f>
        <v>210499.38</v>
      </c>
      <c r="E21" s="162">
        <f>ROUND(SUM(E17:E19)*E20,2)</f>
        <v>231218.45</v>
      </c>
      <c r="F21" s="162">
        <f>ROUND(SUM(F17:F19)*F20,2)</f>
        <v>197617.6</v>
      </c>
      <c r="G21" s="162">
        <f t="shared" ref="G21:L21" si="5">ROUND(SUM(G17:G19)*G20,2)</f>
        <v>223045.37</v>
      </c>
      <c r="H21" s="162">
        <f>ROUND(SUM(H17:H19)*H20,2)</f>
        <v>184569.37</v>
      </c>
      <c r="I21" s="162">
        <f t="shared" si="5"/>
        <v>223741.32</v>
      </c>
      <c r="J21" s="162">
        <f t="shared" si="5"/>
        <v>198717.49</v>
      </c>
      <c r="K21" s="162">
        <f t="shared" si="5"/>
        <v>241970.91</v>
      </c>
      <c r="L21" s="162">
        <f t="shared" si="5"/>
        <v>236873.06</v>
      </c>
      <c r="M21" s="162">
        <f>ROUND(SUM(M17:M19)*M20,2)</f>
        <v>230452.91</v>
      </c>
      <c r="N21" s="154">
        <f>SUM(B21:M21)</f>
        <v>2662102.5200000005</v>
      </c>
      <c r="O21" s="133"/>
      <c r="P21" s="151"/>
      <c r="Q21" s="159">
        <f>+SUM(Q18:Q20)</f>
        <v>4136293.3141600005</v>
      </c>
      <c r="R21" s="136"/>
    </row>
    <row r="22" spans="1:19" s="152" customFormat="1">
      <c r="A22" s="147"/>
      <c r="B22" s="163"/>
      <c r="C22" s="163"/>
      <c r="D22" s="163"/>
      <c r="E22" s="163"/>
      <c r="F22" s="164"/>
      <c r="G22" s="164"/>
      <c r="H22" s="164"/>
      <c r="I22" s="164"/>
      <c r="J22" s="164"/>
      <c r="K22" s="164"/>
      <c r="L22" s="164"/>
      <c r="M22" s="164"/>
      <c r="N22" s="154"/>
      <c r="O22" s="133"/>
      <c r="P22" s="165"/>
      <c r="Q22" s="159">
        <f>+Q21-N58</f>
        <v>-5.8399992994964123E-3</v>
      </c>
      <c r="R22" s="136"/>
    </row>
    <row r="23" spans="1:19" s="152" customFormat="1">
      <c r="A23" s="147" t="s">
        <v>508</v>
      </c>
      <c r="B23" s="166">
        <f t="shared" ref="B23:M24" si="6">B17*B$20</f>
        <v>115040.8656</v>
      </c>
      <c r="C23" s="166">
        <f t="shared" si="6"/>
        <v>110201.09939999999</v>
      </c>
      <c r="D23" s="166">
        <f t="shared" si="6"/>
        <v>98359.766100000008</v>
      </c>
      <c r="E23" s="166">
        <f t="shared" si="6"/>
        <v>114059.2833</v>
      </c>
      <c r="F23" s="166">
        <f t="shared" si="6"/>
        <v>97115.751900000003</v>
      </c>
      <c r="G23" s="166">
        <f t="shared" si="6"/>
        <v>108188.63820000003</v>
      </c>
      <c r="H23" s="166">
        <f t="shared" si="6"/>
        <v>87729.099300000002</v>
      </c>
      <c r="I23" s="166">
        <f t="shared" si="6"/>
        <v>107423.091</v>
      </c>
      <c r="J23" s="166">
        <f t="shared" si="6"/>
        <v>96951.913199999995</v>
      </c>
      <c r="K23" s="166">
        <f t="shared" si="6"/>
        <v>118034.90910000002</v>
      </c>
      <c r="L23" s="166">
        <f t="shared" si="6"/>
        <v>113590.96560000001</v>
      </c>
      <c r="M23" s="166">
        <f t="shared" si="6"/>
        <v>111349.42020000001</v>
      </c>
      <c r="N23" s="154">
        <f>SUM(B23:M23)</f>
        <v>1278044.8029</v>
      </c>
      <c r="O23" s="133"/>
      <c r="P23" s="167"/>
      <c r="Q23" s="135"/>
      <c r="R23" s="136"/>
    </row>
    <row r="24" spans="1:19" s="152" customFormat="1">
      <c r="A24" s="147" t="s">
        <v>509</v>
      </c>
      <c r="B24" s="166">
        <f>B18*B$20</f>
        <v>62239.857300000018</v>
      </c>
      <c r="C24" s="166">
        <f t="shared" si="6"/>
        <v>55500.722100000021</v>
      </c>
      <c r="D24" s="166">
        <f t="shared" si="6"/>
        <v>54307.454399999995</v>
      </c>
      <c r="E24" s="166">
        <f t="shared" si="6"/>
        <v>58979.032200000009</v>
      </c>
      <c r="F24" s="166">
        <f t="shared" si="6"/>
        <v>46938.192660000008</v>
      </c>
      <c r="G24" s="166">
        <f t="shared" si="6"/>
        <v>52663.267800000009</v>
      </c>
      <c r="H24" s="166">
        <f t="shared" si="6"/>
        <v>46270.6587</v>
      </c>
      <c r="I24" s="166">
        <f t="shared" si="6"/>
        <v>57369.643199999999</v>
      </c>
      <c r="J24" s="166">
        <f t="shared" si="6"/>
        <v>48332.416500000007</v>
      </c>
      <c r="K24" s="166">
        <f t="shared" si="6"/>
        <v>58805.044200000004</v>
      </c>
      <c r="L24" s="166">
        <f t="shared" si="6"/>
        <v>59682.233700000004</v>
      </c>
      <c r="M24" s="166">
        <f t="shared" si="6"/>
        <v>56583.797399999989</v>
      </c>
      <c r="N24" s="154">
        <f>SUM(B24:M24)</f>
        <v>657672.32016000012</v>
      </c>
      <c r="O24" s="133"/>
      <c r="P24" s="167"/>
      <c r="Q24" s="135"/>
      <c r="R24" s="136"/>
    </row>
    <row r="25" spans="1:19" s="152" customFormat="1">
      <c r="A25" s="147" t="s">
        <v>499</v>
      </c>
      <c r="B25" s="166">
        <f>B19*B$20</f>
        <v>74292.876000000004</v>
      </c>
      <c r="C25" s="166">
        <f>C19*C$20</f>
        <v>66121.239600000001</v>
      </c>
      <c r="D25" s="166">
        <f>D19*D$20</f>
        <v>57832.161300000007</v>
      </c>
      <c r="E25" s="166">
        <f>E19*E$20</f>
        <v>58180.137300000002</v>
      </c>
      <c r="F25" s="166">
        <f>F19*$F$20</f>
        <v>53563.655700000003</v>
      </c>
      <c r="G25" s="166">
        <f t="shared" ref="G25:M25" si="7">G19*$F$20</f>
        <v>62193.460500000008</v>
      </c>
      <c r="H25" s="166">
        <f t="shared" si="7"/>
        <v>50569.612199999996</v>
      </c>
      <c r="I25" s="166">
        <f t="shared" si="7"/>
        <v>58948.584299999995</v>
      </c>
      <c r="J25" s="166">
        <f t="shared" si="7"/>
        <v>53433.164700000001</v>
      </c>
      <c r="K25" s="166">
        <f t="shared" si="7"/>
        <v>65130.957899999994</v>
      </c>
      <c r="L25" s="166">
        <f t="shared" si="7"/>
        <v>63599.863499999999</v>
      </c>
      <c r="M25" s="166">
        <f t="shared" si="7"/>
        <v>62519.687999999995</v>
      </c>
      <c r="N25" s="154">
        <f>SUM(B25:M25)</f>
        <v>726385.40099999995</v>
      </c>
      <c r="O25" s="133"/>
      <c r="P25" s="167"/>
      <c r="Q25" s="168"/>
      <c r="R25" s="136"/>
      <c r="S25" s="120"/>
    </row>
    <row r="26" spans="1:19">
      <c r="A26" s="137"/>
      <c r="B26" s="134"/>
      <c r="C26" s="134"/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9">
        <f>SUM(N23:N25)-N21</f>
        <v>4.0599997155368328E-3</v>
      </c>
      <c r="O26" s="133"/>
      <c r="P26" s="167"/>
      <c r="Q26" s="168"/>
      <c r="R26" s="136"/>
      <c r="S26" s="146"/>
    </row>
    <row r="27" spans="1:19" s="146" customFormat="1">
      <c r="A27" s="140" t="s">
        <v>510</v>
      </c>
      <c r="B27" s="169">
        <f>B12+B21</f>
        <v>373765.37</v>
      </c>
      <c r="C27" s="169">
        <f t="shared" ref="C27:M27" si="8">C12+C21</f>
        <v>332828.89</v>
      </c>
      <c r="D27" s="169">
        <f t="shared" si="8"/>
        <v>310628.02</v>
      </c>
      <c r="E27" s="169">
        <f t="shared" si="8"/>
        <v>332157.59000000003</v>
      </c>
      <c r="F27" s="169">
        <f t="shared" si="8"/>
        <v>288372.64</v>
      </c>
      <c r="G27" s="169">
        <f t="shared" si="8"/>
        <v>322050.33999999997</v>
      </c>
      <c r="H27" s="169">
        <f t="shared" si="8"/>
        <v>286095.71999999997</v>
      </c>
      <c r="I27" s="169">
        <f t="shared" si="8"/>
        <v>333327.66000000003</v>
      </c>
      <c r="J27" s="169">
        <f t="shared" si="8"/>
        <v>288547.49</v>
      </c>
      <c r="K27" s="169">
        <f t="shared" si="8"/>
        <v>360192.86</v>
      </c>
      <c r="L27" s="169">
        <f t="shared" si="8"/>
        <v>349356.3</v>
      </c>
      <c r="M27" s="169">
        <f t="shared" si="8"/>
        <v>323392.95</v>
      </c>
      <c r="N27" s="170">
        <f>SUM(B27:M27)</f>
        <v>3900715.8300000005</v>
      </c>
      <c r="O27" s="133"/>
      <c r="P27" s="167"/>
      <c r="Q27" s="168"/>
      <c r="R27" s="136"/>
      <c r="S27" s="120"/>
    </row>
    <row r="28" spans="1:19">
      <c r="A28" s="137"/>
      <c r="B28" s="134"/>
      <c r="C28" s="134"/>
      <c r="D28" s="134"/>
      <c r="E28" s="134"/>
      <c r="F28" s="134"/>
      <c r="G28" s="134"/>
      <c r="H28" s="134"/>
      <c r="I28" s="171"/>
      <c r="J28" s="165"/>
      <c r="K28" s="134"/>
      <c r="L28" s="134"/>
      <c r="M28" s="165"/>
      <c r="N28" s="172"/>
      <c r="O28" s="133"/>
      <c r="P28" s="134"/>
      <c r="Q28" s="168"/>
      <c r="R28" s="136"/>
    </row>
    <row r="29" spans="1:19" ht="15.75" thickBot="1">
      <c r="A29" s="137"/>
      <c r="B29" s="134"/>
      <c r="C29" s="134"/>
      <c r="D29" s="134"/>
      <c r="E29" s="134"/>
      <c r="F29" s="134"/>
      <c r="G29" s="134"/>
      <c r="H29" s="134"/>
      <c r="I29" s="171"/>
      <c r="J29" s="134"/>
      <c r="K29" s="134"/>
      <c r="L29" s="134"/>
      <c r="M29" s="134"/>
      <c r="N29" s="172"/>
      <c r="O29" s="133"/>
      <c r="P29" s="173"/>
      <c r="Q29" s="174"/>
      <c r="R29" s="145"/>
    </row>
    <row r="30" spans="1:19">
      <c r="A30" s="128" t="s">
        <v>511</v>
      </c>
      <c r="B30" s="129"/>
      <c r="C30" s="129"/>
      <c r="D30" s="129"/>
      <c r="E30" s="129"/>
      <c r="F30" s="175"/>
      <c r="G30" s="130"/>
      <c r="H30" s="130"/>
      <c r="I30" s="130"/>
      <c r="J30" s="130"/>
      <c r="K30" s="130"/>
      <c r="L30" s="130"/>
      <c r="M30" s="130"/>
      <c r="N30" s="132"/>
      <c r="O30" s="133"/>
      <c r="P30" s="176"/>
      <c r="Q30" s="176"/>
      <c r="R30" s="177"/>
    </row>
    <row r="31" spans="1:19">
      <c r="A31" s="137"/>
      <c r="B31" s="134"/>
      <c r="C31" s="134"/>
      <c r="D31" s="134"/>
      <c r="E31" s="134"/>
      <c r="F31" s="165"/>
      <c r="G31" s="134"/>
      <c r="H31" s="134"/>
      <c r="I31" s="134"/>
      <c r="J31" s="134"/>
      <c r="K31" s="134"/>
      <c r="L31" s="134"/>
      <c r="M31" s="134"/>
      <c r="N31" s="139"/>
      <c r="O31" s="133"/>
      <c r="P31" s="176"/>
      <c r="Q31" s="176"/>
      <c r="R31" s="177"/>
      <c r="S31" s="146"/>
    </row>
    <row r="32" spans="1:19" s="146" customFormat="1">
      <c r="A32" s="140" t="s">
        <v>492</v>
      </c>
      <c r="B32" s="141">
        <v>43466</v>
      </c>
      <c r="C32" s="141">
        <v>43497</v>
      </c>
      <c r="D32" s="141">
        <v>43525</v>
      </c>
      <c r="E32" s="141">
        <v>43556</v>
      </c>
      <c r="F32" s="141">
        <v>43586</v>
      </c>
      <c r="G32" s="141">
        <v>43617</v>
      </c>
      <c r="H32" s="141">
        <v>43647</v>
      </c>
      <c r="I32" s="141">
        <v>43678</v>
      </c>
      <c r="J32" s="141">
        <v>43709</v>
      </c>
      <c r="K32" s="141">
        <v>43739</v>
      </c>
      <c r="L32" s="141">
        <v>43770</v>
      </c>
      <c r="M32" s="141">
        <v>43800</v>
      </c>
      <c r="N32" s="142" t="s">
        <v>493</v>
      </c>
      <c r="O32" s="133"/>
      <c r="P32" s="176"/>
      <c r="Q32" s="176"/>
      <c r="R32" s="177"/>
      <c r="S32" s="120"/>
    </row>
    <row r="33" spans="1:19">
      <c r="A33" s="147" t="s">
        <v>494</v>
      </c>
      <c r="B33" s="148">
        <v>188.76</v>
      </c>
      <c r="C33" s="148">
        <v>139.12999999999997</v>
      </c>
      <c r="D33" s="148">
        <v>137.01</v>
      </c>
      <c r="E33" s="148">
        <v>131.32999999999998</v>
      </c>
      <c r="F33" s="148">
        <v>121.60000000000002</v>
      </c>
      <c r="G33" s="148">
        <v>162.07999999999998</v>
      </c>
      <c r="H33" s="148">
        <v>73.81</v>
      </c>
      <c r="I33" s="148">
        <v>102.08</v>
      </c>
      <c r="J33" s="148">
        <v>83.59999999999998</v>
      </c>
      <c r="K33" s="148">
        <v>135.62999999999994</v>
      </c>
      <c r="L33" s="148">
        <v>128.94</v>
      </c>
      <c r="M33" s="148">
        <v>125.65999999999998</v>
      </c>
      <c r="N33" s="149">
        <f>SUM(B33:M33)</f>
        <v>1529.6299999999999</v>
      </c>
      <c r="O33" s="133"/>
      <c r="P33" s="176"/>
      <c r="Q33" s="176"/>
      <c r="R33" s="177"/>
    </row>
    <row r="34" spans="1:19" ht="15.75" thickBot="1">
      <c r="A34" s="147" t="s">
        <v>495</v>
      </c>
      <c r="B34" s="148">
        <v>115.17000000000002</v>
      </c>
      <c r="C34" s="148">
        <v>58.059999999999988</v>
      </c>
      <c r="D34" s="148">
        <v>85.080000000000013</v>
      </c>
      <c r="E34" s="148">
        <v>64.13</v>
      </c>
      <c r="F34" s="148">
        <v>91.14</v>
      </c>
      <c r="G34" s="148">
        <v>102.09999999999998</v>
      </c>
      <c r="H34" s="148">
        <v>70.619999999999976</v>
      </c>
      <c r="I34" s="148">
        <v>107.66</v>
      </c>
      <c r="J34" s="148">
        <v>113.08000000000001</v>
      </c>
      <c r="K34" s="148">
        <v>89.55</v>
      </c>
      <c r="L34" s="148">
        <v>89.65000000000002</v>
      </c>
      <c r="M34" s="148">
        <v>80.929999999999993</v>
      </c>
      <c r="N34" s="149">
        <f>SUM(B34:M34)</f>
        <v>1067.17</v>
      </c>
      <c r="O34" s="133"/>
      <c r="P34" s="151" t="s">
        <v>512</v>
      </c>
      <c r="Q34" s="158"/>
      <c r="R34" s="177"/>
      <c r="S34" s="152"/>
    </row>
    <row r="35" spans="1:19" s="152" customFormat="1">
      <c r="A35" s="147" t="s">
        <v>496</v>
      </c>
      <c r="B35" s="150">
        <v>157.27000000000001</v>
      </c>
      <c r="C35" s="150">
        <v>157.27000000000001</v>
      </c>
      <c r="D35" s="150">
        <v>157.27000000000001</v>
      </c>
      <c r="E35" s="150">
        <v>157.27000000000001</v>
      </c>
      <c r="F35" s="150">
        <v>157.27000000000001</v>
      </c>
      <c r="G35" s="150">
        <v>157.27000000000001</v>
      </c>
      <c r="H35" s="150">
        <v>157.27000000000001</v>
      </c>
      <c r="I35" s="150">
        <v>157.27000000000001</v>
      </c>
      <c r="J35" s="150">
        <v>157.27000000000001</v>
      </c>
      <c r="K35" s="150">
        <v>157.27000000000001</v>
      </c>
      <c r="L35" s="150">
        <v>157.27000000000001</v>
      </c>
      <c r="M35" s="150">
        <v>157.27000000000001</v>
      </c>
      <c r="N35" s="139"/>
      <c r="O35" s="133"/>
      <c r="P35" s="178" t="s">
        <v>505</v>
      </c>
      <c r="Q35" s="179">
        <f>+N23+N24</f>
        <v>1935717.1230600001</v>
      </c>
      <c r="R35" s="136"/>
    </row>
    <row r="36" spans="1:19" s="152" customFormat="1">
      <c r="A36" s="147" t="s">
        <v>497</v>
      </c>
      <c r="B36" s="162">
        <f>ROUND(SUM(B33:B34)*B35,2)</f>
        <v>47799.07</v>
      </c>
      <c r="C36" s="162">
        <f>ROUND(SUM(C33:C34)*C35,2)</f>
        <v>31012.07</v>
      </c>
      <c r="D36" s="162">
        <f>ROUND(SUM(D33:D34)*D35,2)</f>
        <v>34928.089999999997</v>
      </c>
      <c r="E36" s="162">
        <f>ROUND(SUM(E33:E34)*E35,2)</f>
        <v>30739.99</v>
      </c>
      <c r="F36" s="162">
        <f>ROUND(SUM(F33:F34)*F35,2)</f>
        <v>33457.620000000003</v>
      </c>
      <c r="G36" s="162">
        <f t="shared" ref="G36:M36" si="9">ROUND(SUM(G33:G34)*G35,2)</f>
        <v>41547.589999999997</v>
      </c>
      <c r="H36" s="162">
        <f t="shared" si="9"/>
        <v>22714.51</v>
      </c>
      <c r="I36" s="162">
        <f t="shared" si="9"/>
        <v>32985.81</v>
      </c>
      <c r="J36" s="162">
        <f t="shared" si="9"/>
        <v>30931.86</v>
      </c>
      <c r="K36" s="162">
        <f>ROUND(SUM(K33:K34)*K35,2)</f>
        <v>35414.06</v>
      </c>
      <c r="L36" s="162">
        <f t="shared" si="9"/>
        <v>34377.65</v>
      </c>
      <c r="M36" s="162">
        <f t="shared" si="9"/>
        <v>32490.41</v>
      </c>
      <c r="N36" s="154">
        <f>SUM(B36:M36)</f>
        <v>408398.73</v>
      </c>
      <c r="O36" s="133"/>
      <c r="P36" s="180" t="s">
        <v>506</v>
      </c>
      <c r="Q36" s="181">
        <f>+N47+N48</f>
        <v>899285.58700000017</v>
      </c>
      <c r="R36" s="136"/>
    </row>
    <row r="37" spans="1:19" s="152" customFormat="1">
      <c r="A37" s="147" t="s">
        <v>498</v>
      </c>
      <c r="B37" s="182">
        <f>B33*B35</f>
        <v>29686.285200000002</v>
      </c>
      <c r="C37" s="182">
        <f t="shared" ref="C37:M37" si="10">C33*C35</f>
        <v>21880.975099999996</v>
      </c>
      <c r="D37" s="182">
        <f t="shared" si="10"/>
        <v>21547.562699999999</v>
      </c>
      <c r="E37" s="182">
        <f t="shared" si="10"/>
        <v>20654.269099999998</v>
      </c>
      <c r="F37" s="182">
        <f t="shared" si="10"/>
        <v>19124.032000000007</v>
      </c>
      <c r="G37" s="182">
        <f t="shared" si="10"/>
        <v>25490.321599999999</v>
      </c>
      <c r="H37" s="182">
        <f t="shared" si="10"/>
        <v>11608.0987</v>
      </c>
      <c r="I37" s="182">
        <f t="shared" si="10"/>
        <v>16054.1216</v>
      </c>
      <c r="J37" s="182">
        <f t="shared" si="10"/>
        <v>13147.771999999997</v>
      </c>
      <c r="K37" s="182">
        <f t="shared" si="10"/>
        <v>21330.530099999993</v>
      </c>
      <c r="L37" s="182">
        <f t="shared" si="10"/>
        <v>20278.393800000002</v>
      </c>
      <c r="M37" s="182">
        <f t="shared" si="10"/>
        <v>19762.548199999997</v>
      </c>
      <c r="N37" s="154">
        <f>SUM(B37:M37)</f>
        <v>240564.91009999998</v>
      </c>
      <c r="O37" s="133"/>
      <c r="P37" s="183" t="s">
        <v>513</v>
      </c>
      <c r="Q37" s="181">
        <f>+N73+N81+N97</f>
        <v>652972.24994778936</v>
      </c>
      <c r="R37" s="136"/>
    </row>
    <row r="38" spans="1:19" s="152" customFormat="1">
      <c r="A38" s="147" t="s">
        <v>499</v>
      </c>
      <c r="B38" s="182">
        <f>B34*B35</f>
        <v>18112.785900000003</v>
      </c>
      <c r="C38" s="182">
        <f t="shared" ref="C38:M38" si="11">C34*C35</f>
        <v>9131.0961999999981</v>
      </c>
      <c r="D38" s="182">
        <f t="shared" si="11"/>
        <v>13380.531600000002</v>
      </c>
      <c r="E38" s="182">
        <f t="shared" si="11"/>
        <v>10085.7251</v>
      </c>
      <c r="F38" s="182">
        <f t="shared" si="11"/>
        <v>14333.587800000001</v>
      </c>
      <c r="G38" s="182">
        <f t="shared" si="11"/>
        <v>16057.266999999998</v>
      </c>
      <c r="H38" s="182">
        <f t="shared" si="11"/>
        <v>11106.407399999996</v>
      </c>
      <c r="I38" s="182">
        <f t="shared" si="11"/>
        <v>16931.688200000001</v>
      </c>
      <c r="J38" s="182">
        <f t="shared" si="11"/>
        <v>17784.091600000003</v>
      </c>
      <c r="K38" s="182">
        <f t="shared" si="11"/>
        <v>14083.5285</v>
      </c>
      <c r="L38" s="182">
        <f t="shared" si="11"/>
        <v>14099.255500000005</v>
      </c>
      <c r="M38" s="182">
        <f t="shared" si="11"/>
        <v>12727.8611</v>
      </c>
      <c r="N38" s="154">
        <f>SUM(B38:M38)</f>
        <v>167833.8259</v>
      </c>
      <c r="O38" s="133"/>
      <c r="P38" s="180" t="s">
        <v>507</v>
      </c>
      <c r="Q38" s="184">
        <f>+N25+N49</f>
        <v>1301290.6041000001</v>
      </c>
      <c r="R38" s="136"/>
      <c r="S38" s="120"/>
    </row>
    <row r="39" spans="1:19">
      <c r="A39" s="137"/>
      <c r="B39" s="134"/>
      <c r="C39" s="134"/>
      <c r="D39" s="134"/>
      <c r="E39" s="134"/>
      <c r="F39" s="155"/>
      <c r="G39" s="155"/>
      <c r="H39" s="155"/>
      <c r="I39" s="155"/>
      <c r="J39" s="155"/>
      <c r="K39" s="155"/>
      <c r="L39" s="155"/>
      <c r="M39" s="155"/>
      <c r="N39" s="185">
        <f>SUM(N37:N38)-N36</f>
        <v>5.9999999939464033E-3</v>
      </c>
      <c r="O39" s="133"/>
      <c r="P39" s="186" t="s">
        <v>16</v>
      </c>
      <c r="Q39" s="181">
        <f>SUM(Q35:Q38)</f>
        <v>4789265.5641077897</v>
      </c>
      <c r="R39" s="136"/>
    </row>
    <row r="40" spans="1:19">
      <c r="A40" s="140" t="s">
        <v>500</v>
      </c>
      <c r="B40" s="156"/>
      <c r="C40" s="156"/>
      <c r="D40" s="156"/>
      <c r="E40" s="156"/>
      <c r="F40" s="134"/>
      <c r="G40" s="134"/>
      <c r="H40" s="134"/>
      <c r="I40" s="134"/>
      <c r="J40" s="134"/>
      <c r="K40" s="134"/>
      <c r="L40" s="134"/>
      <c r="M40" s="134"/>
      <c r="N40" s="139"/>
      <c r="O40" s="133"/>
      <c r="P40" s="186"/>
      <c r="Q40" s="187"/>
      <c r="R40" s="136"/>
    </row>
    <row r="41" spans="1:19">
      <c r="A41" s="147" t="s">
        <v>502</v>
      </c>
      <c r="B41" s="148">
        <v>256.07</v>
      </c>
      <c r="C41" s="148">
        <v>225.96000000000004</v>
      </c>
      <c r="D41" s="148">
        <v>215.20999999999998</v>
      </c>
      <c r="E41" s="148">
        <v>254.68000000000004</v>
      </c>
      <c r="F41" s="148">
        <v>195.52</v>
      </c>
      <c r="G41" s="148">
        <v>261.68</v>
      </c>
      <c r="H41" s="148">
        <v>191.42000000000002</v>
      </c>
      <c r="I41" s="148">
        <v>216.86000000000004</v>
      </c>
      <c r="J41" s="148">
        <v>201.20999999999998</v>
      </c>
      <c r="K41" s="148">
        <v>243.57</v>
      </c>
      <c r="L41" s="148">
        <v>246.42</v>
      </c>
      <c r="M41" s="148">
        <v>235.96999999999997</v>
      </c>
      <c r="N41" s="149">
        <f>SUM(B41:M41)</f>
        <v>2744.57</v>
      </c>
      <c r="O41" s="133"/>
      <c r="P41" s="188" t="s">
        <v>514</v>
      </c>
      <c r="Q41" s="189">
        <f>+'[14]Master IS'!E159-'[14]Master IS'!F160-'[14]Master IS'!F161</f>
        <v>4729157.1700000018</v>
      </c>
      <c r="R41" s="136"/>
    </row>
    <row r="42" spans="1:19">
      <c r="A42" s="147" t="s">
        <v>504</v>
      </c>
      <c r="B42" s="148">
        <v>293.12</v>
      </c>
      <c r="C42" s="148">
        <v>243.95</v>
      </c>
      <c r="D42" s="148">
        <v>223.93</v>
      </c>
      <c r="E42" s="148">
        <v>229.19999999999996</v>
      </c>
      <c r="F42" s="148">
        <v>210.23999999999998</v>
      </c>
      <c r="G42" s="148">
        <v>248.44</v>
      </c>
      <c r="H42" s="148">
        <v>213</v>
      </c>
      <c r="I42" s="148">
        <v>264.96999999999997</v>
      </c>
      <c r="J42" s="148">
        <v>239.16999999999996</v>
      </c>
      <c r="K42" s="148">
        <v>281.90999999999997</v>
      </c>
      <c r="L42" s="148">
        <v>263.03000000000003</v>
      </c>
      <c r="M42" s="148">
        <v>262.57</v>
      </c>
      <c r="N42" s="149">
        <f>SUM(B42:M42)</f>
        <v>2973.53</v>
      </c>
      <c r="O42" s="133"/>
      <c r="P42" s="188"/>
      <c r="Q42" s="187"/>
      <c r="R42" s="136"/>
    </row>
    <row r="43" spans="1:19" ht="15.75" thickBot="1">
      <c r="A43" s="147" t="s">
        <v>495</v>
      </c>
      <c r="B43" s="148">
        <v>360.1</v>
      </c>
      <c r="C43" s="148">
        <v>329.72</v>
      </c>
      <c r="D43" s="148">
        <v>287.15999999999997</v>
      </c>
      <c r="E43" s="148">
        <v>283.38</v>
      </c>
      <c r="F43" s="148">
        <v>239.20999999999998</v>
      </c>
      <c r="G43" s="148">
        <v>344.93999999999994</v>
      </c>
      <c r="H43" s="148">
        <v>255.61</v>
      </c>
      <c r="I43" s="148">
        <v>316.94</v>
      </c>
      <c r="J43" s="148">
        <v>283.78999999999996</v>
      </c>
      <c r="K43" s="148">
        <v>315.07000000000005</v>
      </c>
      <c r="L43" s="148">
        <v>312</v>
      </c>
      <c r="M43" s="148">
        <v>327.61</v>
      </c>
      <c r="N43" s="149">
        <f>SUM(B43:M43)</f>
        <v>3655.5300000000007</v>
      </c>
      <c r="O43" s="133"/>
      <c r="P43" s="190" t="s">
        <v>515</v>
      </c>
      <c r="Q43" s="191">
        <f>+Q39-Q41</f>
        <v>60108.39410778787</v>
      </c>
      <c r="R43" s="136">
        <f>+Q43/Q39</f>
        <v>1.2550649635772638E-2</v>
      </c>
      <c r="S43" s="152"/>
    </row>
    <row r="44" spans="1:19" s="152" customFormat="1">
      <c r="A44" s="147" t="s">
        <v>496</v>
      </c>
      <c r="B44" s="182">
        <v>157.27000000000001</v>
      </c>
      <c r="C44" s="182">
        <f>+B44</f>
        <v>157.27000000000001</v>
      </c>
      <c r="D44" s="182">
        <f t="shared" ref="D44:M44" si="12">+C44</f>
        <v>157.27000000000001</v>
      </c>
      <c r="E44" s="182">
        <f t="shared" si="12"/>
        <v>157.27000000000001</v>
      </c>
      <c r="F44" s="182">
        <f t="shared" si="12"/>
        <v>157.27000000000001</v>
      </c>
      <c r="G44" s="182">
        <f t="shared" si="12"/>
        <v>157.27000000000001</v>
      </c>
      <c r="H44" s="182">
        <f t="shared" si="12"/>
        <v>157.27000000000001</v>
      </c>
      <c r="I44" s="182">
        <f t="shared" si="12"/>
        <v>157.27000000000001</v>
      </c>
      <c r="J44" s="182">
        <f t="shared" si="12"/>
        <v>157.27000000000001</v>
      </c>
      <c r="K44" s="182">
        <f t="shared" si="12"/>
        <v>157.27000000000001</v>
      </c>
      <c r="L44" s="182">
        <f t="shared" si="12"/>
        <v>157.27000000000001</v>
      </c>
      <c r="M44" s="182">
        <f t="shared" si="12"/>
        <v>157.27000000000001</v>
      </c>
      <c r="N44" s="139"/>
      <c r="O44" s="133"/>
      <c r="P44" s="134"/>
      <c r="Q44" s="135"/>
      <c r="R44" s="136"/>
    </row>
    <row r="45" spans="1:19" s="152" customFormat="1">
      <c r="A45" s="147" t="s">
        <v>497</v>
      </c>
      <c r="B45" s="162">
        <f t="shared" ref="B45:G45" si="13">ROUND(SUM(B41:B43)*B44,2)</f>
        <v>143004.04</v>
      </c>
      <c r="C45" s="162">
        <f t="shared" si="13"/>
        <v>125757.81</v>
      </c>
      <c r="D45" s="162">
        <f t="shared" si="13"/>
        <v>114225.2</v>
      </c>
      <c r="E45" s="162">
        <f t="shared" si="13"/>
        <v>120666.98</v>
      </c>
      <c r="F45" s="162">
        <f t="shared" si="13"/>
        <v>101434.43</v>
      </c>
      <c r="G45" s="162">
        <f t="shared" si="13"/>
        <v>134475.29</v>
      </c>
      <c r="H45" s="162">
        <f t="shared" ref="H45:M45" si="14">ROUND(SUM(H41:H43)*H44,2)</f>
        <v>103802.92</v>
      </c>
      <c r="I45" s="162">
        <f t="shared" si="14"/>
        <v>125622.56</v>
      </c>
      <c r="J45" s="162">
        <f t="shared" si="14"/>
        <v>113890.22</v>
      </c>
      <c r="K45" s="162">
        <f t="shared" si="14"/>
        <v>132193.29999999999</v>
      </c>
      <c r="L45" s="162">
        <f t="shared" si="14"/>
        <v>129189.44</v>
      </c>
      <c r="M45" s="162">
        <f t="shared" si="14"/>
        <v>129928.61</v>
      </c>
      <c r="N45" s="154">
        <f>SUM(B45:M45)</f>
        <v>1474190.8</v>
      </c>
      <c r="O45" s="133"/>
      <c r="P45" s="134"/>
      <c r="Q45" s="135"/>
      <c r="R45" s="136"/>
    </row>
    <row r="46" spans="1:19" s="152" customFormat="1">
      <c r="A46" s="147"/>
      <c r="B46" s="163"/>
      <c r="C46" s="163"/>
      <c r="D46" s="163"/>
      <c r="E46" s="163"/>
      <c r="F46" s="164"/>
      <c r="G46" s="164"/>
      <c r="H46" s="164"/>
      <c r="I46" s="164"/>
      <c r="J46" s="164"/>
      <c r="K46" s="164"/>
      <c r="L46" s="164"/>
      <c r="M46" s="164"/>
      <c r="N46" s="154"/>
      <c r="O46" s="133"/>
      <c r="P46" s="165"/>
      <c r="Q46" s="135"/>
      <c r="R46" s="136"/>
    </row>
    <row r="47" spans="1:19" s="152" customFormat="1">
      <c r="A47" s="147" t="s">
        <v>508</v>
      </c>
      <c r="B47" s="162">
        <f t="shared" ref="B47:E49" si="15">B41*B$44</f>
        <v>40272.128900000003</v>
      </c>
      <c r="C47" s="162">
        <f t="shared" si="15"/>
        <v>35536.729200000009</v>
      </c>
      <c r="D47" s="162">
        <f t="shared" si="15"/>
        <v>33846.076699999998</v>
      </c>
      <c r="E47" s="162">
        <f t="shared" si="15"/>
        <v>40053.523600000008</v>
      </c>
      <c r="F47" s="162">
        <f>F41*$F$44</f>
        <v>30749.430400000005</v>
      </c>
      <c r="G47" s="162">
        <f t="shared" ref="G47:M49" si="16">G41*$F$44</f>
        <v>41154.413600000007</v>
      </c>
      <c r="H47" s="162">
        <f t="shared" si="16"/>
        <v>30104.623400000004</v>
      </c>
      <c r="I47" s="162">
        <f t="shared" si="16"/>
        <v>34105.57220000001</v>
      </c>
      <c r="J47" s="162">
        <f t="shared" si="16"/>
        <v>31644.296699999999</v>
      </c>
      <c r="K47" s="162">
        <f t="shared" si="16"/>
        <v>38306.253900000003</v>
      </c>
      <c r="L47" s="162">
        <f t="shared" si="16"/>
        <v>38754.473400000003</v>
      </c>
      <c r="M47" s="162">
        <f t="shared" si="16"/>
        <v>37111.001899999996</v>
      </c>
      <c r="N47" s="154">
        <f>SUM(B47:M47)</f>
        <v>431638.52390000009</v>
      </c>
      <c r="O47" s="133"/>
      <c r="P47" s="165"/>
      <c r="Q47" s="192"/>
      <c r="R47" s="136"/>
    </row>
    <row r="48" spans="1:19" s="152" customFormat="1">
      <c r="A48" s="147" t="s">
        <v>509</v>
      </c>
      <c r="B48" s="162">
        <f t="shared" si="15"/>
        <v>46098.982400000001</v>
      </c>
      <c r="C48" s="162">
        <f t="shared" si="15"/>
        <v>38366.016499999998</v>
      </c>
      <c r="D48" s="162">
        <f t="shared" si="15"/>
        <v>35217.471100000002</v>
      </c>
      <c r="E48" s="162">
        <f t="shared" si="15"/>
        <v>36046.284</v>
      </c>
      <c r="F48" s="162">
        <f>F42*F$44</f>
        <v>33064.444799999997</v>
      </c>
      <c r="G48" s="162">
        <f t="shared" si="16"/>
        <v>39072.158800000005</v>
      </c>
      <c r="H48" s="162">
        <f t="shared" si="16"/>
        <v>33498.51</v>
      </c>
      <c r="I48" s="162">
        <f t="shared" si="16"/>
        <v>41671.831899999997</v>
      </c>
      <c r="J48" s="162">
        <f t="shared" si="16"/>
        <v>37614.265899999999</v>
      </c>
      <c r="K48" s="162">
        <f t="shared" si="16"/>
        <v>44335.985699999997</v>
      </c>
      <c r="L48" s="162">
        <f t="shared" si="16"/>
        <v>41366.728100000008</v>
      </c>
      <c r="M48" s="162">
        <f t="shared" si="16"/>
        <v>41294.383900000001</v>
      </c>
      <c r="N48" s="154">
        <f>SUM(B48:M48)</f>
        <v>467647.06310000009</v>
      </c>
      <c r="O48" s="133"/>
      <c r="P48" s="165"/>
      <c r="Q48" s="135"/>
      <c r="R48" s="136"/>
    </row>
    <row r="49" spans="1:19" s="152" customFormat="1">
      <c r="A49" s="147" t="s">
        <v>499</v>
      </c>
      <c r="B49" s="162">
        <f t="shared" si="15"/>
        <v>56632.927000000011</v>
      </c>
      <c r="C49" s="162">
        <f t="shared" si="15"/>
        <v>51855.06440000001</v>
      </c>
      <c r="D49" s="162">
        <f t="shared" si="15"/>
        <v>45161.653200000001</v>
      </c>
      <c r="E49" s="162">
        <f t="shared" si="15"/>
        <v>44567.172600000005</v>
      </c>
      <c r="F49" s="162">
        <f>F43*$F$44</f>
        <v>37620.556700000001</v>
      </c>
      <c r="G49" s="162">
        <f t="shared" si="16"/>
        <v>54248.713799999998</v>
      </c>
      <c r="H49" s="162">
        <f t="shared" si="16"/>
        <v>40199.784700000004</v>
      </c>
      <c r="I49" s="162">
        <f t="shared" si="16"/>
        <v>49845.1538</v>
      </c>
      <c r="J49" s="162">
        <f t="shared" si="16"/>
        <v>44631.653299999998</v>
      </c>
      <c r="K49" s="162">
        <f t="shared" si="16"/>
        <v>49551.058900000011</v>
      </c>
      <c r="L49" s="162">
        <f t="shared" si="16"/>
        <v>49068.240000000005</v>
      </c>
      <c r="M49" s="162">
        <f t="shared" si="16"/>
        <v>51523.224700000006</v>
      </c>
      <c r="N49" s="154">
        <f>SUM(B49:M49)</f>
        <v>574905.20310000004</v>
      </c>
      <c r="O49" s="133"/>
      <c r="P49" s="165"/>
      <c r="Q49" s="135"/>
      <c r="R49" s="193"/>
      <c r="S49" s="120"/>
    </row>
    <row r="50" spans="1:19">
      <c r="A50" s="137"/>
      <c r="B50" s="134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154">
        <f>SUM(B50:M50)</f>
        <v>0</v>
      </c>
      <c r="O50" s="133"/>
      <c r="P50" s="165"/>
      <c r="Q50" s="135"/>
      <c r="R50" s="136"/>
      <c r="S50" s="194"/>
    </row>
    <row r="51" spans="1:19" s="194" customFormat="1">
      <c r="A51" s="140" t="s">
        <v>510</v>
      </c>
      <c r="B51" s="195">
        <f>B36+B45</f>
        <v>190803.11000000002</v>
      </c>
      <c r="C51" s="195">
        <f>C36+C45</f>
        <v>156769.88</v>
      </c>
      <c r="D51" s="195">
        <f>D36+D45</f>
        <v>149153.28999999998</v>
      </c>
      <c r="E51" s="195">
        <f>E36+E45</f>
        <v>151406.97</v>
      </c>
      <c r="F51" s="195">
        <f>F36+F45</f>
        <v>134892.04999999999</v>
      </c>
      <c r="G51" s="195">
        <f t="shared" ref="G51:M51" si="17">G36+G45</f>
        <v>176022.88</v>
      </c>
      <c r="H51" s="195">
        <f t="shared" si="17"/>
        <v>126517.43</v>
      </c>
      <c r="I51" s="195">
        <f t="shared" si="17"/>
        <v>158608.37</v>
      </c>
      <c r="J51" s="195">
        <f t="shared" si="17"/>
        <v>144822.08000000002</v>
      </c>
      <c r="K51" s="195">
        <f t="shared" si="17"/>
        <v>167607.35999999999</v>
      </c>
      <c r="L51" s="195">
        <f t="shared" si="17"/>
        <v>163567.09</v>
      </c>
      <c r="M51" s="195">
        <f t="shared" si="17"/>
        <v>162419.01999999999</v>
      </c>
      <c r="N51" s="196">
        <f>SUM(B51:M51)</f>
        <v>1882589.53</v>
      </c>
      <c r="O51" s="133"/>
      <c r="P51" s="165"/>
      <c r="Q51" s="135"/>
      <c r="R51" s="136"/>
      <c r="S51" s="120"/>
    </row>
    <row r="52" spans="1:19">
      <c r="A52" s="137"/>
      <c r="B52" s="134"/>
      <c r="C52" s="134"/>
      <c r="D52" s="134"/>
      <c r="E52" s="134"/>
      <c r="F52" s="134"/>
      <c r="G52" s="197"/>
      <c r="H52" s="134"/>
      <c r="I52" s="134"/>
      <c r="J52" s="134"/>
      <c r="K52" s="134"/>
      <c r="L52" s="134"/>
      <c r="M52" s="134"/>
      <c r="N52" s="139"/>
      <c r="O52" s="133"/>
      <c r="P52" s="134"/>
      <c r="Q52" s="135"/>
      <c r="R52" s="136"/>
    </row>
    <row r="53" spans="1:19">
      <c r="A53" s="137"/>
      <c r="B53" s="134"/>
      <c r="C53" s="134"/>
      <c r="D53" s="134"/>
      <c r="E53" s="134"/>
      <c r="F53" s="134"/>
      <c r="G53" s="134"/>
      <c r="H53" s="134"/>
      <c r="I53" s="134"/>
      <c r="J53" s="134"/>
      <c r="K53" s="134"/>
      <c r="L53" s="134"/>
      <c r="M53" s="134"/>
      <c r="N53" s="139"/>
      <c r="O53" s="133"/>
      <c r="P53" s="144"/>
      <c r="Q53" s="144"/>
      <c r="R53" s="145"/>
      <c r="S53" s="152"/>
    </row>
    <row r="54" spans="1:19" s="152" customFormat="1">
      <c r="A54" s="140" t="s">
        <v>492</v>
      </c>
      <c r="B54" s="198">
        <f>B12+B36</f>
        <v>169990.84</v>
      </c>
      <c r="C54" s="198">
        <f>C12+C36</f>
        <v>132017.9</v>
      </c>
      <c r="D54" s="198">
        <f>D12+D36</f>
        <v>135056.72999999998</v>
      </c>
      <c r="E54" s="198">
        <f>E12+E36</f>
        <v>131679.13</v>
      </c>
      <c r="F54" s="198">
        <f>F12+F36</f>
        <v>124212.66</v>
      </c>
      <c r="G54" s="198">
        <f t="shared" ref="G54:M54" si="18">G12+G36</f>
        <v>140552.56</v>
      </c>
      <c r="H54" s="198">
        <f t="shared" si="18"/>
        <v>124240.86</v>
      </c>
      <c r="I54" s="198">
        <f t="shared" si="18"/>
        <v>142572.15</v>
      </c>
      <c r="J54" s="198">
        <f t="shared" si="18"/>
        <v>120761.86</v>
      </c>
      <c r="K54" s="198">
        <f t="shared" si="18"/>
        <v>153636.01</v>
      </c>
      <c r="L54" s="198">
        <f t="shared" si="18"/>
        <v>146860.89000000001</v>
      </c>
      <c r="M54" s="198">
        <f t="shared" si="18"/>
        <v>125430.45</v>
      </c>
      <c r="N54" s="199">
        <f>SUM(B54:M54)</f>
        <v>1647012.0400000003</v>
      </c>
      <c r="O54" s="133"/>
      <c r="P54" s="134"/>
      <c r="Q54" s="135"/>
      <c r="R54" s="136"/>
    </row>
    <row r="55" spans="1:19" s="152" customFormat="1">
      <c r="A55" s="140" t="s">
        <v>516</v>
      </c>
      <c r="B55" s="200">
        <f>'[14]2112 IS'!K19</f>
        <v>171975.85</v>
      </c>
      <c r="C55" s="200">
        <f>'[14]2112 IS'!M19</f>
        <v>132564.95000000001</v>
      </c>
      <c r="D55" s="200">
        <f>'[14]2112 IS'!O19</f>
        <v>135361.35999999999</v>
      </c>
      <c r="E55" s="200">
        <f>'[14]2112 IS'!Q19</f>
        <v>132811.65</v>
      </c>
      <c r="F55" s="200">
        <f>'[14]2112 IS'!S19</f>
        <v>124359.92</v>
      </c>
      <c r="G55" s="200">
        <f>'[14]2112 IS'!U19</f>
        <v>141574.51</v>
      </c>
      <c r="H55" s="200">
        <f>'[14]2112 IS'!W19</f>
        <v>123646.2</v>
      </c>
      <c r="I55" s="200">
        <f>'[14]2112 IS'!Y19</f>
        <v>142792.57999999999</v>
      </c>
      <c r="J55" s="200">
        <f>'[14]2112 IS'!AA19</f>
        <v>121251.53</v>
      </c>
      <c r="K55" s="200">
        <f>'[14]2112 IS'!AC19</f>
        <v>153672.54</v>
      </c>
      <c r="L55" s="200">
        <f>'[14]2112 IS'!AE19</f>
        <v>147211.9</v>
      </c>
      <c r="M55" s="200">
        <f>'[14]2112 IS'!AG19</f>
        <v>125503.95</v>
      </c>
      <c r="N55" s="199">
        <f>SUM(B55:M55)</f>
        <v>1652726.94</v>
      </c>
      <c r="O55" s="133"/>
      <c r="P55" s="134"/>
      <c r="Q55" s="135"/>
      <c r="R55" s="136"/>
    </row>
    <row r="56" spans="1:19" s="152" customFormat="1">
      <c r="A56" s="201" t="s">
        <v>306</v>
      </c>
      <c r="B56" s="162">
        <f t="shared" ref="B56:M56" si="19">B54-B55</f>
        <v>-1985.0100000000093</v>
      </c>
      <c r="C56" s="162">
        <f t="shared" si="19"/>
        <v>-547.05000000001746</v>
      </c>
      <c r="D56" s="162">
        <f t="shared" si="19"/>
        <v>-304.63000000000466</v>
      </c>
      <c r="E56" s="162">
        <f t="shared" si="19"/>
        <v>-1132.5199999999895</v>
      </c>
      <c r="F56" s="162">
        <f t="shared" si="19"/>
        <v>-147.25999999999476</v>
      </c>
      <c r="G56" s="162">
        <f t="shared" si="19"/>
        <v>-1021.9500000000116</v>
      </c>
      <c r="H56" s="162">
        <f t="shared" si="19"/>
        <v>594.66000000000349</v>
      </c>
      <c r="I56" s="162">
        <f t="shared" si="19"/>
        <v>-220.42999999999302</v>
      </c>
      <c r="J56" s="162">
        <f t="shared" si="19"/>
        <v>-489.66999999999825</v>
      </c>
      <c r="K56" s="162">
        <f t="shared" si="19"/>
        <v>-36.529999999998836</v>
      </c>
      <c r="L56" s="162">
        <f t="shared" si="19"/>
        <v>-351.00999999998021</v>
      </c>
      <c r="M56" s="162">
        <f t="shared" si="19"/>
        <v>-73.5</v>
      </c>
      <c r="N56" s="154">
        <f>SUM(B56:M56)</f>
        <v>-5714.8999999999942</v>
      </c>
      <c r="O56" s="133"/>
      <c r="P56" s="165"/>
      <c r="Q56" s="135"/>
      <c r="R56" s="136"/>
      <c r="S56" s="120"/>
    </row>
    <row r="57" spans="1:19">
      <c r="A57" s="137"/>
      <c r="B57" s="138"/>
      <c r="C57" s="138"/>
      <c r="D57" s="138"/>
      <c r="E57" s="138"/>
      <c r="F57" s="138"/>
      <c r="G57" s="138"/>
      <c r="H57" s="138"/>
      <c r="I57" s="138"/>
      <c r="J57" s="138"/>
      <c r="K57" s="138"/>
      <c r="L57" s="138"/>
      <c r="M57" s="138"/>
      <c r="N57" s="139"/>
      <c r="O57" s="133"/>
      <c r="P57" s="165"/>
      <c r="Q57" s="135"/>
      <c r="R57" s="136"/>
      <c r="S57" s="194"/>
    </row>
    <row r="58" spans="1:19" s="194" customFormat="1">
      <c r="A58" s="140" t="s">
        <v>517</v>
      </c>
      <c r="B58" s="202">
        <f t="shared" ref="B58:L58" si="20">B21+B45</f>
        <v>394577.64</v>
      </c>
      <c r="C58" s="202">
        <f t="shared" si="20"/>
        <v>357580.87</v>
      </c>
      <c r="D58" s="202">
        <f t="shared" si="20"/>
        <v>324724.58</v>
      </c>
      <c r="E58" s="202">
        <f t="shared" si="20"/>
        <v>351885.43</v>
      </c>
      <c r="F58" s="202">
        <f t="shared" si="20"/>
        <v>299052.03000000003</v>
      </c>
      <c r="G58" s="202">
        <f t="shared" si="20"/>
        <v>357520.66000000003</v>
      </c>
      <c r="H58" s="202">
        <f>H21+H45</f>
        <v>288372.28999999998</v>
      </c>
      <c r="I58" s="202">
        <f t="shared" si="20"/>
        <v>349363.88</v>
      </c>
      <c r="J58" s="202">
        <f t="shared" si="20"/>
        <v>312607.70999999996</v>
      </c>
      <c r="K58" s="202">
        <f t="shared" si="20"/>
        <v>374164.20999999996</v>
      </c>
      <c r="L58" s="202">
        <f t="shared" si="20"/>
        <v>366062.5</v>
      </c>
      <c r="M58" s="202">
        <f>M21+M45</f>
        <v>360381.52</v>
      </c>
      <c r="N58" s="199">
        <f>SUM(B58:M58)</f>
        <v>4136293.32</v>
      </c>
      <c r="O58" s="133"/>
      <c r="P58" s="165"/>
      <c r="Q58" s="135"/>
      <c r="R58" s="136"/>
      <c r="S58" s="152"/>
    </row>
    <row r="59" spans="1:19" s="152" customFormat="1">
      <c r="A59" s="140" t="s">
        <v>516</v>
      </c>
      <c r="B59" s="200">
        <f>(-_xll.NGL(_xll.BSpec(40101,2112,"000","00"),B$7,"",YEAR(B8),"Actual"))-B55</f>
        <v>-171975.85</v>
      </c>
      <c r="C59" s="200">
        <f>(-_xll.NGL(_xll.BSpec(40101,2112,"000","00"),C$7,"",YEAR(C8),"Actual"))-C55</f>
        <v>-132564.95000000001</v>
      </c>
      <c r="D59" s="200">
        <f>(-_xll.NGL(_xll.BSpec(40101,2112,"000","00"),D$7,"",YEAR(D8),"Actual"))-D55</f>
        <v>-135361.35999999999</v>
      </c>
      <c r="E59" s="200">
        <f>(-_xll.NGL(_xll.BSpec(40101,2112,"000","00"),E$7,"",YEAR(E8),"Actual"))-E55</f>
        <v>-132811.65</v>
      </c>
      <c r="F59" s="200">
        <f>(-_xll.NGL(_xll.BSpec(40101,2112,"000","00"),F$7,"",YEAR(F8),"Actual"))-F55</f>
        <v>-124359.92</v>
      </c>
      <c r="G59" s="200">
        <f>(-_xll.NGL(_xll.BSpec(40101,2112,"000","00"),G$7,"",YEAR(G8),"Actual"))-G55</f>
        <v>-141574.51</v>
      </c>
      <c r="H59" s="200">
        <f>(-_xll.NGL(_xll.BSpec(40101,2112,"000","00"),H$7,"",YEAR(H8),"Actual"))-H55</f>
        <v>-123646.2</v>
      </c>
      <c r="I59" s="200">
        <f>(-_xll.NGL(_xll.BSpec(40101,2112,"000","00"),I$7,"",YEAR(I8),"Actual"))-I55</f>
        <v>-142792.57999999999</v>
      </c>
      <c r="J59" s="200">
        <f>(-_xll.NGL(_xll.BSpec(40101,2112,"000","00"),J$7,"",YEAR(J8),"Actual"))-J55</f>
        <v>-121251.53</v>
      </c>
      <c r="K59" s="200">
        <f>(-_xll.NGL(_xll.BSpec(40101,2112,"000","00"),K$7,"",YEAR(K8),"Actual"))-K55</f>
        <v>-153672.54</v>
      </c>
      <c r="L59" s="200">
        <f>(-_xll.NGL(_xll.BSpec(40101,2112,"000","00"),L$7,"",YEAR(L8),"Actual"))-L55</f>
        <v>-147211.9</v>
      </c>
      <c r="M59" s="200">
        <f>(-_xll.NGL(_xll.BSpec(40101,2112,"000","00"),M$7,"",YEAR(M8),"Actual"))-M55</f>
        <v>-125503.95</v>
      </c>
      <c r="N59" s="199">
        <f>SUM(B59:M59)</f>
        <v>-1652726.94</v>
      </c>
      <c r="O59" s="133"/>
      <c r="P59" s="134"/>
      <c r="Q59" s="135"/>
      <c r="R59" s="136"/>
    </row>
    <row r="60" spans="1:19" s="152" customFormat="1">
      <c r="A60" s="201" t="s">
        <v>306</v>
      </c>
      <c r="B60" s="162">
        <f>B58-B59</f>
        <v>566553.49</v>
      </c>
      <c r="C60" s="162">
        <f>C58-C59</f>
        <v>490145.82</v>
      </c>
      <c r="D60" s="162">
        <f>D58-D59</f>
        <v>460085.94</v>
      </c>
      <c r="E60" s="162">
        <f>E58-E59</f>
        <v>484697.07999999996</v>
      </c>
      <c r="F60" s="162">
        <f>F58-F59</f>
        <v>423411.95</v>
      </c>
      <c r="G60" s="162">
        <f t="shared" ref="G60:M60" si="21">G58-G59</f>
        <v>499095.17000000004</v>
      </c>
      <c r="H60" s="162">
        <f t="shared" si="21"/>
        <v>412018.49</v>
      </c>
      <c r="I60" s="162">
        <f t="shared" si="21"/>
        <v>492156.45999999996</v>
      </c>
      <c r="J60" s="162">
        <f t="shared" si="21"/>
        <v>433859.24</v>
      </c>
      <c r="K60" s="162">
        <f t="shared" si="21"/>
        <v>527836.75</v>
      </c>
      <c r="L60" s="162">
        <f t="shared" si="21"/>
        <v>513274.4</v>
      </c>
      <c r="M60" s="162">
        <f t="shared" si="21"/>
        <v>485885.47000000003</v>
      </c>
      <c r="N60" s="154">
        <f>SUM(B60:M60)</f>
        <v>5789020.2600000007</v>
      </c>
      <c r="O60" s="133"/>
      <c r="P60" s="203"/>
      <c r="Q60" s="144"/>
      <c r="R60" s="145"/>
    </row>
    <row r="61" spans="1:19" s="152" customFormat="1">
      <c r="A61" s="201"/>
      <c r="B61" s="204"/>
      <c r="C61" s="204"/>
      <c r="D61" s="204"/>
      <c r="E61" s="204"/>
      <c r="F61" s="205"/>
      <c r="G61" s="205"/>
      <c r="H61" s="205"/>
      <c r="I61" s="205"/>
      <c r="J61" s="205"/>
      <c r="K61" s="205"/>
      <c r="L61" s="205"/>
      <c r="M61" s="205"/>
      <c r="N61" s="172"/>
      <c r="O61" s="133"/>
      <c r="P61" s="165"/>
      <c r="Q61" s="135"/>
      <c r="R61" s="136"/>
      <c r="S61" s="194"/>
    </row>
    <row r="62" spans="1:19" s="194" customFormat="1">
      <c r="A62" s="140" t="s">
        <v>16</v>
      </c>
      <c r="B62" s="202">
        <f t="shared" ref="B62:M62" si="22">SUM(B27,B51)</f>
        <v>564568.48</v>
      </c>
      <c r="C62" s="202">
        <f t="shared" si="22"/>
        <v>489598.77</v>
      </c>
      <c r="D62" s="202">
        <f t="shared" si="22"/>
        <v>459781.31</v>
      </c>
      <c r="E62" s="202">
        <f t="shared" si="22"/>
        <v>483564.56000000006</v>
      </c>
      <c r="F62" s="202">
        <f t="shared" si="22"/>
        <v>423264.69</v>
      </c>
      <c r="G62" s="202">
        <f t="shared" si="22"/>
        <v>498073.22</v>
      </c>
      <c r="H62" s="202">
        <f t="shared" si="22"/>
        <v>412613.14999999997</v>
      </c>
      <c r="I62" s="202">
        <f t="shared" si="22"/>
        <v>491936.03</v>
      </c>
      <c r="J62" s="202">
        <f t="shared" si="22"/>
        <v>433369.57</v>
      </c>
      <c r="K62" s="202">
        <f t="shared" si="22"/>
        <v>527800.22</v>
      </c>
      <c r="L62" s="202">
        <f t="shared" si="22"/>
        <v>512923.39</v>
      </c>
      <c r="M62" s="202">
        <f t="shared" si="22"/>
        <v>485811.97</v>
      </c>
      <c r="N62" s="199">
        <f>SUM(B62:M62)</f>
        <v>5783305.3599999994</v>
      </c>
      <c r="O62" s="133"/>
      <c r="P62" s="165"/>
      <c r="Q62" s="135"/>
      <c r="R62" s="136"/>
      <c r="S62" s="152"/>
    </row>
    <row r="63" spans="1:19" s="152" customFormat="1">
      <c r="A63" s="140" t="s">
        <v>516</v>
      </c>
      <c r="B63" s="200">
        <f>(-_xll.NGL(_xll.BSpec(40101,2112,"000","00"),B$7,"",YEAR(B8),"Actual"))</f>
        <v>0</v>
      </c>
      <c r="C63" s="200">
        <f>(-_xll.NGL(_xll.BSpec(40101,2112,"000","00"),C$7,"",YEAR(C8),"Actual"))</f>
        <v>0</v>
      </c>
      <c r="D63" s="200">
        <f>(-_xll.NGL(_xll.BSpec(40101,2112,"000","00"),D$7,"",YEAR(D8),"Actual"))</f>
        <v>0</v>
      </c>
      <c r="E63" s="200">
        <f>(-_xll.NGL(_xll.BSpec(40101,2112,"000","00"),E$7,"",YEAR(E8),"Actual"))</f>
        <v>0</v>
      </c>
      <c r="F63" s="200">
        <f>(-_xll.NGL(_xll.BSpec(40101,2112,"000","00"),F$7,"",YEAR(F8),"Actual"))</f>
        <v>0</v>
      </c>
      <c r="G63" s="200">
        <f>(-_xll.NGL(_xll.BSpec(40101,2112,"000","00"),G$7,"",YEAR(G8),"Actual"))</f>
        <v>0</v>
      </c>
      <c r="H63" s="200">
        <f>(-_xll.NGL(_xll.BSpec(40101,2112,"000","00"),H$7,"",YEAR(H8),"Actual"))</f>
        <v>0</v>
      </c>
      <c r="I63" s="200">
        <f>(-_xll.NGL(_xll.BSpec(40101,2112,"000","00"),I$7,"",YEAR(I8),"Actual"))</f>
        <v>0</v>
      </c>
      <c r="J63" s="200">
        <f>(-_xll.NGL(_xll.BSpec(40101,2112,"000","00"),J$7,"",YEAR(J8),"Actual"))</f>
        <v>0</v>
      </c>
      <c r="K63" s="200">
        <f>(-_xll.NGL(_xll.BSpec(40101,2112,"000","00"),K$7,"",YEAR(K8),"Actual"))</f>
        <v>0</v>
      </c>
      <c r="L63" s="200">
        <f>(-_xll.NGL(_xll.BSpec(40101,2112,"000","00"),L$7,"",YEAR(L8),"Actual"))</f>
        <v>0</v>
      </c>
      <c r="M63" s="200">
        <f>(-_xll.NGL(_xll.BSpec(40101,2112,"000","00"),M$7,"",YEAR(M8),"Actual"))</f>
        <v>0</v>
      </c>
      <c r="N63" s="199">
        <f>SUM(B63:M63)</f>
        <v>0</v>
      </c>
      <c r="O63" s="133"/>
      <c r="P63" s="165"/>
      <c r="Q63" s="135"/>
      <c r="R63" s="136"/>
      <c r="S63" s="120"/>
    </row>
    <row r="64" spans="1:19" ht="15.75" thickBot="1">
      <c r="A64" s="206" t="s">
        <v>518</v>
      </c>
      <c r="B64" s="207">
        <f>B62-B63</f>
        <v>564568.48</v>
      </c>
      <c r="C64" s="207">
        <f>C62-C63</f>
        <v>489598.77</v>
      </c>
      <c r="D64" s="207">
        <f>D62-D63</f>
        <v>459781.31</v>
      </c>
      <c r="E64" s="207">
        <f>E62-E63</f>
        <v>483564.56000000006</v>
      </c>
      <c r="F64" s="207">
        <f>F62-F63</f>
        <v>423264.69</v>
      </c>
      <c r="G64" s="207">
        <f t="shared" ref="G64:M64" si="23">G62-G63</f>
        <v>498073.22</v>
      </c>
      <c r="H64" s="207">
        <f t="shared" si="23"/>
        <v>412613.14999999997</v>
      </c>
      <c r="I64" s="207">
        <f t="shared" si="23"/>
        <v>491936.03</v>
      </c>
      <c r="J64" s="207">
        <f t="shared" si="23"/>
        <v>433369.57</v>
      </c>
      <c r="K64" s="207">
        <f t="shared" si="23"/>
        <v>527800.22</v>
      </c>
      <c r="L64" s="207">
        <f t="shared" si="23"/>
        <v>512923.39</v>
      </c>
      <c r="M64" s="207">
        <f t="shared" si="23"/>
        <v>485811.97</v>
      </c>
      <c r="N64" s="208">
        <f>SUM(B64:M64)</f>
        <v>5783305.3599999994</v>
      </c>
      <c r="O64" s="133"/>
      <c r="P64" s="203"/>
      <c r="Q64" s="144"/>
      <c r="R64" s="145"/>
    </row>
    <row r="65" spans="1:18">
      <c r="A65" s="137"/>
      <c r="B65" s="135">
        <f>B56/B55</f>
        <v>-1.1542376444134507E-2</v>
      </c>
      <c r="C65" s="135">
        <f>C56/C55</f>
        <v>-4.1266564050302691E-3</v>
      </c>
      <c r="D65" s="135">
        <f>D56/D55</f>
        <v>-2.2504945281282981E-3</v>
      </c>
      <c r="E65" s="135">
        <f>E56/E55</f>
        <v>-8.5272639862541393E-3</v>
      </c>
      <c r="F65" s="135">
        <f t="shared" ref="F65:M65" si="24">F56/F55</f>
        <v>-1.1841435729453248E-3</v>
      </c>
      <c r="G65" s="135">
        <f t="shared" si="24"/>
        <v>-7.2184604417844115E-3</v>
      </c>
      <c r="H65" s="135">
        <f t="shared" si="24"/>
        <v>4.8093673723899602E-3</v>
      </c>
      <c r="I65" s="135">
        <f t="shared" si="24"/>
        <v>-1.5437076632412764E-3</v>
      </c>
      <c r="J65" s="135">
        <f t="shared" si="24"/>
        <v>-4.0384645043241782E-3</v>
      </c>
      <c r="K65" s="135">
        <f t="shared" si="24"/>
        <v>-2.3771325703342207E-4</v>
      </c>
      <c r="L65" s="135">
        <f t="shared" si="24"/>
        <v>-2.384386044878031E-3</v>
      </c>
      <c r="M65" s="135">
        <f t="shared" si="24"/>
        <v>-5.8563893805732808E-4</v>
      </c>
      <c r="N65" s="209"/>
      <c r="O65" s="133"/>
      <c r="P65" s="165"/>
      <c r="Q65" s="135"/>
      <c r="R65" s="136"/>
    </row>
    <row r="66" spans="1:18" s="216" customFormat="1" ht="15.75" thickBot="1">
      <c r="A66" s="210"/>
      <c r="B66" s="211"/>
      <c r="C66" s="211"/>
      <c r="D66" s="211"/>
      <c r="E66" s="211"/>
      <c r="F66" s="211"/>
      <c r="G66" s="211"/>
      <c r="H66" s="211"/>
      <c r="I66" s="211"/>
      <c r="J66" s="211"/>
      <c r="K66" s="211"/>
      <c r="L66" s="211"/>
      <c r="M66" s="211"/>
      <c r="N66" s="212"/>
      <c r="O66" s="133"/>
      <c r="P66" s="213"/>
      <c r="Q66" s="214"/>
      <c r="R66" s="215"/>
    </row>
    <row r="67" spans="1:18" s="216" customFormat="1">
      <c r="A67" s="217" t="s">
        <v>519</v>
      </c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9"/>
      <c r="O67" s="133"/>
      <c r="P67" s="220"/>
      <c r="Q67" s="221"/>
      <c r="R67" s="222"/>
    </row>
    <row r="68" spans="1:18" s="216" customFormat="1">
      <c r="A68" s="210"/>
      <c r="B68" s="220"/>
      <c r="C68" s="220"/>
      <c r="D68" s="220"/>
      <c r="E68" s="220"/>
      <c r="F68" s="220"/>
      <c r="G68" s="220"/>
      <c r="H68" s="220"/>
      <c r="I68" s="220"/>
      <c r="J68" s="220"/>
      <c r="K68" s="220"/>
      <c r="L68" s="220"/>
      <c r="M68" s="220"/>
      <c r="N68" s="223"/>
      <c r="O68" s="133"/>
      <c r="P68" s="220"/>
      <c r="Q68" s="221"/>
      <c r="R68" s="222"/>
    </row>
    <row r="69" spans="1:18" s="216" customFormat="1">
      <c r="A69" s="224" t="s">
        <v>520</v>
      </c>
      <c r="B69" s="225">
        <v>1618.2219945355191</v>
      </c>
      <c r="C69" s="225">
        <v>1219.7687841530055</v>
      </c>
      <c r="D69" s="225">
        <v>868.84904371584696</v>
      </c>
      <c r="E69" s="225">
        <v>997.31967213114751</v>
      </c>
      <c r="F69" s="225">
        <v>740.97984972677591</v>
      </c>
      <c r="G69" s="225">
        <v>1380.1526639344263</v>
      </c>
      <c r="H69" s="225">
        <v>1244.799180327869</v>
      </c>
      <c r="I69" s="225">
        <v>1393.0505464480873</v>
      </c>
      <c r="J69" s="225">
        <v>1281.6396857923498</v>
      </c>
      <c r="K69" s="225">
        <v>1589.4217896174862</v>
      </c>
      <c r="L69" s="225">
        <v>1098.4419398907103</v>
      </c>
      <c r="M69" s="225">
        <v>571.15981452859353</v>
      </c>
      <c r="N69" s="149">
        <f>SUM(B69:M69)</f>
        <v>14003.804964801819</v>
      </c>
      <c r="O69" s="133"/>
      <c r="P69" s="220"/>
      <c r="Q69" s="221"/>
      <c r="R69" s="222"/>
    </row>
    <row r="70" spans="1:18" s="216" customFormat="1">
      <c r="A70" s="224" t="s">
        <v>521</v>
      </c>
      <c r="B70" s="225">
        <v>1092.8800000000003</v>
      </c>
      <c r="C70" s="225">
        <v>1129.9899999999996</v>
      </c>
      <c r="D70" s="225">
        <v>990.06999999999971</v>
      </c>
      <c r="E70" s="225">
        <v>802.07000000000016</v>
      </c>
      <c r="F70" s="225">
        <v>329.88</v>
      </c>
      <c r="G70" s="225">
        <v>1415.2600000000004</v>
      </c>
      <c r="H70" s="225">
        <v>1072.48</v>
      </c>
      <c r="I70" s="225">
        <v>1649.6500000000005</v>
      </c>
      <c r="J70" s="225">
        <v>1199.1099999999997</v>
      </c>
      <c r="K70" s="225">
        <v>1495.8299999999995</v>
      </c>
      <c r="L70" s="225">
        <v>1490.56</v>
      </c>
      <c r="M70" s="225">
        <v>1795.59</v>
      </c>
      <c r="N70" s="149">
        <f>SUM(B70:M70)</f>
        <v>14463.369999999999</v>
      </c>
      <c r="O70" s="133"/>
      <c r="P70" s="220"/>
      <c r="Q70" s="221"/>
      <c r="R70" s="222"/>
    </row>
    <row r="71" spans="1:18" s="216" customFormat="1">
      <c r="A71" s="224" t="s">
        <v>522</v>
      </c>
      <c r="B71" s="225">
        <v>525.34199453551878</v>
      </c>
      <c r="C71" s="225">
        <v>89.778784153005972</v>
      </c>
      <c r="D71" s="225">
        <v>-121.22095628415275</v>
      </c>
      <c r="E71" s="225">
        <v>195.24967213114735</v>
      </c>
      <c r="F71" s="225">
        <v>411.09984972677591</v>
      </c>
      <c r="G71" s="225">
        <v>-35.107336065574145</v>
      </c>
      <c r="H71" s="225">
        <v>172.31918032786893</v>
      </c>
      <c r="I71" s="225">
        <v>-256.59945355191326</v>
      </c>
      <c r="J71" s="225">
        <v>82.529685792350165</v>
      </c>
      <c r="K71" s="225">
        <v>93.591789617486711</v>
      </c>
      <c r="L71" s="225">
        <v>-392.11806010928967</v>
      </c>
      <c r="M71" s="225">
        <v>-1224.4301854714063</v>
      </c>
      <c r="N71" s="149">
        <f>SUM(B71:M71)</f>
        <v>-459.56503519818216</v>
      </c>
      <c r="O71" s="133"/>
      <c r="P71" s="220"/>
      <c r="Q71" s="221"/>
      <c r="R71" s="222"/>
    </row>
    <row r="72" spans="1:18" s="216" customFormat="1">
      <c r="A72" s="224"/>
      <c r="B72" s="226">
        <v>29.28</v>
      </c>
      <c r="C72" s="226">
        <v>29.28</v>
      </c>
      <c r="D72" s="226">
        <v>29.28</v>
      </c>
      <c r="E72" s="226">
        <v>29.28</v>
      </c>
      <c r="F72" s="226">
        <v>29.28</v>
      </c>
      <c r="G72" s="226">
        <v>29.28</v>
      </c>
      <c r="H72" s="226">
        <v>29.28</v>
      </c>
      <c r="I72" s="226">
        <v>29.28</v>
      </c>
      <c r="J72" s="226">
        <v>29.28</v>
      </c>
      <c r="K72" s="226">
        <v>29.28</v>
      </c>
      <c r="L72" s="226">
        <v>29.28</v>
      </c>
      <c r="M72" s="226">
        <v>32.35</v>
      </c>
      <c r="N72" s="223">
        <v>0</v>
      </c>
      <c r="O72" s="133"/>
      <c r="P72" s="220"/>
      <c r="Q72" s="133"/>
      <c r="R72" s="222"/>
    </row>
    <row r="73" spans="1:18" s="216" customFormat="1">
      <c r="A73" s="224" t="s">
        <v>523</v>
      </c>
      <c r="B73" s="227">
        <v>31999.52640000001</v>
      </c>
      <c r="C73" s="227">
        <v>33086.107199999991</v>
      </c>
      <c r="D73" s="227">
        <v>28989.249599999992</v>
      </c>
      <c r="E73" s="227">
        <v>23484.609600000007</v>
      </c>
      <c r="F73" s="227">
        <v>9658.8863999999994</v>
      </c>
      <c r="G73" s="227">
        <v>41438.812800000014</v>
      </c>
      <c r="H73" s="227">
        <v>31402.214400000001</v>
      </c>
      <c r="I73" s="227">
        <v>48301.752000000015</v>
      </c>
      <c r="J73" s="227">
        <v>35109.940799999989</v>
      </c>
      <c r="K73" s="227">
        <v>43797.902399999984</v>
      </c>
      <c r="L73" s="227">
        <v>43643.596799999999</v>
      </c>
      <c r="M73" s="227">
        <v>58087.336499999998</v>
      </c>
      <c r="N73" s="223">
        <f>SUM(B73:M73)</f>
        <v>428999.93489999999</v>
      </c>
      <c r="O73" s="133"/>
      <c r="P73" s="220"/>
      <c r="Q73" s="221"/>
      <c r="R73" s="222"/>
    </row>
    <row r="74" spans="1:18" s="216" customFormat="1">
      <c r="A74" s="210" t="s">
        <v>524</v>
      </c>
      <c r="B74" s="228">
        <f>(-_xll.NGL(_xll.BSpec(40101,2112,"505","01"),B$7,"",YEAR(B$8),"Actual"))</f>
        <v>0</v>
      </c>
      <c r="C74" s="228">
        <f>(-_xll.NGL(_xll.BSpec(40101,2112,"505","01"),C$7,"",YEAR(C$8),"Actual"))</f>
        <v>0</v>
      </c>
      <c r="D74" s="228">
        <f>(-_xll.NGL(_xll.BSpec(40101,2112,"505","01"),D$7,"",YEAR(D$8),"Actual"))</f>
        <v>0</v>
      </c>
      <c r="E74" s="228">
        <f>(-_xll.NGL(_xll.BSpec(40101,2112,"505","01"),E$7,"",YEAR(E$8),"Actual"))</f>
        <v>0</v>
      </c>
      <c r="F74" s="228">
        <f>(-_xll.NGL(_xll.BSpec(40101,2112,"505","01"),F$7,"",YEAR(F$8),"Actual"))</f>
        <v>0</v>
      </c>
      <c r="G74" s="228">
        <f>(-_xll.NGL(_xll.BSpec(40101,2112,"505","01"),G$7,"",YEAR(G$8),"Actual"))</f>
        <v>0</v>
      </c>
      <c r="H74" s="228">
        <f>(-_xll.NGL(_xll.BSpec(40101,2112,"505","01"),H$7,"",YEAR(H$8),"Actual"))</f>
        <v>0</v>
      </c>
      <c r="I74" s="228">
        <f>(-_xll.NGL(_xll.BSpec(40101,2112,"505","01"),I$7,"",YEAR(I$8),"Actual"))</f>
        <v>0</v>
      </c>
      <c r="J74" s="228">
        <f>(-_xll.NGL(_xll.BSpec(40101,2112,"505","01"),J$7,"",YEAR(J$8),"Actual"))</f>
        <v>0</v>
      </c>
      <c r="K74" s="228">
        <f>(-_xll.NGL(_xll.BSpec(40101,2112,"505","01"),K$7,"",YEAR(K$8),"Actual"))</f>
        <v>0</v>
      </c>
      <c r="L74" s="228">
        <f>(-_xll.NGL(_xll.BSpec(40101,2112,"505","01"),L$7,"",YEAR(L$8),"Actual"))</f>
        <v>0</v>
      </c>
      <c r="M74" s="228">
        <f>(-_xll.NGL(_xll.BSpec(40101,2112,"505","01"),M$7,"",YEAR(M$8),"Actual"))</f>
        <v>0</v>
      </c>
      <c r="N74" s="154">
        <f>SUM(B74:M74)</f>
        <v>0</v>
      </c>
      <c r="O74" s="133"/>
      <c r="P74" s="220"/>
      <c r="Q74" s="221"/>
      <c r="R74" s="222"/>
    </row>
    <row r="75" spans="1:18" s="216" customFormat="1">
      <c r="A75" s="224" t="s">
        <v>306</v>
      </c>
      <c r="B75" s="227">
        <f>B73-B74</f>
        <v>31999.52640000001</v>
      </c>
      <c r="C75" s="227">
        <f t="shared" ref="C75:M75" si="25">C73-C74</f>
        <v>33086.107199999991</v>
      </c>
      <c r="D75" s="227">
        <f t="shared" si="25"/>
        <v>28989.249599999992</v>
      </c>
      <c r="E75" s="227">
        <f t="shared" si="25"/>
        <v>23484.609600000007</v>
      </c>
      <c r="F75" s="227">
        <f t="shared" si="25"/>
        <v>9658.8863999999994</v>
      </c>
      <c r="G75" s="227">
        <f t="shared" si="25"/>
        <v>41438.812800000014</v>
      </c>
      <c r="H75" s="227">
        <f t="shared" si="25"/>
        <v>31402.214400000001</v>
      </c>
      <c r="I75" s="227">
        <f t="shared" si="25"/>
        <v>48301.752000000015</v>
      </c>
      <c r="J75" s="227">
        <f t="shared" si="25"/>
        <v>35109.940799999989</v>
      </c>
      <c r="K75" s="227">
        <f t="shared" si="25"/>
        <v>43797.902399999984</v>
      </c>
      <c r="L75" s="227">
        <f t="shared" si="25"/>
        <v>43643.596799999999</v>
      </c>
      <c r="M75" s="227">
        <f t="shared" si="25"/>
        <v>58087.336499999998</v>
      </c>
      <c r="N75" s="223">
        <f>SUM(B75:M75)</f>
        <v>428999.93489999999</v>
      </c>
      <c r="O75" s="133"/>
      <c r="P75" s="220"/>
      <c r="Q75" s="221"/>
      <c r="R75" s="222"/>
    </row>
    <row r="76" spans="1:18" s="216" customFormat="1">
      <c r="A76" s="224"/>
      <c r="B76" s="220"/>
      <c r="C76" s="220"/>
      <c r="D76" s="220"/>
      <c r="E76" s="220"/>
      <c r="F76" s="220"/>
      <c r="G76" s="220"/>
      <c r="H76" s="220"/>
      <c r="I76" s="220"/>
      <c r="J76" s="220"/>
      <c r="K76" s="220"/>
      <c r="L76" s="220"/>
      <c r="M76" s="220"/>
      <c r="N76" s="223"/>
      <c r="O76" s="133"/>
      <c r="P76" s="220"/>
      <c r="Q76" s="221"/>
      <c r="R76" s="222"/>
    </row>
    <row r="77" spans="1:18" s="216" customFormat="1">
      <c r="A77" s="224" t="s">
        <v>525</v>
      </c>
      <c r="B77" s="225">
        <v>1412.6420765027324</v>
      </c>
      <c r="C77" s="225">
        <v>300.99043715846994</v>
      </c>
      <c r="D77" s="225">
        <v>384.27049180327867</v>
      </c>
      <c r="E77" s="225">
        <v>226.53073770491801</v>
      </c>
      <c r="F77" s="225">
        <v>360.60997267759564</v>
      </c>
      <c r="G77" s="225">
        <v>467.93101092896177</v>
      </c>
      <c r="H77" s="225">
        <v>617.32001366120221</v>
      </c>
      <c r="I77" s="225">
        <v>407.3104508196721</v>
      </c>
      <c r="J77" s="225">
        <v>416.45013661202182</v>
      </c>
      <c r="K77" s="225">
        <v>552.97096994535514</v>
      </c>
      <c r="L77" s="225">
        <v>481.20047814207646</v>
      </c>
      <c r="M77" s="225">
        <v>353.29057187017003</v>
      </c>
      <c r="N77" s="149">
        <f>SUM(B77:M77)</f>
        <v>5981.5173478264551</v>
      </c>
      <c r="O77" s="133"/>
      <c r="P77" s="220"/>
      <c r="Q77" s="221"/>
      <c r="R77" s="222"/>
    </row>
    <row r="78" spans="1:18" s="216" customFormat="1">
      <c r="A78" s="224" t="s">
        <v>526</v>
      </c>
      <c r="B78" s="225">
        <v>926.04999999999973</v>
      </c>
      <c r="C78" s="225">
        <v>300.99</v>
      </c>
      <c r="D78" s="225">
        <v>457.25</v>
      </c>
      <c r="E78" s="225">
        <v>50.769999999999996</v>
      </c>
      <c r="F78" s="225">
        <v>109.84</v>
      </c>
      <c r="G78" s="225">
        <v>380.34</v>
      </c>
      <c r="H78" s="225">
        <v>590.40000000000009</v>
      </c>
      <c r="I78" s="225">
        <v>541.75</v>
      </c>
      <c r="J78" s="225">
        <v>414.12000000000006</v>
      </c>
      <c r="K78" s="225">
        <v>561.92999999999995</v>
      </c>
      <c r="L78" s="225">
        <v>966.07000000000028</v>
      </c>
      <c r="M78" s="225">
        <v>1014.9599999999999</v>
      </c>
      <c r="N78" s="149">
        <f>SUM(B78:M78)</f>
        <v>6314.47</v>
      </c>
      <c r="O78" s="133"/>
      <c r="P78" s="220"/>
      <c r="Q78" s="221"/>
      <c r="R78" s="222"/>
    </row>
    <row r="79" spans="1:18" s="216" customFormat="1">
      <c r="A79" s="224" t="s">
        <v>522</v>
      </c>
      <c r="B79" s="225">
        <v>486.59207650273265</v>
      </c>
      <c r="C79" s="225">
        <v>4.37158469935639E-4</v>
      </c>
      <c r="D79" s="225">
        <v>-72.979508196721326</v>
      </c>
      <c r="E79" s="225">
        <v>175.76073770491803</v>
      </c>
      <c r="F79" s="225">
        <v>250.76997267759563</v>
      </c>
      <c r="G79" s="225">
        <v>87.591010928961794</v>
      </c>
      <c r="H79" s="225">
        <v>26.92001366120212</v>
      </c>
      <c r="I79" s="225">
        <v>-134.4395491803279</v>
      </c>
      <c r="J79" s="225">
        <v>2.3301366120217608</v>
      </c>
      <c r="K79" s="225">
        <v>-8.9590300546448134</v>
      </c>
      <c r="L79" s="225">
        <v>-484.86952185792381</v>
      </c>
      <c r="M79" s="225">
        <v>-661.66942812982984</v>
      </c>
      <c r="N79" s="149">
        <f>SUM(B79:M79)</f>
        <v>-332.95265217354586</v>
      </c>
      <c r="O79" s="133"/>
      <c r="P79" s="220"/>
      <c r="Q79" s="221"/>
      <c r="R79" s="222"/>
    </row>
    <row r="80" spans="1:18" s="216" customFormat="1">
      <c r="A80" s="224"/>
      <c r="B80" s="226">
        <v>29.28</v>
      </c>
      <c r="C80" s="226">
        <v>29.28</v>
      </c>
      <c r="D80" s="226">
        <v>29.28</v>
      </c>
      <c r="E80" s="226">
        <v>29.28</v>
      </c>
      <c r="F80" s="226">
        <v>29.28</v>
      </c>
      <c r="G80" s="226">
        <v>29.28</v>
      </c>
      <c r="H80" s="226">
        <v>29.28</v>
      </c>
      <c r="I80" s="226">
        <v>29.28</v>
      </c>
      <c r="J80" s="226">
        <v>29.28</v>
      </c>
      <c r="K80" s="226">
        <v>29.28</v>
      </c>
      <c r="L80" s="226">
        <v>29.28</v>
      </c>
      <c r="M80" s="226">
        <v>32.35</v>
      </c>
      <c r="N80" s="223"/>
      <c r="O80" s="133"/>
      <c r="P80" s="220"/>
      <c r="Q80" s="221"/>
      <c r="R80" s="222"/>
    </row>
    <row r="81" spans="1:18" s="216" customFormat="1">
      <c r="A81" s="224" t="s">
        <v>527</v>
      </c>
      <c r="B81" s="227">
        <v>27114.743999999992</v>
      </c>
      <c r="C81" s="227">
        <v>8812.9872000000014</v>
      </c>
      <c r="D81" s="227">
        <v>13388.28</v>
      </c>
      <c r="E81" s="227">
        <v>1486.5455999999999</v>
      </c>
      <c r="F81" s="227">
        <v>3216.1152000000002</v>
      </c>
      <c r="G81" s="227">
        <v>11136.3552</v>
      </c>
      <c r="H81" s="227">
        <v>17286.912000000004</v>
      </c>
      <c r="I81" s="227">
        <v>15862.44</v>
      </c>
      <c r="J81" s="227">
        <v>12125.433600000002</v>
      </c>
      <c r="K81" s="227">
        <v>16453.310399999998</v>
      </c>
      <c r="L81" s="227">
        <v>28286.529600000009</v>
      </c>
      <c r="M81" s="227">
        <v>32833.955999999998</v>
      </c>
      <c r="N81" s="223">
        <f>SUM(B81:M81)</f>
        <v>188003.60880000002</v>
      </c>
      <c r="O81" s="133"/>
      <c r="P81" s="220"/>
      <c r="Q81" s="221"/>
      <c r="R81" s="222"/>
    </row>
    <row r="82" spans="1:18" s="216" customFormat="1">
      <c r="A82" s="210" t="s">
        <v>524</v>
      </c>
      <c r="B82" s="228">
        <f>(-_xll.NGL(_xll.BSpec(40101,2112,"505","02"),B$7,"",YEAR(B$8),"Actual"))</f>
        <v>0</v>
      </c>
      <c r="C82" s="228">
        <f>(-_xll.NGL(_xll.BSpec(40101,2112,"505","02"),C$7,"",YEAR(C$8),"Actual"))</f>
        <v>0</v>
      </c>
      <c r="D82" s="228">
        <f>(-_xll.NGL(_xll.BSpec(40101,2112,"505","02"),D$7,"",YEAR(D$8),"Actual"))</f>
        <v>0</v>
      </c>
      <c r="E82" s="228">
        <f>(-_xll.NGL(_xll.BSpec(40101,2112,"505","02"),E$7,"",YEAR(E$8),"Actual"))</f>
        <v>0</v>
      </c>
      <c r="F82" s="228">
        <f>(-_xll.NGL(_xll.BSpec(40101,2112,"505","02"),F$7,"",YEAR(F$8),"Actual"))</f>
        <v>0</v>
      </c>
      <c r="G82" s="228">
        <f>(-_xll.NGL(_xll.BSpec(40101,2112,"505","02"),G$7,"",YEAR(G$8),"Actual"))</f>
        <v>0</v>
      </c>
      <c r="H82" s="228">
        <f>(-_xll.NGL(_xll.BSpec(40101,2112,"505","02"),H$7,"",YEAR(H$8),"Actual"))</f>
        <v>0</v>
      </c>
      <c r="I82" s="228">
        <f>(-_xll.NGL(_xll.BSpec(40101,2112,"505","02"),I$7,"",YEAR(I$8),"Actual"))</f>
        <v>0</v>
      </c>
      <c r="J82" s="228">
        <f>(-_xll.NGL(_xll.BSpec(40101,2112,"505","02"),J$7,"",YEAR(J$8),"Actual"))</f>
        <v>0</v>
      </c>
      <c r="K82" s="228">
        <f>(-_xll.NGL(_xll.BSpec(40101,2112,"505","02"),K$7,"",YEAR(K$8),"Actual"))</f>
        <v>0</v>
      </c>
      <c r="L82" s="228">
        <f>(-_xll.NGL(_xll.BSpec(40101,2112,"505","02"),L$7,"",YEAR(L$8),"Actual"))</f>
        <v>0</v>
      </c>
      <c r="M82" s="228">
        <f>(-_xll.NGL(_xll.BSpec(40101,2112,"505","02"),M$7,"",YEAR(M$8),"Actual"))</f>
        <v>0</v>
      </c>
      <c r="N82" s="154">
        <f>SUM(B82:M82)</f>
        <v>0</v>
      </c>
      <c r="O82" s="133"/>
      <c r="P82" s="220"/>
      <c r="Q82" s="221"/>
      <c r="R82" s="222"/>
    </row>
    <row r="83" spans="1:18" s="216" customFormat="1">
      <c r="A83" s="224" t="s">
        <v>306</v>
      </c>
      <c r="B83" s="227">
        <f>B81-B82</f>
        <v>27114.743999999992</v>
      </c>
      <c r="C83" s="227">
        <f t="shared" ref="C83:M83" si="26">C81-C82</f>
        <v>8812.9872000000014</v>
      </c>
      <c r="D83" s="227">
        <f t="shared" si="26"/>
        <v>13388.28</v>
      </c>
      <c r="E83" s="227">
        <f t="shared" si="26"/>
        <v>1486.5455999999999</v>
      </c>
      <c r="F83" s="227">
        <f t="shared" si="26"/>
        <v>3216.1152000000002</v>
      </c>
      <c r="G83" s="227">
        <f t="shared" si="26"/>
        <v>11136.3552</v>
      </c>
      <c r="H83" s="227">
        <f t="shared" si="26"/>
        <v>17286.912000000004</v>
      </c>
      <c r="I83" s="227">
        <f t="shared" si="26"/>
        <v>15862.44</v>
      </c>
      <c r="J83" s="227">
        <f t="shared" si="26"/>
        <v>12125.433600000002</v>
      </c>
      <c r="K83" s="227">
        <f t="shared" si="26"/>
        <v>16453.310399999998</v>
      </c>
      <c r="L83" s="227">
        <f t="shared" si="26"/>
        <v>28286.529600000009</v>
      </c>
      <c r="M83" s="227">
        <f t="shared" si="26"/>
        <v>32833.955999999998</v>
      </c>
      <c r="N83" s="223">
        <f>SUM(B83:M83)</f>
        <v>188003.60880000002</v>
      </c>
      <c r="O83" s="133"/>
      <c r="P83" s="220"/>
      <c r="Q83" s="221"/>
      <c r="R83" s="222"/>
    </row>
    <row r="84" spans="1:18" s="216" customFormat="1">
      <c r="A84" s="224"/>
      <c r="B84" s="212"/>
      <c r="C84" s="212"/>
      <c r="D84" s="212"/>
      <c r="E84" s="212"/>
      <c r="F84" s="212"/>
      <c r="G84" s="212"/>
      <c r="H84" s="212"/>
      <c r="I84" s="212"/>
      <c r="J84" s="212"/>
      <c r="K84" s="212"/>
      <c r="L84" s="212"/>
      <c r="M84" s="212"/>
      <c r="N84" s="229"/>
      <c r="O84" s="133"/>
      <c r="P84" s="220"/>
      <c r="Q84" s="221"/>
      <c r="R84" s="222"/>
    </row>
    <row r="85" spans="1:18" s="216" customFormat="1">
      <c r="A85" s="230" t="s">
        <v>528</v>
      </c>
      <c r="B85" s="212"/>
      <c r="C85" s="212"/>
      <c r="D85" s="212"/>
      <c r="E85" s="212"/>
      <c r="F85" s="212"/>
      <c r="G85" s="212"/>
      <c r="H85" s="212"/>
      <c r="I85" s="212"/>
      <c r="J85" s="212"/>
      <c r="K85" s="212"/>
      <c r="L85" s="212"/>
      <c r="M85" s="212"/>
      <c r="N85" s="229"/>
      <c r="O85" s="133"/>
      <c r="P85" s="220"/>
      <c r="Q85" s="221"/>
      <c r="R85" s="222"/>
    </row>
    <row r="86" spans="1:18" s="216" customFormat="1">
      <c r="A86" s="224"/>
      <c r="B86" s="212"/>
      <c r="C86" s="212"/>
      <c r="D86" s="212"/>
      <c r="E86" s="212"/>
      <c r="F86" s="212"/>
      <c r="G86" s="212"/>
      <c r="H86" s="212"/>
      <c r="I86" s="212"/>
      <c r="J86" s="212"/>
      <c r="K86" s="212"/>
      <c r="L86" s="212"/>
      <c r="M86" s="212"/>
      <c r="N86" s="229"/>
      <c r="O86" s="133"/>
      <c r="P86" s="220"/>
      <c r="Q86" s="221"/>
      <c r="R86" s="222"/>
    </row>
    <row r="87" spans="1:18" s="216" customFormat="1">
      <c r="A87" s="224" t="s">
        <v>520</v>
      </c>
      <c r="B87" s="225">
        <v>66.609636162503591</v>
      </c>
      <c r="C87" s="225">
        <v>39.117051881747173</v>
      </c>
      <c r="D87" s="225">
        <v>71.506417482120469</v>
      </c>
      <c r="E87" s="225">
        <v>72.856880940086072</v>
      </c>
      <c r="F87" s="225">
        <v>5.0764508423961798</v>
      </c>
      <c r="G87" s="225">
        <v>96.499912277333678</v>
      </c>
      <c r="H87" s="225">
        <v>121.65296127175532</v>
      </c>
      <c r="I87" s="225">
        <v>9.2233547935206666</v>
      </c>
      <c r="J87" s="225">
        <v>132.922419411118</v>
      </c>
      <c r="K87" s="225">
        <v>90.265683619329849</v>
      </c>
      <c r="L87" s="225">
        <v>33.70789632426748</v>
      </c>
      <c r="M87" s="225">
        <v>73.662150709813091</v>
      </c>
      <c r="N87" s="149">
        <f>SUM(B87:M87)</f>
        <v>813.10081571599153</v>
      </c>
      <c r="O87" s="133"/>
      <c r="P87" s="220"/>
      <c r="Q87" s="221"/>
      <c r="R87" s="222"/>
    </row>
    <row r="88" spans="1:18" s="216" customFormat="1">
      <c r="A88" s="224" t="s">
        <v>521</v>
      </c>
      <c r="B88" s="225">
        <v>42.33</v>
      </c>
      <c r="C88" s="225">
        <v>82.960000000000008</v>
      </c>
      <c r="D88" s="225">
        <v>48.18</v>
      </c>
      <c r="E88" s="225">
        <v>79.88</v>
      </c>
      <c r="F88" s="225">
        <v>95.86999999999999</v>
      </c>
      <c r="G88" s="225">
        <v>147.72</v>
      </c>
      <c r="H88" s="225">
        <v>90.32</v>
      </c>
      <c r="I88" s="225">
        <v>120.92000000000002</v>
      </c>
      <c r="J88" s="225">
        <v>73</v>
      </c>
      <c r="K88" s="225">
        <v>147.26</v>
      </c>
      <c r="L88" s="225">
        <v>140.38</v>
      </c>
      <c r="M88" s="225">
        <v>185.04999999999998</v>
      </c>
      <c r="N88" s="149">
        <f>SUM(B88:M88)</f>
        <v>1253.8700000000001</v>
      </c>
      <c r="O88" s="133"/>
      <c r="P88" s="220"/>
      <c r="Q88" s="221"/>
      <c r="R88" s="222"/>
    </row>
    <row r="89" spans="1:18" s="216" customFormat="1">
      <c r="A89" s="224" t="s">
        <v>522</v>
      </c>
      <c r="B89" s="225">
        <v>24.279636162503593</v>
      </c>
      <c r="C89" s="225">
        <v>-43.842948118252835</v>
      </c>
      <c r="D89" s="225">
        <v>23.326417482120469</v>
      </c>
      <c r="E89" s="225">
        <v>-7.0231190599139239</v>
      </c>
      <c r="F89" s="225">
        <v>-90.793549157603806</v>
      </c>
      <c r="G89" s="225">
        <v>-51.220087722666321</v>
      </c>
      <c r="H89" s="225">
        <v>31.332961271755323</v>
      </c>
      <c r="I89" s="225">
        <v>-111.69664520647935</v>
      </c>
      <c r="J89" s="225">
        <v>59.922419411118</v>
      </c>
      <c r="K89" s="225">
        <v>-56.994316380670142</v>
      </c>
      <c r="L89" s="225">
        <v>-106.67210367573252</v>
      </c>
      <c r="M89" s="225">
        <v>-111.38784929018689</v>
      </c>
      <c r="N89" s="149">
        <f>SUM(B89:M89)</f>
        <v>-440.76918428400836</v>
      </c>
      <c r="O89" s="133"/>
      <c r="P89" s="220"/>
      <c r="Q89" s="221"/>
      <c r="R89" s="222"/>
    </row>
    <row r="90" spans="1:18" s="216" customFormat="1">
      <c r="A90" s="224"/>
      <c r="B90" s="226">
        <v>29.28</v>
      </c>
      <c r="C90" s="226">
        <v>29.28</v>
      </c>
      <c r="D90" s="226">
        <v>29.28</v>
      </c>
      <c r="E90" s="226">
        <v>29.28</v>
      </c>
      <c r="F90" s="226">
        <v>29.28</v>
      </c>
      <c r="G90" s="226">
        <v>29.28</v>
      </c>
      <c r="H90" s="226">
        <v>29.28</v>
      </c>
      <c r="I90" s="226">
        <v>29.28</v>
      </c>
      <c r="J90" s="226">
        <v>30</v>
      </c>
      <c r="K90" s="226">
        <v>30</v>
      </c>
      <c r="L90" s="226">
        <v>30</v>
      </c>
      <c r="M90" s="226">
        <v>30</v>
      </c>
      <c r="N90" s="223"/>
      <c r="O90" s="133"/>
      <c r="P90" s="220"/>
      <c r="Q90" s="221"/>
      <c r="R90" s="222"/>
    </row>
    <row r="91" spans="1:18" s="216" customFormat="1">
      <c r="A91" s="224" t="s">
        <v>529</v>
      </c>
      <c r="B91" s="227">
        <v>1950.3301468381053</v>
      </c>
      <c r="C91" s="227">
        <v>1145.3472790975572</v>
      </c>
      <c r="D91" s="227">
        <v>2093.7079038764873</v>
      </c>
      <c r="E91" s="227">
        <v>2133.2494739257204</v>
      </c>
      <c r="F91" s="227">
        <v>148.63848066536016</v>
      </c>
      <c r="G91" s="227">
        <v>2825.5174314803303</v>
      </c>
      <c r="H91" s="227">
        <v>3561.9987060369958</v>
      </c>
      <c r="I91" s="227">
        <v>270.05982835428512</v>
      </c>
      <c r="J91" s="227">
        <v>3987.67258233354</v>
      </c>
      <c r="K91" s="227">
        <v>2707.9705085798955</v>
      </c>
      <c r="L91" s="227">
        <v>1011.2368897280244</v>
      </c>
      <c r="M91" s="227">
        <v>2209.8645212943929</v>
      </c>
      <c r="N91" s="154">
        <f>SUM(B91:M91)</f>
        <v>24045.593752210694</v>
      </c>
      <c r="O91" s="133"/>
      <c r="P91" s="220"/>
      <c r="Q91" s="221"/>
      <c r="R91" s="222"/>
    </row>
    <row r="92" spans="1:18" s="216" customFormat="1">
      <c r="A92" s="224"/>
      <c r="B92" s="220"/>
      <c r="C92" s="220"/>
      <c r="D92" s="220"/>
      <c r="E92" s="220"/>
      <c r="F92" s="220"/>
      <c r="G92" s="220"/>
      <c r="H92" s="220"/>
      <c r="I92" s="220"/>
      <c r="J92" s="220"/>
      <c r="K92" s="220"/>
      <c r="L92" s="220"/>
      <c r="M92" s="220"/>
      <c r="N92" s="223"/>
      <c r="O92" s="133"/>
      <c r="P92" s="220"/>
      <c r="Q92" s="221"/>
      <c r="R92" s="222"/>
    </row>
    <row r="93" spans="1:18" s="216" customFormat="1">
      <c r="A93" s="224" t="s">
        <v>525</v>
      </c>
      <c r="B93" s="225">
        <v>99.638314657168522</v>
      </c>
      <c r="C93" s="225">
        <v>58.513412599127122</v>
      </c>
      <c r="D93" s="225">
        <v>106.9631863430161</v>
      </c>
      <c r="E93" s="225">
        <v>108.98328299434013</v>
      </c>
      <c r="F93" s="225">
        <v>7.593631124816933</v>
      </c>
      <c r="G93" s="225">
        <v>144.34981449862255</v>
      </c>
      <c r="H93" s="225">
        <v>181.97511249873642</v>
      </c>
      <c r="I93" s="225">
        <v>13.796795479703373</v>
      </c>
      <c r="J93" s="225">
        <v>198.83258058888197</v>
      </c>
      <c r="K93" s="225">
        <v>135.02431638067011</v>
      </c>
      <c r="L93" s="225">
        <v>50.422103675732515</v>
      </c>
      <c r="M93" s="225">
        <v>110.18784929018688</v>
      </c>
      <c r="N93" s="149">
        <f>SUM(B93:M93)</f>
        <v>1216.2804001310028</v>
      </c>
      <c r="O93" s="133"/>
      <c r="P93" s="220"/>
      <c r="Q93" s="221"/>
      <c r="R93" s="222"/>
    </row>
    <row r="94" spans="1:18" s="216" customFormat="1">
      <c r="A94" s="224" t="s">
        <v>526</v>
      </c>
      <c r="B94" s="225">
        <v>84.76</v>
      </c>
      <c r="C94" s="225">
        <v>62.400000000000006</v>
      </c>
      <c r="D94" s="225">
        <v>99.139999999999986</v>
      </c>
      <c r="E94" s="225">
        <v>31.18</v>
      </c>
      <c r="F94" s="225">
        <v>49.510000000000005</v>
      </c>
      <c r="G94" s="225">
        <v>118.08999999999999</v>
      </c>
      <c r="H94" s="225">
        <v>50.319999999999993</v>
      </c>
      <c r="I94" s="225">
        <v>41.42</v>
      </c>
      <c r="J94" s="225">
        <v>56.12</v>
      </c>
      <c r="K94" s="225">
        <v>55.069999999999993</v>
      </c>
      <c r="L94" s="225">
        <v>102.61</v>
      </c>
      <c r="M94" s="225">
        <v>87.61</v>
      </c>
      <c r="N94" s="149">
        <f>SUM(B94:M94)</f>
        <v>838.23</v>
      </c>
      <c r="O94" s="133"/>
      <c r="P94" s="220"/>
      <c r="Q94" s="221"/>
      <c r="R94" s="222"/>
    </row>
    <row r="95" spans="1:18" s="216" customFormat="1">
      <c r="A95" s="224" t="s">
        <v>522</v>
      </c>
      <c r="B95" s="225">
        <f>B93-B94</f>
        <v>14.878314657168517</v>
      </c>
      <c r="C95" s="225">
        <f t="shared" ref="C95:M95" si="27">C93-C94</f>
        <v>-3.8865874008728838</v>
      </c>
      <c r="D95" s="225">
        <f t="shared" si="27"/>
        <v>7.8231863430161184</v>
      </c>
      <c r="E95" s="225">
        <f t="shared" si="27"/>
        <v>77.803282994340123</v>
      </c>
      <c r="F95" s="225">
        <f t="shared" si="27"/>
        <v>-41.916368875183075</v>
      </c>
      <c r="G95" s="225">
        <f t="shared" si="27"/>
        <v>26.259814498622561</v>
      </c>
      <c r="H95" s="225">
        <f t="shared" si="27"/>
        <v>131.65511249873643</v>
      </c>
      <c r="I95" s="225">
        <f t="shared" si="27"/>
        <v>-27.623204520296628</v>
      </c>
      <c r="J95" s="225">
        <f t="shared" si="27"/>
        <v>142.71258058888196</v>
      </c>
      <c r="K95" s="225">
        <f t="shared" si="27"/>
        <v>79.954316380670122</v>
      </c>
      <c r="L95" s="225">
        <f t="shared" si="27"/>
        <v>-52.187896324267484</v>
      </c>
      <c r="M95" s="225">
        <f t="shared" si="27"/>
        <v>22.577849290186876</v>
      </c>
      <c r="N95" s="149">
        <f>SUM(B95:M95)</f>
        <v>378.05040013100262</v>
      </c>
      <c r="O95" s="133"/>
      <c r="P95" s="220"/>
      <c r="Q95" s="221"/>
      <c r="R95" s="222"/>
    </row>
    <row r="96" spans="1:18" s="216" customFormat="1">
      <c r="A96" s="224"/>
      <c r="B96" s="226">
        <v>29.28</v>
      </c>
      <c r="C96" s="226">
        <v>29.28</v>
      </c>
      <c r="D96" s="226">
        <v>29.28</v>
      </c>
      <c r="E96" s="226">
        <v>29.28</v>
      </c>
      <c r="F96" s="226">
        <v>29.28</v>
      </c>
      <c r="G96" s="226">
        <v>29.28</v>
      </c>
      <c r="H96" s="226">
        <v>29.28</v>
      </c>
      <c r="I96" s="226">
        <v>29.28</v>
      </c>
      <c r="J96" s="226">
        <v>30</v>
      </c>
      <c r="K96" s="226">
        <v>30</v>
      </c>
      <c r="L96" s="226">
        <v>30</v>
      </c>
      <c r="M96" s="226">
        <v>30</v>
      </c>
      <c r="N96" s="223"/>
      <c r="O96" s="133"/>
      <c r="P96" s="220"/>
      <c r="Q96" s="221"/>
      <c r="R96" s="222"/>
    </row>
    <row r="97" spans="1:18" s="216" customFormat="1">
      <c r="A97" s="224" t="s">
        <v>530</v>
      </c>
      <c r="B97" s="227">
        <v>2917.4098531618943</v>
      </c>
      <c r="C97" s="227">
        <v>1713.2727209024422</v>
      </c>
      <c r="D97" s="227">
        <v>3131.8820961235115</v>
      </c>
      <c r="E97" s="227">
        <v>3191.0305260742789</v>
      </c>
      <c r="F97" s="227">
        <v>222.3415193346398</v>
      </c>
      <c r="G97" s="227">
        <v>4226.5625685196683</v>
      </c>
      <c r="H97" s="227">
        <v>5328.2312939630028</v>
      </c>
      <c r="I97" s="227">
        <v>403.9701716457148</v>
      </c>
      <c r="J97" s="227">
        <v>5964.9774176664587</v>
      </c>
      <c r="K97" s="227">
        <v>4050.7294914201034</v>
      </c>
      <c r="L97" s="227">
        <v>1512.6631102719755</v>
      </c>
      <c r="M97" s="227">
        <v>3305.6354787056061</v>
      </c>
      <c r="N97" s="154">
        <f>SUM(B97:M97)</f>
        <v>35968.706247789291</v>
      </c>
      <c r="O97" s="133"/>
      <c r="P97" s="220"/>
      <c r="Q97" s="221"/>
      <c r="R97" s="222"/>
    </row>
    <row r="98" spans="1:18" s="216" customFormat="1">
      <c r="A98" s="210" t="s">
        <v>531</v>
      </c>
      <c r="B98" s="228">
        <f>(-_xll.NGL(_xll.BSpec(40109,2112,"505","01"),B$7,"",YEAR(B$8),"Actual"))</f>
        <v>0</v>
      </c>
      <c r="C98" s="228">
        <f>(-_xll.NGL(_xll.BSpec(40109,2112,"505","01"),C$7,"",YEAR(C$8),"Actual"))</f>
        <v>0</v>
      </c>
      <c r="D98" s="228">
        <f>(-_xll.NGL(_xll.BSpec(40109,2112,"505","01"),D$7,"",YEAR(D$8),"Actual"))</f>
        <v>0</v>
      </c>
      <c r="E98" s="228">
        <f>(-_xll.NGL(_xll.BSpec(40109,2112,"505","01"),E$7,"",YEAR(E$8),"Actual"))</f>
        <v>0</v>
      </c>
      <c r="F98" s="228">
        <f>(-_xll.NGL(_xll.BSpec(40109,2112,"505","01"),F$7,"",YEAR(F$8),"Actual"))</f>
        <v>0</v>
      </c>
      <c r="G98" s="228">
        <f>(-_xll.NGL(_xll.BSpec(40109,2112,"505","01"),G$7,"",YEAR(G$8),"Actual"))</f>
        <v>0</v>
      </c>
      <c r="H98" s="228">
        <f>(-_xll.NGL(_xll.BSpec(40109,2112,"505","01"),H$7,"",YEAR(H$8),"Actual"))</f>
        <v>0</v>
      </c>
      <c r="I98" s="228">
        <f>(-_xll.NGL(_xll.BSpec(40109,2112,"505","01"),I$7,"",YEAR(I$8),"Actual"))</f>
        <v>0</v>
      </c>
      <c r="J98" s="228">
        <f>(-_xll.NGL(_xll.BSpec(40109,2112,"505","01"),J$7,"",YEAR(J$8),"Actual"))</f>
        <v>0</v>
      </c>
      <c r="K98" s="228">
        <f>(-_xll.NGL(_xll.BSpec(40109,2112,"505","01"),K$7,"",YEAR(K$8),"Actual"))</f>
        <v>0</v>
      </c>
      <c r="L98" s="228">
        <f>(-_xll.NGL(_xll.BSpec(40109,2112,"505","01"),L$7,"",YEAR(L$8),"Actual"))</f>
        <v>0</v>
      </c>
      <c r="M98" s="228">
        <f>(-_xll.NGL(_xll.BSpec(40109,2112,"505","01"),M$7,"",YEAR(M$8),"Actual"))</f>
        <v>0</v>
      </c>
      <c r="N98" s="154">
        <f>SUM(B98:M98)</f>
        <v>0</v>
      </c>
      <c r="O98" s="133"/>
      <c r="P98" s="220"/>
      <c r="Q98" s="221"/>
      <c r="R98" s="222"/>
    </row>
    <row r="99" spans="1:18" s="216" customFormat="1">
      <c r="A99" s="224" t="s">
        <v>532</v>
      </c>
      <c r="B99" s="227">
        <f>B97+B91-B98</f>
        <v>4867.74</v>
      </c>
      <c r="C99" s="227">
        <f t="shared" ref="C99:M99" si="28">C97+C91-C98</f>
        <v>2858.6199999999994</v>
      </c>
      <c r="D99" s="227">
        <f t="shared" si="28"/>
        <v>5225.5899999999983</v>
      </c>
      <c r="E99" s="227">
        <f t="shared" si="28"/>
        <v>5324.2799999999988</v>
      </c>
      <c r="F99" s="227">
        <f t="shared" si="28"/>
        <v>370.97999999999996</v>
      </c>
      <c r="G99" s="227">
        <f t="shared" si="28"/>
        <v>7052.0799999999981</v>
      </c>
      <c r="H99" s="227">
        <f t="shared" si="28"/>
        <v>8890.23</v>
      </c>
      <c r="I99" s="227">
        <f t="shared" si="28"/>
        <v>674.03</v>
      </c>
      <c r="J99" s="227">
        <f t="shared" si="28"/>
        <v>9952.6499999999978</v>
      </c>
      <c r="K99" s="227">
        <f t="shared" si="28"/>
        <v>6758.6999999999989</v>
      </c>
      <c r="L99" s="227">
        <f t="shared" si="28"/>
        <v>2523.8999999999996</v>
      </c>
      <c r="M99" s="227">
        <f t="shared" si="28"/>
        <v>5515.4999999999991</v>
      </c>
      <c r="N99" s="154">
        <f>SUM(B99:M99)</f>
        <v>60014.299999999981</v>
      </c>
      <c r="O99" s="133"/>
      <c r="P99" s="220"/>
      <c r="Q99" s="221"/>
      <c r="R99" s="222"/>
    </row>
    <row r="100" spans="1:18" s="216" customFormat="1">
      <c r="A100" s="224"/>
      <c r="B100" s="212"/>
      <c r="C100" s="212"/>
      <c r="D100" s="212"/>
      <c r="E100" s="212"/>
      <c r="F100" s="212"/>
      <c r="G100" s="212"/>
      <c r="H100" s="212"/>
      <c r="I100" s="212"/>
      <c r="J100" s="212"/>
      <c r="K100" s="212"/>
      <c r="L100" s="212"/>
      <c r="M100" s="212"/>
      <c r="N100" s="229"/>
      <c r="O100" s="133"/>
      <c r="P100" s="220"/>
      <c r="Q100" s="221"/>
      <c r="R100" s="222"/>
    </row>
    <row r="101" spans="1:18" s="216" customFormat="1">
      <c r="A101" s="224"/>
      <c r="B101" s="212"/>
      <c r="C101" s="212"/>
      <c r="D101" s="212"/>
      <c r="E101" s="212"/>
      <c r="F101" s="212"/>
      <c r="G101" s="212"/>
      <c r="H101" s="212"/>
      <c r="I101" s="212"/>
      <c r="J101" s="212"/>
      <c r="K101" s="212"/>
      <c r="L101" s="212"/>
      <c r="M101" s="212"/>
      <c r="N101" s="229"/>
      <c r="O101" s="133"/>
      <c r="P101" s="220"/>
      <c r="Q101" s="221"/>
      <c r="R101" s="222"/>
    </row>
    <row r="102" spans="1:18" s="216" customFormat="1">
      <c r="A102" s="224"/>
      <c r="B102" s="212"/>
      <c r="C102" s="212"/>
      <c r="D102" s="212"/>
      <c r="E102" s="212"/>
      <c r="F102" s="212"/>
      <c r="G102" s="212"/>
      <c r="H102" s="212"/>
      <c r="I102" s="212"/>
      <c r="J102" s="212"/>
      <c r="K102" s="212"/>
      <c r="L102" s="212"/>
      <c r="M102" s="212"/>
      <c r="N102" s="229"/>
      <c r="O102" s="133"/>
      <c r="P102" s="220"/>
      <c r="Q102" s="221"/>
      <c r="R102" s="222"/>
    </row>
    <row r="103" spans="1:18" s="216" customFormat="1">
      <c r="A103" s="224" t="s">
        <v>533</v>
      </c>
      <c r="B103" s="225">
        <v>205.25000000000003</v>
      </c>
      <c r="C103" s="225">
        <v>119.33</v>
      </c>
      <c r="D103" s="225">
        <v>178.47</v>
      </c>
      <c r="E103" s="225">
        <v>196.46000000000004</v>
      </c>
      <c r="F103" s="225">
        <v>12.67</v>
      </c>
      <c r="G103" s="225">
        <v>240.84999999999997</v>
      </c>
      <c r="H103" s="225">
        <v>295.09000000000003</v>
      </c>
      <c r="I103" s="225">
        <v>23.020000000000003</v>
      </c>
      <c r="J103" s="225">
        <v>332.92999999999995</v>
      </c>
      <c r="K103" s="225">
        <v>225.29</v>
      </c>
      <c r="L103" s="225">
        <v>84.13</v>
      </c>
      <c r="M103" s="225">
        <v>183.85</v>
      </c>
      <c r="N103" s="149">
        <f>SUM(B103:M103)</f>
        <v>2097.3399999999997</v>
      </c>
      <c r="O103" s="133"/>
      <c r="P103" s="220"/>
      <c r="Q103" s="221"/>
      <c r="R103" s="222"/>
    </row>
    <row r="104" spans="1:18" s="216" customFormat="1">
      <c r="A104" s="224" t="s">
        <v>534</v>
      </c>
      <c r="B104" s="225">
        <v>166.2479508196721</v>
      </c>
      <c r="C104" s="225">
        <v>97.630464480874295</v>
      </c>
      <c r="D104" s="225">
        <v>178.46960382513657</v>
      </c>
      <c r="E104" s="225">
        <v>181.84016393442619</v>
      </c>
      <c r="F104" s="225">
        <v>12.670081967213113</v>
      </c>
      <c r="G104" s="225">
        <v>240.84972677595624</v>
      </c>
      <c r="H104" s="225">
        <v>303.62807377049171</v>
      </c>
      <c r="I104" s="225">
        <v>23.02015027322404</v>
      </c>
      <c r="J104" s="225">
        <v>331.755</v>
      </c>
      <c r="K104" s="225">
        <v>225.28999999999996</v>
      </c>
      <c r="L104" s="225">
        <v>84.13</v>
      </c>
      <c r="M104" s="225">
        <v>183.84999999999997</v>
      </c>
      <c r="N104" s="149">
        <f>SUM(B104:M104)</f>
        <v>2029.3812158469941</v>
      </c>
      <c r="O104" s="133"/>
      <c r="P104" s="220"/>
      <c r="Q104" s="221"/>
      <c r="R104" s="222"/>
    </row>
    <row r="105" spans="1:18" s="216" customFormat="1">
      <c r="A105" s="224" t="s">
        <v>306</v>
      </c>
      <c r="B105" s="225">
        <f>B104-B103</f>
        <v>-39.00204918032793</v>
      </c>
      <c r="C105" s="225">
        <f t="shared" ref="C105:M105" si="29">C104-C103</f>
        <v>-21.699535519125703</v>
      </c>
      <c r="D105" s="225">
        <f t="shared" si="29"/>
        <v>-3.9617486342535813E-4</v>
      </c>
      <c r="E105" s="225">
        <f t="shared" si="29"/>
        <v>-14.61983606557385</v>
      </c>
      <c r="F105" s="225">
        <f t="shared" si="29"/>
        <v>8.1967213112932313E-5</v>
      </c>
      <c r="G105" s="225">
        <f t="shared" si="29"/>
        <v>-2.7322404372398523E-4</v>
      </c>
      <c r="H105" s="225">
        <f t="shared" si="29"/>
        <v>8.5380737704916783</v>
      </c>
      <c r="I105" s="225">
        <f t="shared" si="29"/>
        <v>1.5027322403682319E-4</v>
      </c>
      <c r="J105" s="225">
        <f t="shared" si="29"/>
        <v>-1.1749999999999545</v>
      </c>
      <c r="K105" s="225">
        <f t="shared" si="29"/>
        <v>0</v>
      </c>
      <c r="L105" s="225">
        <f t="shared" si="29"/>
        <v>0</v>
      </c>
      <c r="M105" s="225">
        <f t="shared" si="29"/>
        <v>0</v>
      </c>
      <c r="N105" s="149">
        <f>SUM(B105:M105)</f>
        <v>-67.958784153005766</v>
      </c>
      <c r="O105" s="133"/>
      <c r="P105" s="220"/>
      <c r="Q105" s="221"/>
      <c r="R105" s="222"/>
    </row>
    <row r="106" spans="1:18" s="216" customFormat="1">
      <c r="A106" s="224"/>
      <c r="B106" s="212"/>
      <c r="C106" s="212"/>
      <c r="D106" s="212"/>
      <c r="E106" s="212"/>
      <c r="F106" s="212"/>
      <c r="G106" s="212"/>
      <c r="H106" s="212"/>
      <c r="I106" s="212"/>
      <c r="J106" s="212"/>
      <c r="K106" s="212"/>
      <c r="L106" s="212"/>
      <c r="M106" s="212"/>
      <c r="N106" s="229"/>
      <c r="O106" s="133"/>
      <c r="P106" s="220"/>
      <c r="Q106" s="221"/>
      <c r="R106" s="222"/>
    </row>
    <row r="107" spans="1:18" s="216" customFormat="1" ht="15.75" thickBot="1">
      <c r="A107" s="231"/>
      <c r="B107" s="232"/>
      <c r="C107" s="232"/>
      <c r="D107" s="232"/>
      <c r="E107" s="232"/>
      <c r="F107" s="232"/>
      <c r="G107" s="232"/>
      <c r="H107" s="232"/>
      <c r="I107" s="232"/>
      <c r="J107" s="232"/>
      <c r="K107" s="232"/>
      <c r="L107" s="232"/>
      <c r="M107" s="232"/>
      <c r="N107" s="233"/>
      <c r="O107" s="133"/>
      <c r="P107" s="220"/>
      <c r="Q107" s="221"/>
      <c r="R107" s="222"/>
    </row>
    <row r="108" spans="1:18" s="216" customFormat="1" ht="15.75" thickBot="1">
      <c r="A108" s="224"/>
      <c r="B108" s="220"/>
      <c r="C108" s="220"/>
      <c r="D108" s="220"/>
      <c r="E108" s="220"/>
      <c r="F108" s="220"/>
      <c r="G108" s="220"/>
      <c r="H108" s="220"/>
      <c r="I108" s="220"/>
      <c r="J108" s="220"/>
      <c r="K108" s="220"/>
      <c r="L108" s="220"/>
      <c r="M108" s="220"/>
      <c r="N108" s="212"/>
      <c r="O108" s="133"/>
      <c r="P108" s="220"/>
      <c r="Q108" s="221"/>
      <c r="R108" s="222"/>
    </row>
    <row r="109" spans="1:18">
      <c r="A109" s="128" t="s">
        <v>535</v>
      </c>
      <c r="B109" s="129"/>
      <c r="C109" s="129"/>
      <c r="D109" s="129"/>
      <c r="E109" s="129"/>
      <c r="F109" s="234"/>
      <c r="G109" s="235"/>
      <c r="H109" s="234"/>
      <c r="I109" s="234"/>
      <c r="J109" s="234"/>
      <c r="K109" s="236"/>
      <c r="L109" s="234"/>
      <c r="M109" s="234"/>
      <c r="N109" s="132"/>
      <c r="O109" s="133"/>
      <c r="P109" s="134"/>
      <c r="Q109" s="135"/>
      <c r="R109" s="136"/>
    </row>
    <row r="110" spans="1:18">
      <c r="A110" s="137"/>
      <c r="B110" s="134"/>
      <c r="C110" s="134"/>
      <c r="D110" s="134"/>
      <c r="E110" s="134"/>
      <c r="F110" s="134"/>
      <c r="G110" s="134"/>
      <c r="H110" s="134"/>
      <c r="I110" s="134"/>
      <c r="J110" s="134"/>
      <c r="K110" s="134"/>
      <c r="L110" s="197"/>
      <c r="M110" s="197"/>
      <c r="N110" s="139"/>
      <c r="O110" s="133"/>
      <c r="P110" s="134"/>
      <c r="Q110" s="135"/>
      <c r="R110" s="136"/>
    </row>
    <row r="111" spans="1:18">
      <c r="A111" s="237" t="s">
        <v>536</v>
      </c>
      <c r="B111" s="238"/>
      <c r="C111" s="238"/>
      <c r="D111" s="238"/>
      <c r="E111" s="238"/>
      <c r="F111" s="134"/>
      <c r="G111" s="134"/>
      <c r="H111" s="134"/>
      <c r="I111" s="134"/>
      <c r="J111" s="134"/>
      <c r="K111" s="134"/>
      <c r="L111" s="134"/>
      <c r="M111" s="134"/>
      <c r="N111" s="139"/>
      <c r="O111" s="133"/>
      <c r="P111" s="134"/>
      <c r="Q111" s="135"/>
      <c r="R111" s="136"/>
    </row>
    <row r="112" spans="1:18">
      <c r="A112" s="137" t="s">
        <v>537</v>
      </c>
      <c r="B112" s="239">
        <f>B115/B113</f>
        <v>0</v>
      </c>
      <c r="C112" s="239">
        <f t="shared" ref="C112:M112" si="30">C115/C113</f>
        <v>0</v>
      </c>
      <c r="D112" s="239">
        <f t="shared" si="30"/>
        <v>0</v>
      </c>
      <c r="E112" s="239">
        <f t="shared" si="30"/>
        <v>0</v>
      </c>
      <c r="F112" s="239">
        <f t="shared" si="30"/>
        <v>0</v>
      </c>
      <c r="G112" s="239">
        <f t="shared" si="30"/>
        <v>0</v>
      </c>
      <c r="H112" s="239">
        <f t="shared" si="30"/>
        <v>0</v>
      </c>
      <c r="I112" s="239">
        <f t="shared" si="30"/>
        <v>0</v>
      </c>
      <c r="J112" s="239">
        <f t="shared" si="30"/>
        <v>0</v>
      </c>
      <c r="K112" s="239">
        <f t="shared" si="30"/>
        <v>0</v>
      </c>
      <c r="L112" s="239">
        <f t="shared" si="30"/>
        <v>0</v>
      </c>
      <c r="M112" s="239">
        <f t="shared" si="30"/>
        <v>0</v>
      </c>
      <c r="N112" s="149">
        <f>SUM(B112:M112)</f>
        <v>0</v>
      </c>
      <c r="O112" s="133"/>
      <c r="P112" s="134"/>
      <c r="Q112" s="135"/>
      <c r="R112" s="136"/>
    </row>
    <row r="113" spans="1:18">
      <c r="A113" s="240" t="s">
        <v>538</v>
      </c>
      <c r="B113" s="241">
        <v>10</v>
      </c>
      <c r="C113" s="241">
        <v>10</v>
      </c>
      <c r="D113" s="241">
        <v>10</v>
      </c>
      <c r="E113" s="241">
        <v>10</v>
      </c>
      <c r="F113" s="241">
        <v>10</v>
      </c>
      <c r="G113" s="241">
        <v>10</v>
      </c>
      <c r="H113" s="241">
        <v>10</v>
      </c>
      <c r="I113" s="241">
        <v>10</v>
      </c>
      <c r="J113" s="241">
        <v>10</v>
      </c>
      <c r="K113" s="241">
        <v>10</v>
      </c>
      <c r="L113" s="241">
        <v>10</v>
      </c>
      <c r="M113" s="241">
        <v>10</v>
      </c>
      <c r="N113" s="242">
        <v>10</v>
      </c>
      <c r="O113" s="133"/>
      <c r="P113" s="134"/>
      <c r="Q113" s="135"/>
      <c r="R113" s="136"/>
    </row>
    <row r="114" spans="1:18">
      <c r="A114" s="137" t="s">
        <v>16</v>
      </c>
      <c r="B114" s="182">
        <f>+B112*B113</f>
        <v>0</v>
      </c>
      <c r="C114" s="182">
        <f>+C112*C113</f>
        <v>0</v>
      </c>
      <c r="D114" s="182">
        <f>+D112*D113</f>
        <v>0</v>
      </c>
      <c r="E114" s="182">
        <f>+E112*E113</f>
        <v>0</v>
      </c>
      <c r="F114" s="182">
        <f>+F112*F113</f>
        <v>0</v>
      </c>
      <c r="G114" s="182">
        <f t="shared" ref="G114:M114" si="31">+G112*G113</f>
        <v>0</v>
      </c>
      <c r="H114" s="182">
        <f t="shared" si="31"/>
        <v>0</v>
      </c>
      <c r="I114" s="182">
        <f t="shared" si="31"/>
        <v>0</v>
      </c>
      <c r="J114" s="182">
        <f t="shared" si="31"/>
        <v>0</v>
      </c>
      <c r="K114" s="182">
        <f t="shared" si="31"/>
        <v>0</v>
      </c>
      <c r="L114" s="182">
        <f t="shared" si="31"/>
        <v>0</v>
      </c>
      <c r="M114" s="182">
        <f t="shared" si="31"/>
        <v>0</v>
      </c>
      <c r="N114" s="139">
        <f>SUM(B114:M114)</f>
        <v>0</v>
      </c>
      <c r="O114" s="133"/>
      <c r="P114" s="134"/>
      <c r="Q114" s="135"/>
      <c r="R114" s="136"/>
    </row>
    <row r="115" spans="1:18">
      <c r="A115" s="240" t="s">
        <v>539</v>
      </c>
      <c r="B115" s="243">
        <f>(-_xll.NGL(_xll.BSpec(44166,2112,"*","*"),B$7,"",YEAR(B8),"Actual"))</f>
        <v>0</v>
      </c>
      <c r="C115" s="243">
        <f>(-_xll.NGL(_xll.BSpec(44166,2112,"*","*"),C$7,"",YEAR(C8),"Actual"))</f>
        <v>0</v>
      </c>
      <c r="D115" s="243">
        <f>(-_xll.NGL(_xll.BSpec(44166,2112,"*","*"),D$7,"",YEAR(D8),"Actual"))</f>
        <v>0</v>
      </c>
      <c r="E115" s="243">
        <f>(-_xll.NGL(_xll.BSpec(44166,2112,"*","*"),E$7,"",YEAR(E8),"Actual"))</f>
        <v>0</v>
      </c>
      <c r="F115" s="243">
        <f>(-_xll.NGL(_xll.BSpec(44166,2112,"*","*"),F$7,"",YEAR(F8),"Actual"))</f>
        <v>0</v>
      </c>
      <c r="G115" s="243">
        <f>(-_xll.NGL(_xll.BSpec(44166,2112,"*","*"),G$7,"",YEAR(G8),"Actual"))</f>
        <v>0</v>
      </c>
      <c r="H115" s="243">
        <f>(-_xll.NGL(_xll.BSpec(44166,2112,"*","*"),H$7,"",YEAR(H8),"Actual"))</f>
        <v>0</v>
      </c>
      <c r="I115" s="243">
        <f>(-_xll.NGL(_xll.BSpec(44166,2112,"*","*"),I$7,"",YEAR(I8),"Actual"))</f>
        <v>0</v>
      </c>
      <c r="J115" s="243">
        <f>(-_xll.NGL(_xll.BSpec(44166,2112,"*","*"),J$7,"",YEAR(J8),"Actual"))</f>
        <v>0</v>
      </c>
      <c r="K115" s="243">
        <f>(-_xll.NGL(_xll.BSpec(44166,2112,"*","*"),K$7,"",YEAR(K8),"Actual"))</f>
        <v>0</v>
      </c>
      <c r="L115" s="243">
        <f>(-_xll.NGL(_xll.BSpec(44166,2112,"*","*"),L$7,"",YEAR(L8),"Actual"))</f>
        <v>0</v>
      </c>
      <c r="M115" s="243">
        <f>(-_xll.NGL(_xll.BSpec(44166,2112,"*","*"),M$7,"",YEAR(M8),"Actual"))</f>
        <v>0</v>
      </c>
      <c r="N115" s="242">
        <f>SUM(B115:M115)</f>
        <v>0</v>
      </c>
      <c r="O115" s="133"/>
      <c r="P115" s="134"/>
      <c r="Q115" s="135"/>
      <c r="R115" s="136"/>
    </row>
    <row r="116" spans="1:18" ht="15.75" thickBot="1">
      <c r="A116" s="244" t="s">
        <v>306</v>
      </c>
      <c r="B116" s="207">
        <f>+B114-B115</f>
        <v>0</v>
      </c>
      <c r="C116" s="207">
        <f>+C114-C115</f>
        <v>0</v>
      </c>
      <c r="D116" s="207">
        <f>+D114-D115</f>
        <v>0</v>
      </c>
      <c r="E116" s="207">
        <f>+E114-E115</f>
        <v>0</v>
      </c>
      <c r="F116" s="207">
        <f>+F114-F115</f>
        <v>0</v>
      </c>
      <c r="G116" s="207">
        <f t="shared" ref="G116:N116" si="32">+G114-G115</f>
        <v>0</v>
      </c>
      <c r="H116" s="207">
        <f t="shared" si="32"/>
        <v>0</v>
      </c>
      <c r="I116" s="207">
        <f t="shared" si="32"/>
        <v>0</v>
      </c>
      <c r="J116" s="207">
        <f t="shared" si="32"/>
        <v>0</v>
      </c>
      <c r="K116" s="207">
        <f t="shared" si="32"/>
        <v>0</v>
      </c>
      <c r="L116" s="207">
        <f t="shared" si="32"/>
        <v>0</v>
      </c>
      <c r="M116" s="207">
        <f t="shared" si="32"/>
        <v>0</v>
      </c>
      <c r="N116" s="208">
        <f t="shared" si="32"/>
        <v>0</v>
      </c>
      <c r="O116" s="133"/>
      <c r="P116" s="134"/>
      <c r="Q116" s="135"/>
      <c r="R116" s="136"/>
    </row>
    <row r="117" spans="1:18">
      <c r="A117" s="137"/>
      <c r="B117" s="134"/>
      <c r="C117" s="134"/>
      <c r="D117" s="134"/>
      <c r="E117" s="134"/>
      <c r="F117" s="134"/>
      <c r="G117" s="134"/>
      <c r="H117" s="134"/>
      <c r="I117" s="134"/>
      <c r="J117" s="134"/>
      <c r="K117" s="134"/>
      <c r="L117" s="134"/>
      <c r="M117" s="134"/>
      <c r="N117" s="209"/>
      <c r="O117" s="133"/>
      <c r="P117" s="134"/>
      <c r="Q117" s="135"/>
      <c r="R117" s="136"/>
    </row>
    <row r="118" spans="1:18">
      <c r="A118" s="140"/>
      <c r="B118" s="134"/>
      <c r="C118" s="134"/>
      <c r="D118" s="134"/>
      <c r="E118" s="134"/>
      <c r="F118" s="134"/>
      <c r="G118" s="134"/>
      <c r="H118" s="134"/>
      <c r="I118" s="134"/>
      <c r="J118" s="134"/>
      <c r="K118" s="134"/>
      <c r="L118" s="134"/>
      <c r="M118" s="134"/>
      <c r="N118" s="209"/>
      <c r="O118" s="133"/>
      <c r="P118" s="134"/>
      <c r="Q118" s="135"/>
      <c r="R118" s="136"/>
    </row>
    <row r="119" spans="1:18">
      <c r="A119" s="137"/>
      <c r="B119" s="134"/>
      <c r="C119" s="134"/>
      <c r="D119" s="134"/>
      <c r="E119" s="134"/>
      <c r="F119" s="134"/>
      <c r="G119" s="134"/>
      <c r="H119" s="134"/>
      <c r="I119" s="134"/>
      <c r="J119" s="134"/>
      <c r="K119" s="134"/>
      <c r="L119" s="134"/>
      <c r="M119" s="134"/>
      <c r="N119" s="209"/>
      <c r="O119" s="133"/>
      <c r="P119" s="134"/>
      <c r="Q119" s="135"/>
      <c r="R119" s="136"/>
    </row>
    <row r="120" spans="1:18">
      <c r="A120" s="137"/>
      <c r="B120" s="134"/>
      <c r="C120" s="134"/>
      <c r="D120" s="134"/>
      <c r="E120" s="134"/>
      <c r="F120" s="134"/>
      <c r="G120" s="134"/>
      <c r="H120" s="197"/>
      <c r="I120" s="134"/>
      <c r="J120" s="134"/>
      <c r="K120" s="134"/>
      <c r="L120" s="134"/>
      <c r="M120" s="134"/>
      <c r="N120" s="209"/>
      <c r="O120" s="133"/>
      <c r="P120" s="134"/>
      <c r="Q120" s="135"/>
      <c r="R120" s="136"/>
    </row>
    <row r="121" spans="1:18">
      <c r="A121" s="137"/>
      <c r="B121" s="134"/>
      <c r="C121" s="134"/>
      <c r="D121" s="134"/>
      <c r="E121" s="134"/>
      <c r="F121" s="134"/>
      <c r="G121" s="134"/>
      <c r="H121" s="134"/>
      <c r="I121" s="134"/>
      <c r="J121" s="134"/>
      <c r="K121" s="134"/>
      <c r="L121" s="134"/>
      <c r="M121" s="134"/>
      <c r="N121" s="209"/>
      <c r="O121" s="133"/>
      <c r="P121" s="134"/>
      <c r="Q121" s="135"/>
      <c r="R121" s="136"/>
    </row>
    <row r="122" spans="1:18">
      <c r="A122" s="137"/>
      <c r="B122" s="134"/>
      <c r="C122" s="134"/>
      <c r="D122" s="134"/>
      <c r="E122" s="134"/>
      <c r="F122" s="134"/>
      <c r="G122" s="134"/>
      <c r="H122" s="134"/>
      <c r="I122" s="134"/>
      <c r="J122" s="134"/>
      <c r="K122" s="134"/>
      <c r="L122" s="134"/>
      <c r="M122" s="134"/>
      <c r="N122" s="209"/>
      <c r="O122" s="133"/>
      <c r="P122" s="134"/>
      <c r="Q122" s="135"/>
      <c r="R122" s="136"/>
    </row>
    <row r="123" spans="1:18">
      <c r="A123" s="137"/>
      <c r="B123" s="134"/>
      <c r="C123" s="134"/>
      <c r="D123" s="134"/>
      <c r="E123" s="134"/>
      <c r="F123" s="134"/>
      <c r="G123" s="134"/>
      <c r="H123" s="134"/>
      <c r="I123" s="134"/>
      <c r="J123" s="134"/>
      <c r="K123" s="134"/>
      <c r="L123" s="134"/>
      <c r="M123" s="134"/>
      <c r="N123" s="209"/>
      <c r="O123" s="133"/>
      <c r="P123" s="134"/>
      <c r="Q123" s="135"/>
      <c r="R123" s="136"/>
    </row>
    <row r="124" spans="1:18">
      <c r="A124" s="137"/>
      <c r="B124" s="134"/>
      <c r="C124" s="134"/>
      <c r="D124" s="134"/>
      <c r="E124" s="134"/>
      <c r="F124" s="134"/>
      <c r="G124" s="134"/>
      <c r="H124" s="134"/>
      <c r="I124" s="134"/>
      <c r="J124" s="134"/>
      <c r="K124" s="134"/>
      <c r="L124" s="134"/>
      <c r="M124" s="134"/>
      <c r="N124" s="209"/>
      <c r="O124" s="133"/>
      <c r="P124" s="134"/>
      <c r="Q124" s="135"/>
      <c r="R124" s="136"/>
    </row>
    <row r="125" spans="1:18">
      <c r="A125" s="137"/>
      <c r="B125" s="134"/>
      <c r="C125" s="134"/>
      <c r="D125" s="134"/>
      <c r="E125" s="134"/>
      <c r="F125" s="134"/>
      <c r="G125" s="134"/>
      <c r="H125" s="134"/>
      <c r="I125" s="134"/>
      <c r="J125" s="134"/>
      <c r="K125" s="134"/>
      <c r="L125" s="134"/>
      <c r="M125" s="134"/>
      <c r="N125" s="209"/>
      <c r="O125" s="133"/>
      <c r="P125" s="134"/>
      <c r="Q125" s="135"/>
      <c r="R125" s="136"/>
    </row>
    <row r="126" spans="1:18">
      <c r="A126" s="137"/>
      <c r="B126" s="134"/>
      <c r="C126" s="134"/>
      <c r="D126" s="134"/>
      <c r="E126" s="134"/>
      <c r="F126" s="134"/>
      <c r="G126" s="134"/>
      <c r="H126" s="134"/>
      <c r="I126" s="134"/>
      <c r="J126" s="134"/>
      <c r="K126" s="134"/>
      <c r="L126" s="134"/>
      <c r="M126" s="134"/>
      <c r="N126" s="209"/>
      <c r="O126" s="133"/>
      <c r="P126" s="134"/>
      <c r="Q126" s="135"/>
      <c r="R126" s="136"/>
    </row>
    <row r="127" spans="1:18">
      <c r="A127" s="137"/>
      <c r="B127" s="134"/>
      <c r="C127" s="134"/>
      <c r="D127" s="134"/>
      <c r="E127" s="134"/>
      <c r="F127" s="134"/>
      <c r="G127" s="134"/>
      <c r="H127" s="134"/>
      <c r="I127" s="134"/>
      <c r="J127" s="134"/>
      <c r="K127" s="134"/>
      <c r="L127" s="134"/>
      <c r="M127" s="134"/>
      <c r="N127" s="209"/>
      <c r="O127" s="133"/>
      <c r="P127" s="134"/>
      <c r="Q127" s="135"/>
      <c r="R127" s="136"/>
    </row>
    <row r="128" spans="1:18">
      <c r="A128" s="137"/>
      <c r="B128" s="134"/>
      <c r="C128" s="134"/>
      <c r="D128" s="134"/>
      <c r="E128" s="134"/>
      <c r="F128" s="134"/>
      <c r="G128" s="134"/>
      <c r="H128" s="134"/>
      <c r="I128" s="134"/>
      <c r="J128" s="134"/>
      <c r="K128" s="134"/>
      <c r="L128" s="134"/>
      <c r="M128" s="134"/>
      <c r="N128" s="209"/>
      <c r="O128" s="133"/>
      <c r="P128" s="134"/>
      <c r="Q128" s="135"/>
      <c r="R128" s="136"/>
    </row>
    <row r="129" spans="1:18">
      <c r="A129" s="137"/>
      <c r="B129" s="134"/>
      <c r="C129" s="134"/>
      <c r="D129" s="134"/>
      <c r="E129" s="134"/>
      <c r="F129" s="134"/>
      <c r="G129" s="134"/>
      <c r="H129" s="134"/>
      <c r="I129" s="134"/>
      <c r="J129" s="134"/>
      <c r="K129" s="134"/>
      <c r="L129" s="134"/>
      <c r="M129" s="134"/>
      <c r="N129" s="209"/>
      <c r="O129" s="133"/>
      <c r="P129" s="134"/>
      <c r="Q129" s="135"/>
      <c r="R129" s="136"/>
    </row>
    <row r="130" spans="1:18">
      <c r="A130" s="137"/>
      <c r="B130" s="134"/>
      <c r="C130" s="134"/>
      <c r="D130" s="134"/>
      <c r="E130" s="134"/>
      <c r="F130" s="134"/>
      <c r="G130" s="134"/>
      <c r="H130" s="134"/>
      <c r="I130" s="134"/>
      <c r="J130" s="134"/>
      <c r="K130" s="134"/>
      <c r="L130" s="134"/>
      <c r="M130" s="134"/>
      <c r="N130" s="209"/>
      <c r="O130" s="133"/>
      <c r="P130" s="134"/>
      <c r="Q130" s="135"/>
      <c r="R130" s="136"/>
    </row>
    <row r="131" spans="1:18">
      <c r="A131" s="137"/>
      <c r="B131" s="134"/>
      <c r="C131" s="134"/>
      <c r="D131" s="134"/>
      <c r="E131" s="134"/>
      <c r="F131" s="134"/>
      <c r="G131" s="134"/>
      <c r="H131" s="134"/>
      <c r="I131" s="134"/>
      <c r="J131" s="134"/>
      <c r="K131" s="134"/>
      <c r="L131" s="134"/>
      <c r="M131" s="134"/>
      <c r="N131" s="209"/>
      <c r="O131" s="133"/>
      <c r="P131" s="134"/>
      <c r="Q131" s="135"/>
      <c r="R131" s="136"/>
    </row>
    <row r="132" spans="1:18">
      <c r="A132" s="137"/>
      <c r="B132" s="134"/>
      <c r="C132" s="134"/>
      <c r="D132" s="134"/>
      <c r="E132" s="134"/>
      <c r="F132" s="134"/>
      <c r="G132" s="134"/>
      <c r="H132" s="134"/>
      <c r="I132" s="134"/>
      <c r="J132" s="134"/>
      <c r="K132" s="134"/>
      <c r="L132" s="134"/>
      <c r="M132" s="134"/>
      <c r="N132" s="209"/>
      <c r="O132" s="133"/>
      <c r="P132" s="134"/>
      <c r="Q132" s="135"/>
      <c r="R132" s="136"/>
    </row>
    <row r="133" spans="1:18">
      <c r="A133" s="137"/>
      <c r="B133" s="134"/>
      <c r="C133" s="134"/>
      <c r="D133" s="134"/>
      <c r="E133" s="134"/>
      <c r="F133" s="134"/>
      <c r="G133" s="134"/>
      <c r="H133" s="134"/>
      <c r="I133" s="134"/>
      <c r="J133" s="134"/>
      <c r="K133" s="134"/>
      <c r="L133" s="134"/>
      <c r="M133" s="134"/>
      <c r="N133" s="209"/>
      <c r="O133" s="133"/>
      <c r="P133" s="134"/>
      <c r="Q133" s="135"/>
      <c r="R133" s="136"/>
    </row>
    <row r="134" spans="1:18" ht="15.75" thickBot="1">
      <c r="A134" s="245"/>
      <c r="B134" s="246"/>
      <c r="C134" s="246"/>
      <c r="D134" s="246"/>
      <c r="E134" s="246"/>
      <c r="F134" s="246"/>
      <c r="G134" s="246"/>
      <c r="H134" s="246"/>
      <c r="I134" s="246"/>
      <c r="J134" s="246"/>
      <c r="K134" s="246"/>
      <c r="L134" s="246"/>
      <c r="M134" s="246"/>
      <c r="N134" s="247"/>
      <c r="O134" s="248"/>
      <c r="P134" s="246"/>
      <c r="Q134" s="249"/>
      <c r="R134" s="250"/>
    </row>
    <row r="135" spans="1:18" ht="15.75" thickTop="1"/>
  </sheetData>
  <pageMargins left="0.25" right="0.25" top="0.27" bottom="0.4" header="0.18" footer="0.25"/>
  <pageSetup scale="85" fitToWidth="2" fitToHeight="3" orientation="landscape" errors="blank" r:id="rId1"/>
  <headerFooter alignWithMargins="0">
    <oddHeader>&amp;C&amp;KFF0000TEXT IN RED BOX CONFIDENTIAL PER WAC 480-07-160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AFEF4AEE77A23468DB1624747AC47C9" ma:contentTypeVersion="16" ma:contentTypeDescription="" ma:contentTypeScope="" ma:versionID="9b53864b2a8fadc01a506cacaa3f047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2024-11-14T08:00:00+00:00</OpenedDate>
    <SignificantOrder xmlns="dc463f71-b30c-4ab2-9473-d307f9d35888">false</SignificantOrder>
    <Date1 xmlns="dc463f71-b30c-4ab2-9473-d307f9d35888">2024-11-14T08:00:00+00:00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MURREY'S DISPOSAL COMPANY, INC.  </CaseCompanyNames>
    <Nickname xmlns="http://schemas.microsoft.com/sharepoint/v3" xsi:nil="true"/>
    <DocketNumber xmlns="dc463f71-b30c-4ab2-9473-d307f9d35888">240911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2DEE6BC-FA09-40A3-9BAC-E4786E5A0C21}"/>
</file>

<file path=customXml/itemProps2.xml><?xml version="1.0" encoding="utf-8"?>
<ds:datastoreItem xmlns:ds="http://schemas.openxmlformats.org/officeDocument/2006/customXml" ds:itemID="{EABCDBC5-096D-4388-80FE-9774023A823E}"/>
</file>

<file path=customXml/itemProps3.xml><?xml version="1.0" encoding="utf-8"?>
<ds:datastoreItem xmlns:ds="http://schemas.openxmlformats.org/officeDocument/2006/customXml" ds:itemID="{CD878FE0-67F9-4252-A194-76C5465230F4}"/>
</file>

<file path=customXml/itemProps4.xml><?xml version="1.0" encoding="utf-8"?>
<ds:datastoreItem xmlns:ds="http://schemas.openxmlformats.org/officeDocument/2006/customXml" ds:itemID="{59CB92EC-C033-4F52-B8AF-A3BDE34FD5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References</vt:lpstr>
      <vt:lpstr>Staff Calcs </vt:lpstr>
      <vt:lpstr>Proposed Rates</vt:lpstr>
      <vt:lpstr>Jefferson Reg Price Out</vt:lpstr>
      <vt:lpstr>DF Schedule</vt:lpstr>
      <vt:lpstr>'DF Schedule'!Print_Area</vt:lpstr>
      <vt:lpstr>'Jefferson Reg Price Out'!Print_Area</vt:lpstr>
      <vt:lpstr>'Proposed Rates'!Print_Area</vt:lpstr>
      <vt:lpstr>'Staff Calcs '!Print_Area</vt:lpstr>
      <vt:lpstr>'Jefferson Reg Price Out'!Print_Titles</vt:lpstr>
      <vt:lpstr>'Proposed Rates'!Print_Titles</vt:lpstr>
      <vt:lpstr>'Staff Calcs '!Print_Titles</vt:lpstr>
    </vt:vector>
  </TitlesOfParts>
  <Company>Washington Utilities and Transportation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Young</dc:creator>
  <cp:lastModifiedBy>Brian Vandenburg</cp:lastModifiedBy>
  <cp:lastPrinted>2024-11-14T22:03:33Z</cp:lastPrinted>
  <dcterms:created xsi:type="dcterms:W3CDTF">2013-10-29T22:33:54Z</dcterms:created>
  <dcterms:modified xsi:type="dcterms:W3CDTF">2024-11-14T22:03:50Z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0x0101006E56B4D1795A2E4DB2F0B01679ED314A00FAFEF4AEE77A23468DB1624747AC47C9</vt:lpwstr>
  </property>
</Properties>
</file>