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525" activeTab="0"/>
  </bookViews>
  <sheets>
    <sheet name="2024 Fee" sheetId="1" r:id="rId1"/>
    <sheet name="Residential" sheetId="2" r:id="rId2"/>
    <sheet name="Commercial" sheetId="3" r:id="rId3"/>
    <sheet name="DC Summary Report" sheetId="4" r:id="rId4"/>
    <sheet name="Lookup" sheetId="5" state="hidden" r:id="rId5"/>
  </sheets>
  <definedNames>
    <definedName name="_xlnm._FilterDatabase" localSheetId="4" hidden="1">'Lookup'!$A$1:$A$4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<sst xmlns="http://schemas.openxmlformats.org/spreadsheetml/2006/main" count="287" uniqueCount="129">
  <si>
    <t xml:space="preserve">          DOUGLAS COUNTY SOLID WASTE REPORTING FORM</t>
  </si>
  <si>
    <r>
      <t xml:space="preserve">Solid Waste Collection Company:  </t>
    </r>
    <r>
      <rPr>
        <b/>
        <sz val="10"/>
        <rFont val="Arial"/>
        <family val="0"/>
      </rPr>
      <t>Waste Management</t>
    </r>
  </si>
  <si>
    <t>SERVICE</t>
  </si>
  <si>
    <t>NO. OF PICKUPS</t>
  </si>
  <si>
    <t>RATE</t>
  </si>
  <si>
    <t>LSB./CONTAINER</t>
  </si>
  <si>
    <t>ANNUAL POUNDS</t>
  </si>
  <si>
    <t>1 yard container</t>
  </si>
  <si>
    <t>2 yard container</t>
  </si>
  <si>
    <t>3 yard container</t>
  </si>
  <si>
    <t>4 yard container</t>
  </si>
  <si>
    <t>6 yard container</t>
  </si>
  <si>
    <t>8 yard container</t>
  </si>
  <si>
    <t>20 yard box</t>
  </si>
  <si>
    <t>30 yard box</t>
  </si>
  <si>
    <t>25 yard box (comp.)</t>
  </si>
  <si>
    <t>30 yard box (comp.)</t>
  </si>
  <si>
    <t>TOTAL COMMERCIAL</t>
  </si>
  <si>
    <t xml:space="preserve">A  =      </t>
  </si>
  <si>
    <t>1 can</t>
  </si>
  <si>
    <t>90 gallon tote</t>
  </si>
  <si>
    <t>TOTAL RESIDENTIAL</t>
  </si>
  <si>
    <t xml:space="preserve">B =     </t>
  </si>
  <si>
    <t>35 gallon tote</t>
  </si>
  <si>
    <t>64 gallon tote</t>
  </si>
  <si>
    <t>40 yard box (comp.)</t>
  </si>
  <si>
    <t>2-64 gallons totes</t>
  </si>
  <si>
    <t>2-90 gallon totes</t>
  </si>
  <si>
    <t>3-90 gallon totes</t>
  </si>
  <si>
    <t>1-20 Gal</t>
  </si>
  <si>
    <t>2-35 gallon tote</t>
  </si>
  <si>
    <r>
      <t xml:space="preserve">          </t>
    </r>
    <r>
      <rPr>
        <b/>
        <sz val="10"/>
        <rFont val="Arial"/>
        <family val="0"/>
      </rPr>
      <t>ATTACHMENT B</t>
    </r>
  </si>
  <si>
    <t>LBS./CONTAINER</t>
  </si>
  <si>
    <t>2 - 90 gallon totes</t>
  </si>
  <si>
    <t>15 yard box</t>
  </si>
  <si>
    <t>40 yard box</t>
  </si>
  <si>
    <t>50 yard box</t>
  </si>
  <si>
    <t>1.5 yard container</t>
  </si>
  <si>
    <t>2 - 1.5 yard container</t>
  </si>
  <si>
    <t>2 - 6 yard container</t>
  </si>
  <si>
    <t>2 - 8 yard container</t>
  </si>
  <si>
    <t>3 - 8 yard container</t>
  </si>
  <si>
    <t>3 - 90 gallon totes</t>
  </si>
  <si>
    <t>4 - 90 gallon totes</t>
  </si>
  <si>
    <t>9 - 90 gallon totes</t>
  </si>
  <si>
    <t>RESIDENTIAL SOURCES - Unincorporated Douglas County ONLY</t>
  </si>
  <si>
    <t>COMMERCIAL SOURCES - Unincorporated Douglas County ONLY</t>
  </si>
  <si>
    <t>4 - 2 yard container</t>
  </si>
  <si>
    <t>15 yard box (comp.)</t>
  </si>
  <si>
    <t>4-90 gallon totes</t>
  </si>
  <si>
    <t>5 - 90 gallon totes</t>
  </si>
  <si>
    <t>WASTE MANAGEMENT OF GR. WENATCHEE</t>
  </si>
  <si>
    <t>months</t>
  </si>
  <si>
    <t>price/lb.</t>
  </si>
  <si>
    <t>USOA</t>
  </si>
  <si>
    <t>Total</t>
  </si>
  <si>
    <t>Proposed Fee/</t>
  </si>
  <si>
    <t># of</t>
  </si>
  <si>
    <t>Lbs./</t>
  </si>
  <si>
    <t>Annual</t>
  </si>
  <si>
    <t>Acc't or</t>
  </si>
  <si>
    <t>Total Fee</t>
  </si>
  <si>
    <t>Current</t>
  </si>
  <si>
    <t>%</t>
  </si>
  <si>
    <t>SERVICE DESCRIPTION</t>
  </si>
  <si>
    <t>pickup</t>
  </si>
  <si>
    <t>pickups</t>
  </si>
  <si>
    <t>Lbs.</t>
  </si>
  <si>
    <t>pick up</t>
  </si>
  <si>
    <t>Collected</t>
  </si>
  <si>
    <t>Rate</t>
  </si>
  <si>
    <t>Difference</t>
  </si>
  <si>
    <t>Diff.</t>
  </si>
  <si>
    <t>EOW</t>
  </si>
  <si>
    <t>Weekly</t>
  </si>
  <si>
    <t>M</t>
  </si>
  <si>
    <t>TOTAL</t>
  </si>
  <si>
    <t>Sunrise Disposal</t>
  </si>
  <si>
    <t>Waste Management</t>
  </si>
  <si>
    <t>Zippy Disposal</t>
  </si>
  <si>
    <t>COMMERCIAL</t>
  </si>
  <si>
    <t>RESIDENTIAL</t>
  </si>
  <si>
    <t>TOTAL:</t>
  </si>
  <si>
    <t>DOUGLAS COUNTY SOLID WASTE PROGRAMS</t>
  </si>
  <si>
    <t>Douglas County Solid Waste Collection Fee and Payment Schedule</t>
  </si>
  <si>
    <t>32 gallon tote</t>
  </si>
  <si>
    <t>2 - 32 gallon tote</t>
  </si>
  <si>
    <t>3 - 32 gallon tote</t>
  </si>
  <si>
    <t>10 - 90 gallon totes</t>
  </si>
  <si>
    <t>10 yard box</t>
  </si>
  <si>
    <t>2-3 yard container</t>
  </si>
  <si>
    <t>2 - 4 yard container</t>
  </si>
  <si>
    <t>25 yard box</t>
  </si>
  <si>
    <t>Commercial Pickup</t>
  </si>
  <si>
    <t>On Call</t>
  </si>
  <si>
    <t>*Immaterial difference</t>
  </si>
  <si>
    <t>2 x Week</t>
  </si>
  <si>
    <t>3 x Week</t>
  </si>
  <si>
    <t>NO. OF CONTAINERS</t>
  </si>
  <si>
    <t>Bag (extra)</t>
  </si>
  <si>
    <t>2 cans</t>
  </si>
  <si>
    <t>3 cans</t>
  </si>
  <si>
    <t>4 cans</t>
  </si>
  <si>
    <t>5 cans</t>
  </si>
  <si>
    <t>6 cans</t>
  </si>
  <si>
    <t>64 gallon tote (Bear proof)</t>
  </si>
  <si>
    <r>
      <t xml:space="preserve">          </t>
    </r>
    <r>
      <rPr>
        <b/>
        <sz val="10"/>
        <rFont val="Arial"/>
        <family val="0"/>
      </rPr>
      <t>ATTACHMENT A</t>
    </r>
  </si>
  <si>
    <t>On call</t>
  </si>
  <si>
    <t>1.25 yard container</t>
  </si>
  <si>
    <t>1.3 yard container</t>
  </si>
  <si>
    <t>2 - 2 yard container</t>
  </si>
  <si>
    <t>3 - 2 yard container</t>
  </si>
  <si>
    <t>2 - 3 yard container</t>
  </si>
  <si>
    <t>9 - 4 yard container</t>
  </si>
  <si>
    <t>3 - 6 yard container</t>
  </si>
  <si>
    <t>5 - 6 yard container</t>
  </si>
  <si>
    <t>6 - 90 gallon totes</t>
  </si>
  <si>
    <t>8 - 90 gallon totes</t>
  </si>
  <si>
    <t>Containers</t>
  </si>
  <si>
    <t>10 yard box (comp.)</t>
  </si>
  <si>
    <t>20 yard box (comp.)</t>
  </si>
  <si>
    <t>2024 DOUGLAS COUNTY SOLID WASTE COLLECTION FEE</t>
  </si>
  <si>
    <t>Total 2024 Fee</t>
  </si>
  <si>
    <t>CORRECTION</t>
  </si>
  <si>
    <t>Douglas County 2024 ‘fair share’ portion:</t>
  </si>
  <si>
    <t>Amount collected under Ordinance C.E. 94-014</t>
  </si>
  <si>
    <t>Reported 2023 Solid Waste Volumes: (in lbs)</t>
  </si>
  <si>
    <t>Previous Years Solid Waste Collection Fee Amount</t>
  </si>
  <si>
    <t xml:space="preserve">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</si>
</sst>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_-* #,##0.000_-;\-* #,##0.000_-;_-* &quot;-&quot;??_-;_-@_-"/>
    <numFmt numFmtId="175" formatCode="_-* #,##0.0000_-;\-* #,##0.0000_-;_-* &quot;-&quot;??_-;_-@_-"/>
    <numFmt numFmtId="176" formatCode="0.0"/>
    <numFmt numFmtId="177" formatCode="0.000"/>
    <numFmt numFmtId="178" formatCode="0.0%"/>
    <numFmt numFmtId="179" formatCode="_-&quot;$&quot;* #,##0_-;\-&quot;$&quot;* #,##0_-;_-&quot;$&quot;* &quot;-&quot;??_-;_-@_-"/>
    <numFmt numFmtId="180" formatCode="&quot;$&quot;#,##0.000_);\(&quot;$&quot;#,##0.000\)"/>
    <numFmt numFmtId="181" formatCode="&quot;$&quot;#,##0.0000_);\(&quot;$&quot;#,##0.0000\)"/>
    <numFmt numFmtId="182" formatCode="0.000%"/>
    <numFmt numFmtId="183" formatCode="_(&quot;$&quot;* #,##0.0_);_(&quot;$&quot;* \(#,##0.0\);_(&quot;$&quot;* &quot;-&quot;??_);_(@_)"/>
    <numFmt numFmtId="184" formatCode="_(&quot;$&quot;* #,##0_);_(&quot;$&quot;* \(#,##0\);_(&quot;$&quot;* &quot;-&quot;??_);_(@_)"/>
    <numFmt numFmtId="185" formatCode="_-&quot;$&quot;* #,##0.0_-;\-&quot;$&quot;* #,##0.0_-;_-&quot;$&quot;* &quot;-&quot;??_-;_-@_-"/>
    <numFmt numFmtId="186" formatCode="&quot;$&quot;#,##0.00000_);\(&quot;$&quot;#,##0.00000\)"/>
  </numFmts>
  <fonts count="7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2"/>
      <name val="Courier"/>
      <family val="3"/>
    </font>
    <font>
      <b/>
      <sz val="12"/>
      <color indexed="10"/>
      <name val="Arial"/>
      <family val="2"/>
    </font>
    <font>
      <u val="single"/>
      <sz val="12"/>
      <name val="Arial"/>
      <family val="2"/>
    </font>
    <font>
      <b/>
      <u val="double"/>
      <sz val="12"/>
      <name val="Arial"/>
      <family val="2"/>
    </font>
    <font>
      <u val="singleAccounting"/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u val="single"/>
      <sz val="12"/>
      <color indexed="60"/>
      <name val="Arial"/>
      <family val="2"/>
    </font>
    <font>
      <sz val="12"/>
      <color indexed="10"/>
      <name val="Arial"/>
      <family val="2"/>
    </font>
    <font>
      <b/>
      <u val="double"/>
      <sz val="12"/>
      <color indexed="10"/>
      <name val="Arial"/>
      <family val="2"/>
    </font>
    <font>
      <b/>
      <sz val="12"/>
      <color indexed="10"/>
      <name val="Courier"/>
      <family val="3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C00000"/>
      <name val="Arial"/>
      <family val="2"/>
    </font>
    <font>
      <b/>
      <sz val="12"/>
      <color rgb="FFC00000"/>
      <name val="Arial"/>
      <family val="2"/>
    </font>
    <font>
      <u val="single"/>
      <sz val="12"/>
      <color rgb="FFC00000"/>
      <name val="Arial"/>
      <family val="2"/>
    </font>
    <font>
      <sz val="12"/>
      <color rgb="FFFF0000"/>
      <name val="Arial"/>
      <family val="2"/>
    </font>
    <font>
      <b/>
      <u val="double"/>
      <sz val="12"/>
      <color rgb="FFFF0000"/>
      <name val="Arial"/>
      <family val="2"/>
    </font>
    <font>
      <b/>
      <sz val="12"/>
      <color rgb="FFFF0000"/>
      <name val="Courier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173" fontId="0" fillId="0" borderId="12" xfId="42" applyNumberFormat="1" applyFont="1" applyBorder="1" applyAlignment="1">
      <alignment/>
    </xf>
    <xf numFmtId="1" fontId="0" fillId="0" borderId="12" xfId="42" applyNumberFormat="1" applyFont="1" applyBorder="1" applyAlignment="1">
      <alignment horizontal="right"/>
    </xf>
    <xf numFmtId="173" fontId="0" fillId="33" borderId="13" xfId="42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73" fontId="0" fillId="0" borderId="13" xfId="42" applyNumberFormat="1" applyFont="1" applyBorder="1" applyAlignment="1">
      <alignment/>
    </xf>
    <xf numFmtId="0" fontId="0" fillId="0" borderId="0" xfId="0" applyFont="1" applyAlignment="1">
      <alignment horizontal="right"/>
    </xf>
    <xf numFmtId="1" fontId="0" fillId="0" borderId="12" xfId="42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177" fontId="0" fillId="0" borderId="13" xfId="42" applyNumberFormat="1" applyFont="1" applyBorder="1" applyAlignment="1">
      <alignment horizontal="right"/>
    </xf>
    <xf numFmtId="1" fontId="0" fillId="0" borderId="12" xfId="0" applyNumberFormat="1" applyBorder="1" applyAlignment="1">
      <alignment/>
    </xf>
    <xf numFmtId="0" fontId="4" fillId="0" borderId="0" xfId="0" applyFont="1" applyAlignment="1">
      <alignment horizontal="center"/>
    </xf>
    <xf numFmtId="0" fontId="6" fillId="0" borderId="16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178" fontId="7" fillId="0" borderId="0" xfId="61" applyNumberFormat="1" applyFont="1" applyAlignment="1">
      <alignment/>
    </xf>
    <xf numFmtId="179" fontId="7" fillId="0" borderId="0" xfId="44" applyNumberFormat="1" applyFont="1" applyAlignment="1">
      <alignment/>
    </xf>
    <xf numFmtId="0" fontId="66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9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67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 locked="0"/>
    </xf>
    <xf numFmtId="179" fontId="4" fillId="0" borderId="0" xfId="44" applyNumberFormat="1" applyFont="1" applyAlignment="1">
      <alignment horizontal="center"/>
    </xf>
    <xf numFmtId="0" fontId="4" fillId="0" borderId="0" xfId="0" applyFont="1" applyAlignment="1" quotePrefix="1">
      <alignment horizontal="center"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178" fontId="11" fillId="0" borderId="0" xfId="61" applyNumberFormat="1" applyFont="1" applyBorder="1" applyAlignment="1">
      <alignment/>
    </xf>
    <xf numFmtId="179" fontId="8" fillId="0" borderId="0" xfId="44" applyNumberFormat="1" applyFont="1" applyBorder="1" applyAlignment="1">
      <alignment horizontal="center"/>
    </xf>
    <xf numFmtId="0" fontId="6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37" fontId="7" fillId="0" borderId="0" xfId="0" applyNumberFormat="1" applyFont="1" applyAlignment="1" applyProtection="1">
      <alignment/>
      <protection/>
    </xf>
    <xf numFmtId="37" fontId="69" fillId="0" borderId="0" xfId="0" applyNumberFormat="1" applyFont="1" applyAlignment="1" applyProtection="1">
      <alignment/>
      <protection/>
    </xf>
    <xf numFmtId="170" fontId="7" fillId="0" borderId="0" xfId="44" applyNumberFormat="1" applyFont="1" applyAlignment="1">
      <alignment/>
    </xf>
    <xf numFmtId="170" fontId="7" fillId="0" borderId="0" xfId="44" applyFont="1" applyAlignment="1">
      <alignment/>
    </xf>
    <xf numFmtId="44" fontId="7" fillId="0" borderId="0" xfId="0" applyNumberFormat="1" applyFont="1" applyAlignment="1">
      <alignment/>
    </xf>
    <xf numFmtId="10" fontId="7" fillId="0" borderId="0" xfId="61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/>
      <protection/>
    </xf>
    <xf numFmtId="37" fontId="69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178" fontId="7" fillId="0" borderId="0" xfId="61" applyNumberFormat="1" applyFont="1" applyBorder="1" applyAlignment="1">
      <alignment/>
    </xf>
    <xf numFmtId="0" fontId="66" fillId="0" borderId="0" xfId="0" applyFont="1" applyBorder="1" applyAlignment="1">
      <alignment/>
    </xf>
    <xf numFmtId="170" fontId="7" fillId="0" borderId="0" xfId="44" applyFont="1" applyBorder="1" applyAlignment="1">
      <alignment/>
    </xf>
    <xf numFmtId="44" fontId="7" fillId="0" borderId="0" xfId="0" applyNumberFormat="1" applyFont="1" applyBorder="1" applyAlignment="1">
      <alignment/>
    </xf>
    <xf numFmtId="10" fontId="7" fillId="0" borderId="0" xfId="61" applyNumberFormat="1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7" fontId="7" fillId="0" borderId="0" xfId="0" applyNumberFormat="1" applyFont="1" applyBorder="1" applyAlignment="1" applyProtection="1">
      <alignment/>
      <protection/>
    </xf>
    <xf numFmtId="179" fontId="7" fillId="0" borderId="0" xfId="44" applyNumberFormat="1" applyFont="1" applyBorder="1" applyAlignment="1">
      <alignment/>
    </xf>
    <xf numFmtId="7" fontId="7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37" fontId="11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179" fontId="13" fillId="0" borderId="0" xfId="44" applyNumberFormat="1" applyFont="1" applyAlignment="1">
      <alignment/>
    </xf>
    <xf numFmtId="170" fontId="4" fillId="0" borderId="0" xfId="44" applyFont="1" applyAlignment="1">
      <alignment/>
    </xf>
    <xf numFmtId="0" fontId="67" fillId="0" borderId="0" xfId="0" applyFont="1" applyAlignment="1">
      <alignment/>
    </xf>
    <xf numFmtId="44" fontId="4" fillId="0" borderId="0" xfId="0" applyNumberFormat="1" applyFont="1" applyAlignment="1">
      <alignment/>
    </xf>
    <xf numFmtId="10" fontId="4" fillId="0" borderId="0" xfId="61" applyNumberFormat="1" applyFont="1" applyAlignment="1">
      <alignment/>
    </xf>
    <xf numFmtId="37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178" fontId="12" fillId="0" borderId="0" xfId="61" applyNumberFormat="1" applyFont="1" applyAlignment="1">
      <alignment/>
    </xf>
    <xf numFmtId="179" fontId="12" fillId="0" borderId="0" xfId="44" applyNumberFormat="1" applyFont="1" applyAlignment="1">
      <alignment/>
    </xf>
    <xf numFmtId="37" fontId="70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70" fontId="12" fillId="0" borderId="0" xfId="44" applyNumberFormat="1" applyFont="1" applyAlignment="1">
      <alignment/>
    </xf>
    <xf numFmtId="1" fontId="7" fillId="0" borderId="0" xfId="0" applyNumberFormat="1" applyFont="1" applyAlignment="1" applyProtection="1">
      <alignment/>
      <protection/>
    </xf>
    <xf numFmtId="173" fontId="0" fillId="0" borderId="0" xfId="0" applyNumberFormat="1" applyAlignment="1">
      <alignment/>
    </xf>
    <xf numFmtId="184" fontId="10" fillId="34" borderId="22" xfId="0" applyNumberFormat="1" applyFont="1" applyFill="1" applyBorder="1" applyAlignment="1" applyProtection="1">
      <alignment/>
      <protection/>
    </xf>
    <xf numFmtId="1" fontId="0" fillId="0" borderId="12" xfId="0" applyNumberFormat="1" applyBorder="1" applyAlignment="1">
      <alignment horizontal="right"/>
    </xf>
    <xf numFmtId="37" fontId="4" fillId="0" borderId="0" xfId="0" applyNumberFormat="1" applyFont="1" applyAlignment="1">
      <alignment/>
    </xf>
    <xf numFmtId="37" fontId="12" fillId="0" borderId="0" xfId="0" applyNumberFormat="1" applyFont="1" applyAlignment="1">
      <alignment/>
    </xf>
    <xf numFmtId="179" fontId="4" fillId="0" borderId="0" xfId="44" applyNumberFormat="1" applyFont="1" applyAlignment="1">
      <alignment/>
    </xf>
    <xf numFmtId="0" fontId="1" fillId="0" borderId="13" xfId="0" applyFont="1" applyBorder="1" applyAlignment="1">
      <alignment/>
    </xf>
    <xf numFmtId="171" fontId="0" fillId="0" borderId="0" xfId="42" applyFont="1" applyAlignment="1">
      <alignment/>
    </xf>
    <xf numFmtId="184" fontId="4" fillId="0" borderId="0" xfId="0" applyNumberFormat="1" applyFont="1" applyAlignment="1" applyProtection="1">
      <alignment horizontal="center"/>
      <protection/>
    </xf>
    <xf numFmtId="0" fontId="0" fillId="0" borderId="23" xfId="0" applyFont="1" applyBorder="1" applyAlignment="1">
      <alignment horizontal="left"/>
    </xf>
    <xf numFmtId="0" fontId="0" fillId="0" borderId="23" xfId="0" applyBorder="1" applyAlignment="1">
      <alignment horizontal="center"/>
    </xf>
    <xf numFmtId="1" fontId="0" fillId="0" borderId="23" xfId="0" applyNumberFormat="1" applyFont="1" applyBorder="1" applyAlignment="1">
      <alignment horizontal="right"/>
    </xf>
    <xf numFmtId="0" fontId="0" fillId="0" borderId="12" xfId="0" applyFont="1" applyBorder="1" applyAlignment="1">
      <alignment horizontal="left"/>
    </xf>
    <xf numFmtId="43" fontId="0" fillId="0" borderId="0" xfId="0" applyNumberFormat="1" applyAlignment="1">
      <alignment/>
    </xf>
    <xf numFmtId="178" fontId="0" fillId="0" borderId="0" xfId="61" applyNumberFormat="1" applyFont="1" applyAlignment="1">
      <alignment/>
    </xf>
    <xf numFmtId="37" fontId="11" fillId="0" borderId="0" xfId="0" applyNumberFormat="1" applyFont="1" applyAlignment="1">
      <alignment/>
    </xf>
    <xf numFmtId="186" fontId="71" fillId="35" borderId="22" xfId="0" applyNumberFormat="1" applyFont="1" applyFill="1" applyBorder="1" applyAlignment="1" applyProtection="1">
      <alignment/>
      <protection locked="0"/>
    </xf>
    <xf numFmtId="173" fontId="0" fillId="0" borderId="0" xfId="42" applyNumberFormat="1" applyFont="1" applyAlignment="1">
      <alignment/>
    </xf>
    <xf numFmtId="173" fontId="0" fillId="0" borderId="10" xfId="42" applyNumberFormat="1" applyFont="1" applyBorder="1" applyAlignment="1">
      <alignment/>
    </xf>
    <xf numFmtId="173" fontId="0" fillId="0" borderId="10" xfId="42" applyNumberFormat="1" applyFont="1" applyBorder="1" applyAlignment="1">
      <alignment horizontal="center"/>
    </xf>
    <xf numFmtId="173" fontId="0" fillId="0" borderId="23" xfId="42" applyNumberFormat="1" applyFont="1" applyBorder="1" applyAlignment="1">
      <alignment horizontal="center"/>
    </xf>
    <xf numFmtId="170" fontId="7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0" fontId="14" fillId="18" borderId="0" xfId="0" applyFont="1" applyFill="1" applyAlignment="1">
      <alignment/>
    </xf>
    <xf numFmtId="0" fontId="16" fillId="6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7" fillId="0" borderId="0" xfId="0" applyFont="1" applyAlignment="1">
      <alignment horizontal="right"/>
    </xf>
    <xf numFmtId="44" fontId="7" fillId="0" borderId="0" xfId="46" applyFont="1" applyAlignment="1">
      <alignment horizontal="left"/>
    </xf>
    <xf numFmtId="44" fontId="7" fillId="36" borderId="0" xfId="46" applyFont="1" applyFill="1" applyAlignment="1">
      <alignment horizontal="left"/>
    </xf>
    <xf numFmtId="0" fontId="7" fillId="0" borderId="10" xfId="0" applyFont="1" applyBorder="1" applyAlignment="1">
      <alignment/>
    </xf>
    <xf numFmtId="0" fontId="7" fillId="36" borderId="10" xfId="0" applyFont="1" applyFill="1" applyBorder="1" applyAlignment="1">
      <alignment/>
    </xf>
    <xf numFmtId="0" fontId="7" fillId="0" borderId="24" xfId="0" applyFont="1" applyBorder="1" applyAlignment="1">
      <alignment/>
    </xf>
    <xf numFmtId="3" fontId="7" fillId="0" borderId="0" xfId="0" applyNumberFormat="1" applyFont="1" applyAlignment="1">
      <alignment/>
    </xf>
    <xf numFmtId="182" fontId="7" fillId="36" borderId="0" xfId="61" applyNumberFormat="1" applyFont="1" applyFill="1" applyBorder="1" applyAlignment="1">
      <alignment horizontal="center"/>
    </xf>
    <xf numFmtId="182" fontId="7" fillId="0" borderId="0" xfId="0" applyNumberFormat="1" applyFont="1" applyAlignment="1">
      <alignment horizontal="center"/>
    </xf>
    <xf numFmtId="3" fontId="7" fillId="36" borderId="0" xfId="0" applyNumberFormat="1" applyFont="1" applyFill="1" applyAlignment="1">
      <alignment/>
    </xf>
    <xf numFmtId="3" fontId="7" fillId="0" borderId="25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9" fontId="7" fillId="0" borderId="0" xfId="61" applyFont="1" applyBorder="1" applyAlignment="1">
      <alignment horizontal="center"/>
    </xf>
    <xf numFmtId="0" fontId="7" fillId="36" borderId="0" xfId="0" applyFont="1" applyFill="1" applyAlignment="1">
      <alignment/>
    </xf>
    <xf numFmtId="0" fontId="19" fillId="0" borderId="25" xfId="0" applyFont="1" applyBorder="1" applyAlignment="1">
      <alignment horizontal="center"/>
    </xf>
    <xf numFmtId="44" fontId="7" fillId="0" borderId="0" xfId="46" applyFont="1" applyFill="1" applyAlignment="1">
      <alignment horizontal="right"/>
    </xf>
    <xf numFmtId="44" fontId="7" fillId="0" borderId="0" xfId="46" applyFont="1" applyAlignment="1">
      <alignment horizontal="center"/>
    </xf>
    <xf numFmtId="44" fontId="7" fillId="0" borderId="0" xfId="46" applyFont="1" applyAlignment="1">
      <alignment horizontal="right"/>
    </xf>
    <xf numFmtId="44" fontId="7" fillId="36" borderId="0" xfId="46" applyFont="1" applyFill="1" applyAlignment="1">
      <alignment horizontal="right"/>
    </xf>
    <xf numFmtId="4" fontId="7" fillId="0" borderId="0" xfId="0" applyNumberFormat="1" applyFont="1" applyAlignment="1">
      <alignment/>
    </xf>
    <xf numFmtId="44" fontId="7" fillId="0" borderId="0" xfId="46" applyFont="1" applyBorder="1" applyAlignment="1">
      <alignment horizontal="right"/>
    </xf>
    <xf numFmtId="44" fontId="7" fillId="0" borderId="0" xfId="46" applyFont="1" applyBorder="1" applyAlignment="1">
      <alignment/>
    </xf>
    <xf numFmtId="44" fontId="7" fillId="0" borderId="0" xfId="46" applyFont="1" applyFill="1" applyBorder="1" applyAlignment="1">
      <alignment horizontal="right"/>
    </xf>
    <xf numFmtId="44" fontId="4" fillId="0" borderId="0" xfId="46" applyFont="1" applyAlignment="1">
      <alignment horizontal="right"/>
    </xf>
    <xf numFmtId="44" fontId="4" fillId="0" borderId="0" xfId="46" applyFont="1" applyFill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5" fillId="18" borderId="0" xfId="0" applyFont="1" applyFill="1" applyAlignment="1">
      <alignment horizontal="center" vertical="center" wrapText="1"/>
    </xf>
    <xf numFmtId="0" fontId="17" fillId="6" borderId="0" xfId="0" applyFont="1" applyFill="1" applyAlignment="1">
      <alignment horizontal="center" vertical="center" wrapText="1"/>
    </xf>
    <xf numFmtId="0" fontId="18" fillId="35" borderId="0" xfId="0" applyFont="1" applyFill="1" applyAlignment="1">
      <alignment horizontal="center" vertical="center"/>
    </xf>
    <xf numFmtId="44" fontId="7" fillId="36" borderId="0" xfId="46" applyFont="1" applyFill="1" applyAlignment="1">
      <alignment horizontal="center"/>
    </xf>
    <xf numFmtId="4" fontId="7" fillId="0" borderId="0" xfId="0" applyNumberFormat="1" applyFont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533400</xdr:colOff>
      <xdr:row>1</xdr:row>
      <xdr:rowOff>152400</xdr:rowOff>
    </xdr:from>
    <xdr:ext cx="190500" cy="466725"/>
    <xdr:sp>
      <xdr:nvSpPr>
        <xdr:cNvPr id="1" name="Rectangle 1"/>
        <xdr:cNvSpPr>
          <a:spLocks/>
        </xdr:cNvSpPr>
      </xdr:nvSpPr>
      <xdr:spPr>
        <a:xfrm>
          <a:off x="2971800" y="485775"/>
          <a:ext cx="190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0"/>
  <sheetViews>
    <sheetView tabSelected="1" zoomScalePageLayoutView="0" workbookViewId="0" topLeftCell="A1">
      <selection activeCell="I11" sqref="I11"/>
    </sheetView>
  </sheetViews>
  <sheetFormatPr defaultColWidth="12.57421875" defaultRowHeight="12.75"/>
  <cols>
    <col min="1" max="1" width="36.7109375" style="84" customWidth="1"/>
    <col min="2" max="2" width="15.7109375" style="82" bestFit="1" customWidth="1"/>
    <col min="3" max="3" width="6.00390625" style="32" customWidth="1"/>
    <col min="4" max="4" width="15.57421875" style="32" customWidth="1"/>
    <col min="5" max="5" width="9.28125" style="32" customWidth="1"/>
    <col min="6" max="6" width="10.140625" style="82" customWidth="1"/>
    <col min="7" max="7" width="3.7109375" style="32" customWidth="1"/>
    <col min="8" max="8" width="17.57421875" style="32" customWidth="1"/>
    <col min="9" max="9" width="18.8515625" style="32" customWidth="1"/>
    <col min="10" max="10" width="2.8515625" style="33" customWidth="1"/>
    <col min="11" max="11" width="15.57421875" style="34" customWidth="1"/>
    <col min="12" max="12" width="2.8515625" style="35" customWidth="1"/>
    <col min="13" max="13" width="12.57421875" style="32" customWidth="1"/>
    <col min="14" max="14" width="13.7109375" style="32" bestFit="1" customWidth="1"/>
    <col min="15" max="15" width="13.421875" style="32" bestFit="1" customWidth="1"/>
    <col min="16" max="16" width="3.8515625" style="32" customWidth="1"/>
    <col min="17" max="17" width="11.00390625" style="32" customWidth="1"/>
    <col min="18" max="18" width="17.421875" style="32" customWidth="1"/>
    <col min="19" max="16384" width="12.57421875" style="32" customWidth="1"/>
  </cols>
  <sheetData>
    <row r="1" spans="1:16" ht="20.25">
      <c r="A1" s="26" t="s">
        <v>51</v>
      </c>
      <c r="B1" s="27"/>
      <c r="C1" s="28"/>
      <c r="D1" s="28"/>
      <c r="E1" s="28"/>
      <c r="F1" s="29"/>
      <c r="G1" s="30"/>
      <c r="H1" s="31" t="s">
        <v>52</v>
      </c>
      <c r="I1" s="32">
        <v>12</v>
      </c>
      <c r="O1" s="36"/>
      <c r="P1" s="36"/>
    </row>
    <row r="2" spans="1:8" ht="16.5" thickBot="1">
      <c r="A2" s="37" t="s">
        <v>121</v>
      </c>
      <c r="B2" s="38"/>
      <c r="C2" s="39"/>
      <c r="D2" s="39"/>
      <c r="E2" s="39"/>
      <c r="F2" s="40"/>
      <c r="G2" s="30"/>
      <c r="H2" s="41"/>
    </row>
    <row r="3" spans="1:9" ht="15">
      <c r="A3" s="42"/>
      <c r="B3" s="43"/>
      <c r="C3" s="30"/>
      <c r="D3" s="30"/>
      <c r="E3" s="30"/>
      <c r="F3" s="43"/>
      <c r="G3" s="30"/>
      <c r="H3" s="41"/>
      <c r="I3" s="119">
        <f>+K99</f>
        <v>194.24717409998993</v>
      </c>
    </row>
    <row r="4" spans="1:8" ht="15.75" thickBot="1">
      <c r="A4" s="42"/>
      <c r="B4" s="43"/>
      <c r="C4" s="30"/>
      <c r="D4" s="30"/>
      <c r="E4" s="30"/>
      <c r="F4" s="43"/>
      <c r="G4" s="30"/>
      <c r="H4" s="41"/>
    </row>
    <row r="5" spans="1:9" ht="16.5" thickBot="1">
      <c r="A5" s="44" t="s">
        <v>122</v>
      </c>
      <c r="B5" s="106"/>
      <c r="C5" s="30"/>
      <c r="D5" s="99">
        <f>'DC Summary Report'!I29</f>
        <v>220110.15</v>
      </c>
      <c r="E5" s="30"/>
      <c r="F5" s="43"/>
      <c r="G5" s="30"/>
      <c r="H5" s="114">
        <v>0.005345</v>
      </c>
      <c r="I5" s="32" t="s">
        <v>53</v>
      </c>
    </row>
    <row r="6" spans="1:9" ht="15.75">
      <c r="A6" s="42"/>
      <c r="B6" s="43"/>
      <c r="C6" s="30"/>
      <c r="D6" s="30"/>
      <c r="E6" s="30"/>
      <c r="F6" s="43"/>
      <c r="G6" s="30"/>
      <c r="H6" s="41"/>
      <c r="I6" s="25"/>
    </row>
    <row r="7" spans="1:13" ht="15.75">
      <c r="A7" s="44"/>
      <c r="B7" s="45"/>
      <c r="C7" s="46"/>
      <c r="D7" s="45">
        <v>2022</v>
      </c>
      <c r="E7" s="47" t="s">
        <v>54</v>
      </c>
      <c r="F7" s="43"/>
      <c r="G7" s="43"/>
      <c r="H7" s="45" t="s">
        <v>55</v>
      </c>
      <c r="I7" s="48" t="s">
        <v>56</v>
      </c>
      <c r="K7" s="49"/>
      <c r="M7" s="50">
        <v>2023</v>
      </c>
    </row>
    <row r="8" spans="1:15" ht="15.75">
      <c r="A8" s="44"/>
      <c r="B8" s="45"/>
      <c r="C8" s="46"/>
      <c r="D8" s="45" t="s">
        <v>57</v>
      </c>
      <c r="E8" s="45" t="s">
        <v>58</v>
      </c>
      <c r="F8" s="45" t="s">
        <v>57</v>
      </c>
      <c r="G8" s="43"/>
      <c r="H8" s="45" t="s">
        <v>59</v>
      </c>
      <c r="I8" s="48" t="s">
        <v>60</v>
      </c>
      <c r="K8" s="49" t="s">
        <v>61</v>
      </c>
      <c r="M8" s="25" t="s">
        <v>62</v>
      </c>
      <c r="N8" s="25"/>
      <c r="O8" s="25" t="s">
        <v>63</v>
      </c>
    </row>
    <row r="9" spans="1:15" s="59" customFormat="1" ht="15.75">
      <c r="A9" s="51" t="s">
        <v>64</v>
      </c>
      <c r="B9" s="52"/>
      <c r="C9" s="53"/>
      <c r="D9" s="52" t="s">
        <v>118</v>
      </c>
      <c r="E9" s="52" t="s">
        <v>65</v>
      </c>
      <c r="F9" s="52" t="s">
        <v>66</v>
      </c>
      <c r="G9" s="54"/>
      <c r="H9" s="52" t="s">
        <v>67</v>
      </c>
      <c r="I9" s="52" t="s">
        <v>68</v>
      </c>
      <c r="J9" s="55"/>
      <c r="K9" s="56" t="s">
        <v>69</v>
      </c>
      <c r="L9" s="57"/>
      <c r="M9" s="58" t="s">
        <v>70</v>
      </c>
      <c r="N9" s="58" t="s">
        <v>71</v>
      </c>
      <c r="O9" s="58" t="s">
        <v>72</v>
      </c>
    </row>
    <row r="10" spans="1:9" ht="15">
      <c r="A10" s="42"/>
      <c r="B10" s="43"/>
      <c r="C10" s="30"/>
      <c r="D10" s="30"/>
      <c r="E10" s="30"/>
      <c r="F10" s="43"/>
      <c r="G10" s="30"/>
      <c r="H10" s="30"/>
      <c r="I10" s="41"/>
    </row>
    <row r="11" spans="1:15" ht="15">
      <c r="A11" s="42" t="s">
        <v>29</v>
      </c>
      <c r="B11" s="43"/>
      <c r="C11" s="30"/>
      <c r="D11" s="60">
        <f>Residential!B18</f>
        <v>61</v>
      </c>
      <c r="E11" s="61">
        <f>Residential!E18</f>
        <v>20</v>
      </c>
      <c r="F11" s="43">
        <f>Residential!C18</f>
        <v>52</v>
      </c>
      <c r="G11" s="97"/>
      <c r="H11" s="60">
        <f aca="true" t="shared" si="0" ref="H11:H30">IF(D11=0,"",D11*E11*F11)</f>
        <v>63440</v>
      </c>
      <c r="I11" s="62">
        <f>ROUND(($H$5*H11)/D11/$I$1,2)</f>
        <v>0.46</v>
      </c>
      <c r="K11" s="34">
        <f>D11*I11*$I$1</f>
        <v>336.72</v>
      </c>
      <c r="M11" s="63">
        <v>0.44</v>
      </c>
      <c r="N11" s="64">
        <f>+I11-M11</f>
        <v>0.020000000000000018</v>
      </c>
      <c r="O11" s="65">
        <f>+N11/M11</f>
        <v>0.0454545454545455</v>
      </c>
    </row>
    <row r="12" spans="1:15" ht="15">
      <c r="A12" s="42" t="s">
        <v>85</v>
      </c>
      <c r="B12" s="43"/>
      <c r="C12" s="30"/>
      <c r="D12" s="60">
        <f>Residential!B19</f>
        <v>4</v>
      </c>
      <c r="E12" s="61">
        <f>Residential!E19</f>
        <v>34</v>
      </c>
      <c r="F12" s="43">
        <f>Residential!C19</f>
        <v>12</v>
      </c>
      <c r="G12" s="97"/>
      <c r="H12" s="60">
        <f t="shared" si="0"/>
        <v>1632</v>
      </c>
      <c r="I12" s="62">
        <f aca="true" t="shared" si="1" ref="I12:I26">ROUND(($H$5*H12)/D12/$I$1,2)</f>
        <v>0.18</v>
      </c>
      <c r="K12" s="34">
        <f aca="true" t="shared" si="2" ref="K12:K30">D12*I12*$I$1</f>
        <v>8.64</v>
      </c>
      <c r="M12" s="63">
        <v>0.17</v>
      </c>
      <c r="N12" s="64">
        <f aca="true" t="shared" si="3" ref="N12:N30">+I12-M12</f>
        <v>0.009999999999999981</v>
      </c>
      <c r="O12" s="65">
        <f aca="true" t="shared" si="4" ref="O12:O30">+N12/M12</f>
        <v>0.058823529411764594</v>
      </c>
    </row>
    <row r="13" spans="1:15" ht="15">
      <c r="A13" s="42" t="s">
        <v>85</v>
      </c>
      <c r="B13" s="43"/>
      <c r="C13" s="30"/>
      <c r="D13" s="60">
        <f>Residential!B20</f>
        <v>315.577</v>
      </c>
      <c r="E13" s="61">
        <f>Residential!E20</f>
        <v>34</v>
      </c>
      <c r="F13" s="43">
        <f>Residential!C20</f>
        <v>52</v>
      </c>
      <c r="G13" s="97"/>
      <c r="H13" s="60">
        <f t="shared" si="0"/>
        <v>557940.136</v>
      </c>
      <c r="I13" s="62">
        <f t="shared" si="1"/>
        <v>0.79</v>
      </c>
      <c r="K13" s="34">
        <f t="shared" si="2"/>
        <v>2991.66996</v>
      </c>
      <c r="M13" s="63">
        <v>0.75</v>
      </c>
      <c r="N13" s="64">
        <f t="shared" si="3"/>
        <v>0.040000000000000036</v>
      </c>
      <c r="O13" s="65">
        <f t="shared" si="4"/>
        <v>0.05333333333333338</v>
      </c>
    </row>
    <row r="14" spans="1:15" ht="15">
      <c r="A14" s="42" t="s">
        <v>86</v>
      </c>
      <c r="B14" s="43"/>
      <c r="C14" s="30"/>
      <c r="D14" s="60">
        <f>Residential!B21</f>
        <v>90</v>
      </c>
      <c r="E14" s="61">
        <f>Residential!E21</f>
        <v>34</v>
      </c>
      <c r="F14" s="43">
        <f>Residential!C21</f>
        <v>52</v>
      </c>
      <c r="G14" s="97"/>
      <c r="H14" s="60">
        <f t="shared" si="0"/>
        <v>159120</v>
      </c>
      <c r="I14" s="62">
        <f t="shared" si="1"/>
        <v>0.79</v>
      </c>
      <c r="K14" s="34">
        <f t="shared" si="2"/>
        <v>853.2</v>
      </c>
      <c r="M14" s="63">
        <v>0.75</v>
      </c>
      <c r="N14" s="64">
        <f t="shared" si="3"/>
        <v>0.040000000000000036</v>
      </c>
      <c r="O14" s="65">
        <f t="shared" si="4"/>
        <v>0.05333333333333338</v>
      </c>
    </row>
    <row r="15" spans="1:15" ht="15">
      <c r="A15" s="42" t="s">
        <v>87</v>
      </c>
      <c r="B15" s="43"/>
      <c r="C15" s="30"/>
      <c r="D15" s="60">
        <f>Residential!B22</f>
        <v>3</v>
      </c>
      <c r="E15" s="61">
        <f>Residential!E22</f>
        <v>34</v>
      </c>
      <c r="F15" s="43">
        <f>Residential!C22</f>
        <v>52</v>
      </c>
      <c r="G15" s="97"/>
      <c r="H15" s="60">
        <f t="shared" si="0"/>
        <v>5304</v>
      </c>
      <c r="I15" s="62">
        <f t="shared" si="1"/>
        <v>0.79</v>
      </c>
      <c r="K15" s="34">
        <f t="shared" si="2"/>
        <v>28.44</v>
      </c>
      <c r="M15" s="63">
        <v>0.75</v>
      </c>
      <c r="N15" s="64">
        <f t="shared" si="3"/>
        <v>0.040000000000000036</v>
      </c>
      <c r="O15" s="65">
        <f t="shared" si="4"/>
        <v>0.05333333333333338</v>
      </c>
    </row>
    <row r="16" spans="1:15" ht="15">
      <c r="A16" s="42" t="s">
        <v>23</v>
      </c>
      <c r="B16" s="43"/>
      <c r="C16" s="30"/>
      <c r="D16" s="60">
        <f>Residential!B23</f>
        <v>1097</v>
      </c>
      <c r="E16" s="61">
        <f>Residential!E23</f>
        <v>34</v>
      </c>
      <c r="F16" s="43">
        <f>Residential!C23</f>
        <v>52</v>
      </c>
      <c r="G16" s="97"/>
      <c r="H16" s="60">
        <f t="shared" si="0"/>
        <v>1939496</v>
      </c>
      <c r="I16" s="62">
        <f t="shared" si="1"/>
        <v>0.79</v>
      </c>
      <c r="K16" s="34">
        <f t="shared" si="2"/>
        <v>10399.56</v>
      </c>
      <c r="M16" s="63">
        <v>0.75</v>
      </c>
      <c r="N16" s="64">
        <f t="shared" si="3"/>
        <v>0.040000000000000036</v>
      </c>
      <c r="O16" s="65">
        <f t="shared" si="4"/>
        <v>0.05333333333333338</v>
      </c>
    </row>
    <row r="17" spans="1:15" ht="15">
      <c r="A17" s="42" t="s">
        <v>23</v>
      </c>
      <c r="B17" s="43"/>
      <c r="C17" s="30"/>
      <c r="D17" s="60">
        <f>Residential!B25</f>
        <v>9</v>
      </c>
      <c r="E17" s="61">
        <f>Residential!E25</f>
        <v>34</v>
      </c>
      <c r="F17" s="43">
        <f>Residential!C25</f>
        <v>12</v>
      </c>
      <c r="G17" s="97"/>
      <c r="H17" s="60">
        <f t="shared" si="0"/>
        <v>3672</v>
      </c>
      <c r="I17" s="62">
        <f t="shared" si="1"/>
        <v>0.18</v>
      </c>
      <c r="K17" s="34">
        <f t="shared" si="2"/>
        <v>19.439999999999998</v>
      </c>
      <c r="M17" s="63">
        <v>0.17</v>
      </c>
      <c r="N17" s="64">
        <f>+N16</f>
        <v>0.040000000000000036</v>
      </c>
      <c r="O17" s="65">
        <f t="shared" si="4"/>
        <v>0.23529411764705901</v>
      </c>
    </row>
    <row r="18" spans="1:15" ht="15">
      <c r="A18" s="42" t="s">
        <v>30</v>
      </c>
      <c r="B18" s="43"/>
      <c r="C18" s="30"/>
      <c r="D18" s="60">
        <f>Residential!B26</f>
        <v>4</v>
      </c>
      <c r="E18" s="61">
        <f>Residential!E26</f>
        <v>34</v>
      </c>
      <c r="F18" s="43">
        <f>Residential!C26</f>
        <v>52</v>
      </c>
      <c r="G18" s="97"/>
      <c r="H18" s="60">
        <f t="shared" si="0"/>
        <v>7072</v>
      </c>
      <c r="I18" s="62">
        <f t="shared" si="1"/>
        <v>0.79</v>
      </c>
      <c r="K18" s="34">
        <f t="shared" si="2"/>
        <v>37.92</v>
      </c>
      <c r="M18" s="63">
        <v>0.75</v>
      </c>
      <c r="N18" s="64">
        <f t="shared" si="3"/>
        <v>0.040000000000000036</v>
      </c>
      <c r="O18" s="65">
        <f t="shared" si="4"/>
        <v>0.05333333333333338</v>
      </c>
    </row>
    <row r="19" spans="1:15" ht="15">
      <c r="A19" s="42"/>
      <c r="B19" s="43"/>
      <c r="C19" s="30"/>
      <c r="D19" s="60"/>
      <c r="E19" s="61"/>
      <c r="F19" s="43"/>
      <c r="G19" s="97"/>
      <c r="H19" s="60">
        <f t="shared" si="0"/>
      </c>
      <c r="I19" s="62"/>
      <c r="M19" s="63"/>
      <c r="N19" s="64"/>
      <c r="O19" s="65"/>
    </row>
    <row r="20" spans="1:15" ht="15">
      <c r="A20" s="42" t="s">
        <v>24</v>
      </c>
      <c r="B20" s="43"/>
      <c r="C20" s="30"/>
      <c r="D20" s="60">
        <f>Residential!B28</f>
        <v>2294</v>
      </c>
      <c r="E20" s="61">
        <f>Residential!E28</f>
        <v>51</v>
      </c>
      <c r="F20" s="43">
        <f>Residential!C28</f>
        <v>52</v>
      </c>
      <c r="G20" s="97"/>
      <c r="H20" s="60">
        <f t="shared" si="0"/>
        <v>6083688</v>
      </c>
      <c r="I20" s="62">
        <f t="shared" si="1"/>
        <v>1.18</v>
      </c>
      <c r="K20" s="34">
        <f t="shared" si="2"/>
        <v>32483.04</v>
      </c>
      <c r="M20" s="63">
        <v>1.12</v>
      </c>
      <c r="N20" s="64">
        <f t="shared" si="3"/>
        <v>0.05999999999999983</v>
      </c>
      <c r="O20" s="65">
        <f t="shared" si="4"/>
        <v>0.053571428571428416</v>
      </c>
    </row>
    <row r="21" spans="1:15" ht="15">
      <c r="A21" s="42" t="s">
        <v>24</v>
      </c>
      <c r="B21" s="43"/>
      <c r="C21" s="30"/>
      <c r="D21" s="60">
        <f>Residential!B30</f>
        <v>13</v>
      </c>
      <c r="E21" s="61">
        <f>Residential!E30</f>
        <v>51</v>
      </c>
      <c r="F21" s="43">
        <f>Residential!C30</f>
        <v>26</v>
      </c>
      <c r="G21" s="97"/>
      <c r="H21" s="60">
        <f t="shared" si="0"/>
        <v>17238</v>
      </c>
      <c r="I21" s="62">
        <f t="shared" si="1"/>
        <v>0.59</v>
      </c>
      <c r="K21" s="34">
        <f t="shared" si="2"/>
        <v>92.03999999999999</v>
      </c>
      <c r="M21" s="63">
        <v>0.56</v>
      </c>
      <c r="N21" s="64">
        <f t="shared" si="3"/>
        <v>0.029999999999999916</v>
      </c>
      <c r="O21" s="65">
        <f t="shared" si="4"/>
        <v>0.053571428571428416</v>
      </c>
    </row>
    <row r="22" spans="1:15" ht="15">
      <c r="A22" s="42" t="s">
        <v>26</v>
      </c>
      <c r="B22" s="43"/>
      <c r="C22" s="30"/>
      <c r="D22" s="60">
        <f>Residential!B31</f>
        <v>28</v>
      </c>
      <c r="E22" s="61">
        <f>Residential!E31</f>
        <v>51</v>
      </c>
      <c r="F22" s="43">
        <f>Residential!C31</f>
        <v>52</v>
      </c>
      <c r="G22" s="97"/>
      <c r="H22" s="60">
        <f t="shared" si="0"/>
        <v>74256</v>
      </c>
      <c r="I22" s="62">
        <f t="shared" si="1"/>
        <v>1.18</v>
      </c>
      <c r="K22" s="34">
        <f t="shared" si="2"/>
        <v>396.48</v>
      </c>
      <c r="M22" s="63">
        <v>1.12</v>
      </c>
      <c r="N22" s="64">
        <f t="shared" si="3"/>
        <v>0.05999999999999983</v>
      </c>
      <c r="O22" s="65">
        <f t="shared" si="4"/>
        <v>0.053571428571428416</v>
      </c>
    </row>
    <row r="23" spans="1:15" ht="15">
      <c r="A23" s="42" t="s">
        <v>26</v>
      </c>
      <c r="B23" s="43"/>
      <c r="C23" s="30"/>
      <c r="D23" s="60">
        <f>Residential!B32</f>
        <v>64</v>
      </c>
      <c r="E23" s="61">
        <f>Residential!E32</f>
        <v>51</v>
      </c>
      <c r="F23" s="43">
        <f>Residential!C32</f>
        <v>26</v>
      </c>
      <c r="G23" s="97"/>
      <c r="H23" s="60">
        <f t="shared" si="0"/>
        <v>84864</v>
      </c>
      <c r="I23" s="62">
        <f t="shared" si="1"/>
        <v>0.59</v>
      </c>
      <c r="K23" s="34">
        <f t="shared" si="2"/>
        <v>453.12</v>
      </c>
      <c r="M23" s="63">
        <v>0.56</v>
      </c>
      <c r="N23" s="64">
        <f t="shared" si="3"/>
        <v>0.029999999999999916</v>
      </c>
      <c r="O23" s="65">
        <f t="shared" si="4"/>
        <v>0.053571428571428416</v>
      </c>
    </row>
    <row r="24" spans="1:15" ht="15">
      <c r="A24" s="42" t="s">
        <v>20</v>
      </c>
      <c r="B24" s="43"/>
      <c r="C24" s="30"/>
      <c r="D24" s="60">
        <f>Residential!B33</f>
        <v>2875</v>
      </c>
      <c r="E24" s="61">
        <f>Residential!E33</f>
        <v>77</v>
      </c>
      <c r="F24" s="43">
        <f>Residential!C33</f>
        <v>52</v>
      </c>
      <c r="G24" s="97"/>
      <c r="H24" s="60">
        <f t="shared" si="0"/>
        <v>11511500</v>
      </c>
      <c r="I24" s="62">
        <f t="shared" si="1"/>
        <v>1.78</v>
      </c>
      <c r="K24" s="34">
        <f t="shared" si="2"/>
        <v>61410</v>
      </c>
      <c r="M24" s="63">
        <v>1.69</v>
      </c>
      <c r="N24" s="64">
        <f t="shared" si="3"/>
        <v>0.09000000000000008</v>
      </c>
      <c r="O24" s="65">
        <f t="shared" si="4"/>
        <v>0.053254437869822535</v>
      </c>
    </row>
    <row r="25" spans="1:15" ht="15">
      <c r="A25" s="42" t="s">
        <v>20</v>
      </c>
      <c r="B25" s="43"/>
      <c r="C25" s="30"/>
      <c r="D25" s="60">
        <f>Residential!B34</f>
        <v>8</v>
      </c>
      <c r="E25" s="61">
        <f>Residential!E34</f>
        <v>77</v>
      </c>
      <c r="F25" s="43">
        <f>Residential!C34</f>
        <v>26</v>
      </c>
      <c r="G25" s="97"/>
      <c r="H25" s="60">
        <f t="shared" si="0"/>
        <v>16016</v>
      </c>
      <c r="I25" s="62">
        <f t="shared" si="1"/>
        <v>0.89</v>
      </c>
      <c r="K25" s="34">
        <f t="shared" si="2"/>
        <v>85.44</v>
      </c>
      <c r="M25" s="63">
        <v>0.84</v>
      </c>
      <c r="N25" s="64">
        <f t="shared" si="3"/>
        <v>0.050000000000000044</v>
      </c>
      <c r="O25" s="65">
        <f t="shared" si="4"/>
        <v>0.059523809523809576</v>
      </c>
    </row>
    <row r="26" spans="1:15" ht="15">
      <c r="A26" s="42" t="s">
        <v>27</v>
      </c>
      <c r="B26" s="43"/>
      <c r="C26" s="30"/>
      <c r="D26" s="60">
        <f>Residential!B35</f>
        <v>224</v>
      </c>
      <c r="E26" s="61">
        <f>Residential!E35</f>
        <v>77</v>
      </c>
      <c r="F26" s="43">
        <f>Residential!C35</f>
        <v>52</v>
      </c>
      <c r="G26" s="97"/>
      <c r="H26" s="60">
        <f t="shared" si="0"/>
        <v>896896</v>
      </c>
      <c r="I26" s="62">
        <f t="shared" si="1"/>
        <v>1.78</v>
      </c>
      <c r="K26" s="34">
        <f t="shared" si="2"/>
        <v>4784.64</v>
      </c>
      <c r="M26" s="63">
        <v>1.69</v>
      </c>
      <c r="N26" s="64">
        <f t="shared" si="3"/>
        <v>0.09000000000000008</v>
      </c>
      <c r="O26" s="65">
        <f t="shared" si="4"/>
        <v>0.053254437869822535</v>
      </c>
    </row>
    <row r="27" spans="1:15" ht="15">
      <c r="A27" s="42" t="s">
        <v>27</v>
      </c>
      <c r="B27" s="43"/>
      <c r="C27" s="30"/>
      <c r="D27" s="60">
        <f>Residential!B36</f>
        <v>123</v>
      </c>
      <c r="E27" s="61">
        <f>Residential!E36</f>
        <v>77</v>
      </c>
      <c r="F27" s="43">
        <f>Residential!C36</f>
        <v>26</v>
      </c>
      <c r="G27" s="97"/>
      <c r="H27" s="60">
        <f t="shared" si="0"/>
        <v>246246</v>
      </c>
      <c r="I27" s="62">
        <f>+I26</f>
        <v>1.78</v>
      </c>
      <c r="K27" s="34">
        <f t="shared" si="2"/>
        <v>2627.2799999999997</v>
      </c>
      <c r="M27" s="63">
        <v>1.69</v>
      </c>
      <c r="N27" s="64">
        <f t="shared" si="3"/>
        <v>0.09000000000000008</v>
      </c>
      <c r="O27" s="65">
        <f t="shared" si="4"/>
        <v>0.053254437869822535</v>
      </c>
    </row>
    <row r="28" spans="1:15" ht="15">
      <c r="A28" s="42" t="s">
        <v>28</v>
      </c>
      <c r="B28" s="43"/>
      <c r="C28" s="30"/>
      <c r="D28" s="60">
        <f>Residential!B37</f>
        <v>21</v>
      </c>
      <c r="E28" s="61">
        <f>Residential!E37</f>
        <v>77</v>
      </c>
      <c r="F28" s="43">
        <f>Residential!C37</f>
        <v>52</v>
      </c>
      <c r="G28" s="97"/>
      <c r="H28" s="60">
        <f t="shared" si="0"/>
        <v>84084</v>
      </c>
      <c r="I28" s="62">
        <f>+I25*3</f>
        <v>2.67</v>
      </c>
      <c r="K28" s="34">
        <f t="shared" si="2"/>
        <v>672.84</v>
      </c>
      <c r="M28" s="62">
        <v>2.52</v>
      </c>
      <c r="N28" s="64">
        <f t="shared" si="3"/>
        <v>0.1499999999999999</v>
      </c>
      <c r="O28" s="65">
        <f t="shared" si="4"/>
        <v>0.059523809523809486</v>
      </c>
    </row>
    <row r="29" spans="1:15" ht="15">
      <c r="A29" s="42" t="s">
        <v>49</v>
      </c>
      <c r="B29" s="43"/>
      <c r="C29" s="30"/>
      <c r="D29" s="60">
        <f>Residential!B38</f>
        <v>4</v>
      </c>
      <c r="E29" s="61">
        <f>Residential!E38</f>
        <v>77</v>
      </c>
      <c r="F29" s="43">
        <f>Residential!C38</f>
        <v>52</v>
      </c>
      <c r="G29" s="97"/>
      <c r="H29" s="60">
        <f t="shared" si="0"/>
        <v>16016</v>
      </c>
      <c r="I29" s="62">
        <f>+I25*4</f>
        <v>3.56</v>
      </c>
      <c r="K29" s="34">
        <f t="shared" si="2"/>
        <v>170.88</v>
      </c>
      <c r="M29" s="62">
        <v>3.36</v>
      </c>
      <c r="N29" s="64">
        <f t="shared" si="3"/>
        <v>0.20000000000000018</v>
      </c>
      <c r="O29" s="65">
        <f t="shared" si="4"/>
        <v>0.059523809523809576</v>
      </c>
    </row>
    <row r="30" spans="1:15" ht="17.25">
      <c r="A30" s="42" t="s">
        <v>49</v>
      </c>
      <c r="B30" s="43"/>
      <c r="C30" s="30"/>
      <c r="D30" s="83">
        <f>Residential!B39</f>
        <v>1</v>
      </c>
      <c r="E30" s="61">
        <f>Residential!E39</f>
        <v>77</v>
      </c>
      <c r="F30" s="43">
        <f>Residential!C39</f>
        <v>26</v>
      </c>
      <c r="G30" s="97"/>
      <c r="H30" s="83">
        <f t="shared" si="0"/>
        <v>2002</v>
      </c>
      <c r="I30" s="62">
        <f>+I29</f>
        <v>3.56</v>
      </c>
      <c r="K30" s="85">
        <f t="shared" si="2"/>
        <v>42.72</v>
      </c>
      <c r="M30" s="62">
        <v>3.36</v>
      </c>
      <c r="N30" s="64">
        <f t="shared" si="3"/>
        <v>0.20000000000000018</v>
      </c>
      <c r="O30" s="65">
        <f t="shared" si="4"/>
        <v>0.059523809523809576</v>
      </c>
    </row>
    <row r="31" spans="1:15" s="31" customFormat="1" ht="15.75">
      <c r="A31" s="44"/>
      <c r="B31" s="45"/>
      <c r="C31" s="46"/>
      <c r="D31" s="90">
        <f>SUM(D11:D30)</f>
        <v>7238.577</v>
      </c>
      <c r="E31" s="94"/>
      <c r="F31" s="91"/>
      <c r="G31" s="95"/>
      <c r="H31" s="90">
        <f>SUM(H11:H30)</f>
        <v>21770482.136</v>
      </c>
      <c r="I31" s="96"/>
      <c r="J31" s="92"/>
      <c r="K31" s="93">
        <f>SUM(K11:K30)</f>
        <v>117894.06996000001</v>
      </c>
      <c r="L31" s="87"/>
      <c r="M31" s="86"/>
      <c r="N31" s="88"/>
      <c r="O31" s="89"/>
    </row>
    <row r="32" spans="1:15" s="66" customFormat="1" ht="15">
      <c r="A32" s="76"/>
      <c r="B32" s="70"/>
      <c r="C32" s="68"/>
      <c r="D32" s="77"/>
      <c r="E32" s="69"/>
      <c r="F32" s="70"/>
      <c r="G32" s="68"/>
      <c r="I32" s="78"/>
      <c r="J32" s="71"/>
      <c r="K32" s="79"/>
      <c r="L32" s="72"/>
      <c r="M32" s="73"/>
      <c r="N32" s="74"/>
      <c r="O32" s="75"/>
    </row>
    <row r="33" spans="1:15" ht="15">
      <c r="A33" s="42"/>
      <c r="B33" s="43"/>
      <c r="C33" s="30"/>
      <c r="D33" s="60"/>
      <c r="E33" s="61"/>
      <c r="F33" s="43"/>
      <c r="G33" s="30"/>
      <c r="H33" s="60"/>
      <c r="I33" s="80"/>
      <c r="M33" s="63"/>
      <c r="N33" s="64"/>
      <c r="O33" s="65"/>
    </row>
    <row r="34" spans="1:19" ht="15">
      <c r="A34" s="66" t="s">
        <v>7</v>
      </c>
      <c r="B34" s="67" t="str">
        <f>VLOOKUP('2024 Fee'!F34,Lookup!$A$1:$B$20,2,FALSE)</f>
        <v>M</v>
      </c>
      <c r="C34" s="30"/>
      <c r="D34" s="60">
        <f>Commercial!B12</f>
        <v>2.08333</v>
      </c>
      <c r="E34" s="61">
        <f>Commercial!E12</f>
        <v>175</v>
      </c>
      <c r="F34" s="43">
        <f>Commercial!C12</f>
        <v>12</v>
      </c>
      <c r="G34" s="30"/>
      <c r="H34" s="60">
        <f>_xlfn.IFERROR(IF(D34=0,"",D34*E34*F34),0)</f>
        <v>4374.993</v>
      </c>
      <c r="I34" s="63">
        <f>_xlfn.IFERROR(ROUND(($H$5*H34)/D34/F34,2),0)</f>
        <v>0.94</v>
      </c>
      <c r="K34" s="34">
        <f>_xlfn.IFERROR(D34*F34*I34,0)</f>
        <v>23.4999624</v>
      </c>
      <c r="M34" s="63">
        <v>0.89</v>
      </c>
      <c r="N34" s="64">
        <f>+I34-M34</f>
        <v>0.04999999999999993</v>
      </c>
      <c r="O34" s="65">
        <f>+N34/M34</f>
        <v>0.0561797752808988</v>
      </c>
      <c r="Q34" s="64">
        <f>I34*3</f>
        <v>2.82</v>
      </c>
      <c r="S34" s="81"/>
    </row>
    <row r="35" spans="1:19" ht="15">
      <c r="A35" s="66" t="s">
        <v>7</v>
      </c>
      <c r="B35" s="67" t="str">
        <f>VLOOKUP('2024 Fee'!F35,Lookup!$A$1:$B$20,2,FALSE)</f>
        <v>EOW</v>
      </c>
      <c r="C35" s="30"/>
      <c r="D35" s="60">
        <f>Commercial!B13</f>
        <v>23</v>
      </c>
      <c r="E35" s="61">
        <f>Commercial!E13</f>
        <v>175</v>
      </c>
      <c r="F35" s="43">
        <f>Commercial!C13</f>
        <v>26</v>
      </c>
      <c r="G35" s="30"/>
      <c r="H35" s="60">
        <f aca="true" t="shared" si="5" ref="H35:H79">_xlfn.IFERROR(IF(D35=0,"",D35*E35*F35),0)</f>
        <v>104650</v>
      </c>
      <c r="I35" s="63">
        <f aca="true" t="shared" si="6" ref="I35:I81">_xlfn.IFERROR(ROUND(($H$5*H35)/D35/F35,2),0)</f>
        <v>0.94</v>
      </c>
      <c r="K35" s="34">
        <f aca="true" t="shared" si="7" ref="K35:K79">_xlfn.IFERROR(D35*F35*I35,0)</f>
        <v>562.12</v>
      </c>
      <c r="M35" s="63">
        <v>0.89</v>
      </c>
      <c r="N35" s="64">
        <f aca="true" t="shared" si="8" ref="N35:N79">+I35-M35</f>
        <v>0.04999999999999993</v>
      </c>
      <c r="O35" s="65">
        <f aca="true" t="shared" si="9" ref="O35:O79">+N35/M35</f>
        <v>0.0561797752808988</v>
      </c>
      <c r="S35" s="81"/>
    </row>
    <row r="36" spans="1:19" ht="15">
      <c r="A36" s="66" t="s">
        <v>7</v>
      </c>
      <c r="B36" s="67" t="str">
        <f>VLOOKUP('2024 Fee'!F36,Lookup!$A$1:$B$20,2,FALSE)</f>
        <v>Weekly</v>
      </c>
      <c r="C36" s="30"/>
      <c r="D36" s="60">
        <f>Commercial!B14</f>
        <v>41</v>
      </c>
      <c r="E36" s="61">
        <f>Commercial!E14</f>
        <v>175</v>
      </c>
      <c r="F36" s="43">
        <f>Commercial!C14</f>
        <v>52</v>
      </c>
      <c r="G36" s="30"/>
      <c r="H36" s="60">
        <f t="shared" si="5"/>
        <v>373100</v>
      </c>
      <c r="I36" s="63">
        <f t="shared" si="6"/>
        <v>0.94</v>
      </c>
      <c r="K36" s="34">
        <f t="shared" si="7"/>
        <v>2004.08</v>
      </c>
      <c r="M36" s="63">
        <v>0.89</v>
      </c>
      <c r="N36" s="64">
        <f t="shared" si="8"/>
        <v>0.04999999999999993</v>
      </c>
      <c r="O36" s="65">
        <f t="shared" si="9"/>
        <v>0.0561797752808988</v>
      </c>
      <c r="S36" s="81"/>
    </row>
    <row r="37" spans="1:19" ht="15">
      <c r="A37" s="66" t="s">
        <v>37</v>
      </c>
      <c r="B37" s="67" t="str">
        <f>VLOOKUP('2024 Fee'!F37,Lookup!$A$1:$B$20,2,FALSE)</f>
        <v>M</v>
      </c>
      <c r="C37" s="30"/>
      <c r="D37" s="60">
        <f>Commercial!B20</f>
        <v>1</v>
      </c>
      <c r="E37" s="61">
        <f>Commercial!E20</f>
        <v>250</v>
      </c>
      <c r="F37" s="43">
        <f>Commercial!C20</f>
        <v>12</v>
      </c>
      <c r="G37" s="30"/>
      <c r="H37" s="60">
        <f t="shared" si="5"/>
        <v>3000</v>
      </c>
      <c r="I37" s="63">
        <f t="shared" si="6"/>
        <v>1.34</v>
      </c>
      <c r="K37" s="34">
        <f t="shared" si="7"/>
        <v>16.080000000000002</v>
      </c>
      <c r="M37" s="63">
        <v>1.27</v>
      </c>
      <c r="N37" s="64">
        <f t="shared" si="8"/>
        <v>0.07000000000000006</v>
      </c>
      <c r="O37" s="65">
        <f t="shared" si="9"/>
        <v>0.05511811023622052</v>
      </c>
      <c r="S37" s="81"/>
    </row>
    <row r="38" spans="1:19" ht="15">
      <c r="A38" s="66" t="s">
        <v>37</v>
      </c>
      <c r="B38" s="67" t="str">
        <f>VLOOKUP('2024 Fee'!F38,Lookup!$A$1:$B$20,2,FALSE)</f>
        <v>EOW</v>
      </c>
      <c r="C38" s="30"/>
      <c r="D38" s="60">
        <f>Commercial!B21</f>
        <v>16</v>
      </c>
      <c r="E38" s="61">
        <f>Commercial!E21</f>
        <v>250</v>
      </c>
      <c r="F38" s="43">
        <f>Commercial!C21</f>
        <v>26</v>
      </c>
      <c r="G38" s="30"/>
      <c r="H38" s="60">
        <f t="shared" si="5"/>
        <v>104000</v>
      </c>
      <c r="I38" s="63">
        <f t="shared" si="6"/>
        <v>1.34</v>
      </c>
      <c r="K38" s="34">
        <f t="shared" si="7"/>
        <v>557.44</v>
      </c>
      <c r="M38" s="63">
        <v>1.27</v>
      </c>
      <c r="N38" s="64">
        <f t="shared" si="8"/>
        <v>0.07000000000000006</v>
      </c>
      <c r="O38" s="65">
        <f t="shared" si="9"/>
        <v>0.05511811023622052</v>
      </c>
      <c r="S38" s="81"/>
    </row>
    <row r="39" spans="1:19" ht="15">
      <c r="A39" s="66" t="s">
        <v>37</v>
      </c>
      <c r="B39" s="67" t="str">
        <f>VLOOKUP('2024 Fee'!F39,Lookup!$A$1:$B$20,2,FALSE)</f>
        <v>Weekly</v>
      </c>
      <c r="C39" s="30"/>
      <c r="D39" s="60">
        <f>Commercial!B22</f>
        <v>37</v>
      </c>
      <c r="E39" s="61">
        <f>Commercial!E22</f>
        <v>250</v>
      </c>
      <c r="F39" s="43">
        <f>Commercial!C22</f>
        <v>52</v>
      </c>
      <c r="G39" s="30"/>
      <c r="H39" s="60">
        <f t="shared" si="5"/>
        <v>481000</v>
      </c>
      <c r="I39" s="63">
        <f t="shared" si="6"/>
        <v>1.34</v>
      </c>
      <c r="K39" s="34">
        <f t="shared" si="7"/>
        <v>2578.1600000000003</v>
      </c>
      <c r="M39" s="63">
        <v>1.27</v>
      </c>
      <c r="N39" s="64">
        <f t="shared" si="8"/>
        <v>0.07000000000000006</v>
      </c>
      <c r="O39" s="65">
        <f t="shared" si="9"/>
        <v>0.05511811023622052</v>
      </c>
      <c r="S39" s="81"/>
    </row>
    <row r="40" spans="1:19" ht="15">
      <c r="A40" s="66" t="s">
        <v>38</v>
      </c>
      <c r="B40" s="67" t="str">
        <f>VLOOKUP('2024 Fee'!F40,Lookup!$A$1:$B$20,2,FALSE)</f>
        <v>Weekly</v>
      </c>
      <c r="C40" s="30"/>
      <c r="D40" s="60">
        <f>Commercial!B24</f>
        <v>0</v>
      </c>
      <c r="E40" s="61">
        <f>Commercial!E24</f>
        <v>250</v>
      </c>
      <c r="F40" s="43">
        <f>Commercial!C24</f>
        <v>52</v>
      </c>
      <c r="G40" s="30"/>
      <c r="H40" s="60">
        <f t="shared" si="5"/>
      </c>
      <c r="I40" s="63"/>
      <c r="M40" s="63"/>
      <c r="N40" s="64"/>
      <c r="O40" s="65"/>
      <c r="S40" s="81"/>
    </row>
    <row r="41" spans="1:19" ht="15">
      <c r="A41" s="66" t="s">
        <v>8</v>
      </c>
      <c r="B41" s="67" t="str">
        <f>VLOOKUP('2024 Fee'!F41,Lookup!$A$1:$B$20,2,FALSE)</f>
        <v>M</v>
      </c>
      <c r="C41" s="30"/>
      <c r="D41" s="60">
        <f>Commercial!B25</f>
        <v>13.166666666666666</v>
      </c>
      <c r="E41" s="61">
        <f>Commercial!E25</f>
        <v>324</v>
      </c>
      <c r="F41" s="43">
        <f>Commercial!C25</f>
        <v>12</v>
      </c>
      <c r="G41" s="30"/>
      <c r="H41" s="60">
        <f t="shared" si="5"/>
        <v>51192</v>
      </c>
      <c r="I41" s="63">
        <f t="shared" si="6"/>
        <v>1.73</v>
      </c>
      <c r="K41" s="34">
        <f t="shared" si="7"/>
        <v>273.34</v>
      </c>
      <c r="M41" s="63">
        <v>1.64</v>
      </c>
      <c r="N41" s="64">
        <f t="shared" si="8"/>
        <v>0.09000000000000008</v>
      </c>
      <c r="O41" s="65">
        <f t="shared" si="9"/>
        <v>0.054878048780487854</v>
      </c>
      <c r="S41" s="81"/>
    </row>
    <row r="42" spans="1:19" ht="15">
      <c r="A42" s="66" t="s">
        <v>8</v>
      </c>
      <c r="B42" s="67" t="str">
        <f>VLOOKUP('2024 Fee'!F42,Lookup!$A$1:$B$20,2,FALSE)</f>
        <v>EOW</v>
      </c>
      <c r="C42" s="30"/>
      <c r="D42" s="60">
        <f>Commercial!B26</f>
        <v>38</v>
      </c>
      <c r="E42" s="61">
        <f>Commercial!E26</f>
        <v>324</v>
      </c>
      <c r="F42" s="43">
        <f>Commercial!C26</f>
        <v>26</v>
      </c>
      <c r="G42" s="30"/>
      <c r="H42" s="60">
        <f t="shared" si="5"/>
        <v>320112</v>
      </c>
      <c r="I42" s="63">
        <f t="shared" si="6"/>
        <v>1.73</v>
      </c>
      <c r="K42" s="34">
        <f t="shared" si="7"/>
        <v>1709.24</v>
      </c>
      <c r="M42" s="63">
        <v>1.64</v>
      </c>
      <c r="N42" s="64">
        <f t="shared" si="8"/>
        <v>0.09000000000000008</v>
      </c>
      <c r="O42" s="65">
        <f t="shared" si="9"/>
        <v>0.054878048780487854</v>
      </c>
      <c r="S42" s="81"/>
    </row>
    <row r="43" spans="1:19" ht="15">
      <c r="A43" s="66" t="s">
        <v>8</v>
      </c>
      <c r="B43" s="67" t="str">
        <f>VLOOKUP('2024 Fee'!F43,Lookup!$A$1:$B$20,2,FALSE)</f>
        <v>Weekly</v>
      </c>
      <c r="C43" s="30"/>
      <c r="D43" s="60">
        <f>Commercial!B27</f>
        <v>66</v>
      </c>
      <c r="E43" s="61">
        <f>Commercial!E27</f>
        <v>324</v>
      </c>
      <c r="F43" s="43">
        <f>Commercial!C27</f>
        <v>52</v>
      </c>
      <c r="G43" s="30"/>
      <c r="H43" s="60">
        <f t="shared" si="5"/>
        <v>1111968</v>
      </c>
      <c r="I43" s="63">
        <f t="shared" si="6"/>
        <v>1.73</v>
      </c>
      <c r="K43" s="34">
        <f t="shared" si="7"/>
        <v>5937.36</v>
      </c>
      <c r="M43" s="63">
        <v>1.64</v>
      </c>
      <c r="N43" s="64">
        <f t="shared" si="8"/>
        <v>0.09000000000000008</v>
      </c>
      <c r="O43" s="65">
        <f t="shared" si="9"/>
        <v>0.054878048780487854</v>
      </c>
      <c r="S43" s="81"/>
    </row>
    <row r="44" spans="1:19" ht="15">
      <c r="A44" s="66" t="s">
        <v>8</v>
      </c>
      <c r="B44" s="67" t="str">
        <f>VLOOKUP('2024 Fee'!F44,Lookup!$A$1:$B$20,2,FALSE)</f>
        <v>2 x Week</v>
      </c>
      <c r="C44" s="30"/>
      <c r="D44" s="60">
        <f>Commercial!B28</f>
        <v>2</v>
      </c>
      <c r="E44" s="61">
        <f>Commercial!E28</f>
        <v>324</v>
      </c>
      <c r="F44" s="43">
        <f>Commercial!C28</f>
        <v>104</v>
      </c>
      <c r="G44" s="30"/>
      <c r="H44" s="60">
        <f t="shared" si="5"/>
        <v>67392</v>
      </c>
      <c r="I44" s="63">
        <f t="shared" si="6"/>
        <v>1.73</v>
      </c>
      <c r="K44" s="34">
        <f t="shared" si="7"/>
        <v>359.84</v>
      </c>
      <c r="M44" s="63">
        <v>1.64</v>
      </c>
      <c r="N44" s="64">
        <f t="shared" si="8"/>
        <v>0.09000000000000008</v>
      </c>
      <c r="O44" s="65">
        <f t="shared" si="9"/>
        <v>0.054878048780487854</v>
      </c>
      <c r="S44" s="81"/>
    </row>
    <row r="45" spans="1:19" ht="15">
      <c r="A45" s="66" t="s">
        <v>47</v>
      </c>
      <c r="B45" s="67" t="str">
        <f>VLOOKUP('2024 Fee'!F45,Lookup!$A$1:$B$20,2,FALSE)</f>
        <v>Weekly</v>
      </c>
      <c r="C45" s="30"/>
      <c r="D45" s="60">
        <f>Commercial!B32</f>
        <v>4</v>
      </c>
      <c r="E45" s="61">
        <f>Commercial!E32</f>
        <v>324</v>
      </c>
      <c r="F45" s="43">
        <f>Commercial!C32</f>
        <v>52</v>
      </c>
      <c r="G45" s="30"/>
      <c r="H45" s="60">
        <f t="shared" si="5"/>
        <v>67392</v>
      </c>
      <c r="I45" s="63">
        <f t="shared" si="6"/>
        <v>1.73</v>
      </c>
      <c r="K45" s="34">
        <f t="shared" si="7"/>
        <v>359.84</v>
      </c>
      <c r="M45" s="63">
        <v>1.64</v>
      </c>
      <c r="N45" s="64">
        <f t="shared" si="8"/>
        <v>0.09000000000000008</v>
      </c>
      <c r="O45" s="65">
        <f t="shared" si="9"/>
        <v>0.054878048780487854</v>
      </c>
      <c r="S45" s="81"/>
    </row>
    <row r="46" spans="1:19" ht="15">
      <c r="A46" s="66" t="s">
        <v>9</v>
      </c>
      <c r="B46" s="67" t="str">
        <f>VLOOKUP('2024 Fee'!F46,Lookup!$A$1:$B$20,2,FALSE)</f>
        <v>M</v>
      </c>
      <c r="C46" s="30"/>
      <c r="D46" s="60">
        <f>Commercial!B33</f>
        <v>1.1666666666666667</v>
      </c>
      <c r="E46" s="61">
        <f>Commercial!E33</f>
        <v>473</v>
      </c>
      <c r="F46" s="43">
        <f>Commercial!C33</f>
        <v>12</v>
      </c>
      <c r="G46" s="30"/>
      <c r="H46" s="60">
        <f t="shared" si="5"/>
        <v>6622</v>
      </c>
      <c r="I46" s="63">
        <f t="shared" si="6"/>
        <v>2.53</v>
      </c>
      <c r="K46" s="34">
        <f t="shared" si="7"/>
        <v>35.419999999999995</v>
      </c>
      <c r="M46" s="63">
        <v>2.39</v>
      </c>
      <c r="N46" s="64">
        <f t="shared" si="8"/>
        <v>0.13999999999999968</v>
      </c>
      <c r="O46" s="65">
        <f t="shared" si="9"/>
        <v>0.05857740585774045</v>
      </c>
      <c r="Q46" s="64">
        <f>I46*3</f>
        <v>7.59</v>
      </c>
      <c r="S46" s="81"/>
    </row>
    <row r="47" spans="1:19" ht="15">
      <c r="A47" s="66" t="s">
        <v>9</v>
      </c>
      <c r="B47" s="67" t="str">
        <f>VLOOKUP('2024 Fee'!F47,Lookup!$A$1:$B$20,2,FALSE)</f>
        <v>EOW</v>
      </c>
      <c r="C47" s="30"/>
      <c r="D47" s="60">
        <f>Commercial!B34</f>
        <v>18</v>
      </c>
      <c r="E47" s="61">
        <f>Commercial!E34</f>
        <v>473</v>
      </c>
      <c r="F47" s="43">
        <f>Commercial!C34</f>
        <v>26</v>
      </c>
      <c r="G47" s="30"/>
      <c r="H47" s="60">
        <f t="shared" si="5"/>
        <v>221364</v>
      </c>
      <c r="I47" s="63">
        <f t="shared" si="6"/>
        <v>2.53</v>
      </c>
      <c r="K47" s="34">
        <f t="shared" si="7"/>
        <v>1184.04</v>
      </c>
      <c r="M47" s="63">
        <v>2.39</v>
      </c>
      <c r="N47" s="64">
        <f t="shared" si="8"/>
        <v>0.13999999999999968</v>
      </c>
      <c r="O47" s="65">
        <f t="shared" si="9"/>
        <v>0.05857740585774045</v>
      </c>
      <c r="S47" s="81"/>
    </row>
    <row r="48" spans="1:19" ht="15">
      <c r="A48" s="66" t="s">
        <v>90</v>
      </c>
      <c r="B48" s="67" t="str">
        <f>VLOOKUP('2024 Fee'!F48,Lookup!$A$1:$B$20,2,FALSE)</f>
        <v>Weekly</v>
      </c>
      <c r="C48" s="30"/>
      <c r="D48" s="60">
        <f>Commercial!B39</f>
        <v>4</v>
      </c>
      <c r="E48" s="61">
        <f>Commercial!E39</f>
        <v>473</v>
      </c>
      <c r="F48" s="43">
        <f>Commercial!C39</f>
        <v>52</v>
      </c>
      <c r="G48" s="30"/>
      <c r="H48" s="60">
        <f t="shared" si="5"/>
        <v>98384</v>
      </c>
      <c r="I48" s="63">
        <f t="shared" si="6"/>
        <v>2.53</v>
      </c>
      <c r="K48" s="34">
        <f t="shared" si="7"/>
        <v>526.24</v>
      </c>
      <c r="M48" s="63">
        <v>2.39</v>
      </c>
      <c r="N48" s="64">
        <f t="shared" si="8"/>
        <v>0.13999999999999968</v>
      </c>
      <c r="O48" s="65">
        <f t="shared" si="9"/>
        <v>0.05857740585774045</v>
      </c>
      <c r="S48" s="81"/>
    </row>
    <row r="49" spans="1:19" ht="15">
      <c r="A49" s="66" t="s">
        <v>9</v>
      </c>
      <c r="B49" s="67" t="str">
        <f>VLOOKUP('2024 Fee'!F49,Lookup!$A$1:$B$20,2,FALSE)</f>
        <v>Weekly</v>
      </c>
      <c r="C49" s="30"/>
      <c r="D49" s="60">
        <f>Commercial!B36</f>
        <v>30</v>
      </c>
      <c r="E49" s="61">
        <f>Commercial!E36</f>
        <v>473</v>
      </c>
      <c r="F49" s="43">
        <f>Commercial!C36</f>
        <v>52</v>
      </c>
      <c r="G49" s="30"/>
      <c r="H49" s="60">
        <f t="shared" si="5"/>
        <v>737880</v>
      </c>
      <c r="I49" s="63">
        <f t="shared" si="6"/>
        <v>2.53</v>
      </c>
      <c r="K49" s="34">
        <f t="shared" si="7"/>
        <v>3946.7999999999997</v>
      </c>
      <c r="M49" s="63">
        <v>2.39</v>
      </c>
      <c r="N49" s="64">
        <f t="shared" si="8"/>
        <v>0.13999999999999968</v>
      </c>
      <c r="O49" s="65">
        <f t="shared" si="9"/>
        <v>0.05857740585774045</v>
      </c>
      <c r="S49" s="81"/>
    </row>
    <row r="50" spans="1:19" ht="15">
      <c r="A50" s="66" t="s">
        <v>9</v>
      </c>
      <c r="B50" s="67" t="str">
        <f>VLOOKUP('2024 Fee'!F50,Lookup!$A$1:$B$20,2,FALSE)</f>
        <v>2 x Week</v>
      </c>
      <c r="C50" s="30"/>
      <c r="D50" s="60">
        <f>Commercial!B37</f>
        <v>0</v>
      </c>
      <c r="E50" s="61">
        <f>Commercial!E37</f>
        <v>473</v>
      </c>
      <c r="F50" s="43">
        <f>Commercial!C37</f>
        <v>104</v>
      </c>
      <c r="G50" s="30"/>
      <c r="H50" s="60">
        <f t="shared" si="5"/>
      </c>
      <c r="I50" s="63"/>
      <c r="M50" s="63"/>
      <c r="N50" s="64"/>
      <c r="O50" s="65"/>
      <c r="S50" s="81"/>
    </row>
    <row r="51" spans="1:19" ht="15">
      <c r="A51" s="66" t="s">
        <v>10</v>
      </c>
      <c r="B51" s="67" t="str">
        <f>VLOOKUP('2024 Fee'!F51,Lookup!$A$1:$B$20,2,FALSE)</f>
        <v>EOW</v>
      </c>
      <c r="C51" s="30"/>
      <c r="D51" s="60">
        <f>Commercial!B40</f>
        <v>22</v>
      </c>
      <c r="E51" s="61">
        <f>Commercial!E40</f>
        <v>613</v>
      </c>
      <c r="F51" s="43">
        <f>Commercial!C40</f>
        <v>26</v>
      </c>
      <c r="G51" s="30"/>
      <c r="H51" s="60">
        <f t="shared" si="5"/>
        <v>350636</v>
      </c>
      <c r="I51" s="63">
        <f t="shared" si="6"/>
        <v>3.28</v>
      </c>
      <c r="K51" s="34">
        <f t="shared" si="7"/>
        <v>1876.1599999999999</v>
      </c>
      <c r="M51" s="63">
        <v>3.1</v>
      </c>
      <c r="N51" s="64">
        <f t="shared" si="8"/>
        <v>0.17999999999999972</v>
      </c>
      <c r="O51" s="65">
        <f t="shared" si="9"/>
        <v>0.058064516129032163</v>
      </c>
      <c r="S51" s="81"/>
    </row>
    <row r="52" spans="1:19" ht="15">
      <c r="A52" s="66" t="s">
        <v>10</v>
      </c>
      <c r="B52" s="67" t="str">
        <f>VLOOKUP('2024 Fee'!F52,Lookup!$A$1:$B$20,2,FALSE)</f>
        <v>M</v>
      </c>
      <c r="C52" s="30"/>
      <c r="D52" s="60">
        <f>Commercial!B41</f>
        <v>5.666666666666667</v>
      </c>
      <c r="E52" s="61">
        <f>Commercial!E41</f>
        <v>613</v>
      </c>
      <c r="F52" s="43">
        <f>Commercial!C41</f>
        <v>12</v>
      </c>
      <c r="G52" s="30"/>
      <c r="H52" s="60">
        <f t="shared" si="5"/>
        <v>41684</v>
      </c>
      <c r="I52" s="63">
        <f t="shared" si="6"/>
        <v>3.28</v>
      </c>
      <c r="K52" s="34">
        <f t="shared" si="7"/>
        <v>223.04</v>
      </c>
      <c r="M52" s="63">
        <v>3.1</v>
      </c>
      <c r="N52" s="64">
        <f t="shared" si="8"/>
        <v>0.17999999999999972</v>
      </c>
      <c r="O52" s="65">
        <f t="shared" si="9"/>
        <v>0.058064516129032163</v>
      </c>
      <c r="S52" s="81"/>
    </row>
    <row r="53" spans="1:19" ht="15">
      <c r="A53" s="66" t="s">
        <v>10</v>
      </c>
      <c r="B53" s="67" t="str">
        <f>VLOOKUP('2024 Fee'!F53,Lookup!$A$1:$B$20,2,FALSE)</f>
        <v>Weekly</v>
      </c>
      <c r="C53" s="30"/>
      <c r="D53" s="60">
        <f>Commercial!B42</f>
        <v>41</v>
      </c>
      <c r="E53" s="61">
        <f>Commercial!E42</f>
        <v>613</v>
      </c>
      <c r="F53" s="43">
        <f>Commercial!C42</f>
        <v>52</v>
      </c>
      <c r="G53" s="30"/>
      <c r="H53" s="60">
        <f t="shared" si="5"/>
        <v>1306916</v>
      </c>
      <c r="I53" s="63">
        <f t="shared" si="6"/>
        <v>3.28</v>
      </c>
      <c r="K53" s="34">
        <f t="shared" si="7"/>
        <v>6992.96</v>
      </c>
      <c r="M53" s="63">
        <v>3.1</v>
      </c>
      <c r="N53" s="64">
        <f t="shared" si="8"/>
        <v>0.17999999999999972</v>
      </c>
      <c r="O53" s="65">
        <f t="shared" si="9"/>
        <v>0.058064516129032163</v>
      </c>
      <c r="Q53" s="64">
        <f>I53*3</f>
        <v>9.84</v>
      </c>
      <c r="S53" s="81"/>
    </row>
    <row r="54" spans="1:19" ht="15">
      <c r="A54" s="66" t="s">
        <v>91</v>
      </c>
      <c r="B54" s="67" t="str">
        <f>VLOOKUP('2024 Fee'!F54,Lookup!$A$1:$B$20,2,FALSE)</f>
        <v>Weekly</v>
      </c>
      <c r="C54" s="30"/>
      <c r="D54" s="60">
        <f>Commercial!B45</f>
        <v>4</v>
      </c>
      <c r="E54" s="61">
        <f>Commercial!E45</f>
        <v>613</v>
      </c>
      <c r="F54" s="43">
        <f>Commercial!C45</f>
        <v>52</v>
      </c>
      <c r="G54" s="30"/>
      <c r="H54" s="60">
        <f t="shared" si="5"/>
        <v>127504</v>
      </c>
      <c r="I54" s="63">
        <f>I53*2</f>
        <v>6.56</v>
      </c>
      <c r="K54" s="34">
        <f t="shared" si="7"/>
        <v>1364.48</v>
      </c>
      <c r="M54" s="63">
        <v>6.2</v>
      </c>
      <c r="N54" s="64">
        <f t="shared" si="8"/>
        <v>0.35999999999999943</v>
      </c>
      <c r="O54" s="65">
        <f t="shared" si="9"/>
        <v>0.058064516129032163</v>
      </c>
      <c r="S54" s="81"/>
    </row>
    <row r="55" spans="1:19" ht="15">
      <c r="A55" s="66" t="s">
        <v>113</v>
      </c>
      <c r="B55" s="67" t="str">
        <f>VLOOKUP('2024 Fee'!F55,Lookup!$A$1:$B$20,2,FALSE)</f>
        <v>Weekly</v>
      </c>
      <c r="C55" s="30"/>
      <c r="D55" s="60">
        <f>Commercial!B46</f>
        <v>9</v>
      </c>
      <c r="E55" s="61">
        <f>Commercial!E46</f>
        <v>613</v>
      </c>
      <c r="F55" s="43">
        <f>Commercial!C46</f>
        <v>52</v>
      </c>
      <c r="G55" s="30"/>
      <c r="H55" s="60">
        <f>_xlfn.IFERROR(IF(D55=0,"",D55*E55*F55),0)</f>
        <v>286884</v>
      </c>
      <c r="I55" s="63">
        <f>I54*2</f>
        <v>13.12</v>
      </c>
      <c r="K55" s="34">
        <f>_xlfn.IFERROR(D55*F55*I55,0)</f>
        <v>6140.16</v>
      </c>
      <c r="M55" s="63">
        <v>12.4</v>
      </c>
      <c r="N55" s="64">
        <f t="shared" si="8"/>
        <v>0.7199999999999989</v>
      </c>
      <c r="O55" s="65">
        <f>+N55/M55</f>
        <v>0.058064516129032163</v>
      </c>
      <c r="S55" s="81"/>
    </row>
    <row r="56" spans="1:19" ht="15">
      <c r="A56" s="66" t="s">
        <v>11</v>
      </c>
      <c r="B56" s="67" t="str">
        <f>VLOOKUP('2024 Fee'!F56,Lookup!$A$1:$B$20,2,FALSE)</f>
        <v>M</v>
      </c>
      <c r="C56" s="30"/>
      <c r="D56" s="60">
        <f>Commercial!B47</f>
        <v>3.25</v>
      </c>
      <c r="E56" s="61">
        <f>Commercial!E47</f>
        <v>840</v>
      </c>
      <c r="F56" s="43">
        <f>Commercial!C47</f>
        <v>12</v>
      </c>
      <c r="G56" s="30"/>
      <c r="H56" s="60">
        <f t="shared" si="5"/>
        <v>32760</v>
      </c>
      <c r="I56" s="63">
        <f t="shared" si="6"/>
        <v>4.49</v>
      </c>
      <c r="K56" s="34">
        <f t="shared" si="7"/>
        <v>175.11</v>
      </c>
      <c r="M56" s="63">
        <v>4.25</v>
      </c>
      <c r="N56" s="64">
        <f t="shared" si="8"/>
        <v>0.2400000000000002</v>
      </c>
      <c r="O56" s="65">
        <f t="shared" si="9"/>
        <v>0.05647058823529417</v>
      </c>
      <c r="S56" s="81"/>
    </row>
    <row r="57" spans="1:19" ht="15">
      <c r="A57" s="66" t="s">
        <v>11</v>
      </c>
      <c r="B57" s="67" t="str">
        <f>VLOOKUP('2024 Fee'!F57,Lookup!$A$1:$B$20,2,FALSE)</f>
        <v>EOW</v>
      </c>
      <c r="C57" s="30"/>
      <c r="D57" s="60">
        <f>Commercial!B48</f>
        <v>8</v>
      </c>
      <c r="E57" s="61">
        <f>Commercial!E48</f>
        <v>840</v>
      </c>
      <c r="F57" s="43">
        <f>Commercial!C48</f>
        <v>26</v>
      </c>
      <c r="G57" s="30"/>
      <c r="H57" s="60">
        <f t="shared" si="5"/>
        <v>174720</v>
      </c>
      <c r="I57" s="63">
        <f t="shared" si="6"/>
        <v>4.49</v>
      </c>
      <c r="K57" s="34">
        <f t="shared" si="7"/>
        <v>933.9200000000001</v>
      </c>
      <c r="M57" s="63">
        <v>4.25</v>
      </c>
      <c r="N57" s="64">
        <f t="shared" si="8"/>
        <v>0.2400000000000002</v>
      </c>
      <c r="O57" s="65">
        <f t="shared" si="9"/>
        <v>0.05647058823529417</v>
      </c>
      <c r="S57" s="81"/>
    </row>
    <row r="58" spans="1:19" ht="15">
      <c r="A58" s="66" t="s">
        <v>11</v>
      </c>
      <c r="B58" s="67" t="str">
        <f>VLOOKUP('2024 Fee'!F58,Lookup!$A$1:$B$20,2,FALSE)</f>
        <v>Weekly</v>
      </c>
      <c r="C58" s="30"/>
      <c r="D58" s="60">
        <f>Commercial!B49</f>
        <v>28</v>
      </c>
      <c r="E58" s="61">
        <f>Commercial!E49</f>
        <v>840</v>
      </c>
      <c r="F58" s="43">
        <f>Commercial!C49</f>
        <v>52</v>
      </c>
      <c r="G58" s="30"/>
      <c r="H58" s="60">
        <f t="shared" si="5"/>
        <v>1223040</v>
      </c>
      <c r="I58" s="63">
        <f t="shared" si="6"/>
        <v>4.49</v>
      </c>
      <c r="K58" s="34">
        <f t="shared" si="7"/>
        <v>6537.4400000000005</v>
      </c>
      <c r="M58" s="63">
        <v>4.25</v>
      </c>
      <c r="N58" s="64">
        <f t="shared" si="8"/>
        <v>0.2400000000000002</v>
      </c>
      <c r="O58" s="65">
        <f t="shared" si="9"/>
        <v>0.05647058823529417</v>
      </c>
      <c r="Q58" s="64">
        <f>I58*3</f>
        <v>13.47</v>
      </c>
      <c r="S58" s="81"/>
    </row>
    <row r="59" spans="1:19" ht="15">
      <c r="A59" s="66" t="s">
        <v>11</v>
      </c>
      <c r="B59" s="67" t="str">
        <f>VLOOKUP('2024 Fee'!F59,Lookup!$A$1:$B$20,2,FALSE)</f>
        <v>2 x Week</v>
      </c>
      <c r="C59" s="30"/>
      <c r="D59" s="60">
        <f>Commercial!B50</f>
        <v>1</v>
      </c>
      <c r="E59" s="61">
        <f>Commercial!E50</f>
        <v>840</v>
      </c>
      <c r="F59" s="43">
        <f>Commercial!C50</f>
        <v>104</v>
      </c>
      <c r="G59" s="30"/>
      <c r="H59" s="60">
        <f t="shared" si="5"/>
        <v>87360</v>
      </c>
      <c r="I59" s="63">
        <f t="shared" si="6"/>
        <v>4.49</v>
      </c>
      <c r="K59" s="34">
        <f t="shared" si="7"/>
        <v>466.96000000000004</v>
      </c>
      <c r="M59" s="63">
        <v>4.25</v>
      </c>
      <c r="N59" s="64">
        <f t="shared" si="8"/>
        <v>0.2400000000000002</v>
      </c>
      <c r="O59" s="65">
        <f t="shared" si="9"/>
        <v>0.05647058823529417</v>
      </c>
      <c r="S59" s="81"/>
    </row>
    <row r="60" spans="1:19" ht="15">
      <c r="A60" s="66" t="s">
        <v>39</v>
      </c>
      <c r="B60" s="67" t="str">
        <f>VLOOKUP('2024 Fee'!F60,Lookup!$A$1:$B$20,2,FALSE)</f>
        <v>Weekly</v>
      </c>
      <c r="C60" s="30"/>
      <c r="D60" s="60">
        <f>Commercial!B53</f>
        <v>4</v>
      </c>
      <c r="E60" s="61">
        <f>Commercial!E53</f>
        <v>840</v>
      </c>
      <c r="F60" s="43">
        <f>Commercial!C53</f>
        <v>52</v>
      </c>
      <c r="G60" s="30"/>
      <c r="H60" s="60">
        <f t="shared" si="5"/>
        <v>174720</v>
      </c>
      <c r="I60" s="63">
        <f t="shared" si="6"/>
        <v>4.49</v>
      </c>
      <c r="K60" s="34">
        <f t="shared" si="7"/>
        <v>933.9200000000001</v>
      </c>
      <c r="M60" s="63">
        <v>4.25</v>
      </c>
      <c r="N60" s="64">
        <f t="shared" si="8"/>
        <v>0.2400000000000002</v>
      </c>
      <c r="O60" s="65">
        <f t="shared" si="9"/>
        <v>0.05647058823529417</v>
      </c>
      <c r="S60" s="81"/>
    </row>
    <row r="61" spans="1:19" ht="15">
      <c r="A61" s="66" t="s">
        <v>39</v>
      </c>
      <c r="B61" s="67" t="str">
        <f>VLOOKUP('2024 Fee'!F61,Lookup!$A$1:$B$20,2,FALSE)</f>
        <v>2 x Week</v>
      </c>
      <c r="C61" s="30"/>
      <c r="D61" s="60">
        <f>Commercial!B54</f>
        <v>4</v>
      </c>
      <c r="E61" s="61">
        <f>Commercial!E54</f>
        <v>840</v>
      </c>
      <c r="F61" s="43">
        <f>Commercial!C54</f>
        <v>104</v>
      </c>
      <c r="G61" s="30"/>
      <c r="H61" s="60">
        <f t="shared" si="5"/>
        <v>349440</v>
      </c>
      <c r="I61" s="63">
        <f t="shared" si="6"/>
        <v>4.49</v>
      </c>
      <c r="K61" s="34">
        <f t="shared" si="7"/>
        <v>1867.8400000000001</v>
      </c>
      <c r="M61" s="63">
        <v>4.25</v>
      </c>
      <c r="N61" s="64">
        <f t="shared" si="8"/>
        <v>0.2400000000000002</v>
      </c>
      <c r="O61" s="65">
        <f t="shared" si="9"/>
        <v>0.05647058823529417</v>
      </c>
      <c r="S61" s="81"/>
    </row>
    <row r="62" spans="1:19" ht="15">
      <c r="A62" s="66" t="s">
        <v>12</v>
      </c>
      <c r="B62" s="67" t="str">
        <f>VLOOKUP('2024 Fee'!F62,Lookup!$A$1:$B$20,2,FALSE)</f>
        <v>EOW</v>
      </c>
      <c r="C62" s="30"/>
      <c r="D62" s="60">
        <f>Commercial!B57</f>
        <v>2</v>
      </c>
      <c r="E62" s="61">
        <f>Commercial!E57</f>
        <v>980</v>
      </c>
      <c r="F62" s="43">
        <f>Commercial!C57</f>
        <v>26</v>
      </c>
      <c r="G62" s="30"/>
      <c r="H62" s="60">
        <f t="shared" si="5"/>
        <v>50960</v>
      </c>
      <c r="I62" s="63">
        <f t="shared" si="6"/>
        <v>5.24</v>
      </c>
      <c r="K62" s="34">
        <f t="shared" si="7"/>
        <v>272.48</v>
      </c>
      <c r="M62" s="63">
        <v>4.96</v>
      </c>
      <c r="N62" s="64">
        <f t="shared" si="8"/>
        <v>0.28000000000000025</v>
      </c>
      <c r="O62" s="65">
        <f t="shared" si="9"/>
        <v>0.05645161290322586</v>
      </c>
      <c r="S62" s="81"/>
    </row>
    <row r="63" spans="1:19" ht="15">
      <c r="A63" s="66" t="s">
        <v>12</v>
      </c>
      <c r="B63" s="67" t="str">
        <f>VLOOKUP('2024 Fee'!F63,Lookup!$A$1:$B$20,2,FALSE)</f>
        <v>Weekly</v>
      </c>
      <c r="C63" s="30"/>
      <c r="D63" s="60">
        <f>Commercial!B58</f>
        <v>32</v>
      </c>
      <c r="E63" s="61">
        <f>Commercial!E58</f>
        <v>980</v>
      </c>
      <c r="F63" s="43">
        <f>Commercial!C58</f>
        <v>52</v>
      </c>
      <c r="G63" s="30"/>
      <c r="H63" s="60">
        <f t="shared" si="5"/>
        <v>1630720</v>
      </c>
      <c r="I63" s="63">
        <f t="shared" si="6"/>
        <v>5.24</v>
      </c>
      <c r="K63" s="34">
        <f t="shared" si="7"/>
        <v>8719.36</v>
      </c>
      <c r="M63" s="63">
        <v>4.96</v>
      </c>
      <c r="N63" s="64">
        <f t="shared" si="8"/>
        <v>0.28000000000000025</v>
      </c>
      <c r="O63" s="65">
        <f t="shared" si="9"/>
        <v>0.05645161290322586</v>
      </c>
      <c r="S63" s="81"/>
    </row>
    <row r="64" spans="1:19" ht="15">
      <c r="A64" s="66" t="s">
        <v>12</v>
      </c>
      <c r="B64" s="67" t="str">
        <f>VLOOKUP('2024 Fee'!F64,Lookup!$A$1:$B$20,2,FALSE)</f>
        <v>2 x Week</v>
      </c>
      <c r="C64" s="30"/>
      <c r="D64" s="60">
        <f>Commercial!B59</f>
        <v>2</v>
      </c>
      <c r="E64" s="61">
        <f>Commercial!E59</f>
        <v>980</v>
      </c>
      <c r="F64" s="43">
        <f>Commercial!C59</f>
        <v>104</v>
      </c>
      <c r="G64" s="30"/>
      <c r="H64" s="60">
        <f t="shared" si="5"/>
        <v>203840</v>
      </c>
      <c r="I64" s="63">
        <f t="shared" si="6"/>
        <v>5.24</v>
      </c>
      <c r="K64" s="34">
        <f t="shared" si="7"/>
        <v>1089.92</v>
      </c>
      <c r="M64" s="63">
        <v>4.96</v>
      </c>
      <c r="N64" s="64">
        <f t="shared" si="8"/>
        <v>0.28000000000000025</v>
      </c>
      <c r="O64" s="65">
        <f t="shared" si="9"/>
        <v>0.05645161290322586</v>
      </c>
      <c r="S64" s="81"/>
    </row>
    <row r="65" spans="1:19" ht="15">
      <c r="A65" s="66" t="s">
        <v>12</v>
      </c>
      <c r="B65" s="67" t="str">
        <f>VLOOKUP('2024 Fee'!F65,Lookup!$A$1:$B$20,2,FALSE)</f>
        <v>3 x Week</v>
      </c>
      <c r="C65" s="30"/>
      <c r="D65" s="60">
        <f>Commercial!B60</f>
        <v>4</v>
      </c>
      <c r="E65" s="61">
        <f>Commercial!E60</f>
        <v>980</v>
      </c>
      <c r="F65" s="43">
        <f>Commercial!C60</f>
        <v>156</v>
      </c>
      <c r="G65" s="30"/>
      <c r="H65" s="60">
        <f t="shared" si="5"/>
        <v>611520</v>
      </c>
      <c r="I65" s="63">
        <f t="shared" si="6"/>
        <v>5.24</v>
      </c>
      <c r="K65" s="34">
        <f t="shared" si="7"/>
        <v>3269.76</v>
      </c>
      <c r="M65" s="63">
        <v>4.96</v>
      </c>
      <c r="N65" s="64">
        <f t="shared" si="8"/>
        <v>0.28000000000000025</v>
      </c>
      <c r="O65" s="65">
        <f t="shared" si="9"/>
        <v>0.05645161290322586</v>
      </c>
      <c r="S65" s="81"/>
    </row>
    <row r="66" spans="1:19" ht="15">
      <c r="A66" s="66" t="s">
        <v>40</v>
      </c>
      <c r="B66" s="67" t="str">
        <f>VLOOKUP('2024 Fee'!F66,Lookup!$A$1:$B$20,2,FALSE)</f>
        <v>Weekly</v>
      </c>
      <c r="C66" s="30"/>
      <c r="D66" s="60">
        <f>Commercial!B62</f>
        <v>8</v>
      </c>
      <c r="E66" s="61">
        <f>Commercial!E62</f>
        <v>980</v>
      </c>
      <c r="F66" s="43">
        <f>Commercial!C62</f>
        <v>52</v>
      </c>
      <c r="G66" s="30"/>
      <c r="H66" s="60">
        <f t="shared" si="5"/>
        <v>407680</v>
      </c>
      <c r="I66" s="63">
        <f>I65*2</f>
        <v>10.48</v>
      </c>
      <c r="K66" s="34">
        <f t="shared" si="7"/>
        <v>4359.68</v>
      </c>
      <c r="M66" s="63">
        <v>9.92</v>
      </c>
      <c r="N66" s="64">
        <f t="shared" si="8"/>
        <v>0.5600000000000005</v>
      </c>
      <c r="O66" s="65">
        <f t="shared" si="9"/>
        <v>0.05645161290322586</v>
      </c>
      <c r="S66" s="81"/>
    </row>
    <row r="67" spans="1:19" ht="15">
      <c r="A67" s="66" t="s">
        <v>40</v>
      </c>
      <c r="B67" s="67" t="str">
        <f>VLOOKUP('2024 Fee'!F67,Lookup!$A$1:$B$20,2,FALSE)</f>
        <v>2 x Week</v>
      </c>
      <c r="C67" s="30"/>
      <c r="D67" s="60">
        <f>Commercial!B63</f>
        <v>2</v>
      </c>
      <c r="E67" s="61">
        <f>Commercial!E63</f>
        <v>980</v>
      </c>
      <c r="F67" s="43">
        <f>Commercial!C63</f>
        <v>104</v>
      </c>
      <c r="G67" s="30"/>
      <c r="H67" s="60">
        <f t="shared" si="5"/>
        <v>203840</v>
      </c>
      <c r="I67" s="63">
        <f>I66</f>
        <v>10.48</v>
      </c>
      <c r="K67" s="34">
        <f t="shared" si="7"/>
        <v>2179.84</v>
      </c>
      <c r="M67" s="63">
        <v>9.92</v>
      </c>
      <c r="N67" s="64">
        <f t="shared" si="8"/>
        <v>0.5600000000000005</v>
      </c>
      <c r="O67" s="65">
        <f t="shared" si="9"/>
        <v>0.05645161290322586</v>
      </c>
      <c r="S67" s="81"/>
    </row>
    <row r="68" spans="1:19" ht="15">
      <c r="A68" s="66" t="s">
        <v>41</v>
      </c>
      <c r="B68" s="67" t="str">
        <f>VLOOKUP('2024 Fee'!F68,Lookup!$A$1:$B$20,2,FALSE)</f>
        <v>Weekly</v>
      </c>
      <c r="C68" s="30"/>
      <c r="D68" s="60">
        <f>Commercial!B64</f>
        <v>6</v>
      </c>
      <c r="E68" s="61">
        <f>Commercial!E64</f>
        <v>980</v>
      </c>
      <c r="F68" s="43">
        <f>Commercial!C64</f>
        <v>52</v>
      </c>
      <c r="G68" s="30"/>
      <c r="H68" s="60">
        <f t="shared" si="5"/>
        <v>305760</v>
      </c>
      <c r="I68" s="63">
        <f t="shared" si="6"/>
        <v>5.24</v>
      </c>
      <c r="K68" s="34">
        <f t="shared" si="7"/>
        <v>1634.88</v>
      </c>
      <c r="M68" s="63">
        <v>4.96</v>
      </c>
      <c r="N68" s="64">
        <f t="shared" si="8"/>
        <v>0.28000000000000025</v>
      </c>
      <c r="O68" s="65">
        <f t="shared" si="9"/>
        <v>0.05645161290322586</v>
      </c>
      <c r="S68" s="81"/>
    </row>
    <row r="69" spans="1:19" ht="15">
      <c r="A69" s="66" t="s">
        <v>41</v>
      </c>
      <c r="B69" s="67">
        <f>VLOOKUP('2024 Fee'!F69,Lookup!$A$1:$B$20,2,FALSE)</f>
        <v>0</v>
      </c>
      <c r="C69" s="30"/>
      <c r="D69" s="60">
        <f>Commercial!B65</f>
        <v>0</v>
      </c>
      <c r="E69" s="61">
        <f>Commercial!E65</f>
        <v>980</v>
      </c>
      <c r="F69" s="43">
        <f>Commercial!C65</f>
        <v>260</v>
      </c>
      <c r="G69" s="30"/>
      <c r="H69" s="60">
        <f t="shared" si="5"/>
      </c>
      <c r="I69" s="63"/>
      <c r="M69" s="63"/>
      <c r="N69" s="64"/>
      <c r="O69" s="65"/>
      <c r="S69" s="81"/>
    </row>
    <row r="70" spans="1:19" ht="15">
      <c r="A70" s="66" t="s">
        <v>19</v>
      </c>
      <c r="B70" s="67" t="str">
        <f>VLOOKUP('2024 Fee'!F70,Lookup!$A$1:$B$20,2,FALSE)</f>
        <v>Weekly</v>
      </c>
      <c r="C70" s="30"/>
      <c r="D70" s="60">
        <f>Commercial!B66</f>
        <v>1</v>
      </c>
      <c r="E70" s="61">
        <f>Commercial!E66</f>
        <v>34</v>
      </c>
      <c r="F70" s="43">
        <f>Commercial!C66</f>
        <v>52</v>
      </c>
      <c r="G70" s="30"/>
      <c r="H70" s="60">
        <f t="shared" si="5"/>
        <v>1768</v>
      </c>
      <c r="I70" s="63">
        <f t="shared" si="6"/>
        <v>0.18</v>
      </c>
      <c r="K70" s="34">
        <f t="shared" si="7"/>
        <v>9.36</v>
      </c>
      <c r="M70" s="63">
        <v>0.17</v>
      </c>
      <c r="N70" s="64">
        <f t="shared" si="8"/>
        <v>0.009999999999999981</v>
      </c>
      <c r="O70" s="65">
        <f t="shared" si="9"/>
        <v>0.058823529411764594</v>
      </c>
      <c r="S70" s="81"/>
    </row>
    <row r="71" spans="1:19" ht="15">
      <c r="A71" s="66" t="s">
        <v>23</v>
      </c>
      <c r="B71" s="67" t="str">
        <f>VLOOKUP('2024 Fee'!F71,Lookup!$A$1:$B$20,2,FALSE)</f>
        <v>EOW</v>
      </c>
      <c r="C71" s="30"/>
      <c r="D71" s="60">
        <f>Commercial!B67</f>
        <v>1</v>
      </c>
      <c r="E71" s="61">
        <f>Commercial!E67</f>
        <v>34</v>
      </c>
      <c r="F71" s="43">
        <f>Commercial!C67</f>
        <v>26</v>
      </c>
      <c r="G71" s="30"/>
      <c r="H71" s="60">
        <f t="shared" si="5"/>
        <v>884</v>
      </c>
      <c r="I71" s="63">
        <f t="shared" si="6"/>
        <v>0.18</v>
      </c>
      <c r="K71" s="34">
        <f t="shared" si="7"/>
        <v>4.68</v>
      </c>
      <c r="M71" s="63">
        <v>0.17</v>
      </c>
      <c r="N71" s="64">
        <f t="shared" si="8"/>
        <v>0.009999999999999981</v>
      </c>
      <c r="O71" s="65">
        <f t="shared" si="9"/>
        <v>0.058823529411764594</v>
      </c>
      <c r="S71" s="81"/>
    </row>
    <row r="72" spans="1:19" ht="15">
      <c r="A72" s="66" t="s">
        <v>23</v>
      </c>
      <c r="B72" s="67" t="str">
        <f>VLOOKUP('2024 Fee'!F72,Lookup!$A$1:$B$20,2,FALSE)</f>
        <v>Weekly</v>
      </c>
      <c r="C72" s="30"/>
      <c r="D72" s="60">
        <f>Commercial!B68</f>
        <v>16</v>
      </c>
      <c r="E72" s="61">
        <f>Commercial!E68</f>
        <v>34</v>
      </c>
      <c r="F72" s="43">
        <f>Commercial!C68</f>
        <v>52</v>
      </c>
      <c r="G72" s="30"/>
      <c r="H72" s="60">
        <f t="shared" si="5"/>
        <v>28288</v>
      </c>
      <c r="I72" s="63">
        <f t="shared" si="6"/>
        <v>0.18</v>
      </c>
      <c r="K72" s="34">
        <f t="shared" si="7"/>
        <v>149.76</v>
      </c>
      <c r="M72" s="63">
        <v>0.17</v>
      </c>
      <c r="N72" s="64">
        <f t="shared" si="8"/>
        <v>0.009999999999999981</v>
      </c>
      <c r="O72" s="65">
        <f t="shared" si="9"/>
        <v>0.058823529411764594</v>
      </c>
      <c r="S72" s="81"/>
    </row>
    <row r="73" spans="1:19" ht="15">
      <c r="A73" s="66" t="s">
        <v>24</v>
      </c>
      <c r="B73" s="67" t="str">
        <f>VLOOKUP('2024 Fee'!F73,Lookup!$A$1:$B$20,2,FALSE)</f>
        <v>Weekly</v>
      </c>
      <c r="C73" s="30"/>
      <c r="D73" s="60">
        <f>Commercial!B69</f>
        <v>3</v>
      </c>
      <c r="E73" s="61">
        <f>Commercial!E69</f>
        <v>51</v>
      </c>
      <c r="F73" s="43">
        <f>Commercial!C69</f>
        <v>52</v>
      </c>
      <c r="G73" s="30"/>
      <c r="H73" s="60">
        <f t="shared" si="5"/>
        <v>7956</v>
      </c>
      <c r="I73" s="63">
        <f t="shared" si="6"/>
        <v>0.27</v>
      </c>
      <c r="K73" s="34">
        <f t="shared" si="7"/>
        <v>42.120000000000005</v>
      </c>
      <c r="M73" s="63">
        <v>0.26</v>
      </c>
      <c r="N73" s="64">
        <f t="shared" si="8"/>
        <v>0.010000000000000009</v>
      </c>
      <c r="O73" s="65">
        <f t="shared" si="9"/>
        <v>0.03846153846153849</v>
      </c>
      <c r="S73" s="81"/>
    </row>
    <row r="74" spans="1:19" ht="15">
      <c r="A74" s="66" t="s">
        <v>20</v>
      </c>
      <c r="B74" s="67" t="str">
        <f>VLOOKUP('2024 Fee'!F74,Lookup!$A$1:$B$20,2,FALSE)</f>
        <v>EOW</v>
      </c>
      <c r="C74" s="30"/>
      <c r="D74" s="60">
        <f>Commercial!B70</f>
        <v>2</v>
      </c>
      <c r="E74" s="61">
        <f>Commercial!E70</f>
        <v>77</v>
      </c>
      <c r="F74" s="43">
        <f>Commercial!C70</f>
        <v>26</v>
      </c>
      <c r="G74" s="30"/>
      <c r="H74" s="60">
        <f t="shared" si="5"/>
        <v>4004</v>
      </c>
      <c r="I74" s="63">
        <f t="shared" si="6"/>
        <v>0.41</v>
      </c>
      <c r="K74" s="34">
        <f t="shared" si="7"/>
        <v>21.32</v>
      </c>
      <c r="M74" s="63">
        <v>0.39</v>
      </c>
      <c r="N74" s="64">
        <f t="shared" si="8"/>
        <v>0.019999999999999962</v>
      </c>
      <c r="O74" s="65">
        <f t="shared" si="9"/>
        <v>0.05128205128205118</v>
      </c>
      <c r="S74" s="81"/>
    </row>
    <row r="75" spans="1:19" ht="15">
      <c r="A75" s="66" t="s">
        <v>20</v>
      </c>
      <c r="B75" s="67" t="str">
        <f>VLOOKUP('2024 Fee'!F75,Lookup!$A$1:$B$20,2,FALSE)</f>
        <v>Weekly</v>
      </c>
      <c r="C75" s="30"/>
      <c r="D75" s="60">
        <f>Commercial!B71</f>
        <v>31</v>
      </c>
      <c r="E75" s="61">
        <f>Commercial!E71</f>
        <v>77</v>
      </c>
      <c r="F75" s="43">
        <f>Commercial!C71</f>
        <v>52</v>
      </c>
      <c r="G75" s="30"/>
      <c r="H75" s="60">
        <f t="shared" si="5"/>
        <v>124124</v>
      </c>
      <c r="I75" s="63">
        <f t="shared" si="6"/>
        <v>0.41</v>
      </c>
      <c r="K75" s="34">
        <f t="shared" si="7"/>
        <v>660.92</v>
      </c>
      <c r="M75" s="63">
        <v>0.39</v>
      </c>
      <c r="N75" s="64">
        <f t="shared" si="8"/>
        <v>0.019999999999999962</v>
      </c>
      <c r="O75" s="65">
        <f t="shared" si="9"/>
        <v>0.05128205128205118</v>
      </c>
      <c r="S75" s="81"/>
    </row>
    <row r="76" spans="1:19" ht="15">
      <c r="A76" s="66" t="s">
        <v>33</v>
      </c>
      <c r="B76" s="67" t="str">
        <f>VLOOKUP('2024 Fee'!F76,Lookup!$A$1:$B$20,2,FALSE)</f>
        <v>Weekly</v>
      </c>
      <c r="C76" s="30"/>
      <c r="D76" s="60">
        <f>Commercial!B72</f>
        <v>6</v>
      </c>
      <c r="E76" s="61">
        <f>Commercial!E72</f>
        <v>77</v>
      </c>
      <c r="F76" s="43">
        <f>Commercial!C72</f>
        <v>52</v>
      </c>
      <c r="G76" s="30"/>
      <c r="H76" s="60">
        <f t="shared" si="5"/>
        <v>24024</v>
      </c>
      <c r="I76" s="63">
        <f t="shared" si="6"/>
        <v>0.41</v>
      </c>
      <c r="K76" s="34">
        <f t="shared" si="7"/>
        <v>127.91999999999999</v>
      </c>
      <c r="M76" s="63">
        <v>0.39</v>
      </c>
      <c r="N76" s="64">
        <f t="shared" si="8"/>
        <v>0.019999999999999962</v>
      </c>
      <c r="O76" s="65">
        <f t="shared" si="9"/>
        <v>0.05128205128205118</v>
      </c>
      <c r="S76" s="81"/>
    </row>
    <row r="77" spans="1:19" ht="15">
      <c r="A77" s="66" t="s">
        <v>42</v>
      </c>
      <c r="B77" s="67" t="str">
        <f>VLOOKUP('2024 Fee'!F77,Lookup!$A$1:$B$20,2,FALSE)</f>
        <v>Weekly</v>
      </c>
      <c r="C77" s="30"/>
      <c r="D77" s="60">
        <f>Commercial!B73</f>
        <v>6</v>
      </c>
      <c r="E77" s="61">
        <f>Commercial!E73</f>
        <v>77</v>
      </c>
      <c r="F77" s="43">
        <f>Commercial!C73</f>
        <v>52</v>
      </c>
      <c r="G77" s="30"/>
      <c r="H77" s="60">
        <f t="shared" si="5"/>
        <v>24024</v>
      </c>
      <c r="I77" s="63">
        <f t="shared" si="6"/>
        <v>0.41</v>
      </c>
      <c r="K77" s="34">
        <f t="shared" si="7"/>
        <v>127.91999999999999</v>
      </c>
      <c r="M77" s="63">
        <v>0.39</v>
      </c>
      <c r="N77" s="64">
        <f t="shared" si="8"/>
        <v>0.019999999999999962</v>
      </c>
      <c r="O77" s="65">
        <f t="shared" si="9"/>
        <v>0.05128205128205118</v>
      </c>
      <c r="S77" s="81"/>
    </row>
    <row r="78" spans="1:19" ht="15">
      <c r="A78" s="66" t="s">
        <v>43</v>
      </c>
      <c r="B78" s="67" t="str">
        <f>VLOOKUP('2024 Fee'!F78,Lookup!$A$1:$B$20,2,FALSE)</f>
        <v>Weekly</v>
      </c>
      <c r="C78" s="30"/>
      <c r="D78" s="60">
        <f>Commercial!B74</f>
        <v>4</v>
      </c>
      <c r="E78" s="61">
        <f>Commercial!E74</f>
        <v>77</v>
      </c>
      <c r="F78" s="43">
        <f>Commercial!C74</f>
        <v>52</v>
      </c>
      <c r="G78" s="30"/>
      <c r="H78" s="60">
        <f t="shared" si="5"/>
        <v>16016</v>
      </c>
      <c r="I78" s="63">
        <f t="shared" si="6"/>
        <v>0.41</v>
      </c>
      <c r="K78" s="34">
        <f t="shared" si="7"/>
        <v>85.28</v>
      </c>
      <c r="M78" s="63">
        <v>0.39</v>
      </c>
      <c r="N78" s="64">
        <f t="shared" si="8"/>
        <v>0.019999999999999962</v>
      </c>
      <c r="O78" s="65">
        <f t="shared" si="9"/>
        <v>0.05128205128205118</v>
      </c>
      <c r="S78" s="81"/>
    </row>
    <row r="79" spans="1:19" ht="15">
      <c r="A79" s="66" t="s">
        <v>50</v>
      </c>
      <c r="B79" s="67" t="str">
        <f>VLOOKUP('2024 Fee'!F79,Lookup!$A$1:$B$20,2,FALSE)</f>
        <v>Weekly</v>
      </c>
      <c r="C79" s="30"/>
      <c r="D79" s="60">
        <f>Commercial!B75</f>
        <v>5</v>
      </c>
      <c r="E79" s="61">
        <f>Commercial!E75</f>
        <v>77</v>
      </c>
      <c r="F79" s="43">
        <f>Commercial!C75</f>
        <v>52</v>
      </c>
      <c r="G79" s="30"/>
      <c r="H79" s="60">
        <f t="shared" si="5"/>
        <v>20020</v>
      </c>
      <c r="I79" s="63">
        <f t="shared" si="6"/>
        <v>0.41</v>
      </c>
      <c r="K79" s="34">
        <f t="shared" si="7"/>
        <v>106.6</v>
      </c>
      <c r="M79" s="63">
        <v>0.39</v>
      </c>
      <c r="N79" s="64">
        <f t="shared" si="8"/>
        <v>0.019999999999999962</v>
      </c>
      <c r="O79" s="65">
        <f t="shared" si="9"/>
        <v>0.05128205128205118</v>
      </c>
      <c r="S79" s="81"/>
    </row>
    <row r="80" spans="1:19" ht="15">
      <c r="A80" s="66" t="s">
        <v>116</v>
      </c>
      <c r="B80" s="67" t="str">
        <f>VLOOKUP('2024 Fee'!F80,Lookup!$A$1:$B$20,2,FALSE)</f>
        <v>Weekly</v>
      </c>
      <c r="C80" s="30"/>
      <c r="D80" s="60">
        <f>Commercial!B76</f>
        <v>12</v>
      </c>
      <c r="E80" s="61">
        <f>Commercial!E76</f>
        <v>77</v>
      </c>
      <c r="F80" s="43">
        <f>Commercial!C76</f>
        <v>52</v>
      </c>
      <c r="G80" s="30"/>
      <c r="H80" s="60">
        <f>_xlfn.IFERROR(IF(D80=0,"",D80*E80*F80),0)</f>
        <v>48048</v>
      </c>
      <c r="I80" s="63">
        <f t="shared" si="6"/>
        <v>0.41</v>
      </c>
      <c r="K80" s="34">
        <f>_xlfn.IFERROR(D80*F80*I80,0)</f>
        <v>255.83999999999997</v>
      </c>
      <c r="M80" s="63">
        <v>0.39</v>
      </c>
      <c r="N80" s="64">
        <f>+I80-M80</f>
        <v>0.019999999999999962</v>
      </c>
      <c r="O80" s="65">
        <f>+N80/M80</f>
        <v>0.05128205128205118</v>
      </c>
      <c r="S80" s="81"/>
    </row>
    <row r="81" spans="1:15" ht="15">
      <c r="A81" s="66" t="s">
        <v>44</v>
      </c>
      <c r="B81" s="82" t="str">
        <f>VLOOKUP('2024 Fee'!F81,Lookup!$A$1:$B$20,2,FALSE)</f>
        <v>Weekly</v>
      </c>
      <c r="D81" s="60">
        <f>Commercial!B78</f>
        <v>9</v>
      </c>
      <c r="E81" s="61">
        <f>Commercial!E78</f>
        <v>77</v>
      </c>
      <c r="F81" s="43">
        <f>Commercial!C78</f>
        <v>52</v>
      </c>
      <c r="H81" s="81">
        <f>_xlfn.IFERROR(IF(D81=0,"",D81*E81*F81),0)</f>
        <v>36036</v>
      </c>
      <c r="I81" s="63">
        <f t="shared" si="6"/>
        <v>0.41</v>
      </c>
      <c r="K81" s="34">
        <f>_xlfn.IFERROR(D81*F81*I81,0)</f>
        <v>191.88</v>
      </c>
      <c r="M81" s="63">
        <v>0.39</v>
      </c>
      <c r="N81" s="64">
        <f aca="true" t="shared" si="10" ref="N81:N94">+I81-M81</f>
        <v>0.019999999999999962</v>
      </c>
      <c r="O81" s="65">
        <f aca="true" t="shared" si="11" ref="O81:O94">+N81/M81</f>
        <v>0.05128205128205118</v>
      </c>
    </row>
    <row r="82" spans="1:15" ht="15">
      <c r="A82" s="66" t="s">
        <v>88</v>
      </c>
      <c r="B82" s="82" t="str">
        <f>VLOOKUP('2024 Fee'!F82,Lookup!$A$1:$B$20,2,FALSE)</f>
        <v>Weekly</v>
      </c>
      <c r="D82" s="60">
        <f>Commercial!B79</f>
        <v>0</v>
      </c>
      <c r="E82" s="61">
        <f>Commercial!E79</f>
        <v>77</v>
      </c>
      <c r="F82" s="43">
        <f>Commercial!C79</f>
        <v>52</v>
      </c>
      <c r="H82" s="81">
        <f>_xlfn.IFERROR(IF(D82=0,"",D82*E82*F82),0)</f>
      </c>
      <c r="I82" s="63"/>
      <c r="M82" s="63"/>
      <c r="N82" s="64"/>
      <c r="O82" s="65"/>
    </row>
    <row r="83" spans="1:15" ht="15">
      <c r="A83" s="66" t="s">
        <v>34</v>
      </c>
      <c r="D83" s="60">
        <v>0</v>
      </c>
      <c r="E83" s="61">
        <f>Commercial!E81</f>
        <v>1800</v>
      </c>
      <c r="F83" s="43">
        <v>61.6335</v>
      </c>
      <c r="H83" s="81">
        <f aca="true" t="shared" si="12" ref="H83:H94">+F83*E83</f>
        <v>110940.3</v>
      </c>
      <c r="I83" s="63">
        <f>($H$5*H83)/F83</f>
        <v>9.621</v>
      </c>
      <c r="K83" s="34">
        <f aca="true" t="shared" si="13" ref="K83:K94">F83*I83</f>
        <v>592.9759035</v>
      </c>
      <c r="M83" s="63">
        <v>9.108</v>
      </c>
      <c r="N83" s="64">
        <f>+N84</f>
        <v>0.6839999999999993</v>
      </c>
      <c r="O83" s="65">
        <f t="shared" si="11"/>
        <v>0.07509881422924893</v>
      </c>
    </row>
    <row r="84" spans="1:15" ht="15">
      <c r="A84" s="66" t="s">
        <v>13</v>
      </c>
      <c r="D84" s="60"/>
      <c r="E84" s="61">
        <f>Commercial!E82</f>
        <v>2400</v>
      </c>
      <c r="F84" s="43">
        <f>Commercial!C82</f>
        <v>242</v>
      </c>
      <c r="H84" s="81">
        <f t="shared" si="12"/>
        <v>580800</v>
      </c>
      <c r="I84" s="63">
        <f aca="true" t="shared" si="14" ref="I84:I94">($H$5*H84)/F84</f>
        <v>12.828</v>
      </c>
      <c r="K84" s="34">
        <f t="shared" si="13"/>
        <v>3104.3759999999997</v>
      </c>
      <c r="M84" s="63">
        <v>12.144</v>
      </c>
      <c r="N84" s="64">
        <f t="shared" si="10"/>
        <v>0.6839999999999993</v>
      </c>
      <c r="O84" s="65">
        <f t="shared" si="11"/>
        <v>0.0563241106719367</v>
      </c>
    </row>
    <row r="85" spans="1:15" ht="15">
      <c r="A85" s="66" t="s">
        <v>92</v>
      </c>
      <c r="D85" s="60"/>
      <c r="E85" s="61">
        <f>Commercial!E83</f>
        <v>3000</v>
      </c>
      <c r="F85" s="43">
        <f>Commercial!C83</f>
        <v>7</v>
      </c>
      <c r="H85" s="81">
        <f t="shared" si="12"/>
        <v>21000</v>
      </c>
      <c r="I85" s="63">
        <f t="shared" si="14"/>
        <v>16.035</v>
      </c>
      <c r="K85" s="34">
        <f t="shared" si="13"/>
        <v>112.245</v>
      </c>
      <c r="M85" s="63">
        <v>15.180000000000001</v>
      </c>
      <c r="N85" s="64">
        <f t="shared" si="10"/>
        <v>0.8549999999999986</v>
      </c>
      <c r="O85" s="65">
        <f t="shared" si="11"/>
        <v>0.05632411067193666</v>
      </c>
    </row>
    <row r="86" spans="1:15" ht="15">
      <c r="A86" s="66" t="s">
        <v>14</v>
      </c>
      <c r="D86" s="60"/>
      <c r="E86" s="61">
        <f>Commercial!E84</f>
        <v>3600</v>
      </c>
      <c r="F86" s="43">
        <f>Commercial!C84</f>
        <v>1040</v>
      </c>
      <c r="H86" s="81">
        <f t="shared" si="12"/>
        <v>3744000</v>
      </c>
      <c r="I86" s="63">
        <f t="shared" si="14"/>
        <v>19.242</v>
      </c>
      <c r="K86" s="34">
        <f t="shared" si="13"/>
        <v>20011.68</v>
      </c>
      <c r="M86" s="63">
        <v>18.216</v>
      </c>
      <c r="N86" s="64">
        <f t="shared" si="10"/>
        <v>1.0259999999999998</v>
      </c>
      <c r="O86" s="65">
        <f t="shared" si="11"/>
        <v>0.056324110671936746</v>
      </c>
    </row>
    <row r="87" spans="1:15" ht="15">
      <c r="A87" s="66" t="s">
        <v>35</v>
      </c>
      <c r="D87" s="60"/>
      <c r="E87" s="61">
        <f>Commercial!E85</f>
        <v>4800</v>
      </c>
      <c r="F87" s="43">
        <f>Commercial!C85</f>
        <v>53</v>
      </c>
      <c r="H87" s="81">
        <f t="shared" si="12"/>
        <v>254400</v>
      </c>
      <c r="I87" s="63">
        <f t="shared" si="14"/>
        <v>25.656</v>
      </c>
      <c r="K87" s="34">
        <f t="shared" si="13"/>
        <v>1359.768</v>
      </c>
      <c r="M87" s="63">
        <v>24.288000000000004</v>
      </c>
      <c r="N87" s="64">
        <f t="shared" si="10"/>
        <v>1.367999999999995</v>
      </c>
      <c r="O87" s="65">
        <f t="shared" si="11"/>
        <v>0.056324110671936545</v>
      </c>
    </row>
    <row r="88" spans="1:15" ht="15">
      <c r="A88" s="66" t="s">
        <v>36</v>
      </c>
      <c r="D88" s="60"/>
      <c r="E88" s="61">
        <f>Commercial!E86</f>
        <v>6000</v>
      </c>
      <c r="F88" s="43">
        <f>Commercial!C86</f>
        <v>10</v>
      </c>
      <c r="H88" s="81">
        <f t="shared" si="12"/>
        <v>60000</v>
      </c>
      <c r="I88" s="63">
        <f t="shared" si="14"/>
        <v>32.07</v>
      </c>
      <c r="K88" s="34">
        <f t="shared" si="13"/>
        <v>320.7</v>
      </c>
      <c r="M88" s="63">
        <v>30.360000000000003</v>
      </c>
      <c r="N88" s="64">
        <f t="shared" si="10"/>
        <v>1.7099999999999973</v>
      </c>
      <c r="O88" s="65">
        <f t="shared" si="11"/>
        <v>0.05632411067193666</v>
      </c>
    </row>
    <row r="89" spans="1:15" ht="15">
      <c r="A89" s="66" t="s">
        <v>119</v>
      </c>
      <c r="D89" s="60"/>
      <c r="E89" s="61">
        <v>4800</v>
      </c>
      <c r="F89" s="43">
        <v>1</v>
      </c>
      <c r="H89" s="81">
        <f>+F89*E89</f>
        <v>4800</v>
      </c>
      <c r="I89" s="63">
        <f>($H$5*H89)/F89</f>
        <v>25.656</v>
      </c>
      <c r="K89" s="34">
        <f>F89*I89</f>
        <v>25.656</v>
      </c>
      <c r="M89" s="63">
        <v>24.288</v>
      </c>
      <c r="N89" s="64">
        <f>+I89-M89</f>
        <v>1.3679999999999986</v>
      </c>
      <c r="O89" s="65">
        <f>+N89/M89</f>
        <v>0.0563241106719367</v>
      </c>
    </row>
    <row r="90" spans="1:15" ht="15">
      <c r="A90" s="66" t="s">
        <v>48</v>
      </c>
      <c r="D90" s="60"/>
      <c r="E90" s="61">
        <f>Commercial!E87</f>
        <v>5400</v>
      </c>
      <c r="F90" s="43">
        <f>Commercial!C87</f>
        <v>3</v>
      </c>
      <c r="H90" s="81">
        <f t="shared" si="12"/>
        <v>16200</v>
      </c>
      <c r="I90" s="63">
        <f t="shared" si="14"/>
        <v>28.863</v>
      </c>
      <c r="K90" s="34">
        <f t="shared" si="13"/>
        <v>86.589</v>
      </c>
      <c r="M90" s="63">
        <v>27.324</v>
      </c>
      <c r="N90" s="64">
        <f t="shared" si="10"/>
        <v>1.538999999999998</v>
      </c>
      <c r="O90" s="65">
        <f t="shared" si="11"/>
        <v>0.05632411067193668</v>
      </c>
    </row>
    <row r="91" spans="1:15" ht="15">
      <c r="A91" s="66" t="s">
        <v>120</v>
      </c>
      <c r="D91" s="60"/>
      <c r="E91" s="61">
        <v>7200</v>
      </c>
      <c r="F91" s="43">
        <v>1</v>
      </c>
      <c r="H91" s="81">
        <f>+F91*E91</f>
        <v>7200</v>
      </c>
      <c r="I91" s="63">
        <f>($H$5*H91)/F91</f>
        <v>38.484</v>
      </c>
      <c r="K91" s="34">
        <f>F91*I91</f>
        <v>38.484</v>
      </c>
      <c r="M91" s="63">
        <v>36.432</v>
      </c>
      <c r="N91" s="64">
        <f>+I91-M91</f>
        <v>2.0519999999999996</v>
      </c>
      <c r="O91" s="65">
        <f>+N91/M91</f>
        <v>0.056324110671936746</v>
      </c>
    </row>
    <row r="92" spans="1:15" ht="15">
      <c r="A92" s="66" t="s">
        <v>15</v>
      </c>
      <c r="D92" s="60"/>
      <c r="E92" s="61">
        <f>Commercial!E88</f>
        <v>9000</v>
      </c>
      <c r="F92" s="43">
        <f>Commercial!C88</f>
        <v>25</v>
      </c>
      <c r="H92" s="81">
        <f t="shared" si="12"/>
        <v>225000</v>
      </c>
      <c r="I92" s="63">
        <f t="shared" si="14"/>
        <v>48.105</v>
      </c>
      <c r="K92" s="34">
        <f t="shared" si="13"/>
        <v>1202.625</v>
      </c>
      <c r="M92" s="63">
        <v>45.54</v>
      </c>
      <c r="N92" s="64">
        <f t="shared" si="10"/>
        <v>2.5649999999999977</v>
      </c>
      <c r="O92" s="65">
        <f t="shared" si="11"/>
        <v>0.05632411067193671</v>
      </c>
    </row>
    <row r="93" spans="1:15" ht="15">
      <c r="A93" s="66" t="s">
        <v>16</v>
      </c>
      <c r="D93" s="60"/>
      <c r="E93" s="61">
        <f>Commercial!E89</f>
        <v>10800</v>
      </c>
      <c r="F93" s="43">
        <f>Commercial!C89</f>
        <v>62</v>
      </c>
      <c r="H93" s="81">
        <f t="shared" si="12"/>
        <v>669600</v>
      </c>
      <c r="I93" s="63">
        <f t="shared" si="14"/>
        <v>57.726000000000006</v>
      </c>
      <c r="K93" s="34">
        <f t="shared" si="13"/>
        <v>3579.012</v>
      </c>
      <c r="M93" s="63">
        <v>54.648</v>
      </c>
      <c r="N93" s="64">
        <f t="shared" si="10"/>
        <v>3.078000000000003</v>
      </c>
      <c r="O93" s="65">
        <f t="shared" si="11"/>
        <v>0.05632411067193681</v>
      </c>
    </row>
    <row r="94" spans="1:15" ht="17.25">
      <c r="A94" s="66" t="s">
        <v>25</v>
      </c>
      <c r="D94" s="83"/>
      <c r="E94" s="61">
        <f>Commercial!E90</f>
        <v>14400</v>
      </c>
      <c r="F94" s="43">
        <f>Commercial!C90</f>
        <v>9</v>
      </c>
      <c r="H94" s="113">
        <f t="shared" si="12"/>
        <v>129600</v>
      </c>
      <c r="I94" s="63">
        <f t="shared" si="14"/>
        <v>76.968</v>
      </c>
      <c r="K94" s="85">
        <f t="shared" si="13"/>
        <v>692.712</v>
      </c>
      <c r="M94" s="63">
        <v>72.864</v>
      </c>
      <c r="N94" s="64">
        <f t="shared" si="10"/>
        <v>4.103999999999999</v>
      </c>
      <c r="O94" s="65">
        <f t="shared" si="11"/>
        <v>0.056324110671936746</v>
      </c>
    </row>
    <row r="95" spans="1:11" ht="15.75">
      <c r="A95" s="66"/>
      <c r="D95" s="101">
        <f>SUM(D34:D94)</f>
        <v>578.3333299999999</v>
      </c>
      <c r="H95" s="101">
        <f>SUM(H34:H94)</f>
        <v>17481147.293</v>
      </c>
      <c r="K95" s="103">
        <f>SUM(K34:K94)</f>
        <v>102021.83286590001</v>
      </c>
    </row>
    <row r="96" ht="15">
      <c r="A96" s="66"/>
    </row>
    <row r="97" spans="4:11" ht="15.75">
      <c r="D97" s="120"/>
      <c r="H97" s="102">
        <f>+H95+H31</f>
        <v>39251629.429000005</v>
      </c>
      <c r="K97" s="93">
        <f>+K95+K31</f>
        <v>219915.9028259</v>
      </c>
    </row>
    <row r="98" ht="15">
      <c r="D98" s="120"/>
    </row>
    <row r="99" spans="11:12" ht="15">
      <c r="K99" s="63">
        <f>D5-K97</f>
        <v>194.24717409998993</v>
      </c>
      <c r="L99" s="35" t="s">
        <v>95</v>
      </c>
    </row>
    <row r="100" ht="15">
      <c r="H100" s="8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zoomScale="120" zoomScaleNormal="120" zoomScalePageLayoutView="0" workbookViewId="0" topLeftCell="B1">
      <selection activeCell="F7" sqref="F7"/>
    </sheetView>
  </sheetViews>
  <sheetFormatPr defaultColWidth="9.140625" defaultRowHeight="12.75"/>
  <cols>
    <col min="1" max="1" width="23.28125" style="0" customWidth="1"/>
    <col min="2" max="2" width="20.00390625" style="0" customWidth="1"/>
    <col min="3" max="3" width="16.7109375" style="0" customWidth="1"/>
    <col min="4" max="4" width="8.7109375" style="0" customWidth="1"/>
    <col min="5" max="5" width="20.28125" style="0" customWidth="1"/>
    <col min="6" max="6" width="33.7109375" style="0" customWidth="1"/>
  </cols>
  <sheetData>
    <row r="1" ht="23.25">
      <c r="A1" s="1" t="s">
        <v>0</v>
      </c>
    </row>
    <row r="3" ht="12.75">
      <c r="C3" s="18" t="s">
        <v>31</v>
      </c>
    </row>
    <row r="5" spans="1:6" ht="12.75" customHeight="1">
      <c r="A5" s="150" t="s">
        <v>45</v>
      </c>
      <c r="B5" s="150"/>
      <c r="C5" s="150"/>
      <c r="D5" s="150"/>
      <c r="E5" s="150"/>
      <c r="F5" s="150"/>
    </row>
    <row r="7" spans="1:6" ht="12.75">
      <c r="A7" t="s">
        <v>1</v>
      </c>
      <c r="F7" s="16"/>
    </row>
    <row r="8" spans="1:6" ht="4.5" customHeight="1" thickBot="1">
      <c r="A8" s="2"/>
      <c r="B8" s="2"/>
      <c r="C8" s="2"/>
      <c r="D8" s="2"/>
      <c r="E8" s="2"/>
      <c r="F8" s="2"/>
    </row>
    <row r="9" spans="1:6" ht="14.25" thickBot="1" thickTop="1">
      <c r="A9" s="8" t="s">
        <v>2</v>
      </c>
      <c r="B9" s="9" t="s">
        <v>98</v>
      </c>
      <c r="C9" s="9" t="s">
        <v>3</v>
      </c>
      <c r="D9" s="9" t="s">
        <v>4</v>
      </c>
      <c r="E9" s="21" t="s">
        <v>32</v>
      </c>
      <c r="F9" s="10" t="s">
        <v>6</v>
      </c>
    </row>
    <row r="10" spans="1:6" ht="13.5" thickTop="1">
      <c r="A10" s="107" t="s">
        <v>99</v>
      </c>
      <c r="B10" s="108"/>
      <c r="C10" s="5"/>
      <c r="D10" s="108"/>
      <c r="E10" s="109">
        <v>34</v>
      </c>
      <c r="F10" s="19">
        <f>SUM(C10*E10)</f>
        <v>0</v>
      </c>
    </row>
    <row r="11" spans="1:6" ht="12.75">
      <c r="A11" s="22" t="s">
        <v>19</v>
      </c>
      <c r="B11" s="19"/>
      <c r="C11" s="5">
        <v>52</v>
      </c>
      <c r="D11" s="5"/>
      <c r="E11" s="24">
        <v>34</v>
      </c>
      <c r="F11" s="19">
        <f aca="true" t="shared" si="0" ref="F11:F38">SUM(B11*C11*E11)</f>
        <v>0</v>
      </c>
    </row>
    <row r="12" spans="1:6" ht="12.75">
      <c r="A12" s="110" t="s">
        <v>19</v>
      </c>
      <c r="B12" s="19"/>
      <c r="C12" s="5">
        <v>12</v>
      </c>
      <c r="D12" s="5"/>
      <c r="E12" s="24">
        <v>34</v>
      </c>
      <c r="F12" s="19">
        <f t="shared" si="0"/>
        <v>0</v>
      </c>
    </row>
    <row r="13" spans="1:6" ht="12.75">
      <c r="A13" s="22" t="s">
        <v>100</v>
      </c>
      <c r="B13" s="19"/>
      <c r="C13" s="5">
        <v>52</v>
      </c>
      <c r="D13" s="5"/>
      <c r="E13" s="24">
        <v>34</v>
      </c>
      <c r="F13" s="19">
        <f t="shared" si="0"/>
        <v>0</v>
      </c>
    </row>
    <row r="14" spans="1:6" ht="12.75">
      <c r="A14" s="22" t="s">
        <v>101</v>
      </c>
      <c r="B14" s="19"/>
      <c r="C14" s="5">
        <v>52</v>
      </c>
      <c r="D14" s="5"/>
      <c r="E14" s="24">
        <v>34</v>
      </c>
      <c r="F14" s="19">
        <f t="shared" si="0"/>
        <v>0</v>
      </c>
    </row>
    <row r="15" spans="1:6" ht="12.75">
      <c r="A15" s="110" t="s">
        <v>102</v>
      </c>
      <c r="B15" s="19"/>
      <c r="C15" s="5">
        <v>52</v>
      </c>
      <c r="D15" s="5"/>
      <c r="E15" s="24">
        <v>34</v>
      </c>
      <c r="F15" s="19">
        <f t="shared" si="0"/>
        <v>0</v>
      </c>
    </row>
    <row r="16" spans="1:6" ht="12.75">
      <c r="A16" s="110" t="s">
        <v>103</v>
      </c>
      <c r="B16" s="19"/>
      <c r="C16" s="5">
        <v>52</v>
      </c>
      <c r="D16" s="5"/>
      <c r="E16" s="24">
        <v>34</v>
      </c>
      <c r="F16" s="19">
        <f t="shared" si="0"/>
        <v>0</v>
      </c>
    </row>
    <row r="17" spans="1:6" ht="12.75">
      <c r="A17" s="110" t="s">
        <v>104</v>
      </c>
      <c r="B17" s="19"/>
      <c r="C17" s="5">
        <v>52</v>
      </c>
      <c r="D17" s="5"/>
      <c r="E17" s="24">
        <v>34</v>
      </c>
      <c r="F17" s="19">
        <f t="shared" si="0"/>
        <v>0</v>
      </c>
    </row>
    <row r="18" spans="1:6" ht="12.75">
      <c r="A18" s="22" t="s">
        <v>29</v>
      </c>
      <c r="B18" s="19">
        <v>61</v>
      </c>
      <c r="C18" s="5">
        <v>52</v>
      </c>
      <c r="D18" s="5"/>
      <c r="E18" s="24">
        <v>20</v>
      </c>
      <c r="F18" s="19">
        <f t="shared" si="0"/>
        <v>63440</v>
      </c>
    </row>
    <row r="19" spans="1:6" ht="12.75">
      <c r="A19" s="22" t="s">
        <v>85</v>
      </c>
      <c r="B19" s="19">
        <v>4</v>
      </c>
      <c r="C19" s="5">
        <v>12</v>
      </c>
      <c r="D19" s="5"/>
      <c r="E19" s="24">
        <v>34</v>
      </c>
      <c r="F19" s="19">
        <f t="shared" si="0"/>
        <v>1632</v>
      </c>
    </row>
    <row r="20" spans="1:6" ht="12.75">
      <c r="A20" s="22" t="s">
        <v>85</v>
      </c>
      <c r="B20" s="19">
        <f>121+194.577</f>
        <v>315.577</v>
      </c>
      <c r="C20" s="5">
        <v>52</v>
      </c>
      <c r="D20" s="5"/>
      <c r="E20" s="24">
        <v>34</v>
      </c>
      <c r="F20" s="19">
        <f>SUM(B20*C20*E20)</f>
        <v>557940.136</v>
      </c>
    </row>
    <row r="21" spans="1:6" ht="12.75">
      <c r="A21" s="22" t="s">
        <v>86</v>
      </c>
      <c r="B21" s="19">
        <v>90</v>
      </c>
      <c r="C21" s="5">
        <v>52</v>
      </c>
      <c r="D21" s="5"/>
      <c r="E21" s="24">
        <v>34</v>
      </c>
      <c r="F21" s="19">
        <f>SUM(B21*C21*E21)</f>
        <v>159120</v>
      </c>
    </row>
    <row r="22" spans="1:6" ht="12.75">
      <c r="A22" s="22" t="s">
        <v>87</v>
      </c>
      <c r="B22" s="19">
        <v>3</v>
      </c>
      <c r="C22" s="5">
        <v>52</v>
      </c>
      <c r="D22" s="5"/>
      <c r="E22" s="24">
        <v>34</v>
      </c>
      <c r="F22" s="19">
        <f>SUM(B22*C22*E22)</f>
        <v>5304</v>
      </c>
    </row>
    <row r="23" spans="1:6" ht="12.75">
      <c r="A23" s="22" t="s">
        <v>23</v>
      </c>
      <c r="B23" s="19">
        <v>1097</v>
      </c>
      <c r="C23" s="5">
        <v>52</v>
      </c>
      <c r="D23" s="5"/>
      <c r="E23" s="24">
        <v>34</v>
      </c>
      <c r="F23" s="19">
        <f t="shared" si="0"/>
        <v>1939496</v>
      </c>
    </row>
    <row r="24" spans="1:6" ht="12.75">
      <c r="A24" s="22" t="s">
        <v>23</v>
      </c>
      <c r="B24" s="19"/>
      <c r="C24" s="5">
        <v>26</v>
      </c>
      <c r="D24" s="5"/>
      <c r="E24" s="24">
        <v>34</v>
      </c>
      <c r="F24" s="19">
        <f>SUM(B24*C24*E24)</f>
        <v>0</v>
      </c>
    </row>
    <row r="25" spans="1:6" ht="12.75">
      <c r="A25" s="22" t="s">
        <v>23</v>
      </c>
      <c r="B25" s="19">
        <v>9</v>
      </c>
      <c r="C25" s="5">
        <v>12</v>
      </c>
      <c r="D25" s="5"/>
      <c r="E25" s="24">
        <v>34</v>
      </c>
      <c r="F25" s="19">
        <f t="shared" si="0"/>
        <v>3672</v>
      </c>
    </row>
    <row r="26" spans="1:6" ht="12.75">
      <c r="A26" s="22" t="s">
        <v>30</v>
      </c>
      <c r="B26" s="19">
        <v>4</v>
      </c>
      <c r="C26" s="5">
        <v>52</v>
      </c>
      <c r="D26" s="5"/>
      <c r="E26" s="24">
        <v>34</v>
      </c>
      <c r="F26" s="19">
        <f t="shared" si="0"/>
        <v>7072</v>
      </c>
    </row>
    <row r="27" spans="1:6" ht="12.75">
      <c r="A27" s="22" t="s">
        <v>30</v>
      </c>
      <c r="B27" s="19"/>
      <c r="C27" s="5">
        <v>26</v>
      </c>
      <c r="D27" s="5"/>
      <c r="E27" s="24">
        <v>34</v>
      </c>
      <c r="F27" s="19">
        <f>SUM(B27*C27*E27)</f>
        <v>0</v>
      </c>
    </row>
    <row r="28" spans="1:6" ht="12.75">
      <c r="A28" s="22" t="s">
        <v>24</v>
      </c>
      <c r="B28" s="19">
        <v>2294</v>
      </c>
      <c r="C28" s="5">
        <v>52</v>
      </c>
      <c r="D28" s="5"/>
      <c r="E28" s="24">
        <v>51</v>
      </c>
      <c r="F28" s="19">
        <f t="shared" si="0"/>
        <v>6083688</v>
      </c>
    </row>
    <row r="29" spans="1:6" ht="12.75">
      <c r="A29" s="22" t="s">
        <v>105</v>
      </c>
      <c r="B29" s="19"/>
      <c r="C29" s="5">
        <v>52</v>
      </c>
      <c r="D29" s="5"/>
      <c r="E29" s="24">
        <v>51</v>
      </c>
      <c r="F29" s="19">
        <f>SUM(B29*C29*E29)</f>
        <v>0</v>
      </c>
    </row>
    <row r="30" spans="1:6" ht="12.75">
      <c r="A30" s="22" t="s">
        <v>24</v>
      </c>
      <c r="B30" s="19">
        <v>13</v>
      </c>
      <c r="C30" s="5">
        <v>26</v>
      </c>
      <c r="D30" s="5"/>
      <c r="E30" s="24">
        <v>51</v>
      </c>
      <c r="F30" s="19">
        <f>SUM(B30*C30*E30)</f>
        <v>17238</v>
      </c>
    </row>
    <row r="31" spans="1:6" ht="12.75">
      <c r="A31" s="22" t="s">
        <v>26</v>
      </c>
      <c r="B31" s="19">
        <v>28</v>
      </c>
      <c r="C31" s="5">
        <v>52</v>
      </c>
      <c r="D31" s="5"/>
      <c r="E31" s="24">
        <v>51</v>
      </c>
      <c r="F31" s="19">
        <f t="shared" si="0"/>
        <v>74256</v>
      </c>
    </row>
    <row r="32" spans="1:6" ht="12.75">
      <c r="A32" s="22" t="s">
        <v>26</v>
      </c>
      <c r="B32" s="19">
        <v>64</v>
      </c>
      <c r="C32" s="5">
        <v>26</v>
      </c>
      <c r="D32" s="5"/>
      <c r="E32" s="24">
        <v>51</v>
      </c>
      <c r="F32" s="19">
        <f>SUM(B32*C32*E32)</f>
        <v>84864</v>
      </c>
    </row>
    <row r="33" spans="1:6" ht="19.5" customHeight="1">
      <c r="A33" s="22" t="s">
        <v>20</v>
      </c>
      <c r="B33" s="19">
        <v>2875</v>
      </c>
      <c r="C33" s="5">
        <v>52</v>
      </c>
      <c r="D33" s="5"/>
      <c r="E33" s="24">
        <v>77</v>
      </c>
      <c r="F33" s="19">
        <f t="shared" si="0"/>
        <v>11511500</v>
      </c>
    </row>
    <row r="34" spans="1:6" ht="19.5" customHeight="1">
      <c r="A34" s="22" t="s">
        <v>20</v>
      </c>
      <c r="B34" s="19">
        <v>8</v>
      </c>
      <c r="C34" s="5">
        <v>26</v>
      </c>
      <c r="D34" s="5"/>
      <c r="E34" s="24">
        <v>77</v>
      </c>
      <c r="F34" s="19">
        <f>SUM(B34*C34*E34)</f>
        <v>16016</v>
      </c>
    </row>
    <row r="35" spans="1:6" ht="12.75">
      <c r="A35" s="22" t="s">
        <v>27</v>
      </c>
      <c r="B35" s="19">
        <v>224</v>
      </c>
      <c r="C35" s="5">
        <v>52</v>
      </c>
      <c r="D35" s="5"/>
      <c r="E35" s="24">
        <v>77</v>
      </c>
      <c r="F35" s="19">
        <f t="shared" si="0"/>
        <v>896896</v>
      </c>
    </row>
    <row r="36" spans="1:6" ht="12.75">
      <c r="A36" s="22" t="s">
        <v>27</v>
      </c>
      <c r="B36" s="19">
        <v>123</v>
      </c>
      <c r="C36" s="5">
        <v>26</v>
      </c>
      <c r="D36" s="5"/>
      <c r="E36" s="24">
        <v>77</v>
      </c>
      <c r="F36" s="19">
        <f>SUM(B36*C36*E36)</f>
        <v>246246</v>
      </c>
    </row>
    <row r="37" spans="1:6" ht="12.75">
      <c r="A37" s="22" t="s">
        <v>28</v>
      </c>
      <c r="B37" s="19">
        <v>21</v>
      </c>
      <c r="C37" s="5">
        <v>52</v>
      </c>
      <c r="D37" s="5"/>
      <c r="E37" s="24">
        <v>77</v>
      </c>
      <c r="F37" s="19">
        <f t="shared" si="0"/>
        <v>84084</v>
      </c>
    </row>
    <row r="38" spans="1:6" ht="12.75">
      <c r="A38" s="22" t="s">
        <v>49</v>
      </c>
      <c r="B38" s="19">
        <v>4</v>
      </c>
      <c r="C38" s="5">
        <v>52</v>
      </c>
      <c r="D38" s="5"/>
      <c r="E38" s="24">
        <v>77</v>
      </c>
      <c r="F38" s="19">
        <f t="shared" si="0"/>
        <v>16016</v>
      </c>
    </row>
    <row r="39" spans="1:6" ht="12.75">
      <c r="A39" s="22" t="s">
        <v>49</v>
      </c>
      <c r="B39" s="19">
        <v>1</v>
      </c>
      <c r="C39" s="5">
        <v>26</v>
      </c>
      <c r="D39" s="5"/>
      <c r="E39" s="24">
        <v>77</v>
      </c>
      <c r="F39" s="19">
        <f>SUM(B39*C39*E39)</f>
        <v>2002</v>
      </c>
    </row>
    <row r="40" spans="1:6" ht="13.5" thickBot="1">
      <c r="A40" s="7" t="s">
        <v>21</v>
      </c>
      <c r="B40" s="20">
        <f>SUM(B10:B39)</f>
        <v>7238.577</v>
      </c>
      <c r="C40" s="20">
        <f>SUM(C10:C39)</f>
        <v>1206</v>
      </c>
      <c r="D40" s="6"/>
      <c r="E40" s="6"/>
      <c r="F40" s="6"/>
    </row>
    <row r="41" spans="5:6" ht="14.25" thickBot="1" thickTop="1">
      <c r="E41" s="4" t="s">
        <v>22</v>
      </c>
      <c r="F41" s="13">
        <f>SUM(F10:F40)</f>
        <v>21770482.136</v>
      </c>
    </row>
    <row r="42" ht="13.5" thickTop="1"/>
  </sheetData>
  <sheetProtection/>
  <mergeCells count="1">
    <mergeCell ref="A5:F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1">
      <pane ySplit="9" topLeftCell="A10" activePane="bottomLeft" state="frozen"/>
      <selection pane="topLeft" activeCell="F20" sqref="F20"/>
      <selection pane="bottomLeft" activeCell="F7" sqref="F7"/>
    </sheetView>
  </sheetViews>
  <sheetFormatPr defaultColWidth="9.140625" defaultRowHeight="12.75"/>
  <cols>
    <col min="1" max="1" width="24.8515625" style="0" customWidth="1"/>
    <col min="2" max="2" width="24.57421875" style="115" customWidth="1"/>
    <col min="3" max="3" width="16.7109375" style="0" customWidth="1"/>
    <col min="5" max="5" width="17.57421875" style="0" customWidth="1"/>
    <col min="6" max="6" width="30.28125" style="0" customWidth="1"/>
    <col min="7" max="7" width="10.28125" style="0" bestFit="1" customWidth="1"/>
    <col min="9" max="9" width="22.57421875" style="0" bestFit="1" customWidth="1"/>
  </cols>
  <sheetData>
    <row r="1" ht="23.25">
      <c r="A1" s="1" t="s">
        <v>0</v>
      </c>
    </row>
    <row r="3" ht="12.75">
      <c r="C3" t="s">
        <v>106</v>
      </c>
    </row>
    <row r="5" spans="1:6" ht="15.75">
      <c r="A5" s="150" t="s">
        <v>46</v>
      </c>
      <c r="B5" s="150"/>
      <c r="C5" s="150"/>
      <c r="D5" s="150"/>
      <c r="E5" s="150"/>
      <c r="F5" s="150"/>
    </row>
    <row r="7" spans="1:6" ht="12.75">
      <c r="A7" t="s">
        <v>1</v>
      </c>
      <c r="F7" s="16"/>
    </row>
    <row r="8" spans="1:6" ht="4.5" customHeight="1" thickBot="1">
      <c r="A8" s="2"/>
      <c r="B8" s="116"/>
      <c r="C8" s="2"/>
      <c r="D8" s="2"/>
      <c r="E8" s="2"/>
      <c r="F8" s="2"/>
    </row>
    <row r="9" spans="1:6" ht="14.25" thickBot="1" thickTop="1">
      <c r="A9" s="3" t="s">
        <v>2</v>
      </c>
      <c r="B9" s="117" t="s">
        <v>98</v>
      </c>
      <c r="C9" s="3" t="s">
        <v>3</v>
      </c>
      <c r="D9" s="3" t="s">
        <v>4</v>
      </c>
      <c r="E9" s="3" t="s">
        <v>5</v>
      </c>
      <c r="F9" s="3" t="s">
        <v>6</v>
      </c>
    </row>
    <row r="10" spans="1:6" ht="14.25" thickBot="1" thickTop="1">
      <c r="A10" s="110" t="s">
        <v>99</v>
      </c>
      <c r="B10" s="11"/>
      <c r="C10" s="5"/>
      <c r="D10" s="5"/>
      <c r="E10" s="24">
        <v>34</v>
      </c>
      <c r="F10" s="19">
        <f>SUM(C10*E10)</f>
        <v>0</v>
      </c>
    </row>
    <row r="11" spans="1:6" ht="13.5" thickTop="1">
      <c r="A11" s="107"/>
      <c r="B11" s="118"/>
      <c r="C11" s="5"/>
      <c r="D11" s="108"/>
      <c r="E11" s="109"/>
      <c r="F11" s="19">
        <f>SUM(C11*E11)</f>
        <v>0</v>
      </c>
    </row>
    <row r="12" spans="1:6" ht="12.75">
      <c r="A12" s="14" t="s">
        <v>7</v>
      </c>
      <c r="B12" s="11">
        <v>2.08333</v>
      </c>
      <c r="C12" s="5">
        <v>12</v>
      </c>
      <c r="D12" s="5"/>
      <c r="E12" s="24">
        <v>175</v>
      </c>
      <c r="F12" s="11">
        <f>SUM(B12*C12*E12)</f>
        <v>4374.993</v>
      </c>
    </row>
    <row r="13" spans="1:6" ht="12.75">
      <c r="A13" s="14" t="s">
        <v>7</v>
      </c>
      <c r="B13" s="11">
        <v>23</v>
      </c>
      <c r="C13" s="5">
        <v>26</v>
      </c>
      <c r="D13" s="5"/>
      <c r="E13" s="24">
        <v>175</v>
      </c>
      <c r="F13" s="11">
        <f>SUM(B13*C13*E13)</f>
        <v>104650</v>
      </c>
    </row>
    <row r="14" spans="1:6" ht="12.75">
      <c r="A14" s="14" t="s">
        <v>7</v>
      </c>
      <c r="B14" s="11">
        <v>41</v>
      </c>
      <c r="C14" s="5">
        <v>52</v>
      </c>
      <c r="D14" s="5"/>
      <c r="E14" s="24">
        <v>175</v>
      </c>
      <c r="F14" s="11">
        <f aca="true" t="shared" si="0" ref="F14:F78">SUM(B14*C14*E14)</f>
        <v>373100</v>
      </c>
    </row>
    <row r="15" spans="1:6" ht="12.75">
      <c r="A15" s="14" t="s">
        <v>7</v>
      </c>
      <c r="B15" s="11" t="s">
        <v>107</v>
      </c>
      <c r="C15" s="5"/>
      <c r="D15" s="5"/>
      <c r="E15" s="24">
        <v>175</v>
      </c>
      <c r="F15" s="11">
        <f>SUM(C15*E15)</f>
        <v>0</v>
      </c>
    </row>
    <row r="16" spans="1:6" ht="12.75">
      <c r="A16" s="14" t="s">
        <v>108</v>
      </c>
      <c r="B16" s="11"/>
      <c r="C16" s="5">
        <v>26</v>
      </c>
      <c r="D16" s="5"/>
      <c r="E16" s="24">
        <v>218</v>
      </c>
      <c r="F16" s="11">
        <f t="shared" si="0"/>
        <v>0</v>
      </c>
    </row>
    <row r="17" spans="1:6" ht="12.75">
      <c r="A17" s="14" t="s">
        <v>108</v>
      </c>
      <c r="B17" s="11"/>
      <c r="C17" s="5">
        <v>52</v>
      </c>
      <c r="D17" s="5"/>
      <c r="E17" s="24">
        <v>218</v>
      </c>
      <c r="F17" s="11">
        <f t="shared" si="0"/>
        <v>0</v>
      </c>
    </row>
    <row r="18" spans="1:6" ht="12.75">
      <c r="A18" s="14" t="s">
        <v>109</v>
      </c>
      <c r="B18" s="11"/>
      <c r="C18" s="5">
        <v>26</v>
      </c>
      <c r="D18" s="5"/>
      <c r="E18" s="24">
        <v>227</v>
      </c>
      <c r="F18" s="11">
        <f t="shared" si="0"/>
        <v>0</v>
      </c>
    </row>
    <row r="19" spans="1:6" ht="12.75">
      <c r="A19" s="14" t="s">
        <v>109</v>
      </c>
      <c r="B19" s="11"/>
      <c r="C19" s="5">
        <v>52</v>
      </c>
      <c r="D19" s="5"/>
      <c r="E19" s="24">
        <v>227</v>
      </c>
      <c r="F19" s="11">
        <f t="shared" si="0"/>
        <v>0</v>
      </c>
    </row>
    <row r="20" spans="1:6" ht="12.75">
      <c r="A20" s="14" t="s">
        <v>37</v>
      </c>
      <c r="B20" s="11">
        <v>1</v>
      </c>
      <c r="C20" s="5">
        <v>12</v>
      </c>
      <c r="D20" s="5"/>
      <c r="E20" s="24">
        <v>250</v>
      </c>
      <c r="F20" s="11">
        <f>SUM(B20*C20*E20)</f>
        <v>3000</v>
      </c>
    </row>
    <row r="21" spans="1:6" ht="12.75">
      <c r="A21" s="14" t="s">
        <v>37</v>
      </c>
      <c r="B21" s="11">
        <v>16</v>
      </c>
      <c r="C21" s="5">
        <v>26</v>
      </c>
      <c r="D21" s="5"/>
      <c r="E21" s="24">
        <v>250</v>
      </c>
      <c r="F21" s="11">
        <f t="shared" si="0"/>
        <v>104000</v>
      </c>
    </row>
    <row r="22" spans="1:6" ht="12.75">
      <c r="A22" s="14" t="s">
        <v>37</v>
      </c>
      <c r="B22" s="11">
        <v>37</v>
      </c>
      <c r="C22" s="5">
        <v>52</v>
      </c>
      <c r="D22" s="5"/>
      <c r="E22" s="24">
        <v>250</v>
      </c>
      <c r="F22" s="11">
        <f t="shared" si="0"/>
        <v>481000</v>
      </c>
    </row>
    <row r="23" spans="1:6" ht="12.75">
      <c r="A23" s="14" t="s">
        <v>37</v>
      </c>
      <c r="B23" s="11" t="s">
        <v>107</v>
      </c>
      <c r="C23" s="5"/>
      <c r="D23" s="5"/>
      <c r="E23" s="24">
        <v>250</v>
      </c>
      <c r="F23" s="11">
        <f>SUM(C23*E23)</f>
        <v>0</v>
      </c>
    </row>
    <row r="24" spans="1:6" ht="12.75">
      <c r="A24" s="14" t="s">
        <v>38</v>
      </c>
      <c r="B24" s="11"/>
      <c r="C24" s="5">
        <v>52</v>
      </c>
      <c r="D24" s="5"/>
      <c r="E24" s="24">
        <f>+E22</f>
        <v>250</v>
      </c>
      <c r="F24" s="11">
        <f t="shared" si="0"/>
        <v>0</v>
      </c>
    </row>
    <row r="25" spans="1:6" ht="12.75">
      <c r="A25" s="14" t="s">
        <v>8</v>
      </c>
      <c r="B25" s="11">
        <f>13+648/324/12</f>
        <v>13.166666666666666</v>
      </c>
      <c r="C25" s="5">
        <v>12</v>
      </c>
      <c r="D25" s="5"/>
      <c r="E25" s="24">
        <v>324</v>
      </c>
      <c r="F25" s="11">
        <f>SUM(B25*C25*E25)</f>
        <v>51192</v>
      </c>
    </row>
    <row r="26" spans="1:6" ht="12.75">
      <c r="A26" s="14" t="s">
        <v>8</v>
      </c>
      <c r="B26" s="11">
        <v>38</v>
      </c>
      <c r="C26" s="5">
        <v>26</v>
      </c>
      <c r="D26" s="5"/>
      <c r="E26" s="24">
        <v>324</v>
      </c>
      <c r="F26" s="11">
        <f t="shared" si="0"/>
        <v>320112</v>
      </c>
    </row>
    <row r="27" spans="1:6" ht="12.75">
      <c r="A27" s="14" t="s">
        <v>8</v>
      </c>
      <c r="B27" s="11">
        <v>66</v>
      </c>
      <c r="C27" s="5">
        <v>52</v>
      </c>
      <c r="D27" s="5"/>
      <c r="E27" s="24">
        <f>+E26</f>
        <v>324</v>
      </c>
      <c r="F27" s="11">
        <f t="shared" si="0"/>
        <v>1111968</v>
      </c>
    </row>
    <row r="28" spans="1:6" ht="12.75">
      <c r="A28" s="14" t="s">
        <v>8</v>
      </c>
      <c r="B28" s="11">
        <v>2</v>
      </c>
      <c r="C28" s="5">
        <v>104</v>
      </c>
      <c r="D28" s="5"/>
      <c r="E28" s="24">
        <f>+E27</f>
        <v>324</v>
      </c>
      <c r="F28" s="11">
        <f>SUM(B28*C28*E28)</f>
        <v>67392</v>
      </c>
    </row>
    <row r="29" spans="1:6" ht="12.75">
      <c r="A29" s="14" t="s">
        <v>8</v>
      </c>
      <c r="B29" s="11" t="s">
        <v>107</v>
      </c>
      <c r="C29" s="5">
        <v>2</v>
      </c>
      <c r="D29" s="5"/>
      <c r="E29" s="24">
        <f>+E27</f>
        <v>324</v>
      </c>
      <c r="F29" s="11"/>
    </row>
    <row r="30" spans="1:6" ht="12.75">
      <c r="A30" s="14" t="s">
        <v>110</v>
      </c>
      <c r="B30" s="11"/>
      <c r="C30" s="5">
        <v>52</v>
      </c>
      <c r="D30" s="5"/>
      <c r="E30" s="24">
        <f>+E26</f>
        <v>324</v>
      </c>
      <c r="F30" s="11">
        <f t="shared" si="0"/>
        <v>0</v>
      </c>
    </row>
    <row r="31" spans="1:6" ht="12.75">
      <c r="A31" s="14" t="s">
        <v>111</v>
      </c>
      <c r="B31" s="11"/>
      <c r="C31" s="5">
        <v>52</v>
      </c>
      <c r="D31" s="5"/>
      <c r="E31" s="24">
        <f>+E27</f>
        <v>324</v>
      </c>
      <c r="F31" s="11">
        <f t="shared" si="0"/>
        <v>0</v>
      </c>
    </row>
    <row r="32" spans="1:6" ht="12.75">
      <c r="A32" s="14" t="s">
        <v>47</v>
      </c>
      <c r="B32" s="11">
        <v>4</v>
      </c>
      <c r="C32" s="5">
        <v>52</v>
      </c>
      <c r="D32" s="5"/>
      <c r="E32" s="24">
        <f>+E27</f>
        <v>324</v>
      </c>
      <c r="F32" s="11">
        <f t="shared" si="0"/>
        <v>67392</v>
      </c>
    </row>
    <row r="33" spans="1:6" ht="12.75">
      <c r="A33" s="14" t="s">
        <v>9</v>
      </c>
      <c r="B33" s="11">
        <f>1+946/473/12</f>
        <v>1.1666666666666667</v>
      </c>
      <c r="C33" s="5">
        <v>12</v>
      </c>
      <c r="D33" s="5"/>
      <c r="E33" s="24">
        <v>473</v>
      </c>
      <c r="F33" s="11">
        <f>SUM(B33*C33*E33)</f>
        <v>6622</v>
      </c>
    </row>
    <row r="34" spans="1:6" ht="12.75">
      <c r="A34" s="14" t="s">
        <v>9</v>
      </c>
      <c r="B34" s="11">
        <v>18</v>
      </c>
      <c r="C34" s="5">
        <v>26</v>
      </c>
      <c r="D34" s="5"/>
      <c r="E34" s="24">
        <v>473</v>
      </c>
      <c r="F34" s="11">
        <f t="shared" si="0"/>
        <v>221364</v>
      </c>
    </row>
    <row r="35" spans="1:6" ht="12.75">
      <c r="A35" s="14" t="s">
        <v>90</v>
      </c>
      <c r="B35" s="11"/>
      <c r="C35" s="5">
        <v>52</v>
      </c>
      <c r="D35" s="5"/>
      <c r="E35" s="24">
        <v>473</v>
      </c>
      <c r="F35" s="11">
        <f t="shared" si="0"/>
        <v>0</v>
      </c>
    </row>
    <row r="36" spans="1:6" ht="12.75">
      <c r="A36" s="14" t="s">
        <v>9</v>
      </c>
      <c r="B36" s="11">
        <v>30</v>
      </c>
      <c r="C36" s="5">
        <v>52</v>
      </c>
      <c r="D36" s="5"/>
      <c r="E36" s="24">
        <f>+E33</f>
        <v>473</v>
      </c>
      <c r="F36" s="11">
        <f>SUM(B36*C36*E36)</f>
        <v>737880</v>
      </c>
    </row>
    <row r="37" spans="1:6" ht="12.75">
      <c r="A37" s="14" t="s">
        <v>9</v>
      </c>
      <c r="B37" s="11"/>
      <c r="C37" s="5">
        <v>104</v>
      </c>
      <c r="D37" s="5"/>
      <c r="E37" s="24">
        <f>+E34</f>
        <v>473</v>
      </c>
      <c r="F37" s="11">
        <f t="shared" si="0"/>
        <v>0</v>
      </c>
    </row>
    <row r="38" spans="1:6" ht="12.75">
      <c r="A38" s="14" t="s">
        <v>9</v>
      </c>
      <c r="B38" s="11" t="s">
        <v>107</v>
      </c>
      <c r="C38" s="5">
        <v>2</v>
      </c>
      <c r="D38" s="5"/>
      <c r="E38" s="24">
        <f>+E37</f>
        <v>473</v>
      </c>
      <c r="F38" s="11"/>
    </row>
    <row r="39" spans="1:6" ht="12.75">
      <c r="A39" s="14" t="s">
        <v>112</v>
      </c>
      <c r="B39" s="11">
        <v>4</v>
      </c>
      <c r="C39" s="5">
        <v>52</v>
      </c>
      <c r="D39" s="5"/>
      <c r="E39" s="24">
        <f>+E34</f>
        <v>473</v>
      </c>
      <c r="F39" s="11">
        <f t="shared" si="0"/>
        <v>98384</v>
      </c>
    </row>
    <row r="40" spans="1:6" ht="12.75">
      <c r="A40" s="14" t="s">
        <v>10</v>
      </c>
      <c r="B40" s="11">
        <v>22</v>
      </c>
      <c r="C40" s="5">
        <v>26</v>
      </c>
      <c r="D40" s="5"/>
      <c r="E40" s="24">
        <v>613</v>
      </c>
      <c r="F40" s="11">
        <f t="shared" si="0"/>
        <v>350636</v>
      </c>
    </row>
    <row r="41" spans="1:6" ht="12.75">
      <c r="A41" s="14" t="s">
        <v>10</v>
      </c>
      <c r="B41" s="11">
        <f>5+4904/613/12</f>
        <v>5.666666666666667</v>
      </c>
      <c r="C41" s="5">
        <v>12</v>
      </c>
      <c r="D41" s="5"/>
      <c r="E41" s="24">
        <f>+E40</f>
        <v>613</v>
      </c>
      <c r="F41" s="11">
        <f t="shared" si="0"/>
        <v>41684</v>
      </c>
    </row>
    <row r="42" spans="1:6" ht="12.75">
      <c r="A42" s="14" t="s">
        <v>10</v>
      </c>
      <c r="B42" s="11">
        <v>41</v>
      </c>
      <c r="C42" s="5">
        <v>52</v>
      </c>
      <c r="D42" s="5"/>
      <c r="E42" s="24">
        <f>+E41</f>
        <v>613</v>
      </c>
      <c r="F42" s="11">
        <f t="shared" si="0"/>
        <v>1306916</v>
      </c>
    </row>
    <row r="43" spans="1:6" ht="12.75">
      <c r="A43" s="14" t="s">
        <v>10</v>
      </c>
      <c r="B43" s="11"/>
      <c r="C43" s="5">
        <f>52*2</f>
        <v>104</v>
      </c>
      <c r="D43" s="5"/>
      <c r="E43" s="24">
        <f>+E42</f>
        <v>613</v>
      </c>
      <c r="F43" s="11">
        <f t="shared" si="0"/>
        <v>0</v>
      </c>
    </row>
    <row r="44" spans="1:6" ht="12.75">
      <c r="A44" s="14" t="s">
        <v>10</v>
      </c>
      <c r="B44" s="11" t="s">
        <v>107</v>
      </c>
      <c r="C44" s="5">
        <v>8</v>
      </c>
      <c r="D44" s="5"/>
      <c r="E44" s="24">
        <v>613</v>
      </c>
      <c r="F44" s="11"/>
    </row>
    <row r="45" spans="1:6" ht="12.75">
      <c r="A45" s="14" t="s">
        <v>91</v>
      </c>
      <c r="B45" s="11">
        <v>4</v>
      </c>
      <c r="C45" s="5">
        <v>52</v>
      </c>
      <c r="D45" s="5"/>
      <c r="E45" s="24">
        <f>E44</f>
        <v>613</v>
      </c>
      <c r="F45" s="11">
        <f t="shared" si="0"/>
        <v>127504</v>
      </c>
    </row>
    <row r="46" spans="1:6" ht="12.75">
      <c r="A46" s="14" t="s">
        <v>113</v>
      </c>
      <c r="B46" s="11">
        <v>9</v>
      </c>
      <c r="C46" s="5">
        <v>52</v>
      </c>
      <c r="D46" s="5"/>
      <c r="E46" s="24">
        <f>E44</f>
        <v>613</v>
      </c>
      <c r="F46" s="11">
        <f t="shared" si="0"/>
        <v>286884</v>
      </c>
    </row>
    <row r="47" spans="1:6" ht="12.75">
      <c r="A47" s="14" t="s">
        <v>11</v>
      </c>
      <c r="B47" s="11">
        <f>3+2520/840/12</f>
        <v>3.25</v>
      </c>
      <c r="C47" s="5">
        <v>12</v>
      </c>
      <c r="D47" s="5"/>
      <c r="E47" s="24">
        <v>840</v>
      </c>
      <c r="F47" s="11">
        <f>SUM(B47*C47*E47)</f>
        <v>32760</v>
      </c>
    </row>
    <row r="48" spans="1:6" ht="12.75">
      <c r="A48" s="14" t="s">
        <v>11</v>
      </c>
      <c r="B48" s="11">
        <v>8</v>
      </c>
      <c r="C48" s="5">
        <v>26</v>
      </c>
      <c r="D48" s="5"/>
      <c r="E48" s="24">
        <v>840</v>
      </c>
      <c r="F48" s="11">
        <f t="shared" si="0"/>
        <v>174720</v>
      </c>
    </row>
    <row r="49" spans="1:6" ht="12.75">
      <c r="A49" s="14" t="s">
        <v>11</v>
      </c>
      <c r="B49" s="11">
        <v>28</v>
      </c>
      <c r="C49" s="5">
        <v>52</v>
      </c>
      <c r="D49" s="5"/>
      <c r="E49" s="24">
        <f>+E48</f>
        <v>840</v>
      </c>
      <c r="F49" s="11">
        <f t="shared" si="0"/>
        <v>1223040</v>
      </c>
    </row>
    <row r="50" spans="1:6" ht="12.75">
      <c r="A50" s="14" t="s">
        <v>11</v>
      </c>
      <c r="B50" s="11">
        <v>1</v>
      </c>
      <c r="C50" s="5">
        <v>104</v>
      </c>
      <c r="D50" s="5"/>
      <c r="E50" s="24">
        <f>+E49</f>
        <v>840</v>
      </c>
      <c r="F50" s="11">
        <f t="shared" si="0"/>
        <v>87360</v>
      </c>
    </row>
    <row r="51" spans="1:6" ht="12.75">
      <c r="A51" s="14" t="s">
        <v>11</v>
      </c>
      <c r="B51" s="11"/>
      <c r="C51" s="5">
        <v>156</v>
      </c>
      <c r="D51" s="5"/>
      <c r="E51" s="24">
        <f>+E50</f>
        <v>840</v>
      </c>
      <c r="F51" s="11">
        <f>SUM(B51*C51*E51)</f>
        <v>0</v>
      </c>
    </row>
    <row r="52" spans="1:6" ht="12.75">
      <c r="A52" s="14" t="s">
        <v>11</v>
      </c>
      <c r="B52" s="11" t="s">
        <v>107</v>
      </c>
      <c r="C52" s="5">
        <v>3</v>
      </c>
      <c r="D52" s="5"/>
      <c r="E52" s="24">
        <f>+E50</f>
        <v>840</v>
      </c>
      <c r="F52" s="11"/>
    </row>
    <row r="53" spans="1:6" ht="12.75">
      <c r="A53" s="14" t="s">
        <v>39</v>
      </c>
      <c r="B53" s="11">
        <v>4</v>
      </c>
      <c r="C53" s="5">
        <v>52</v>
      </c>
      <c r="D53" s="5"/>
      <c r="E53" s="24">
        <f>+E51</f>
        <v>840</v>
      </c>
      <c r="F53" s="11">
        <f t="shared" si="0"/>
        <v>174720</v>
      </c>
    </row>
    <row r="54" spans="1:6" ht="12.75">
      <c r="A54" s="14" t="s">
        <v>39</v>
      </c>
      <c r="B54" s="11">
        <v>4</v>
      </c>
      <c r="C54" s="5">
        <v>104</v>
      </c>
      <c r="D54" s="5"/>
      <c r="E54" s="24">
        <f>+E52</f>
        <v>840</v>
      </c>
      <c r="F54" s="11">
        <f t="shared" si="0"/>
        <v>349440</v>
      </c>
    </row>
    <row r="55" spans="1:6" ht="12.75">
      <c r="A55" s="14" t="s">
        <v>114</v>
      </c>
      <c r="B55" s="11"/>
      <c r="C55" s="5">
        <v>52</v>
      </c>
      <c r="D55" s="5"/>
      <c r="E55" s="24">
        <f>+E53</f>
        <v>840</v>
      </c>
      <c r="F55" s="11">
        <f t="shared" si="0"/>
        <v>0</v>
      </c>
    </row>
    <row r="56" spans="1:6" ht="12.75">
      <c r="A56" s="14" t="s">
        <v>115</v>
      </c>
      <c r="B56" s="11"/>
      <c r="C56" s="5">
        <v>52</v>
      </c>
      <c r="D56" s="5"/>
      <c r="E56" s="24">
        <f>+E54</f>
        <v>840</v>
      </c>
      <c r="F56" s="11">
        <f t="shared" si="0"/>
        <v>0</v>
      </c>
    </row>
    <row r="57" spans="1:6" ht="12.75">
      <c r="A57" s="14" t="s">
        <v>12</v>
      </c>
      <c r="B57" s="11">
        <v>2</v>
      </c>
      <c r="C57" s="5">
        <v>26</v>
      </c>
      <c r="D57" s="5"/>
      <c r="E57" s="24">
        <v>980</v>
      </c>
      <c r="F57" s="11">
        <f t="shared" si="0"/>
        <v>50960</v>
      </c>
    </row>
    <row r="58" spans="1:6" ht="12.75">
      <c r="A58" s="14" t="s">
        <v>12</v>
      </c>
      <c r="B58" s="11">
        <v>32</v>
      </c>
      <c r="C58" s="5">
        <v>52</v>
      </c>
      <c r="D58" s="5"/>
      <c r="E58" s="24">
        <f aca="true" t="shared" si="1" ref="E58:E65">+E57</f>
        <v>980</v>
      </c>
      <c r="F58" s="11">
        <f t="shared" si="0"/>
        <v>1630720</v>
      </c>
    </row>
    <row r="59" spans="1:6" ht="12.75">
      <c r="A59" s="14" t="s">
        <v>12</v>
      </c>
      <c r="B59" s="11">
        <v>2</v>
      </c>
      <c r="C59" s="5">
        <v>104</v>
      </c>
      <c r="D59" s="5"/>
      <c r="E59" s="24">
        <f t="shared" si="1"/>
        <v>980</v>
      </c>
      <c r="F59" s="11">
        <f t="shared" si="0"/>
        <v>203840</v>
      </c>
    </row>
    <row r="60" spans="1:6" ht="12.75">
      <c r="A60" s="14" t="s">
        <v>12</v>
      </c>
      <c r="B60" s="11">
        <v>4</v>
      </c>
      <c r="C60" s="5">
        <v>156</v>
      </c>
      <c r="D60" s="5"/>
      <c r="E60" s="24">
        <f t="shared" si="1"/>
        <v>980</v>
      </c>
      <c r="F60" s="11">
        <f t="shared" si="0"/>
        <v>611520</v>
      </c>
    </row>
    <row r="61" spans="1:6" ht="12.75">
      <c r="A61" s="14" t="s">
        <v>12</v>
      </c>
      <c r="B61" s="11">
        <f>2940/980/12</f>
        <v>0.25</v>
      </c>
      <c r="C61" s="5">
        <v>12</v>
      </c>
      <c r="D61" s="5"/>
      <c r="E61" s="24">
        <f t="shared" si="1"/>
        <v>980</v>
      </c>
      <c r="F61" s="11">
        <f t="shared" si="0"/>
        <v>2940</v>
      </c>
    </row>
    <row r="62" spans="1:6" ht="12.75">
      <c r="A62" s="14" t="s">
        <v>40</v>
      </c>
      <c r="B62" s="11">
        <v>8</v>
      </c>
      <c r="C62" s="5">
        <v>52</v>
      </c>
      <c r="D62" s="5"/>
      <c r="E62" s="24">
        <f t="shared" si="1"/>
        <v>980</v>
      </c>
      <c r="F62" s="11">
        <f t="shared" si="0"/>
        <v>407680</v>
      </c>
    </row>
    <row r="63" spans="1:6" ht="12.75">
      <c r="A63" s="14" t="s">
        <v>40</v>
      </c>
      <c r="B63" s="11">
        <v>2</v>
      </c>
      <c r="C63" s="5">
        <v>104</v>
      </c>
      <c r="D63" s="5"/>
      <c r="E63" s="24">
        <f t="shared" si="1"/>
        <v>980</v>
      </c>
      <c r="F63" s="11">
        <f>SUM(B63*C63*E63)</f>
        <v>203840</v>
      </c>
    </row>
    <row r="64" spans="1:6" ht="12.75">
      <c r="A64" s="14" t="s">
        <v>41</v>
      </c>
      <c r="B64" s="11">
        <v>6</v>
      </c>
      <c r="C64" s="5">
        <v>52</v>
      </c>
      <c r="D64" s="5"/>
      <c r="E64" s="24">
        <f t="shared" si="1"/>
        <v>980</v>
      </c>
      <c r="F64" s="11">
        <f t="shared" si="0"/>
        <v>305760</v>
      </c>
    </row>
    <row r="65" spans="1:6" ht="12.75">
      <c r="A65" s="14" t="s">
        <v>41</v>
      </c>
      <c r="B65" s="11"/>
      <c r="C65" s="5">
        <v>260</v>
      </c>
      <c r="D65" s="5"/>
      <c r="E65" s="24">
        <f t="shared" si="1"/>
        <v>980</v>
      </c>
      <c r="F65" s="11">
        <f>SUM(B65*C65*E65)</f>
        <v>0</v>
      </c>
    </row>
    <row r="66" spans="1:6" ht="12.75">
      <c r="A66" s="5" t="s">
        <v>19</v>
      </c>
      <c r="B66" s="11">
        <v>1</v>
      </c>
      <c r="C66" s="5">
        <v>52</v>
      </c>
      <c r="D66" s="5"/>
      <c r="E66" s="24">
        <v>34</v>
      </c>
      <c r="F66" s="11">
        <f t="shared" si="0"/>
        <v>1768</v>
      </c>
    </row>
    <row r="67" spans="1:6" ht="12.75">
      <c r="A67" s="14" t="s">
        <v>23</v>
      </c>
      <c r="B67" s="11">
        <v>1</v>
      </c>
      <c r="C67" s="5">
        <v>26</v>
      </c>
      <c r="D67" s="5"/>
      <c r="E67" s="100">
        <v>34</v>
      </c>
      <c r="F67" s="11">
        <f>SUM(B67*C67*E67)</f>
        <v>884</v>
      </c>
    </row>
    <row r="68" spans="1:6" ht="12.75">
      <c r="A68" s="14" t="s">
        <v>23</v>
      </c>
      <c r="B68" s="11">
        <v>16</v>
      </c>
      <c r="C68" s="5">
        <v>52</v>
      </c>
      <c r="D68" s="5"/>
      <c r="E68" s="100">
        <v>34</v>
      </c>
      <c r="F68" s="11">
        <f t="shared" si="0"/>
        <v>28288</v>
      </c>
    </row>
    <row r="69" spans="1:6" ht="12.75">
      <c r="A69" s="14" t="s">
        <v>24</v>
      </c>
      <c r="B69" s="11">
        <v>3</v>
      </c>
      <c r="C69" s="5">
        <v>52</v>
      </c>
      <c r="D69" s="5"/>
      <c r="E69" s="17">
        <v>51</v>
      </c>
      <c r="F69" s="11">
        <f t="shared" si="0"/>
        <v>7956</v>
      </c>
    </row>
    <row r="70" spans="1:6" ht="12.75">
      <c r="A70" s="14" t="s">
        <v>20</v>
      </c>
      <c r="B70" s="11">
        <v>2</v>
      </c>
      <c r="C70" s="5">
        <v>26</v>
      </c>
      <c r="D70" s="5"/>
      <c r="E70" s="17">
        <v>77</v>
      </c>
      <c r="F70" s="11">
        <f>SUM(B70*C70*E70)</f>
        <v>4004</v>
      </c>
    </row>
    <row r="71" spans="1:6" ht="12.75">
      <c r="A71" s="14" t="s">
        <v>20</v>
      </c>
      <c r="B71" s="11">
        <v>31</v>
      </c>
      <c r="C71" s="5">
        <v>52</v>
      </c>
      <c r="D71" s="5"/>
      <c r="E71" s="17">
        <v>77</v>
      </c>
      <c r="F71" s="11">
        <f t="shared" si="0"/>
        <v>124124</v>
      </c>
    </row>
    <row r="72" spans="1:6" ht="12.75">
      <c r="A72" s="14" t="s">
        <v>33</v>
      </c>
      <c r="B72" s="11">
        <v>6</v>
      </c>
      <c r="C72" s="5">
        <v>52</v>
      </c>
      <c r="D72" s="5"/>
      <c r="E72" s="17">
        <f>+E71</f>
        <v>77</v>
      </c>
      <c r="F72" s="11">
        <f t="shared" si="0"/>
        <v>24024</v>
      </c>
    </row>
    <row r="73" spans="1:6" ht="12.75">
      <c r="A73" s="14" t="s">
        <v>42</v>
      </c>
      <c r="B73" s="11">
        <v>6</v>
      </c>
      <c r="C73" s="5">
        <v>52</v>
      </c>
      <c r="D73" s="5"/>
      <c r="E73" s="17">
        <f>+E71</f>
        <v>77</v>
      </c>
      <c r="F73" s="11">
        <f t="shared" si="0"/>
        <v>24024</v>
      </c>
    </row>
    <row r="74" spans="1:6" ht="12.75">
      <c r="A74" s="14" t="s">
        <v>43</v>
      </c>
      <c r="B74" s="11">
        <v>4</v>
      </c>
      <c r="C74" s="5">
        <v>52</v>
      </c>
      <c r="D74" s="5"/>
      <c r="E74" s="17">
        <f aca="true" t="shared" si="2" ref="E74:E79">+E72</f>
        <v>77</v>
      </c>
      <c r="F74" s="11">
        <f t="shared" si="0"/>
        <v>16016</v>
      </c>
    </row>
    <row r="75" spans="1:6" ht="12.75">
      <c r="A75" s="14" t="s">
        <v>50</v>
      </c>
      <c r="B75" s="11">
        <v>5</v>
      </c>
      <c r="C75" s="5">
        <v>52</v>
      </c>
      <c r="D75" s="5"/>
      <c r="E75" s="17">
        <f t="shared" si="2"/>
        <v>77</v>
      </c>
      <c r="F75" s="11">
        <f t="shared" si="0"/>
        <v>20020</v>
      </c>
    </row>
    <row r="76" spans="1:6" ht="12.75">
      <c r="A76" s="14" t="s">
        <v>116</v>
      </c>
      <c r="B76" s="11">
        <v>12</v>
      </c>
      <c r="C76" s="5">
        <v>52</v>
      </c>
      <c r="D76" s="5"/>
      <c r="E76" s="17">
        <f t="shared" si="2"/>
        <v>77</v>
      </c>
      <c r="F76" s="11">
        <f t="shared" si="0"/>
        <v>48048</v>
      </c>
    </row>
    <row r="77" spans="1:6" ht="12.75">
      <c r="A77" s="14" t="s">
        <v>117</v>
      </c>
      <c r="B77" s="11"/>
      <c r="C77" s="5">
        <v>52</v>
      </c>
      <c r="D77" s="5"/>
      <c r="E77" s="17">
        <f t="shared" si="2"/>
        <v>77</v>
      </c>
      <c r="F77" s="11">
        <f t="shared" si="0"/>
        <v>0</v>
      </c>
    </row>
    <row r="78" spans="1:6" ht="12.75">
      <c r="A78" s="14" t="s">
        <v>44</v>
      </c>
      <c r="B78" s="11">
        <v>9</v>
      </c>
      <c r="C78" s="5">
        <v>52</v>
      </c>
      <c r="D78" s="5"/>
      <c r="E78" s="17">
        <f t="shared" si="2"/>
        <v>77</v>
      </c>
      <c r="F78" s="11">
        <f t="shared" si="0"/>
        <v>36036</v>
      </c>
    </row>
    <row r="79" spans="1:6" ht="12.75">
      <c r="A79" s="14" t="s">
        <v>88</v>
      </c>
      <c r="B79" s="11"/>
      <c r="C79" s="5">
        <v>52</v>
      </c>
      <c r="D79" s="5"/>
      <c r="E79" s="17">
        <f t="shared" si="2"/>
        <v>77</v>
      </c>
      <c r="F79" s="11">
        <f>SUM(B79*C79*E79)</f>
        <v>0</v>
      </c>
    </row>
    <row r="80" spans="1:6" ht="12.75">
      <c r="A80" s="14" t="s">
        <v>89</v>
      </c>
      <c r="B80" s="11"/>
      <c r="C80" s="5"/>
      <c r="D80" s="5"/>
      <c r="E80" s="12">
        <v>1200</v>
      </c>
      <c r="F80" s="11">
        <f>SUM(C80*E80)</f>
        <v>0</v>
      </c>
    </row>
    <row r="81" spans="1:6" ht="12.75">
      <c r="A81" s="14" t="s">
        <v>34</v>
      </c>
      <c r="B81" s="11"/>
      <c r="C81" s="5">
        <v>60</v>
      </c>
      <c r="D81" s="5"/>
      <c r="E81" s="12">
        <v>1800</v>
      </c>
      <c r="F81" s="11">
        <f>SUM(C81*E81)</f>
        <v>108000</v>
      </c>
    </row>
    <row r="82" spans="1:6" ht="12.75">
      <c r="A82" s="14" t="s">
        <v>13</v>
      </c>
      <c r="B82" s="11"/>
      <c r="C82" s="14">
        <v>242</v>
      </c>
      <c r="D82" s="5"/>
      <c r="E82" s="12">
        <v>2400</v>
      </c>
      <c r="F82" s="11">
        <f aca="true" t="shared" si="3" ref="F82:F90">SUM(C82*E82)</f>
        <v>580800</v>
      </c>
    </row>
    <row r="83" spans="1:6" ht="12.75">
      <c r="A83" s="14" t="s">
        <v>92</v>
      </c>
      <c r="B83" s="11"/>
      <c r="C83" s="5">
        <v>7</v>
      </c>
      <c r="D83" s="5"/>
      <c r="E83" s="12">
        <v>3000</v>
      </c>
      <c r="F83" s="11">
        <f t="shared" si="3"/>
        <v>21000</v>
      </c>
    </row>
    <row r="84" spans="1:6" ht="12.75">
      <c r="A84" s="14" t="s">
        <v>14</v>
      </c>
      <c r="B84" s="11"/>
      <c r="C84" s="5">
        <v>1040</v>
      </c>
      <c r="D84" s="5"/>
      <c r="E84" s="12">
        <v>3600</v>
      </c>
      <c r="F84" s="11">
        <f t="shared" si="3"/>
        <v>3744000</v>
      </c>
    </row>
    <row r="85" spans="1:6" ht="12.75">
      <c r="A85" s="14" t="s">
        <v>35</v>
      </c>
      <c r="B85" s="11"/>
      <c r="C85" s="5">
        <v>53</v>
      </c>
      <c r="D85" s="5"/>
      <c r="E85" s="12">
        <v>4800</v>
      </c>
      <c r="F85" s="11">
        <f t="shared" si="3"/>
        <v>254400</v>
      </c>
    </row>
    <row r="86" spans="1:6" ht="12.75">
      <c r="A86" s="14" t="s">
        <v>36</v>
      </c>
      <c r="B86" s="11"/>
      <c r="C86" s="5">
        <v>10</v>
      </c>
      <c r="D86" s="5"/>
      <c r="E86" s="12">
        <v>6000</v>
      </c>
      <c r="F86" s="11">
        <f t="shared" si="3"/>
        <v>60000</v>
      </c>
    </row>
    <row r="87" spans="1:6" ht="12.75">
      <c r="A87" s="14" t="s">
        <v>48</v>
      </c>
      <c r="B87" s="11"/>
      <c r="C87" s="5">
        <v>3</v>
      </c>
      <c r="D87" s="5"/>
      <c r="E87" s="12">
        <v>5400</v>
      </c>
      <c r="F87" s="11">
        <f t="shared" si="3"/>
        <v>16200</v>
      </c>
    </row>
    <row r="88" spans="1:6" ht="12.75">
      <c r="A88" s="14" t="s">
        <v>15</v>
      </c>
      <c r="B88" s="11"/>
      <c r="C88" s="5">
        <v>25</v>
      </c>
      <c r="D88" s="5"/>
      <c r="E88" s="12">
        <v>9000</v>
      </c>
      <c r="F88" s="11">
        <f t="shared" si="3"/>
        <v>225000</v>
      </c>
    </row>
    <row r="89" spans="1:6" ht="12.75">
      <c r="A89" s="14" t="s">
        <v>16</v>
      </c>
      <c r="B89" s="11"/>
      <c r="C89" s="5">
        <v>62</v>
      </c>
      <c r="D89" s="5"/>
      <c r="E89" s="12">
        <v>10800</v>
      </c>
      <c r="F89" s="11">
        <f t="shared" si="3"/>
        <v>669600</v>
      </c>
    </row>
    <row r="90" spans="1:10" ht="12.75">
      <c r="A90" s="14" t="s">
        <v>25</v>
      </c>
      <c r="B90" s="11"/>
      <c r="C90" s="5">
        <v>9</v>
      </c>
      <c r="D90" s="5"/>
      <c r="E90" s="12">
        <f>+E89/30*40</f>
        <v>14400</v>
      </c>
      <c r="F90" s="11">
        <f t="shared" si="3"/>
        <v>129600</v>
      </c>
      <c r="G90" s="98"/>
      <c r="H90" s="111"/>
      <c r="J90" s="111"/>
    </row>
    <row r="91" spans="1:9" ht="13.5" thickBot="1">
      <c r="A91" s="104" t="s">
        <v>17</v>
      </c>
      <c r="B91" s="15">
        <f>SUM(B12:B90)</f>
        <v>578.5833299999999</v>
      </c>
      <c r="C91" s="6">
        <f>SUM(C12:C90)</f>
        <v>4964</v>
      </c>
      <c r="D91" s="6"/>
      <c r="E91" s="23"/>
      <c r="F91" s="15"/>
      <c r="G91" s="111"/>
      <c r="I91" s="112"/>
    </row>
    <row r="92" spans="5:6" ht="14.25" thickBot="1" thickTop="1">
      <c r="E92" s="4" t="s">
        <v>18</v>
      </c>
      <c r="F92" s="13">
        <f>SUM(F12:F91)</f>
        <v>17469146.993</v>
      </c>
    </row>
    <row r="93" ht="13.5" thickTop="1"/>
    <row r="96" ht="12.75">
      <c r="F96" s="98"/>
    </row>
    <row r="97" ht="12.75">
      <c r="F97" s="98"/>
    </row>
  </sheetData>
  <sheetProtection/>
  <mergeCells count="1">
    <mergeCell ref="A5:F5"/>
  </mergeCells>
  <printOptions/>
  <pageMargins left="0.7" right="0.7" top="0.75" bottom="0.75" header="0.3" footer="0.3"/>
  <pageSetup horizontalDpi="90" verticalDpi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K4" sqref="K1:K16384"/>
    </sheetView>
  </sheetViews>
  <sheetFormatPr defaultColWidth="9.140625" defaultRowHeight="12.75"/>
  <cols>
    <col min="5" max="5" width="17.140625" style="0" bestFit="1" customWidth="1"/>
    <col min="7" max="7" width="16.8515625" style="0" bestFit="1" customWidth="1"/>
    <col min="9" max="9" width="15.57421875" style="0" bestFit="1" customWidth="1"/>
    <col min="11" max="11" width="10.28125" style="0" bestFit="1" customWidth="1"/>
  </cols>
  <sheetData>
    <row r="1" spans="1:11" ht="26.25">
      <c r="A1" s="121"/>
      <c r="B1" s="153" t="s">
        <v>83</v>
      </c>
      <c r="C1" s="153"/>
      <c r="D1" s="153"/>
      <c r="E1" s="153"/>
      <c r="F1" s="153"/>
      <c r="G1" s="153"/>
      <c r="H1" s="153"/>
      <c r="I1" s="153"/>
      <c r="J1" s="153"/>
      <c r="K1" s="153"/>
    </row>
    <row r="2" spans="1:11" ht="18">
      <c r="A2" s="122"/>
      <c r="B2" s="154" t="s">
        <v>84</v>
      </c>
      <c r="C2" s="154"/>
      <c r="D2" s="154"/>
      <c r="E2" s="154"/>
      <c r="F2" s="154"/>
      <c r="G2" s="154"/>
      <c r="H2" s="154"/>
      <c r="I2" s="154"/>
      <c r="J2" s="154"/>
      <c r="K2" s="154"/>
    </row>
    <row r="3" spans="1:11" ht="27.75">
      <c r="A3" s="25"/>
      <c r="B3" s="155" t="s">
        <v>123</v>
      </c>
      <c r="C3" s="155"/>
      <c r="D3" s="155"/>
      <c r="E3" s="155"/>
      <c r="F3" s="155"/>
      <c r="G3" s="155"/>
      <c r="H3" s="155"/>
      <c r="I3" s="155"/>
      <c r="J3" s="155"/>
      <c r="K3" s="155"/>
    </row>
    <row r="4" spans="1:11" ht="15.75">
      <c r="A4" s="25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5">
      <c r="A5" s="123" t="s">
        <v>124</v>
      </c>
      <c r="B5" s="124"/>
      <c r="C5" s="124"/>
      <c r="D5" s="124"/>
      <c r="E5" s="124"/>
      <c r="F5" s="156">
        <v>232418</v>
      </c>
      <c r="G5" s="156"/>
      <c r="H5" s="156"/>
      <c r="I5" s="125"/>
      <c r="J5" s="157"/>
      <c r="K5" s="157"/>
    </row>
    <row r="6" spans="1:11" ht="15">
      <c r="A6" s="32"/>
      <c r="B6" s="32"/>
      <c r="C6" s="32"/>
      <c r="D6" s="32"/>
      <c r="E6" s="32"/>
      <c r="F6" s="126"/>
      <c r="G6" s="127"/>
      <c r="H6" s="32"/>
      <c r="I6" s="125"/>
      <c r="J6" s="32"/>
      <c r="K6" s="32"/>
    </row>
    <row r="7" spans="1:11" ht="15">
      <c r="A7" s="123" t="s">
        <v>125</v>
      </c>
      <c r="B7" s="124"/>
      <c r="C7" s="124"/>
      <c r="D7" s="124"/>
      <c r="E7" s="124"/>
      <c r="F7" s="126"/>
      <c r="G7" s="156">
        <v>232418</v>
      </c>
      <c r="H7" s="156"/>
      <c r="I7" s="125"/>
      <c r="J7" s="157"/>
      <c r="K7" s="157"/>
    </row>
    <row r="8" spans="1:11" ht="15.75" thickBot="1">
      <c r="A8" s="128"/>
      <c r="B8" s="128"/>
      <c r="C8" s="128"/>
      <c r="D8" s="128"/>
      <c r="E8" s="128"/>
      <c r="F8" s="128"/>
      <c r="G8" s="129"/>
      <c r="H8" s="128"/>
      <c r="I8" s="128"/>
      <c r="J8" s="128"/>
      <c r="K8" s="128"/>
    </row>
    <row r="9" spans="1:11" ht="15.75" thickTop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</row>
    <row r="10" spans="1:11" ht="15.75">
      <c r="A10" s="152" t="s">
        <v>126</v>
      </c>
      <c r="B10" s="152"/>
      <c r="C10" s="152"/>
      <c r="D10" s="152"/>
      <c r="E10" s="152"/>
      <c r="F10" s="32"/>
      <c r="G10" s="32"/>
      <c r="H10" s="32"/>
      <c r="I10" s="32"/>
      <c r="J10" s="32"/>
      <c r="K10" s="32"/>
    </row>
    <row r="11" spans="1:11" ht="1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</row>
    <row r="12" spans="1:11" ht="15.75">
      <c r="A12" s="31"/>
      <c r="B12" s="31"/>
      <c r="C12" s="31"/>
      <c r="D12" s="31"/>
      <c r="E12" s="25" t="s">
        <v>80</v>
      </c>
      <c r="F12" s="31"/>
      <c r="G12" s="25" t="s">
        <v>81</v>
      </c>
      <c r="H12" s="31"/>
      <c r="I12" s="25" t="s">
        <v>76</v>
      </c>
      <c r="J12" s="31"/>
      <c r="K12" s="25" t="s">
        <v>63</v>
      </c>
    </row>
    <row r="13" spans="1:11" ht="15">
      <c r="A13" s="32"/>
      <c r="B13" s="32"/>
      <c r="C13" s="32"/>
      <c r="D13" s="32"/>
      <c r="E13" s="130"/>
      <c r="F13" s="32"/>
      <c r="G13" s="130"/>
      <c r="H13" s="32"/>
      <c r="I13" s="130"/>
      <c r="J13" s="32"/>
      <c r="K13" s="32"/>
    </row>
    <row r="14" spans="1:11" ht="15">
      <c r="A14" s="32"/>
      <c r="B14" s="151" t="s">
        <v>77</v>
      </c>
      <c r="C14" s="151"/>
      <c r="D14" s="32"/>
      <c r="E14" s="131">
        <v>105972</v>
      </c>
      <c r="F14" s="131"/>
      <c r="G14" s="131">
        <v>0</v>
      </c>
      <c r="H14" s="131"/>
      <c r="I14" s="131">
        <f>SUM(E14,G14)</f>
        <v>105972</v>
      </c>
      <c r="J14" s="32"/>
      <c r="K14" s="132">
        <f>SUM(I14/I20)</f>
        <v>0.002853488349925367</v>
      </c>
    </row>
    <row r="15" spans="1:11" ht="15">
      <c r="A15" s="32"/>
      <c r="B15" s="32"/>
      <c r="C15" s="32"/>
      <c r="D15" s="32"/>
      <c r="E15" s="131"/>
      <c r="F15" s="131"/>
      <c r="G15" s="131"/>
      <c r="H15" s="131"/>
      <c r="I15" s="131"/>
      <c r="J15" s="32"/>
      <c r="K15" s="133"/>
    </row>
    <row r="16" spans="1:11" ht="15">
      <c r="A16" s="32"/>
      <c r="B16" s="151" t="s">
        <v>78</v>
      </c>
      <c r="C16" s="151"/>
      <c r="D16" s="32"/>
      <c r="E16" s="134">
        <v>19348368</v>
      </c>
      <c r="F16" s="131"/>
      <c r="G16" s="134">
        <v>15785588</v>
      </c>
      <c r="H16" s="131"/>
      <c r="I16" s="134">
        <f>SUM(E16+G16)</f>
        <v>35133956</v>
      </c>
      <c r="J16" s="32"/>
      <c r="K16" s="132">
        <f>SUM(I16/I20)</f>
        <v>0.9460455038386597</v>
      </c>
    </row>
    <row r="17" spans="1:11" ht="15">
      <c r="A17" s="32"/>
      <c r="B17" s="32"/>
      <c r="C17" s="32"/>
      <c r="D17" s="32"/>
      <c r="E17" s="131"/>
      <c r="F17" s="131"/>
      <c r="G17" s="131"/>
      <c r="H17" s="131"/>
      <c r="I17" s="131"/>
      <c r="J17" s="32"/>
      <c r="K17" s="133"/>
    </row>
    <row r="18" spans="1:11" ht="15">
      <c r="A18" s="32"/>
      <c r="B18" s="151" t="s">
        <v>79</v>
      </c>
      <c r="C18" s="151"/>
      <c r="D18" s="32"/>
      <c r="E18" s="131">
        <v>1365088</v>
      </c>
      <c r="F18" s="131"/>
      <c r="G18" s="131">
        <v>532686</v>
      </c>
      <c r="H18" s="131"/>
      <c r="I18" s="131">
        <f>SUM(E18:G18)</f>
        <v>1897774</v>
      </c>
      <c r="J18" s="32"/>
      <c r="K18" s="132">
        <f>SUM(I18/I20)</f>
        <v>0.05110100781141493</v>
      </c>
    </row>
    <row r="19" spans="1:11" ht="15">
      <c r="A19" s="32"/>
      <c r="B19" s="32"/>
      <c r="C19" s="32"/>
      <c r="D19" s="32"/>
      <c r="E19" s="135"/>
      <c r="F19" s="131"/>
      <c r="G19" s="135"/>
      <c r="H19" s="131"/>
      <c r="I19" s="135"/>
      <c r="J19" s="32"/>
      <c r="K19" s="32"/>
    </row>
    <row r="20" spans="1:11" ht="15.75">
      <c r="A20" s="32"/>
      <c r="B20" s="32"/>
      <c r="C20" s="32"/>
      <c r="D20" s="31" t="s">
        <v>82</v>
      </c>
      <c r="E20" s="136">
        <f>SUM(E14:E19)</f>
        <v>20819428</v>
      </c>
      <c r="F20" s="136"/>
      <c r="G20" s="136">
        <f>SUM(G14:G19)</f>
        <v>16318274</v>
      </c>
      <c r="H20" s="136"/>
      <c r="I20" s="136">
        <f>SUM(I14:I19)</f>
        <v>37137702</v>
      </c>
      <c r="J20" s="32"/>
      <c r="K20" s="137">
        <f>SUM(K14:K18)</f>
        <v>1</v>
      </c>
    </row>
    <row r="21" spans="1:11" ht="15.75" thickBot="1">
      <c r="A21" s="128"/>
      <c r="B21" s="128"/>
      <c r="C21" s="128"/>
      <c r="D21" s="128"/>
      <c r="E21" s="128"/>
      <c r="F21" s="128"/>
      <c r="G21" s="128"/>
      <c r="H21" s="128"/>
      <c r="I21" s="128"/>
      <c r="J21" s="128"/>
      <c r="K21" s="128"/>
    </row>
    <row r="22" spans="1:11" ht="15.75" thickTop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 ht="15.75">
      <c r="A23" s="32"/>
      <c r="B23" s="31" t="s">
        <v>127</v>
      </c>
      <c r="C23" s="31"/>
      <c r="D23" s="31"/>
      <c r="E23" s="32"/>
      <c r="F23" s="32"/>
      <c r="G23" s="32"/>
      <c r="H23" s="32"/>
      <c r="I23" s="32"/>
      <c r="J23" s="32"/>
      <c r="K23" s="138"/>
    </row>
    <row r="24" spans="1:11" ht="15">
      <c r="A24" s="32"/>
      <c r="B24" s="32" t="s">
        <v>128</v>
      </c>
      <c r="C24" s="32"/>
      <c r="D24" s="32"/>
      <c r="E24" s="32"/>
      <c r="F24" s="32"/>
      <c r="G24" s="32"/>
      <c r="H24" s="32"/>
      <c r="I24" s="32"/>
      <c r="J24" s="32"/>
      <c r="K24" s="32"/>
    </row>
    <row r="25" spans="1:11" ht="15">
      <c r="A25" s="32"/>
      <c r="B25" s="32"/>
      <c r="C25" s="32"/>
      <c r="D25" s="32"/>
      <c r="E25" s="139">
        <v>2023</v>
      </c>
      <c r="F25" s="32"/>
      <c r="G25" s="32"/>
      <c r="H25" s="32"/>
      <c r="I25" s="139">
        <v>2024</v>
      </c>
      <c r="J25" s="32"/>
      <c r="K25" s="32"/>
    </row>
    <row r="26" spans="1:11" ht="1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1" ht="15">
      <c r="A27" s="32"/>
      <c r="B27" s="151" t="s">
        <v>77</v>
      </c>
      <c r="C27" s="151"/>
      <c r="D27" s="125"/>
      <c r="E27" s="140">
        <v>182.95</v>
      </c>
      <c r="F27" s="141"/>
      <c r="G27" s="142"/>
      <c r="H27" s="142"/>
      <c r="I27" s="143">
        <v>418.52</v>
      </c>
      <c r="J27" s="144"/>
      <c r="K27" s="32"/>
    </row>
    <row r="28" spans="1:11" ht="15">
      <c r="A28" s="32"/>
      <c r="B28" s="32"/>
      <c r="C28" s="32"/>
      <c r="D28" s="125"/>
      <c r="E28" s="140"/>
      <c r="F28" s="141"/>
      <c r="G28" s="142"/>
      <c r="H28" s="142"/>
      <c r="I28" s="140"/>
      <c r="J28" s="144"/>
      <c r="K28" s="32"/>
    </row>
    <row r="29" spans="1:11" ht="15">
      <c r="A29" s="32"/>
      <c r="B29" s="151" t="s">
        <v>78</v>
      </c>
      <c r="C29" s="151"/>
      <c r="D29" s="125"/>
      <c r="E29" s="140">
        <v>208303.5</v>
      </c>
      <c r="F29" s="141"/>
      <c r="G29" s="142"/>
      <c r="H29" s="142"/>
      <c r="I29" s="143">
        <v>220110.15</v>
      </c>
      <c r="J29" s="144"/>
      <c r="K29" s="32"/>
    </row>
    <row r="30" spans="1:11" ht="15">
      <c r="A30" s="32"/>
      <c r="B30" s="32"/>
      <c r="C30" s="32"/>
      <c r="D30" s="125"/>
      <c r="E30" s="140"/>
      <c r="F30" s="141"/>
      <c r="G30" s="142"/>
      <c r="H30" s="142"/>
      <c r="I30" s="140"/>
      <c r="J30" s="144"/>
      <c r="K30" s="32"/>
    </row>
    <row r="31" spans="1:11" ht="15">
      <c r="A31" s="32"/>
      <c r="B31" s="151" t="s">
        <v>79</v>
      </c>
      <c r="C31" s="151"/>
      <c r="D31" s="125"/>
      <c r="E31" s="140">
        <v>9832.55</v>
      </c>
      <c r="F31" s="141"/>
      <c r="G31" s="142"/>
      <c r="H31" s="142"/>
      <c r="I31" s="143">
        <v>11889.33</v>
      </c>
      <c r="J31" s="144"/>
      <c r="K31" s="32"/>
    </row>
    <row r="32" spans="1:11" ht="15">
      <c r="A32" s="32"/>
      <c r="B32" s="32"/>
      <c r="C32" s="32"/>
      <c r="D32" s="32"/>
      <c r="E32" s="145"/>
      <c r="F32" s="146"/>
      <c r="G32" s="145"/>
      <c r="H32" s="145"/>
      <c r="I32" s="147"/>
      <c r="J32" s="32"/>
      <c r="K32" s="32"/>
    </row>
    <row r="33" spans="1:11" ht="15.75">
      <c r="A33" s="32"/>
      <c r="B33" s="32"/>
      <c r="C33" s="32"/>
      <c r="D33" s="31" t="s">
        <v>82</v>
      </c>
      <c r="E33" s="148">
        <f>SUM(E27+E29+E31)</f>
        <v>218319</v>
      </c>
      <c r="F33" s="148"/>
      <c r="G33" s="148"/>
      <c r="H33" s="148"/>
      <c r="I33" s="149">
        <f>SUM(I27:I31)</f>
        <v>232417.99999999997</v>
      </c>
      <c r="J33" s="31"/>
      <c r="K33" s="32"/>
    </row>
    <row r="34" spans="1:11" ht="15.75" thickBot="1">
      <c r="A34" s="128"/>
      <c r="B34" s="128"/>
      <c r="C34" s="128"/>
      <c r="D34" s="128"/>
      <c r="E34" s="128"/>
      <c r="F34" s="128"/>
      <c r="G34" s="128"/>
      <c r="H34" s="128"/>
      <c r="I34" s="128"/>
      <c r="J34" s="128"/>
      <c r="K34" s="128"/>
    </row>
    <row r="35" ht="13.5" thickTop="1"/>
  </sheetData>
  <sheetProtection/>
  <mergeCells count="14">
    <mergeCell ref="B1:K1"/>
    <mergeCell ref="B2:K2"/>
    <mergeCell ref="B3:K3"/>
    <mergeCell ref="F5:H5"/>
    <mergeCell ref="J5:K5"/>
    <mergeCell ref="G7:H7"/>
    <mergeCell ref="J7:K7"/>
    <mergeCell ref="B31:C31"/>
    <mergeCell ref="A10:E10"/>
    <mergeCell ref="B14:C14"/>
    <mergeCell ref="B16:C16"/>
    <mergeCell ref="B18:C18"/>
    <mergeCell ref="B27:C27"/>
    <mergeCell ref="B29:C2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17.421875" style="0" bestFit="1" customWidth="1"/>
  </cols>
  <sheetData>
    <row r="1" ht="12.75">
      <c r="A1" t="s">
        <v>93</v>
      </c>
    </row>
    <row r="2" spans="1:3" ht="12.75">
      <c r="A2" s="5">
        <v>12</v>
      </c>
      <c r="B2" t="s">
        <v>75</v>
      </c>
      <c r="C2" s="105"/>
    </row>
    <row r="3" spans="1:3" ht="12.75">
      <c r="A3" s="5">
        <v>26</v>
      </c>
      <c r="B3" t="s">
        <v>73</v>
      </c>
      <c r="C3" s="105"/>
    </row>
    <row r="4" spans="1:3" ht="12.75">
      <c r="A4" s="5">
        <v>52</v>
      </c>
      <c r="B4" t="s">
        <v>74</v>
      </c>
      <c r="C4" s="105"/>
    </row>
    <row r="5" spans="1:3" ht="12.75">
      <c r="A5" s="5">
        <v>0</v>
      </c>
      <c r="B5" t="s">
        <v>94</v>
      </c>
      <c r="C5" s="105"/>
    </row>
    <row r="6" spans="1:3" ht="12.75">
      <c r="A6" s="5">
        <v>104</v>
      </c>
      <c r="B6" t="s">
        <v>96</v>
      </c>
      <c r="C6" s="105"/>
    </row>
    <row r="7" spans="1:3" ht="12.75">
      <c r="A7" s="5">
        <v>18</v>
      </c>
      <c r="B7" t="s">
        <v>94</v>
      </c>
      <c r="C7" s="105"/>
    </row>
    <row r="8" spans="1:3" ht="12.75">
      <c r="A8" s="5">
        <v>156</v>
      </c>
      <c r="B8" t="s">
        <v>97</v>
      </c>
      <c r="C8" s="105"/>
    </row>
    <row r="9" spans="1:3" ht="12.75">
      <c r="A9" s="5">
        <v>15</v>
      </c>
      <c r="B9" t="s">
        <v>94</v>
      </c>
      <c r="C9" s="105"/>
    </row>
    <row r="10" spans="1:3" ht="12.75">
      <c r="A10" s="5">
        <v>7</v>
      </c>
      <c r="B10" t="s">
        <v>94</v>
      </c>
      <c r="C10" s="105"/>
    </row>
    <row r="11" spans="1:3" ht="12.75">
      <c r="A11" s="5">
        <v>260</v>
      </c>
      <c r="C11" s="105"/>
    </row>
    <row r="12" spans="1:3" ht="12.75">
      <c r="A12" s="5">
        <v>24</v>
      </c>
      <c r="C12" s="105"/>
    </row>
    <row r="13" spans="1:3" ht="12.75">
      <c r="A13" s="14">
        <v>304</v>
      </c>
      <c r="C13" s="105"/>
    </row>
    <row r="14" spans="1:3" ht="12.75">
      <c r="A14" s="5">
        <v>2</v>
      </c>
      <c r="B14" t="s">
        <v>94</v>
      </c>
      <c r="C14" s="105"/>
    </row>
    <row r="15" spans="1:3" ht="12.75">
      <c r="A15" s="5">
        <v>988</v>
      </c>
      <c r="B15" t="s">
        <v>94</v>
      </c>
      <c r="C15" s="105"/>
    </row>
    <row r="16" spans="1:3" ht="12.75">
      <c r="A16" s="5">
        <v>93</v>
      </c>
      <c r="B16" t="s">
        <v>94</v>
      </c>
      <c r="C16" s="105"/>
    </row>
    <row r="17" spans="1:3" ht="12.75">
      <c r="A17" s="5">
        <v>14</v>
      </c>
      <c r="B17" t="s">
        <v>94</v>
      </c>
      <c r="C17" s="105"/>
    </row>
    <row r="18" spans="1:3" ht="12.75">
      <c r="A18" s="5">
        <v>1</v>
      </c>
      <c r="B18" t="s">
        <v>94</v>
      </c>
      <c r="C18" s="105"/>
    </row>
    <row r="19" spans="1:3" ht="12.75">
      <c r="A19" s="5">
        <v>80</v>
      </c>
      <c r="B19" t="s">
        <v>94</v>
      </c>
      <c r="C19" s="105"/>
    </row>
    <row r="20" spans="1:3" ht="12.75">
      <c r="A20" s="5">
        <v>6</v>
      </c>
      <c r="B20" t="s">
        <v>94</v>
      </c>
      <c r="C20" s="105"/>
    </row>
    <row r="22" ht="12.75">
      <c r="B22" t="s">
        <v>75</v>
      </c>
    </row>
    <row r="23" ht="12.75">
      <c r="B23" t="s">
        <v>73</v>
      </c>
    </row>
    <row r="24" ht="12.75">
      <c r="B24" t="s">
        <v>74</v>
      </c>
    </row>
  </sheetData>
  <sheetProtection/>
  <autoFilter ref="A1:A4">
    <sortState ref="A2:A24">
      <sortCondition sortBy="value" ref="A2:A24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WMX Technologies, Inc.</dc:creator>
  <cp:keywords/>
  <dc:description/>
  <cp:lastModifiedBy>Burmester, Evan</cp:lastModifiedBy>
  <cp:lastPrinted>2011-01-27T21:09:42Z</cp:lastPrinted>
  <dcterms:created xsi:type="dcterms:W3CDTF">2000-01-25T20:04:16Z</dcterms:created>
  <dcterms:modified xsi:type="dcterms:W3CDTF">2024-03-06T21:26:07Z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DocumentSetType">
    <vt:lpwstr>Workpapers</vt:lpwstr>
  </property>
  <property fmtid="{D5CDD505-2E9C-101B-9397-08002B2CF9AE}" pid="5" name="IsDocumentOrder">
    <vt:lpwstr>False</vt:lpwstr>
  </property>
  <property fmtid="{D5CDD505-2E9C-101B-9397-08002B2CF9AE}" pid="6" name="IsHighlyConfidential">
    <vt:lpwstr>False</vt:lpwstr>
  </property>
  <property fmtid="{D5CDD505-2E9C-101B-9397-08002B2CF9AE}" pid="7" name="CaseCompanyNames">
    <vt:lpwstr>Waste Management of Washington, Inc.  </vt:lpwstr>
  </property>
  <property fmtid="{D5CDD505-2E9C-101B-9397-08002B2CF9AE}" pid="8" name="IsConfidential">
    <vt:lpwstr>False</vt:lpwstr>
  </property>
  <property fmtid="{D5CDD505-2E9C-101B-9397-08002B2CF9AE}" pid="9" name="DocketNumber">
    <vt:lpwstr>240124</vt:lpwstr>
  </property>
  <property fmtid="{D5CDD505-2E9C-101B-9397-08002B2CF9AE}" pid="10" name="Date1">
    <vt:lpwstr>2024-03-06T00:00:00Z</vt:lpwstr>
  </property>
  <property fmtid="{D5CDD505-2E9C-101B-9397-08002B2CF9AE}" pid="11" name="Nickname">
    <vt:lpwstr/>
  </property>
  <property fmtid="{D5CDD505-2E9C-101B-9397-08002B2CF9AE}" pid="12" name="CaseType">
    <vt:lpwstr>Tariff Revision</vt:lpwstr>
  </property>
  <property fmtid="{D5CDD505-2E9C-101B-9397-08002B2CF9AE}" pid="13" name="OpenedDate">
    <vt:lpwstr>2024-02-15T00:00:00Z</vt:lpwstr>
  </property>
  <property fmtid="{D5CDD505-2E9C-101B-9397-08002B2CF9AE}" pid="14" name="Prefix">
    <vt:lpwstr>TG</vt:lpwstr>
  </property>
  <property fmtid="{D5CDD505-2E9C-101B-9397-08002B2CF9AE}" pid="15" name="IndustryCode">
    <vt:lpwstr>227</vt:lpwstr>
  </property>
  <property fmtid="{D5CDD505-2E9C-101B-9397-08002B2CF9AE}" pid="16" name="CaseStatus">
    <vt:lpwstr>Closed</vt:lpwstr>
  </property>
</Properties>
</file>