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Rate Case\2023\Submissions\"/>
    </mc:Choice>
  </mc:AlternateContent>
  <xr:revisionPtr revIDLastSave="0" documentId="13_ncr:1_{AA218741-CA7E-4FB1-AD88-1A1DD3E47FA0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Notes" sheetId="8" r:id="rId1"/>
    <sheet name="References" sheetId="4" r:id="rId2"/>
    <sheet name="Price Out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2">'Price Out'!$A$1:$U$171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91029" iterate="1"/>
  <fileRecoveryPr autoRecover="0"/>
</workbook>
</file>

<file path=xl/calcChain.xml><?xml version="1.0" encoding="utf-8"?>
<calcChain xmlns="http://schemas.openxmlformats.org/spreadsheetml/2006/main">
  <c r="G32" i="7" l="1"/>
  <c r="O120" i="7"/>
  <c r="O17" i="7"/>
  <c r="E12" i="7"/>
  <c r="U51" i="7" l="1"/>
  <c r="R11" i="7" l="1"/>
  <c r="P10" i="7" l="1"/>
  <c r="R10" i="7" s="1"/>
  <c r="E102" i="7" l="1"/>
  <c r="E29" i="7"/>
  <c r="O118" i="7"/>
  <c r="P118" i="7" s="1"/>
  <c r="K118" i="7"/>
  <c r="L118" i="7" s="1"/>
  <c r="F118" i="7"/>
  <c r="E118" i="7"/>
  <c r="E124" i="7" s="1"/>
  <c r="T91" i="7"/>
  <c r="O91" i="7"/>
  <c r="P91" i="7" s="1"/>
  <c r="K91" i="7"/>
  <c r="L91" i="7" s="1"/>
  <c r="F91" i="7"/>
  <c r="G91" i="7" s="1"/>
  <c r="I91" i="7" s="1"/>
  <c r="T105" i="7"/>
  <c r="O105" i="7"/>
  <c r="P105" i="7" s="1"/>
  <c r="K105" i="7"/>
  <c r="L105" i="7" s="1"/>
  <c r="F105" i="7"/>
  <c r="G105" i="7" s="1"/>
  <c r="T117" i="7"/>
  <c r="O117" i="7"/>
  <c r="P117" i="7" s="1"/>
  <c r="K117" i="7"/>
  <c r="L117" i="7" s="1"/>
  <c r="F117" i="7"/>
  <c r="G117" i="7" s="1"/>
  <c r="T116" i="7"/>
  <c r="O116" i="7"/>
  <c r="P116" i="7" s="1"/>
  <c r="K116" i="7"/>
  <c r="L116" i="7" s="1"/>
  <c r="F116" i="7"/>
  <c r="G116" i="7" s="1"/>
  <c r="O115" i="7"/>
  <c r="P115" i="7" s="1"/>
  <c r="K115" i="7"/>
  <c r="L115" i="7" s="1"/>
  <c r="F115" i="7"/>
  <c r="G115" i="7" s="1"/>
  <c r="O101" i="7"/>
  <c r="P101" i="7" s="1"/>
  <c r="K101" i="7"/>
  <c r="L101" i="7" s="1"/>
  <c r="F101" i="7"/>
  <c r="G101" i="7" s="1"/>
  <c r="T100" i="7"/>
  <c r="O100" i="7"/>
  <c r="P100" i="7" s="1"/>
  <c r="K100" i="7"/>
  <c r="L100" i="7" s="1"/>
  <c r="F100" i="7"/>
  <c r="G100" i="7" s="1"/>
  <c r="G118" i="7" l="1"/>
  <c r="I118" i="7" s="1"/>
  <c r="M91" i="7"/>
  <c r="R91" i="7"/>
  <c r="M105" i="7"/>
  <c r="Q91" i="7"/>
  <c r="I105" i="7"/>
  <c r="Q105" i="7"/>
  <c r="R105" i="7"/>
  <c r="M117" i="7"/>
  <c r="R117" i="7"/>
  <c r="I117" i="7"/>
  <c r="Q117" i="7"/>
  <c r="M116" i="7"/>
  <c r="R116" i="7"/>
  <c r="Q116" i="7"/>
  <c r="I116" i="7"/>
  <c r="Q115" i="7"/>
  <c r="I115" i="7"/>
  <c r="M115" i="7"/>
  <c r="R115" i="7"/>
  <c r="M101" i="7"/>
  <c r="R100" i="7"/>
  <c r="I100" i="7"/>
  <c r="Q100" i="7"/>
  <c r="Q101" i="7"/>
  <c r="I101" i="7"/>
  <c r="M100" i="7"/>
  <c r="R101" i="7"/>
  <c r="M118" i="7" l="1"/>
  <c r="R118" i="7"/>
  <c r="Q118" i="7"/>
  <c r="S91" i="7"/>
  <c r="U91" i="7" s="1"/>
  <c r="S115" i="7"/>
  <c r="U115" i="7" s="1"/>
  <c r="S105" i="7"/>
  <c r="U105" i="7" s="1"/>
  <c r="S101" i="7"/>
  <c r="U101" i="7" s="1"/>
  <c r="S117" i="7"/>
  <c r="U117" i="7" s="1"/>
  <c r="S116" i="7"/>
  <c r="U116" i="7" s="1"/>
  <c r="S100" i="7"/>
  <c r="U100" i="7" s="1"/>
  <c r="S118" i="7" l="1"/>
  <c r="U118" i="7" s="1"/>
  <c r="E110" i="7"/>
  <c r="E112" i="7" s="1"/>
  <c r="E63" i="7"/>
  <c r="O109" i="7"/>
  <c r="P109" i="7" s="1"/>
  <c r="G109" i="7"/>
  <c r="Q109" i="7" s="1"/>
  <c r="E64" i="7"/>
  <c r="O32" i="7"/>
  <c r="P32" i="7" s="1"/>
  <c r="R32" i="7" s="1"/>
  <c r="Q32" i="7"/>
  <c r="R9" i="7" l="1"/>
  <c r="S32" i="7"/>
  <c r="U32" i="7" s="1"/>
  <c r="R109" i="7"/>
  <c r="S109" i="7" s="1"/>
  <c r="U109" i="7" s="1"/>
  <c r="G45" i="7" l="1"/>
  <c r="I45" i="7" s="1"/>
  <c r="K45" i="7"/>
  <c r="L45" i="7" s="1"/>
  <c r="P45" i="7"/>
  <c r="Q3" i="7"/>
  <c r="Q8" i="7" s="1"/>
  <c r="Q12" i="7" s="1"/>
  <c r="E37" i="7"/>
  <c r="E61" i="7"/>
  <c r="E88" i="7"/>
  <c r="E130" i="7"/>
  <c r="F83" i="7"/>
  <c r="G83" i="7" s="1"/>
  <c r="K83" i="7"/>
  <c r="L83" i="7" s="1"/>
  <c r="O83" i="7"/>
  <c r="P83" i="7" s="1"/>
  <c r="F84" i="7"/>
  <c r="G84" i="7" s="1"/>
  <c r="I84" i="7" s="1"/>
  <c r="K84" i="7"/>
  <c r="L84" i="7" s="1"/>
  <c r="O84" i="7"/>
  <c r="P84" i="7" s="1"/>
  <c r="O128" i="7"/>
  <c r="P128" i="7" s="1"/>
  <c r="G128" i="7"/>
  <c r="Q128" i="7" s="1"/>
  <c r="F67" i="7"/>
  <c r="G67" i="7" s="1"/>
  <c r="I67" i="7" s="1"/>
  <c r="K67" i="7"/>
  <c r="L67" i="7" s="1"/>
  <c r="O67" i="7"/>
  <c r="P67" i="7" s="1"/>
  <c r="F68" i="7"/>
  <c r="G68" i="7" s="1"/>
  <c r="K68" i="7"/>
  <c r="L68" i="7" s="1"/>
  <c r="O68" i="7"/>
  <c r="P68" i="7" s="1"/>
  <c r="F69" i="7"/>
  <c r="G69" i="7" s="1"/>
  <c r="K69" i="7"/>
  <c r="L69" i="7" s="1"/>
  <c r="O69" i="7"/>
  <c r="P69" i="7" s="1"/>
  <c r="F70" i="7"/>
  <c r="G70" i="7" s="1"/>
  <c r="K70" i="7"/>
  <c r="L70" i="7" s="1"/>
  <c r="O70" i="7"/>
  <c r="P70" i="7" s="1"/>
  <c r="F71" i="7"/>
  <c r="G71" i="7" s="1"/>
  <c r="I71" i="7" s="1"/>
  <c r="K71" i="7"/>
  <c r="L71" i="7" s="1"/>
  <c r="O71" i="7"/>
  <c r="P71" i="7" s="1"/>
  <c r="F72" i="7"/>
  <c r="G72" i="7" s="1"/>
  <c r="I72" i="7" s="1"/>
  <c r="K72" i="7"/>
  <c r="L72" i="7" s="1"/>
  <c r="O72" i="7"/>
  <c r="P72" i="7" s="1"/>
  <c r="F73" i="7"/>
  <c r="G73" i="7" s="1"/>
  <c r="I73" i="7" s="1"/>
  <c r="K73" i="7"/>
  <c r="L73" i="7" s="1"/>
  <c r="O73" i="7"/>
  <c r="P73" i="7" s="1"/>
  <c r="F74" i="7"/>
  <c r="G74" i="7" s="1"/>
  <c r="K74" i="7"/>
  <c r="L74" i="7" s="1"/>
  <c r="O74" i="7"/>
  <c r="P74" i="7" s="1"/>
  <c r="F75" i="7"/>
  <c r="G75" i="7" s="1"/>
  <c r="I75" i="7" s="1"/>
  <c r="K75" i="7"/>
  <c r="L75" i="7" s="1"/>
  <c r="O75" i="7"/>
  <c r="P75" i="7" s="1"/>
  <c r="F76" i="7"/>
  <c r="G76" i="7" s="1"/>
  <c r="K76" i="7"/>
  <c r="L76" i="7" s="1"/>
  <c r="O76" i="7"/>
  <c r="P76" i="7" s="1"/>
  <c r="F77" i="7"/>
  <c r="G77" i="7" s="1"/>
  <c r="I77" i="7" s="1"/>
  <c r="K77" i="7"/>
  <c r="L77" i="7" s="1"/>
  <c r="O77" i="7"/>
  <c r="P77" i="7" s="1"/>
  <c r="F78" i="7"/>
  <c r="G78" i="7" s="1"/>
  <c r="K78" i="7"/>
  <c r="L78" i="7" s="1"/>
  <c r="O78" i="7"/>
  <c r="P78" i="7" s="1"/>
  <c r="F79" i="7"/>
  <c r="G79" i="7" s="1"/>
  <c r="K79" i="7"/>
  <c r="L79" i="7" s="1"/>
  <c r="O79" i="7"/>
  <c r="P79" i="7" s="1"/>
  <c r="F80" i="7"/>
  <c r="G80" i="7" s="1"/>
  <c r="K80" i="7"/>
  <c r="L80" i="7" s="1"/>
  <c r="O80" i="7"/>
  <c r="P80" i="7" s="1"/>
  <c r="F81" i="7"/>
  <c r="G81" i="7" s="1"/>
  <c r="K81" i="7"/>
  <c r="L81" i="7" s="1"/>
  <c r="O81" i="7"/>
  <c r="P81" i="7" s="1"/>
  <c r="F82" i="7"/>
  <c r="G82" i="7" s="1"/>
  <c r="K82" i="7"/>
  <c r="L82" i="7" s="1"/>
  <c r="O82" i="7"/>
  <c r="P82" i="7" s="1"/>
  <c r="O123" i="7"/>
  <c r="P123" i="7" s="1"/>
  <c r="G123" i="7"/>
  <c r="Q123" i="7" s="1"/>
  <c r="F60" i="7"/>
  <c r="F58" i="7"/>
  <c r="F57" i="7"/>
  <c r="F122" i="7"/>
  <c r="G122" i="7" s="1"/>
  <c r="I122" i="7" s="1"/>
  <c r="K122" i="7"/>
  <c r="L122" i="7" s="1"/>
  <c r="O122" i="7"/>
  <c r="P122" i="7" s="1"/>
  <c r="O51" i="7"/>
  <c r="P51" i="7" s="1"/>
  <c r="O167" i="7"/>
  <c r="P167" i="7" s="1"/>
  <c r="O164" i="7"/>
  <c r="P164" i="7" s="1"/>
  <c r="O161" i="7"/>
  <c r="P161" i="7" s="1"/>
  <c r="O158" i="7"/>
  <c r="P158" i="7" s="1"/>
  <c r="F158" i="7"/>
  <c r="G158" i="7" s="1"/>
  <c r="Q158" i="7" s="1"/>
  <c r="F159" i="7"/>
  <c r="G159" i="7" s="1"/>
  <c r="F160" i="7"/>
  <c r="G160" i="7" s="1"/>
  <c r="F161" i="7"/>
  <c r="G161" i="7" s="1"/>
  <c r="Q161" i="7" s="1"/>
  <c r="F162" i="7"/>
  <c r="G162" i="7" s="1"/>
  <c r="F163" i="7"/>
  <c r="G163" i="7" s="1"/>
  <c r="F164" i="7"/>
  <c r="G164" i="7" s="1"/>
  <c r="Q164" i="7" s="1"/>
  <c r="F165" i="7"/>
  <c r="G165" i="7" s="1"/>
  <c r="F166" i="7"/>
  <c r="G166" i="7" s="1"/>
  <c r="F167" i="7"/>
  <c r="G167" i="7" s="1"/>
  <c r="Q167" i="7" s="1"/>
  <c r="O160" i="7"/>
  <c r="P160" i="7" s="1"/>
  <c r="K160" i="7"/>
  <c r="L160" i="7" s="1"/>
  <c r="O159" i="7"/>
  <c r="P159" i="7" s="1"/>
  <c r="K159" i="7"/>
  <c r="L159" i="7" s="1"/>
  <c r="O156" i="7"/>
  <c r="P156" i="7" s="1"/>
  <c r="O155" i="7"/>
  <c r="P155" i="7" s="1"/>
  <c r="O154" i="7"/>
  <c r="P154" i="7" s="1"/>
  <c r="F156" i="7"/>
  <c r="G156" i="7" s="1"/>
  <c r="Q156" i="7" s="1"/>
  <c r="F155" i="7"/>
  <c r="G155" i="7" s="1"/>
  <c r="Q155" i="7" s="1"/>
  <c r="F154" i="7"/>
  <c r="G154" i="7" s="1"/>
  <c r="Q154" i="7" s="1"/>
  <c r="F152" i="7"/>
  <c r="G152" i="7" s="1"/>
  <c r="Q152" i="7" s="1"/>
  <c r="K152" i="7"/>
  <c r="L152" i="7" s="1"/>
  <c r="O152" i="7"/>
  <c r="P152" i="7" s="1"/>
  <c r="O111" i="7"/>
  <c r="P111" i="7" s="1"/>
  <c r="G111" i="7"/>
  <c r="Q111" i="7" s="1"/>
  <c r="P110" i="7"/>
  <c r="G110" i="7"/>
  <c r="Q110" i="7" s="1"/>
  <c r="O108" i="7"/>
  <c r="P108" i="7" s="1"/>
  <c r="K108" i="7"/>
  <c r="L108" i="7" s="1"/>
  <c r="F108" i="7"/>
  <c r="G108" i="7" s="1"/>
  <c r="O107" i="7"/>
  <c r="P107" i="7" s="1"/>
  <c r="K107" i="7"/>
  <c r="L107" i="7" s="1"/>
  <c r="F107" i="7"/>
  <c r="G107" i="7" s="1"/>
  <c r="O106" i="7"/>
  <c r="P106" i="7" s="1"/>
  <c r="K106" i="7"/>
  <c r="L106" i="7" s="1"/>
  <c r="F106" i="7"/>
  <c r="G106" i="7" s="1"/>
  <c r="F35" i="7"/>
  <c r="G35" i="7" s="1"/>
  <c r="F36" i="7"/>
  <c r="G36" i="7" s="1"/>
  <c r="F34" i="7"/>
  <c r="G34" i="7" s="1"/>
  <c r="I34" i="7" s="1"/>
  <c r="F33" i="7"/>
  <c r="G33" i="7" s="1"/>
  <c r="F31" i="7"/>
  <c r="G31" i="7" s="1"/>
  <c r="I31" i="7" s="1"/>
  <c r="Q36" i="7"/>
  <c r="O36" i="7"/>
  <c r="P36" i="7" s="1"/>
  <c r="R36" i="7" s="1"/>
  <c r="Q35" i="7"/>
  <c r="O35" i="7"/>
  <c r="P35" i="7" s="1"/>
  <c r="R35" i="7" s="1"/>
  <c r="Q34" i="7"/>
  <c r="O34" i="7"/>
  <c r="P34" i="7" s="1"/>
  <c r="R34" i="7" s="1"/>
  <c r="K34" i="7"/>
  <c r="L34" i="7" s="1"/>
  <c r="Q33" i="7"/>
  <c r="O33" i="7"/>
  <c r="P33" i="7" s="1"/>
  <c r="R33" i="7" s="1"/>
  <c r="K33" i="7"/>
  <c r="L33" i="7" s="1"/>
  <c r="Q31" i="7"/>
  <c r="O31" i="7"/>
  <c r="P31" i="7" s="1"/>
  <c r="R31" i="7" s="1"/>
  <c r="K31" i="7"/>
  <c r="L31" i="7" s="1"/>
  <c r="G112" i="7" l="1"/>
  <c r="Q45" i="7"/>
  <c r="M45" i="7"/>
  <c r="R45" i="7"/>
  <c r="M80" i="7"/>
  <c r="M81" i="7"/>
  <c r="Q37" i="7"/>
  <c r="R37" i="7"/>
  <c r="Q84" i="7"/>
  <c r="Q83" i="7"/>
  <c r="R83" i="7"/>
  <c r="I83" i="7"/>
  <c r="M83" i="7"/>
  <c r="M84" i="7"/>
  <c r="G37" i="7"/>
  <c r="R84" i="7"/>
  <c r="E131" i="7"/>
  <c r="R128" i="7"/>
  <c r="S128" i="7" s="1"/>
  <c r="U128" i="7" s="1"/>
  <c r="M75" i="7"/>
  <c r="M67" i="7"/>
  <c r="Q73" i="7"/>
  <c r="M70" i="7"/>
  <c r="M68" i="7"/>
  <c r="R75" i="7"/>
  <c r="M74" i="7"/>
  <c r="Q79" i="7"/>
  <c r="R79" i="7"/>
  <c r="I79" i="7"/>
  <c r="I81" i="7"/>
  <c r="R81" i="7"/>
  <c r="I69" i="7"/>
  <c r="R69" i="7"/>
  <c r="M79" i="7"/>
  <c r="R73" i="7"/>
  <c r="M69" i="7"/>
  <c r="M77" i="7"/>
  <c r="M73" i="7"/>
  <c r="Q72" i="7"/>
  <c r="R78" i="7"/>
  <c r="R72" i="7"/>
  <c r="Q78" i="7"/>
  <c r="M78" i="7"/>
  <c r="M72" i="7"/>
  <c r="R67" i="7"/>
  <c r="I78" i="7"/>
  <c r="M71" i="7"/>
  <c r="R82" i="7"/>
  <c r="I82" i="7"/>
  <c r="Q82" i="7"/>
  <c r="M82" i="7"/>
  <c r="Q80" i="7"/>
  <c r="I80" i="7"/>
  <c r="R80" i="7"/>
  <c r="I68" i="7"/>
  <c r="Q68" i="7"/>
  <c r="R68" i="7"/>
  <c r="R76" i="7"/>
  <c r="M76" i="7"/>
  <c r="I76" i="7"/>
  <c r="Q76" i="7"/>
  <c r="Q74" i="7"/>
  <c r="R74" i="7"/>
  <c r="I74" i="7"/>
  <c r="R70" i="7"/>
  <c r="I70" i="7"/>
  <c r="Q70" i="7"/>
  <c r="R77" i="7"/>
  <c r="R71" i="7"/>
  <c r="Q77" i="7"/>
  <c r="Q71" i="7"/>
  <c r="Q67" i="7"/>
  <c r="Q81" i="7"/>
  <c r="Q75" i="7"/>
  <c r="Q69" i="7"/>
  <c r="R123" i="7"/>
  <c r="S123" i="7" s="1"/>
  <c r="U123" i="7" s="1"/>
  <c r="R167" i="7"/>
  <c r="S167" i="7" s="1"/>
  <c r="M122" i="7"/>
  <c r="R122" i="7"/>
  <c r="Q122" i="7"/>
  <c r="R164" i="7"/>
  <c r="S164" i="7" s="1"/>
  <c r="R161" i="7"/>
  <c r="S161" i="7" s="1"/>
  <c r="R158" i="7"/>
  <c r="S158" i="7" s="1"/>
  <c r="Q160" i="7"/>
  <c r="M160" i="7"/>
  <c r="S35" i="7"/>
  <c r="U35" i="7" s="1"/>
  <c r="R160" i="7"/>
  <c r="Q159" i="7"/>
  <c r="I159" i="7"/>
  <c r="M159" i="7"/>
  <c r="R159" i="7"/>
  <c r="I160" i="7"/>
  <c r="R107" i="7"/>
  <c r="R155" i="7"/>
  <c r="S155" i="7" s="1"/>
  <c r="M107" i="7"/>
  <c r="R110" i="7"/>
  <c r="S110" i="7" s="1"/>
  <c r="U110" i="7" s="1"/>
  <c r="R156" i="7"/>
  <c r="S156" i="7" s="1"/>
  <c r="R154" i="7"/>
  <c r="S154" i="7" s="1"/>
  <c r="M152" i="7"/>
  <c r="I152" i="7"/>
  <c r="S36" i="7"/>
  <c r="U36" i="7" s="1"/>
  <c r="R152" i="7"/>
  <c r="S152" i="7" s="1"/>
  <c r="S31" i="7"/>
  <c r="U31" i="7" s="1"/>
  <c r="R111" i="7"/>
  <c r="S111" i="7" s="1"/>
  <c r="U111" i="7" s="1"/>
  <c r="Q106" i="7"/>
  <c r="I106" i="7"/>
  <c r="M106" i="7"/>
  <c r="R106" i="7"/>
  <c r="R108" i="7"/>
  <c r="Q108" i="7"/>
  <c r="I108" i="7"/>
  <c r="M108" i="7"/>
  <c r="Q107" i="7"/>
  <c r="I107" i="7"/>
  <c r="M33" i="7"/>
  <c r="I37" i="7"/>
  <c r="S34" i="7"/>
  <c r="U34" i="7" s="1"/>
  <c r="M34" i="7"/>
  <c r="M31" i="7"/>
  <c r="S33" i="7"/>
  <c r="U33" i="7" s="1"/>
  <c r="I33" i="7"/>
  <c r="O99" i="7"/>
  <c r="P99" i="7" s="1"/>
  <c r="G97" i="7"/>
  <c r="Q97" i="7" s="1"/>
  <c r="G98" i="7"/>
  <c r="Q98" i="7" s="1"/>
  <c r="G99" i="7"/>
  <c r="Q99" i="7" s="1"/>
  <c r="O98" i="7"/>
  <c r="P98" i="7" s="1"/>
  <c r="O97" i="7"/>
  <c r="P97" i="7" s="1"/>
  <c r="O96" i="7"/>
  <c r="P96" i="7" s="1"/>
  <c r="G96" i="7"/>
  <c r="O92" i="7"/>
  <c r="P92" i="7" s="1"/>
  <c r="G92" i="7"/>
  <c r="F28" i="7"/>
  <c r="F27" i="7"/>
  <c r="F26" i="7"/>
  <c r="F25" i="7"/>
  <c r="F17" i="7"/>
  <c r="G17" i="7" s="1"/>
  <c r="O20" i="7"/>
  <c r="P20" i="7" s="1"/>
  <c r="R20" i="7" s="1"/>
  <c r="Q20" i="7"/>
  <c r="O21" i="7"/>
  <c r="P21" i="7" s="1"/>
  <c r="R21" i="7" s="1"/>
  <c r="Q21" i="7"/>
  <c r="O22" i="7"/>
  <c r="P22" i="7" s="1"/>
  <c r="R22" i="7" s="1"/>
  <c r="Q22" i="7"/>
  <c r="O23" i="7"/>
  <c r="P23" i="7" s="1"/>
  <c r="R23" i="7" s="1"/>
  <c r="Q23" i="7"/>
  <c r="O24" i="7"/>
  <c r="P24" i="7" s="1"/>
  <c r="R24" i="7" s="1"/>
  <c r="Q24" i="7"/>
  <c r="F20" i="7"/>
  <c r="G20" i="7" s="1"/>
  <c r="F21" i="7"/>
  <c r="G21" i="7" s="1"/>
  <c r="F22" i="7"/>
  <c r="G22" i="7" s="1"/>
  <c r="F23" i="7"/>
  <c r="G23" i="7" s="1"/>
  <c r="F24" i="7"/>
  <c r="G24" i="7" s="1"/>
  <c r="K17" i="7"/>
  <c r="L17" i="7" s="1"/>
  <c r="P17" i="7"/>
  <c r="R17" i="7" s="1"/>
  <c r="Q17" i="7"/>
  <c r="F135" i="7"/>
  <c r="G135" i="7" s="1"/>
  <c r="K135" i="7"/>
  <c r="L135" i="7" s="1"/>
  <c r="O135" i="7"/>
  <c r="P135" i="7" s="1"/>
  <c r="F136" i="7"/>
  <c r="G136" i="7" s="1"/>
  <c r="K136" i="7"/>
  <c r="L136" i="7" s="1"/>
  <c r="O136" i="7"/>
  <c r="P136" i="7" s="1"/>
  <c r="F137" i="7"/>
  <c r="G137" i="7" s="1"/>
  <c r="K137" i="7"/>
  <c r="L137" i="7" s="1"/>
  <c r="O137" i="7"/>
  <c r="P137" i="7" s="1"/>
  <c r="F138" i="7"/>
  <c r="G138" i="7" s="1"/>
  <c r="K138" i="7"/>
  <c r="L138" i="7" s="1"/>
  <c r="O138" i="7"/>
  <c r="P138" i="7" s="1"/>
  <c r="F134" i="7"/>
  <c r="G134" i="7" s="1"/>
  <c r="K134" i="7"/>
  <c r="L134" i="7" s="1"/>
  <c r="O134" i="7"/>
  <c r="P134" i="7" s="1"/>
  <c r="F56" i="7"/>
  <c r="F48" i="7"/>
  <c r="F47" i="7"/>
  <c r="F43" i="7"/>
  <c r="S45" i="7" l="1"/>
  <c r="U45" i="7" s="1"/>
  <c r="R112" i="7"/>
  <c r="Q112" i="7"/>
  <c r="P4" i="7" s="1"/>
  <c r="S73" i="7"/>
  <c r="U73" i="7" s="1"/>
  <c r="S69" i="7"/>
  <c r="U69" i="7" s="1"/>
  <c r="S79" i="7"/>
  <c r="U79" i="7" s="1"/>
  <c r="S84" i="7"/>
  <c r="U84" i="7" s="1"/>
  <c r="S78" i="7"/>
  <c r="U78" i="7" s="1"/>
  <c r="S75" i="7"/>
  <c r="U75" i="7" s="1"/>
  <c r="Q92" i="7"/>
  <c r="S37" i="7"/>
  <c r="U37" i="7" s="1"/>
  <c r="S83" i="7"/>
  <c r="U83" i="7" s="1"/>
  <c r="I17" i="7"/>
  <c r="S72" i="7"/>
  <c r="U72" i="7" s="1"/>
  <c r="S81" i="7"/>
  <c r="U81" i="7" s="1"/>
  <c r="S67" i="7"/>
  <c r="U67" i="7" s="1"/>
  <c r="S80" i="7"/>
  <c r="U80" i="7" s="1"/>
  <c r="S70" i="7"/>
  <c r="U70" i="7" s="1"/>
  <c r="S82" i="7"/>
  <c r="U82" i="7" s="1"/>
  <c r="S71" i="7"/>
  <c r="U71" i="7" s="1"/>
  <c r="S76" i="7"/>
  <c r="U76" i="7" s="1"/>
  <c r="S77" i="7"/>
  <c r="U77" i="7" s="1"/>
  <c r="S74" i="7"/>
  <c r="U74" i="7" s="1"/>
  <c r="S68" i="7"/>
  <c r="U68" i="7" s="1"/>
  <c r="S122" i="7"/>
  <c r="U122" i="7" s="1"/>
  <c r="S107" i="7"/>
  <c r="U107" i="7" s="1"/>
  <c r="S160" i="7"/>
  <c r="S159" i="7"/>
  <c r="T37" i="7"/>
  <c r="S106" i="7"/>
  <c r="U106" i="7" s="1"/>
  <c r="S108" i="7"/>
  <c r="U108" i="7" s="1"/>
  <c r="I112" i="7"/>
  <c r="R97" i="7"/>
  <c r="S97" i="7" s="1"/>
  <c r="U97" i="7" s="1"/>
  <c r="R96" i="7"/>
  <c r="R99" i="7"/>
  <c r="S99" i="7" s="1"/>
  <c r="U99" i="7" s="1"/>
  <c r="R98" i="7"/>
  <c r="S98" i="7" s="1"/>
  <c r="U98" i="7" s="1"/>
  <c r="S21" i="7"/>
  <c r="U21" i="7" s="1"/>
  <c r="R92" i="7"/>
  <c r="S22" i="7"/>
  <c r="U22" i="7" s="1"/>
  <c r="Q96" i="7"/>
  <c r="S24" i="7"/>
  <c r="U24" i="7" s="1"/>
  <c r="S20" i="7"/>
  <c r="U20" i="7" s="1"/>
  <c r="S23" i="7"/>
  <c r="U23" i="7" s="1"/>
  <c r="M17" i="7"/>
  <c r="S17" i="7"/>
  <c r="U17" i="7" s="1"/>
  <c r="M137" i="7"/>
  <c r="Q136" i="7"/>
  <c r="I136" i="7"/>
  <c r="R136" i="7"/>
  <c r="M136" i="7"/>
  <c r="R134" i="7"/>
  <c r="I137" i="7"/>
  <c r="Q137" i="7"/>
  <c r="Q134" i="7"/>
  <c r="I134" i="7"/>
  <c r="R137" i="7"/>
  <c r="I135" i="7"/>
  <c r="Q135" i="7"/>
  <c r="R135" i="7"/>
  <c r="M135" i="7"/>
  <c r="M134" i="7"/>
  <c r="R138" i="7"/>
  <c r="I138" i="7"/>
  <c r="Q138" i="7"/>
  <c r="M138" i="7"/>
  <c r="O39" i="7"/>
  <c r="O169" i="7"/>
  <c r="O168" i="7"/>
  <c r="O170" i="7"/>
  <c r="O171" i="7"/>
  <c r="O151" i="7"/>
  <c r="O153" i="7"/>
  <c r="S112" i="7" l="1"/>
  <c r="U112" i="7" s="1"/>
  <c r="S92" i="7"/>
  <c r="U92" i="7" s="1"/>
  <c r="P169" i="7"/>
  <c r="S96" i="7"/>
  <c r="U96" i="7" s="1"/>
  <c r="S134" i="7"/>
  <c r="S135" i="7"/>
  <c r="S136" i="7"/>
  <c r="S137" i="7"/>
  <c r="S138" i="7"/>
  <c r="Q18" i="7" l="1"/>
  <c r="O18" i="7"/>
  <c r="P18" i="7" s="1"/>
  <c r="R18" i="7" s="1"/>
  <c r="G48" i="7" l="1"/>
  <c r="G47" i="7"/>
  <c r="Q47" i="7" s="1"/>
  <c r="G43" i="7"/>
  <c r="Q43" i="7" s="1"/>
  <c r="Q19" i="7"/>
  <c r="Q25" i="7"/>
  <c r="G26" i="7"/>
  <c r="I26" i="7" s="1"/>
  <c r="Q26" i="7"/>
  <c r="G27" i="7"/>
  <c r="I27" i="7" s="1"/>
  <c r="Q27" i="7"/>
  <c r="G28" i="7"/>
  <c r="I28" i="7" s="1"/>
  <c r="Q28" i="7"/>
  <c r="Q29" i="7" l="1"/>
  <c r="I48" i="7"/>
  <c r="Q48" i="7"/>
  <c r="O65" i="7" l="1"/>
  <c r="P65" i="7" s="1"/>
  <c r="G56" i="7"/>
  <c r="I56" i="7" l="1"/>
  <c r="Q56" i="7"/>
  <c r="O94" i="7"/>
  <c r="P94" i="7" s="1"/>
  <c r="O93" i="7"/>
  <c r="P93" i="7" s="1"/>
  <c r="O42" i="7"/>
  <c r="P42" i="7" s="1"/>
  <c r="O46" i="7"/>
  <c r="P46" i="7" s="1"/>
  <c r="O57" i="7"/>
  <c r="P57" i="7" s="1"/>
  <c r="O60" i="7"/>
  <c r="P60" i="7" s="1"/>
  <c r="O59" i="7"/>
  <c r="P59" i="7" s="1"/>
  <c r="O58" i="7"/>
  <c r="P58" i="7" s="1"/>
  <c r="O54" i="7"/>
  <c r="P54" i="7" s="1"/>
  <c r="O55" i="7"/>
  <c r="P55" i="7" s="1"/>
  <c r="O52" i="7"/>
  <c r="P52" i="7" s="1"/>
  <c r="O50" i="7"/>
  <c r="P50" i="7" s="1"/>
  <c r="O48" i="7"/>
  <c r="P48" i="7" s="1"/>
  <c r="R48" i="7" s="1"/>
  <c r="S48" i="7" s="1"/>
  <c r="U48" i="7" s="1"/>
  <c r="O53" i="7"/>
  <c r="P53" i="7" s="1"/>
  <c r="O47" i="7"/>
  <c r="O43" i="7"/>
  <c r="P43" i="7" s="1"/>
  <c r="R43" i="7" s="1"/>
  <c r="S43" i="7" s="1"/>
  <c r="U43" i="7" s="1"/>
  <c r="O41" i="7"/>
  <c r="P41" i="7" s="1"/>
  <c r="O40" i="7"/>
  <c r="P40" i="7" s="1"/>
  <c r="O19" i="7"/>
  <c r="P19" i="7" s="1"/>
  <c r="R19" i="7" s="1"/>
  <c r="O119" i="7"/>
  <c r="P119" i="7" s="1"/>
  <c r="O25" i="7"/>
  <c r="P25" i="7" s="1"/>
  <c r="R25" i="7" s="1"/>
  <c r="S25" i="7" s="1"/>
  <c r="U25" i="7" s="1"/>
  <c r="O27" i="7"/>
  <c r="P27" i="7" s="1"/>
  <c r="R27" i="7" s="1"/>
  <c r="S27" i="7" s="1"/>
  <c r="U27" i="7" s="1"/>
  <c r="O28" i="7"/>
  <c r="P28" i="7" s="1"/>
  <c r="R28" i="7" s="1"/>
  <c r="S28" i="7" s="1"/>
  <c r="U28" i="7" s="1"/>
  <c r="O26" i="7"/>
  <c r="P26" i="7" s="1"/>
  <c r="R26" i="7" s="1"/>
  <c r="S26" i="7" s="1"/>
  <c r="U26" i="7" s="1"/>
  <c r="P121" i="7"/>
  <c r="O127" i="7"/>
  <c r="P127" i="7" s="1"/>
  <c r="O66" i="7"/>
  <c r="P66" i="7" s="1"/>
  <c r="O85" i="7"/>
  <c r="P85" i="7" s="1"/>
  <c r="O64" i="7"/>
  <c r="O86" i="7"/>
  <c r="P86" i="7" s="1"/>
  <c r="O87" i="7"/>
  <c r="O63" i="7"/>
  <c r="O165" i="7"/>
  <c r="O166" i="7"/>
  <c r="O162" i="7"/>
  <c r="O163" i="7"/>
  <c r="O157" i="7"/>
  <c r="P153" i="7"/>
  <c r="O95" i="7"/>
  <c r="O149" i="7"/>
  <c r="O150" i="7"/>
  <c r="O139" i="7"/>
  <c r="O140" i="7"/>
  <c r="O142" i="7"/>
  <c r="O143" i="7"/>
  <c r="O144" i="7"/>
  <c r="O141" i="7"/>
  <c r="O147" i="7"/>
  <c r="O145" i="7"/>
  <c r="O148" i="7"/>
  <c r="O146" i="7"/>
  <c r="S19" i="7" l="1"/>
  <c r="U19" i="7" s="1"/>
  <c r="R29" i="7"/>
  <c r="S18" i="7"/>
  <c r="U18" i="7" s="1"/>
  <c r="P47" i="7"/>
  <c r="R47" i="7" s="1"/>
  <c r="S47" i="7" s="1"/>
  <c r="U47" i="7" s="1"/>
  <c r="P64" i="7"/>
  <c r="P87" i="7"/>
  <c r="P63" i="7"/>
  <c r="P170" i="7"/>
  <c r="P171" i="7"/>
  <c r="P168" i="7"/>
  <c r="P120" i="7"/>
  <c r="P165" i="7"/>
  <c r="P163" i="7"/>
  <c r="P162" i="7"/>
  <c r="P166" i="7"/>
  <c r="P157" i="7"/>
  <c r="P151" i="7"/>
  <c r="P95" i="7"/>
  <c r="P150" i="7"/>
  <c r="P149" i="7"/>
  <c r="P139" i="7"/>
  <c r="P140" i="7"/>
  <c r="P144" i="7"/>
  <c r="P143" i="7"/>
  <c r="P141" i="7"/>
  <c r="P142" i="7"/>
  <c r="P146" i="7"/>
  <c r="P148" i="7"/>
  <c r="P145" i="7"/>
  <c r="P147" i="7"/>
  <c r="S29" i="7" l="1"/>
  <c r="S11" i="7"/>
  <c r="U29" i="7" l="1"/>
  <c r="O49" i="7"/>
  <c r="O44" i="7"/>
  <c r="O129" i="7"/>
  <c r="O56" i="7"/>
  <c r="B17" i="4" l="1"/>
  <c r="B20" i="4" s="1"/>
  <c r="C16" i="4"/>
  <c r="C15" i="4"/>
  <c r="C17" i="4" l="1"/>
  <c r="D6" i="4"/>
  <c r="G6" i="4" l="1"/>
  <c r="G57" i="7"/>
  <c r="K169" i="7"/>
  <c r="K65" i="7"/>
  <c r="K93" i="7"/>
  <c r="K94" i="7"/>
  <c r="K46" i="7"/>
  <c r="K42" i="7"/>
  <c r="K57" i="7"/>
  <c r="K55" i="7"/>
  <c r="K52" i="7"/>
  <c r="K53" i="7"/>
  <c r="K19" i="7"/>
  <c r="K26" i="7"/>
  <c r="K127" i="7"/>
  <c r="K60" i="7"/>
  <c r="K58" i="7"/>
  <c r="K48" i="7"/>
  <c r="K25" i="7"/>
  <c r="K119" i="7"/>
  <c r="K59" i="7"/>
  <c r="K54" i="7"/>
  <c r="K50" i="7"/>
  <c r="K41" i="7"/>
  <c r="K40" i="7"/>
  <c r="K27" i="7"/>
  <c r="K18" i="7"/>
  <c r="K121" i="7"/>
  <c r="K28" i="7"/>
  <c r="K85" i="7"/>
  <c r="K64" i="7"/>
  <c r="K86" i="7"/>
  <c r="K66" i="7"/>
  <c r="K87" i="7"/>
  <c r="K63" i="7"/>
  <c r="K56" i="7"/>
  <c r="E6" i="4"/>
  <c r="F6" i="4"/>
  <c r="I57" i="7" l="1"/>
  <c r="Q57" i="7"/>
  <c r="R57" i="7"/>
  <c r="F15" i="4"/>
  <c r="F16" i="4"/>
  <c r="D9" i="4"/>
  <c r="D8" i="4"/>
  <c r="D7" i="4"/>
  <c r="S57" i="7" l="1"/>
  <c r="U57" i="7" s="1"/>
  <c r="F46" i="7"/>
  <c r="G46" i="7" s="1"/>
  <c r="F40" i="7"/>
  <c r="G58" i="7"/>
  <c r="F169" i="7"/>
  <c r="G169" i="7" s="1"/>
  <c r="T108" i="7" s="1"/>
  <c r="F65" i="7"/>
  <c r="G65" i="7" s="1"/>
  <c r="F93" i="7"/>
  <c r="G93" i="7" s="1"/>
  <c r="F94" i="7"/>
  <c r="G94" i="7" s="1"/>
  <c r="F42" i="7"/>
  <c r="G42" i="7" s="1"/>
  <c r="G25" i="7"/>
  <c r="I25" i="7" s="1"/>
  <c r="F121" i="7"/>
  <c r="G121" i="7" s="1"/>
  <c r="F86" i="7"/>
  <c r="G86" i="7" s="1"/>
  <c r="F64" i="7"/>
  <c r="G64" i="7" s="1"/>
  <c r="F53" i="7"/>
  <c r="G53" i="7" s="1"/>
  <c r="F55" i="7"/>
  <c r="G55" i="7" s="1"/>
  <c r="F85" i="7"/>
  <c r="G85" i="7" s="1"/>
  <c r="F129" i="7"/>
  <c r="G129" i="7" s="1"/>
  <c r="F50" i="7"/>
  <c r="G50" i="7" s="1"/>
  <c r="F127" i="7"/>
  <c r="G127" i="7" s="1"/>
  <c r="F66" i="7"/>
  <c r="G66" i="7" s="1"/>
  <c r="F87" i="7"/>
  <c r="G87" i="7" s="1"/>
  <c r="F119" i="7"/>
  <c r="G119" i="7" s="1"/>
  <c r="F120" i="7"/>
  <c r="G120" i="7" s="1"/>
  <c r="T107" i="7" s="1"/>
  <c r="F149" i="7"/>
  <c r="G149" i="7" s="1"/>
  <c r="F141" i="7"/>
  <c r="G141" i="7" s="1"/>
  <c r="F144" i="7"/>
  <c r="G144" i="7" s="1"/>
  <c r="F146" i="7"/>
  <c r="G146" i="7" s="1"/>
  <c r="F168" i="7"/>
  <c r="G168" i="7" s="1"/>
  <c r="F157" i="7"/>
  <c r="G157" i="7" s="1"/>
  <c r="T104" i="7" s="1"/>
  <c r="F150" i="7"/>
  <c r="G150" i="7" s="1"/>
  <c r="F142" i="7"/>
  <c r="G142" i="7" s="1"/>
  <c r="F145" i="7"/>
  <c r="G145" i="7" s="1"/>
  <c r="F63" i="7"/>
  <c r="G63" i="7" s="1"/>
  <c r="F170" i="7"/>
  <c r="G170" i="7" s="1"/>
  <c r="T112" i="7" s="1"/>
  <c r="F151" i="7"/>
  <c r="G151" i="7" s="1"/>
  <c r="F95" i="7"/>
  <c r="G95" i="7" s="1"/>
  <c r="F140" i="7"/>
  <c r="G140" i="7" s="1"/>
  <c r="F148" i="7"/>
  <c r="G148" i="7" s="1"/>
  <c r="F171" i="7"/>
  <c r="G171" i="7" s="1"/>
  <c r="T106" i="7"/>
  <c r="F153" i="7"/>
  <c r="G153" i="7" s="1"/>
  <c r="F139" i="7"/>
  <c r="G139" i="7" s="1"/>
  <c r="F143" i="7"/>
  <c r="G143" i="7" s="1"/>
  <c r="F147" i="7"/>
  <c r="G147" i="7" s="1"/>
  <c r="F52" i="7"/>
  <c r="G52" i="7" s="1"/>
  <c r="F41" i="7"/>
  <c r="G41" i="7" s="1"/>
  <c r="F19" i="7"/>
  <c r="G19" i="7" s="1"/>
  <c r="I19" i="7" s="1"/>
  <c r="G60" i="7"/>
  <c r="G59" i="7"/>
  <c r="F54" i="7"/>
  <c r="G54" i="7" s="1"/>
  <c r="F18" i="7"/>
  <c r="G18" i="7" s="1"/>
  <c r="F39" i="7"/>
  <c r="G39" i="7" s="1"/>
  <c r="F49" i="7"/>
  <c r="G49" i="7" s="1"/>
  <c r="I49" i="7" s="1"/>
  <c r="K49" i="7" s="1"/>
  <c r="F44" i="7"/>
  <c r="G44" i="7" s="1"/>
  <c r="I44" i="7" s="1"/>
  <c r="K44" i="7" s="1"/>
  <c r="F17" i="4"/>
  <c r="F18" i="4" s="1"/>
  <c r="G8" i="4"/>
  <c r="F8" i="4"/>
  <c r="E8" i="4"/>
  <c r="G7" i="4"/>
  <c r="F7" i="4"/>
  <c r="E7" i="4"/>
  <c r="G9" i="4"/>
  <c r="F9" i="4"/>
  <c r="E9" i="4"/>
  <c r="Q52" i="7" l="1"/>
  <c r="R52" i="7"/>
  <c r="G29" i="7"/>
  <c r="G124" i="7"/>
  <c r="G102" i="7"/>
  <c r="G40" i="7"/>
  <c r="I40" i="7" s="1"/>
  <c r="Q40" i="7"/>
  <c r="R40" i="7"/>
  <c r="I39" i="7"/>
  <c r="K39" i="7" s="1"/>
  <c r="L39" i="7" s="1"/>
  <c r="M39" i="7" s="1"/>
  <c r="Q39" i="7"/>
  <c r="G130" i="7"/>
  <c r="Q44" i="7"/>
  <c r="Q147" i="7"/>
  <c r="I147" i="7"/>
  <c r="K147" i="7" s="1"/>
  <c r="L147" i="7" s="1"/>
  <c r="M147" i="7" s="1"/>
  <c r="T94" i="7"/>
  <c r="R147" i="7"/>
  <c r="T87" i="7"/>
  <c r="T86" i="7"/>
  <c r="I53" i="7"/>
  <c r="Q53" i="7"/>
  <c r="R53" i="7"/>
  <c r="Q143" i="7"/>
  <c r="I143" i="7"/>
  <c r="K143" i="7" s="1"/>
  <c r="L143" i="7" s="1"/>
  <c r="M143" i="7" s="1"/>
  <c r="R143" i="7"/>
  <c r="T148" i="7"/>
  <c r="Q145" i="7"/>
  <c r="I145" i="7"/>
  <c r="K145" i="7" s="1"/>
  <c r="L145" i="7" s="1"/>
  <c r="M145" i="7" s="1"/>
  <c r="R145" i="7"/>
  <c r="T145" i="7"/>
  <c r="Q168" i="7"/>
  <c r="I168" i="7"/>
  <c r="K168" i="7" s="1"/>
  <c r="L168" i="7" s="1"/>
  <c r="M168" i="7" s="1"/>
  <c r="R168" i="7"/>
  <c r="Q64" i="7"/>
  <c r="I64" i="7"/>
  <c r="T60" i="7"/>
  <c r="R64" i="7"/>
  <c r="Q65" i="7"/>
  <c r="I65" i="7"/>
  <c r="R65" i="7"/>
  <c r="I46" i="7"/>
  <c r="Q46" i="7"/>
  <c r="R46" i="7"/>
  <c r="I18" i="7"/>
  <c r="Q139" i="7"/>
  <c r="I139" i="7"/>
  <c r="K139" i="7" s="1"/>
  <c r="L139" i="7" s="1"/>
  <c r="M139" i="7" s="1"/>
  <c r="T88" i="7"/>
  <c r="R139" i="7"/>
  <c r="I153" i="7"/>
  <c r="K153" i="7" s="1"/>
  <c r="L153" i="7" s="1"/>
  <c r="M153" i="7" s="1"/>
  <c r="Q153" i="7"/>
  <c r="T151" i="7"/>
  <c r="R153" i="7"/>
  <c r="I163" i="7"/>
  <c r="K163" i="7" s="1"/>
  <c r="L163" i="7" s="1"/>
  <c r="M163" i="7" s="1"/>
  <c r="Q163" i="7"/>
  <c r="T119" i="7"/>
  <c r="R163" i="7"/>
  <c r="I140" i="7"/>
  <c r="K140" i="7" s="1"/>
  <c r="L140" i="7" s="1"/>
  <c r="M140" i="7" s="1"/>
  <c r="Q140" i="7"/>
  <c r="T89" i="7"/>
  <c r="R140" i="7"/>
  <c r="Q95" i="7"/>
  <c r="I95" i="7"/>
  <c r="K95" i="7" s="1"/>
  <c r="L95" i="7" s="1"/>
  <c r="M95" i="7" s="1"/>
  <c r="T146" i="7"/>
  <c r="R95" i="7"/>
  <c r="I162" i="7"/>
  <c r="K162" i="7" s="1"/>
  <c r="L162" i="7" s="1"/>
  <c r="M162" i="7" s="1"/>
  <c r="Q162" i="7"/>
  <c r="T114" i="7"/>
  <c r="R162" i="7"/>
  <c r="I150" i="7"/>
  <c r="K150" i="7" s="1"/>
  <c r="L150" i="7" s="1"/>
  <c r="M150" i="7" s="1"/>
  <c r="Q150" i="7"/>
  <c r="T95" i="7"/>
  <c r="R150" i="7"/>
  <c r="I157" i="7"/>
  <c r="K157" i="7" s="1"/>
  <c r="L157" i="7" s="1"/>
  <c r="M157" i="7" s="1"/>
  <c r="Q157" i="7"/>
  <c r="T103" i="7"/>
  <c r="R157" i="7"/>
  <c r="I144" i="7"/>
  <c r="K144" i="7" s="1"/>
  <c r="L144" i="7" s="1"/>
  <c r="M144" i="7" s="1"/>
  <c r="Q144" i="7"/>
  <c r="R144" i="7"/>
  <c r="I149" i="7"/>
  <c r="K149" i="7" s="1"/>
  <c r="L149" i="7" s="1"/>
  <c r="M149" i="7" s="1"/>
  <c r="Q149" i="7"/>
  <c r="R149" i="7"/>
  <c r="T102" i="7"/>
  <c r="I50" i="7"/>
  <c r="Q50" i="7"/>
  <c r="R50" i="7"/>
  <c r="Q94" i="7"/>
  <c r="I94" i="7"/>
  <c r="R94" i="7"/>
  <c r="Q169" i="7"/>
  <c r="I169" i="7"/>
  <c r="R169" i="7"/>
  <c r="T50" i="7"/>
  <c r="L86" i="7"/>
  <c r="M86" i="7" s="1"/>
  <c r="L52" i="7"/>
  <c r="M52" i="7" s="1"/>
  <c r="L127" i="7"/>
  <c r="M127" i="7" s="1"/>
  <c r="L59" i="7"/>
  <c r="M59" i="7" s="1"/>
  <c r="L58" i="7"/>
  <c r="M58" i="7" s="1"/>
  <c r="L85" i="7"/>
  <c r="M85" i="7" s="1"/>
  <c r="L57" i="7"/>
  <c r="M57" i="7" s="1"/>
  <c r="L41" i="7"/>
  <c r="M41" i="7" s="1"/>
  <c r="L63" i="7"/>
  <c r="M63" i="7" s="1"/>
  <c r="L55" i="7"/>
  <c r="M55" i="7" s="1"/>
  <c r="L60" i="7"/>
  <c r="M60" i="7" s="1"/>
  <c r="L53" i="7"/>
  <c r="M53" i="7" s="1"/>
  <c r="L40" i="7"/>
  <c r="L46" i="7"/>
  <c r="M46" i="7" s="1"/>
  <c r="L66" i="7"/>
  <c r="M66" i="7" s="1"/>
  <c r="L87" i="7"/>
  <c r="M87" i="7" s="1"/>
  <c r="L19" i="7"/>
  <c r="M19" i="7" s="1"/>
  <c r="L65" i="7"/>
  <c r="M65" i="7" s="1"/>
  <c r="L121" i="7"/>
  <c r="M121" i="7" s="1"/>
  <c r="L27" i="7"/>
  <c r="M27" i="7" s="1"/>
  <c r="L119" i="7"/>
  <c r="M119" i="7" s="1"/>
  <c r="L42" i="7"/>
  <c r="M42" i="7" s="1"/>
  <c r="L169" i="7"/>
  <c r="M169" i="7" s="1"/>
  <c r="L26" i="7"/>
  <c r="M26" i="7" s="1"/>
  <c r="L93" i="7"/>
  <c r="M93" i="7" s="1"/>
  <c r="L25" i="7"/>
  <c r="M25" i="7" s="1"/>
  <c r="L28" i="7"/>
  <c r="M28" i="7" s="1"/>
  <c r="L54" i="7"/>
  <c r="M54" i="7" s="1"/>
  <c r="L48" i="7"/>
  <c r="M48" i="7" s="1"/>
  <c r="L94" i="7"/>
  <c r="M94" i="7" s="1"/>
  <c r="L50" i="7"/>
  <c r="M50" i="7" s="1"/>
  <c r="L64" i="7"/>
  <c r="M64" i="7" s="1"/>
  <c r="L56" i="7"/>
  <c r="M56" i="7" s="1"/>
  <c r="L18" i="7"/>
  <c r="M18" i="7" s="1"/>
  <c r="L49" i="7"/>
  <c r="M49" i="7" s="1"/>
  <c r="T133" i="7"/>
  <c r="I59" i="7"/>
  <c r="Q59" i="7"/>
  <c r="R59" i="7"/>
  <c r="Q41" i="7"/>
  <c r="I41" i="7"/>
  <c r="R41" i="7"/>
  <c r="I148" i="7"/>
  <c r="K148" i="7" s="1"/>
  <c r="L148" i="7" s="1"/>
  <c r="M148" i="7" s="1"/>
  <c r="Q148" i="7"/>
  <c r="R148" i="7"/>
  <c r="I151" i="7"/>
  <c r="K151" i="7" s="1"/>
  <c r="L151" i="7" s="1"/>
  <c r="M151" i="7" s="1"/>
  <c r="Q151" i="7"/>
  <c r="R151" i="7"/>
  <c r="I63" i="7"/>
  <c r="Q63" i="7"/>
  <c r="T59" i="7"/>
  <c r="R63" i="7"/>
  <c r="T126" i="7"/>
  <c r="Q120" i="7"/>
  <c r="I120" i="7"/>
  <c r="K120" i="7" s="1"/>
  <c r="L120" i="7" s="1"/>
  <c r="M120" i="7" s="1"/>
  <c r="T125" i="7"/>
  <c r="R120" i="7"/>
  <c r="Q87" i="7"/>
  <c r="I87" i="7"/>
  <c r="R87" i="7"/>
  <c r="Q129" i="7"/>
  <c r="I129" i="7"/>
  <c r="Q93" i="7"/>
  <c r="I93" i="7"/>
  <c r="R93" i="7"/>
  <c r="T54" i="7"/>
  <c r="I52" i="7"/>
  <c r="I166" i="7"/>
  <c r="K166" i="7" s="1"/>
  <c r="L166" i="7" s="1"/>
  <c r="M166" i="7" s="1"/>
  <c r="Q166" i="7"/>
  <c r="T124" i="7"/>
  <c r="R166" i="7"/>
  <c r="T141" i="7"/>
  <c r="I165" i="7"/>
  <c r="K165" i="7" s="1"/>
  <c r="L165" i="7" s="1"/>
  <c r="M165" i="7" s="1"/>
  <c r="Q165" i="7"/>
  <c r="R165" i="7"/>
  <c r="I146" i="7"/>
  <c r="K146" i="7" s="1"/>
  <c r="L146" i="7" s="1"/>
  <c r="M146" i="7" s="1"/>
  <c r="Q146" i="7"/>
  <c r="T93" i="7"/>
  <c r="R146" i="7"/>
  <c r="T147" i="7"/>
  <c r="T130" i="7"/>
  <c r="I127" i="7"/>
  <c r="Q127" i="7"/>
  <c r="R127" i="7"/>
  <c r="T53" i="7"/>
  <c r="T138" i="7"/>
  <c r="T56" i="7"/>
  <c r="I60" i="7"/>
  <c r="Q60" i="7"/>
  <c r="R60" i="7"/>
  <c r="L44" i="7"/>
  <c r="M44" i="7" s="1"/>
  <c r="T140" i="7"/>
  <c r="T49" i="7"/>
  <c r="Q54" i="7"/>
  <c r="I54" i="7"/>
  <c r="R54" i="7"/>
  <c r="T85" i="7"/>
  <c r="I171" i="7"/>
  <c r="K171" i="7" s="1"/>
  <c r="L171" i="7" s="1"/>
  <c r="M171" i="7" s="1"/>
  <c r="Q171" i="7"/>
  <c r="T129" i="7"/>
  <c r="R171" i="7"/>
  <c r="I170" i="7"/>
  <c r="K170" i="7" s="1"/>
  <c r="L170" i="7" s="1"/>
  <c r="M170" i="7" s="1"/>
  <c r="Q170" i="7"/>
  <c r="T127" i="7"/>
  <c r="R170" i="7"/>
  <c r="I142" i="7"/>
  <c r="K142" i="7" s="1"/>
  <c r="L142" i="7" s="1"/>
  <c r="M142" i="7" s="1"/>
  <c r="Q142" i="7"/>
  <c r="T90" i="7"/>
  <c r="R142" i="7"/>
  <c r="T142" i="7"/>
  <c r="T149" i="7"/>
  <c r="I141" i="7"/>
  <c r="K141" i="7" s="1"/>
  <c r="L141" i="7" s="1"/>
  <c r="M141" i="7" s="1"/>
  <c r="Q141" i="7"/>
  <c r="R141" i="7"/>
  <c r="T143" i="7"/>
  <c r="T150" i="7"/>
  <c r="T121" i="7"/>
  <c r="Q119" i="7"/>
  <c r="I119" i="7"/>
  <c r="R119" i="7"/>
  <c r="I124" i="7"/>
  <c r="Q55" i="7"/>
  <c r="I55" i="7"/>
  <c r="R55" i="7"/>
  <c r="Q121" i="7"/>
  <c r="I121" i="7"/>
  <c r="R121" i="7"/>
  <c r="Q42" i="7"/>
  <c r="I42" i="7"/>
  <c r="R42" i="7"/>
  <c r="I58" i="7"/>
  <c r="Q58" i="7"/>
  <c r="R58" i="7"/>
  <c r="T55" i="7"/>
  <c r="T52" i="7"/>
  <c r="I85" i="7"/>
  <c r="R85" i="7"/>
  <c r="Q85" i="7"/>
  <c r="I86" i="7"/>
  <c r="R86" i="7"/>
  <c r="Q86" i="7"/>
  <c r="Q66" i="7"/>
  <c r="I66" i="7"/>
  <c r="R66" i="7"/>
  <c r="G88" i="7"/>
  <c r="B23" i="4"/>
  <c r="M40" i="7" l="1"/>
  <c r="Q124" i="7"/>
  <c r="R124" i="7"/>
  <c r="R102" i="7"/>
  <c r="Q102" i="7"/>
  <c r="G61" i="7"/>
  <c r="I61" i="7" s="1"/>
  <c r="S40" i="7"/>
  <c r="U40" i="7" s="1"/>
  <c r="Q130" i="7"/>
  <c r="S63" i="7"/>
  <c r="U63" i="7" s="1"/>
  <c r="S41" i="7"/>
  <c r="U41" i="7" s="1"/>
  <c r="S95" i="7"/>
  <c r="U95" i="7" s="1"/>
  <c r="S141" i="7"/>
  <c r="S142" i="7"/>
  <c r="S170" i="7"/>
  <c r="S165" i="7"/>
  <c r="S166" i="7"/>
  <c r="S151" i="7"/>
  <c r="S150" i="7"/>
  <c r="S52" i="7"/>
  <c r="U52" i="7" s="1"/>
  <c r="S120" i="7"/>
  <c r="U120" i="7" s="1"/>
  <c r="S153" i="7"/>
  <c r="S58" i="7"/>
  <c r="U58" i="7" s="1"/>
  <c r="S148" i="7"/>
  <c r="S50" i="7"/>
  <c r="U50" i="7" s="1"/>
  <c r="S121" i="7"/>
  <c r="U121" i="7" s="1"/>
  <c r="S54" i="7"/>
  <c r="U54" i="7" s="1"/>
  <c r="S64" i="7"/>
  <c r="U64" i="7" s="1"/>
  <c r="S168" i="7"/>
  <c r="S60" i="7"/>
  <c r="U60" i="7" s="1"/>
  <c r="S145" i="7"/>
  <c r="S42" i="7"/>
  <c r="U42" i="7" s="1"/>
  <c r="S93" i="7"/>
  <c r="S157" i="7"/>
  <c r="S162" i="7"/>
  <c r="S140" i="7"/>
  <c r="S163" i="7"/>
  <c r="S139" i="7"/>
  <c r="S171" i="7"/>
  <c r="S144" i="7"/>
  <c r="S87" i="7"/>
  <c r="U87" i="7" s="1"/>
  <c r="S119" i="7"/>
  <c r="U119" i="7" s="1"/>
  <c r="S127" i="7"/>
  <c r="U127" i="7" s="1"/>
  <c r="S94" i="7"/>
  <c r="U94" i="7" s="1"/>
  <c r="S149" i="7"/>
  <c r="S65" i="7"/>
  <c r="U65" i="7" s="1"/>
  <c r="P3" i="7"/>
  <c r="S143" i="7"/>
  <c r="S147" i="7"/>
  <c r="S55" i="7"/>
  <c r="U55" i="7" s="1"/>
  <c r="S146" i="7"/>
  <c r="S59" i="7"/>
  <c r="U59" i="7" s="1"/>
  <c r="S169" i="7"/>
  <c r="S46" i="7"/>
  <c r="U46" i="7" s="1"/>
  <c r="I102" i="7"/>
  <c r="S53" i="7"/>
  <c r="U53" i="7" s="1"/>
  <c r="S66" i="7"/>
  <c r="U66" i="7" s="1"/>
  <c r="S86" i="7"/>
  <c r="U86" i="7" s="1"/>
  <c r="I88" i="7"/>
  <c r="Q88" i="7"/>
  <c r="S85" i="7"/>
  <c r="U85" i="7" s="1"/>
  <c r="I29" i="7"/>
  <c r="Q49" i="7"/>
  <c r="Q61" i="7" s="1"/>
  <c r="G131" i="7" l="1"/>
  <c r="Q131" i="7"/>
  <c r="S102" i="7"/>
  <c r="U102" i="7" s="1"/>
  <c r="U93" i="7"/>
  <c r="S124" i="7"/>
  <c r="U124" i="7" s="1"/>
  <c r="P7" i="7"/>
  <c r="R7" i="7" s="1"/>
  <c r="P5" i="7" l="1"/>
  <c r="K129" i="7"/>
  <c r="L129" i="7" s="1"/>
  <c r="R5" i="7" l="1"/>
  <c r="S5" i="7"/>
  <c r="M129" i="7"/>
  <c r="R88" i="7"/>
  <c r="I130" i="7" l="1"/>
  <c r="I131" i="7" s="1"/>
  <c r="R3" i="7"/>
  <c r="S3" i="7" s="1"/>
  <c r="P8" i="7"/>
  <c r="S88" i="7"/>
  <c r="U88" i="7" s="1"/>
  <c r="T63" i="7"/>
  <c r="P129" i="7"/>
  <c r="R129" i="7" s="1"/>
  <c r="S7" i="7"/>
  <c r="T43" i="7"/>
  <c r="T44" i="7"/>
  <c r="P56" i="7"/>
  <c r="R56" i="7" s="1"/>
  <c r="T46" i="7"/>
  <c r="T25" i="7"/>
  <c r="T28" i="7"/>
  <c r="T42" i="7"/>
  <c r="P49" i="7"/>
  <c r="T26" i="7"/>
  <c r="R8" i="7" l="1"/>
  <c r="R12" i="7" s="1"/>
  <c r="P12" i="7"/>
  <c r="S129" i="7"/>
  <c r="R130" i="7"/>
  <c r="R49" i="7"/>
  <c r="S49" i="7" s="1"/>
  <c r="U49" i="7" s="1"/>
  <c r="S56" i="7"/>
  <c r="U56" i="7" s="1"/>
  <c r="P39" i="7"/>
  <c r="T39" i="7"/>
  <c r="T41" i="7"/>
  <c r="P44" i="7"/>
  <c r="T40" i="7"/>
  <c r="T27" i="7"/>
  <c r="S130" i="7" l="1"/>
  <c r="U130" i="7" s="1"/>
  <c r="U129" i="7"/>
  <c r="T29" i="7"/>
  <c r="T57" i="7"/>
  <c r="R39" i="7"/>
  <c r="S39" i="7" s="1"/>
  <c r="U39" i="7" s="1"/>
  <c r="R44" i="7"/>
  <c r="S44" i="7" s="1"/>
  <c r="U44" i="7" s="1"/>
  <c r="S12" i="7"/>
  <c r="S8" i="7"/>
  <c r="T64" i="7"/>
  <c r="S61" i="7" l="1"/>
  <c r="S131" i="7" s="1"/>
  <c r="T65" i="7"/>
  <c r="R61" i="7"/>
  <c r="R131" i="7" s="1"/>
  <c r="U131" i="7" l="1"/>
  <c r="U61" i="7"/>
  <c r="B28" i="4"/>
  <c r="B29" i="4" s="1"/>
  <c r="C29" i="4" s="1"/>
  <c r="B25" i="4" l="1"/>
  <c r="B26" i="4" s="1"/>
</calcChain>
</file>

<file path=xl/sharedStrings.xml><?xml version="1.0" encoding="utf-8"?>
<sst xmlns="http://schemas.openxmlformats.org/spreadsheetml/2006/main" count="266" uniqueCount="227">
  <si>
    <t>Monthly Frequency</t>
  </si>
  <si>
    <t>Annual PU's</t>
  </si>
  <si>
    <t>Gross Up</t>
  </si>
  <si>
    <t>Totals</t>
  </si>
  <si>
    <t>Increase per ton</t>
  </si>
  <si>
    <t>Per Ton</t>
  </si>
  <si>
    <t>Per Pound</t>
  </si>
  <si>
    <t>Increase</t>
  </si>
  <si>
    <t>Meeks Weights</t>
  </si>
  <si>
    <t>Collected Revenue Excess/(Deficiency)</t>
  </si>
  <si>
    <t>Residential</t>
  </si>
  <si>
    <t>Commercial</t>
  </si>
  <si>
    <t>Extra bag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</si>
  <si>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</si>
  <si>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</si>
  <si>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</si>
  <si>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</si>
  <si>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</si>
  <si>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</si>
  <si>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</si>
  <si>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</si>
  <si>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</si>
  <si>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</si>
  <si>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</si>
  <si>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</si>
  <si>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</si>
  <si>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</si>
  <si>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</si>
  <si>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</si>
  <si>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Calculated Annual Pounds</t>
  </si>
  <si>
    <t>Adjusted Annual Pounds</t>
  </si>
  <si>
    <t>No Current Customers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</si>
  <si>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</si>
  <si>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</si>
  <si>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</si>
  <si>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</si>
  <si>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</si>
  <si>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</si>
  <si>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</si>
  <si>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</si>
  <si>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</si>
  <si>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</si>
  <si>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</si>
  <si>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</si>
  <si>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</si>
  <si>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</si>
  <si>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</si>
  <si>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</si>
  <si>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Some County Disposal Fees</t>
  </si>
  <si>
    <t>Current Rate</t>
  </si>
  <si>
    <t>New Rate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</si>
  <si>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</si>
  <si>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</si>
  <si>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</si>
  <si>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</si>
  <si>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</si>
  <si>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</si>
  <si>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</si>
  <si>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</si>
  <si>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</si>
  <si>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</si>
  <si>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</si>
  <si>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</si>
  <si>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</si>
  <si>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</si>
  <si>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</si>
  <si>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</si>
  <si>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</si>
  <si>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</si>
  <si>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</si>
  <si>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</si>
  <si>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</si>
  <si>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</si>
  <si>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Note: Include bad debt if it was included in Lurito model</t>
  </si>
  <si>
    <t>Drop Box</t>
  </si>
  <si>
    <t>*City tax</t>
  </si>
  <si>
    <t>Each extra person</t>
  </si>
  <si>
    <t>Rate Design</t>
  </si>
  <si>
    <t>Company Calculated Rate</t>
  </si>
  <si>
    <t xml:space="preserve">Test Year  </t>
  </si>
  <si>
    <t>Test Year</t>
  </si>
  <si>
    <t>Calculated Revenue</t>
  </si>
  <si>
    <t>Actual Revenue</t>
  </si>
  <si>
    <t>Difference</t>
  </si>
  <si>
    <t>Change</t>
  </si>
  <si>
    <t>Sub Total</t>
  </si>
  <si>
    <t>Pass-Thru</t>
  </si>
  <si>
    <t xml:space="preserve">Total </t>
  </si>
  <si>
    <t>1 can wg</t>
  </si>
  <si>
    <t>2 cans wg</t>
  </si>
  <si>
    <t>3 cans wg</t>
  </si>
  <si>
    <t>4 cans wg</t>
  </si>
  <si>
    <t>5 cans wg</t>
  </si>
  <si>
    <t>6 cans wg</t>
  </si>
  <si>
    <t>Consolidated Disposal Service</t>
  </si>
  <si>
    <t>Disposal Fee</t>
  </si>
  <si>
    <t>Once/month "on-call"</t>
  </si>
  <si>
    <t>Restart fees</t>
  </si>
  <si>
    <t>30 Yd. compacted, permanent</t>
  </si>
  <si>
    <t>40 Yd. compacted, permanent</t>
  </si>
  <si>
    <t>Historical Revenue</t>
  </si>
  <si>
    <t>Distance 5'-25' - residential</t>
  </si>
  <si>
    <t>Distance each additional 25' - residential</t>
  </si>
  <si>
    <t>Distance 5'-25' - commercial</t>
  </si>
  <si>
    <t>Distance each additional 25' - commercial</t>
  </si>
  <si>
    <t>Return trip - can, unit, mini or micro-mini can</t>
  </si>
  <si>
    <t>Return trip - drum</t>
  </si>
  <si>
    <t>Return trip - bale</t>
  </si>
  <si>
    <t>Return trip - litter receptacle</t>
  </si>
  <si>
    <t>Return trip - drop box</t>
  </si>
  <si>
    <t>Return trip - container</t>
  </si>
  <si>
    <t>Over-sized or over-weight cans or units</t>
  </si>
  <si>
    <t>Overtime - charge per hour</t>
  </si>
  <si>
    <t>Sunken or elevated - residential</t>
  </si>
  <si>
    <t>Sunken or elevated - commercial</t>
  </si>
  <si>
    <t>Single rear drive axle - non-packer truck</t>
  </si>
  <si>
    <t>Tandem rear drive axle - drop-box truck</t>
  </si>
  <si>
    <t>Roll-out charges - containers</t>
  </si>
  <si>
    <t>Pickup and delivery charge - up to 8 yd</t>
  </si>
  <si>
    <t>Pickup and delivery charge - over 8 yd</t>
  </si>
  <si>
    <t>Excess mileage</t>
  </si>
  <si>
    <t>Actual rate increase being proposed in rate design</t>
  </si>
  <si>
    <t xml:space="preserve">Lurito Gallagher allowed increase </t>
  </si>
  <si>
    <t>Washing/steam cleaning/sanitizing min. chg</t>
  </si>
  <si>
    <t>no disposal fee increase so not used below</t>
  </si>
  <si>
    <t>Bainbridge Disposal, Inc.</t>
  </si>
  <si>
    <t>Redelivery fees - Carts</t>
  </si>
  <si>
    <t>Redelivery fees - Containers up to 8 yds</t>
  </si>
  <si>
    <t>Redelivery fees - 10 Yard</t>
  </si>
  <si>
    <t>Redelivery fees - 20 Yard</t>
  </si>
  <si>
    <t>Redelivery fees - 30 Yard</t>
  </si>
  <si>
    <t>Redelivery fees - 40 Yard</t>
  </si>
  <si>
    <t>Redelivery fees - 50 Yard</t>
  </si>
  <si>
    <t>Over-sized or over-weight mini-cans or mini-can units</t>
  </si>
  <si>
    <t>Return trip - reclycling container</t>
  </si>
  <si>
    <t>Recycle Only EOWR</t>
  </si>
  <si>
    <t>Mini-Can wg</t>
  </si>
  <si>
    <t>64 Gal EOWR with WG</t>
  </si>
  <si>
    <t>96 Gal EOWR with WG</t>
  </si>
  <si>
    <t>32 Gal EOWY with WG</t>
  </si>
  <si>
    <t>96 Gal EOWY with WG</t>
  </si>
  <si>
    <t>Roll-out service</t>
  </si>
  <si>
    <t>Extra 32-gallon can or unit</t>
  </si>
  <si>
    <t>Yardwaste/foodwaste w/o garbage service - Surcharge</t>
  </si>
  <si>
    <t>Yard waste/food waste toter replacement</t>
  </si>
  <si>
    <t>Yard waste/food waste toter delivery</t>
  </si>
  <si>
    <t>Yard waste/food waste toter cleaning</t>
  </si>
  <si>
    <t>Multi-Family</t>
  </si>
  <si>
    <t>2 Yard WG</t>
  </si>
  <si>
    <t>2 Yard EOWR with WG</t>
  </si>
  <si>
    <t xml:space="preserve">Extra 2 yard </t>
  </si>
  <si>
    <t>overfilled container - per yard</t>
  </si>
  <si>
    <t>Multi-Family recycling monthly charge (per dwelling)</t>
  </si>
  <si>
    <t>Litter receptacles or toters - customer-owned (30-gallon) per pickup</t>
  </si>
  <si>
    <t>Litter receptacles or toters - customer-owned (30-gallon) monthly minimum</t>
  </si>
  <si>
    <t>Loose and bulky - 1 to 4 cubic yards (rate per yard)</t>
  </si>
  <si>
    <t>Loose and bulky - additional cubic yards (rate per yard)</t>
  </si>
  <si>
    <t>Loose and bulky - minimum per pickup (rate per yard)</t>
  </si>
  <si>
    <t>Loose and bulky - carry charge per each 5 ft over 8 ft</t>
  </si>
  <si>
    <t>Minimum charge</t>
  </si>
  <si>
    <t>Single rear drive axle - packer truck</t>
  </si>
  <si>
    <t>Single rear drive axle - drop box truck</t>
  </si>
  <si>
    <t>Washing/steam cleaning/sanitizing per hour.</t>
  </si>
  <si>
    <t>2.0 Yd. - Permanent 1st pickup</t>
  </si>
  <si>
    <t>2.0 Yd. - Permanent each addtl pickup</t>
  </si>
  <si>
    <t>2.0 Yd. - Temporary Initial Delivery</t>
  </si>
  <si>
    <t>2.0 Yd. - Temporary Pickup</t>
  </si>
  <si>
    <t>2.0 Yd. - Temporary Rent per Day</t>
  </si>
  <si>
    <t>2.0 Yd. - Temporary Rent per Month</t>
  </si>
  <si>
    <t>Overfilled container - per yard</t>
  </si>
  <si>
    <t>Unlocking fee</t>
  </si>
  <si>
    <t>20-30 Gal Solar - Scheduled pickups</t>
  </si>
  <si>
    <t>20-30 Gal Solar - Additional pickups</t>
  </si>
  <si>
    <t>20-30 Gal Solar - Monthly minimum</t>
  </si>
  <si>
    <t>32 Gal - Scheduled pickups</t>
  </si>
  <si>
    <t>32 Gal - Additional pickups</t>
  </si>
  <si>
    <t>32 Gal - Monthly minimum</t>
  </si>
  <si>
    <t>32 Gal - Special pickups</t>
  </si>
  <si>
    <t>64 Gal - Scheduled pickups</t>
  </si>
  <si>
    <t>64 Gal - Additional pickups</t>
  </si>
  <si>
    <t>64 Gal - Special pickups</t>
  </si>
  <si>
    <t>64 Gal - Monthly minimum</t>
  </si>
  <si>
    <t>2.0 Yd - Permanent scheduled pickups</t>
  </si>
  <si>
    <t>2.0 Yd - Permanent Special pickups</t>
  </si>
  <si>
    <t>2.0 Yd - Temporary Initial Delivery</t>
  </si>
  <si>
    <t>2.0 Yd - Temporary Pickups</t>
  </si>
  <si>
    <t>240/255</t>
  </si>
  <si>
    <t>35/37</t>
  </si>
  <si>
    <t>10 Yd - Permanent pickups</t>
  </si>
  <si>
    <t>10 Yd - Temporary Initial Delivery</t>
  </si>
  <si>
    <t>10 Yd - Temporary Pickups</t>
  </si>
  <si>
    <t>10 Yd - Temporary Relocate</t>
  </si>
  <si>
    <t>20 Yd - Permanent pickups</t>
  </si>
  <si>
    <t>20 Yd - Temporary Initial Delivery</t>
  </si>
  <si>
    <t>20 Yd - Temporary Pickups</t>
  </si>
  <si>
    <t>20 Yd - Temporary Relocate</t>
  </si>
  <si>
    <t>30 Yd - Permanent pickups</t>
  </si>
  <si>
    <t>30 Yd - Temporary Initial Delivery</t>
  </si>
  <si>
    <t>30 Yd - Temporary Pickups</t>
  </si>
  <si>
    <t>30 Yd - Temporary Relocate</t>
  </si>
  <si>
    <t>40 Yd - Permanent pickups</t>
  </si>
  <si>
    <t>40 Yd - Temporary Initial Delivery</t>
  </si>
  <si>
    <t>40 Yd - Temporary Pickups</t>
  </si>
  <si>
    <t>40 Yd - Temporary Relocate</t>
  </si>
  <si>
    <t>50 Yd - Permanent pickups</t>
  </si>
  <si>
    <t>50 Yd - Temporary Initial Delivery</t>
  </si>
  <si>
    <t>50 Yd - Temporary Pickups</t>
  </si>
  <si>
    <t>50 Yd - Temporary Relocate</t>
  </si>
  <si>
    <t>Locking/Unlocking charge</t>
  </si>
  <si>
    <t>Compactor disconnect/reconnect charge</t>
  </si>
  <si>
    <t>20 Yd. compacted, permanent</t>
  </si>
  <si>
    <t>25 Yd. compacted, permanent</t>
  </si>
  <si>
    <t>10 Yd. compacted, permanent</t>
  </si>
  <si>
    <t>Extras</t>
  </si>
  <si>
    <t>Yardwaste</t>
  </si>
  <si>
    <t>2.0 Yd. - Special pick up</t>
  </si>
  <si>
    <t>C</t>
  </si>
  <si>
    <t>R</t>
  </si>
  <si>
    <t>c</t>
  </si>
  <si>
    <t>is included in comm revenue on operations</t>
  </si>
  <si>
    <t>96 Gal WG</t>
  </si>
  <si>
    <t>MF</t>
  </si>
  <si>
    <t>Fuel surcharges</t>
  </si>
  <si>
    <t>commod cred</t>
  </si>
  <si>
    <t>38/39</t>
  </si>
  <si>
    <t>260/275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</si>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</sst>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0.000000"/>
    <numFmt numFmtId="168" formatCode="General_)"/>
    <numFmt numFmtId="169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3" fillId="0" borderId="0"/>
    <xf numFmtId="0" fontId="10" fillId="10" borderId="0" applyNumberFormat="0" applyBorder="0" applyAlignment="0" applyProtection="0"/>
    <xf numFmtId="3" fontId="3" fillId="0" borderId="0"/>
    <xf numFmtId="0" fontId="11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2" fillId="0" borderId="0"/>
    <xf numFmtId="0" fontId="13" fillId="0" borderId="0"/>
    <xf numFmtId="0" fontId="13" fillId="0" borderId="0"/>
    <xf numFmtId="0" fontId="14" fillId="12" borderId="1" applyAlignment="0">
      <alignment horizontal="right"/>
      <protection locked="0"/>
    </xf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13" borderId="0">
      <alignment horizontal="right"/>
      <protection locked="0"/>
    </xf>
    <xf numFmtId="2" fontId="15" fillId="13" borderId="0">
      <alignment horizontal="right"/>
      <protection locked="0"/>
    </xf>
    <xf numFmtId="0" fontId="16" fillId="1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3" fontId="22" fillId="15" borderId="0">
      <protection locked="0"/>
    </xf>
    <xf numFmtId="4" fontId="22" fillId="15" borderId="0">
      <protection locked="0"/>
    </xf>
    <xf numFmtId="0" fontId="23" fillId="0" borderId="10" applyNumberFormat="0" applyFill="0" applyAlignment="0" applyProtection="0"/>
    <xf numFmtId="0" fontId="24" fillId="4" borderId="0" applyNumberFormat="0" applyBorder="0" applyAlignment="0" applyProtection="0"/>
    <xf numFmtId="43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25" fillId="0" borderId="0"/>
    <xf numFmtId="0" fontId="26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16" borderId="11" applyNumberFormat="0" applyFont="0" applyAlignment="0" applyProtection="0"/>
    <xf numFmtId="169" fontId="27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8" fillId="0" borderId="0" applyNumberFormat="0" applyFont="0" applyFill="0" applyBorder="0" applyAlignment="0" applyProtection="0">
      <alignment horizontal="left"/>
    </xf>
    <xf numFmtId="0" fontId="29" fillId="0" borderId="5">
      <alignment horizontal="center"/>
    </xf>
    <xf numFmtId="0" fontId="12" fillId="0" borderId="0">
      <alignment vertical="top"/>
    </xf>
    <xf numFmtId="0" fontId="12" fillId="0" borderId="0" applyNumberFormat="0" applyBorder="0" applyAlignment="0"/>
    <xf numFmtId="0" fontId="30" fillId="0" borderId="12" applyNumberFormat="0" applyFill="0" applyAlignment="0" applyProtection="0"/>
  </cellStyleXfs>
  <cellXfs count="1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44" fontId="0" fillId="0" borderId="0" xfId="2" applyFont="1"/>
    <xf numFmtId="44" fontId="0" fillId="0" borderId="1" xfId="2" applyFont="1" applyBorder="1"/>
    <xf numFmtId="165" fontId="0" fillId="0" borderId="0" xfId="2" applyNumberFormat="1" applyFont="1"/>
    <xf numFmtId="165" fontId="0" fillId="0" borderId="1" xfId="2" applyNumberFormat="1" applyFont="1" applyBorder="1"/>
    <xf numFmtId="44" fontId="0" fillId="0" borderId="0" xfId="0" applyNumberFormat="1"/>
    <xf numFmtId="10" fontId="0" fillId="0" borderId="0" xfId="3" applyNumberFormat="1" applyFont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wrapText="1"/>
    </xf>
    <xf numFmtId="43" fontId="0" fillId="0" borderId="1" xfId="1" applyFont="1" applyFill="1" applyBorder="1"/>
    <xf numFmtId="43" fontId="0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/>
    <xf numFmtId="167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44" fontId="0" fillId="0" borderId="0" xfId="2" applyFont="1" applyFill="1" applyBorder="1"/>
    <xf numFmtId="44" fontId="0" fillId="0" borderId="1" xfId="2" applyFont="1" applyFill="1" applyBorder="1"/>
    <xf numFmtId="43" fontId="4" fillId="0" borderId="2" xfId="1" applyFont="1" applyFill="1" applyBorder="1" applyAlignment="1">
      <alignment wrapText="1"/>
    </xf>
    <xf numFmtId="164" fontId="0" fillId="0" borderId="0" xfId="1" applyNumberFormat="1" applyFont="1" applyFill="1"/>
    <xf numFmtId="44" fontId="4" fillId="0" borderId="2" xfId="1" applyNumberFormat="1" applyFont="1" applyFill="1" applyBorder="1" applyAlignment="1">
      <alignment horizontal="center" wrapText="1"/>
    </xf>
    <xf numFmtId="44" fontId="4" fillId="0" borderId="0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4" fillId="0" borderId="0" xfId="0" applyNumberFormat="1" applyFont="1"/>
    <xf numFmtId="44" fontId="4" fillId="0" borderId="1" xfId="0" applyNumberFormat="1" applyFont="1" applyBorder="1"/>
    <xf numFmtId="43" fontId="0" fillId="0" borderId="0" xfId="1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0" xfId="0" applyFont="1"/>
    <xf numFmtId="3" fontId="0" fillId="0" borderId="0" xfId="1" applyNumberFormat="1" applyFont="1" applyFill="1" applyAlignment="1">
      <alignment horizontal="center"/>
    </xf>
    <xf numFmtId="0" fontId="31" fillId="0" borderId="0" xfId="0" applyFont="1"/>
    <xf numFmtId="0" fontId="2" fillId="0" borderId="0" xfId="0" applyFont="1"/>
    <xf numFmtId="10" fontId="0" fillId="0" borderId="0" xfId="3" applyNumberFormat="1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4" fontId="37" fillId="0" borderId="0" xfId="1" applyNumberFormat="1" applyFont="1" applyFill="1" applyBorder="1"/>
    <xf numFmtId="43" fontId="0" fillId="0" borderId="18" xfId="1" applyFont="1" applyFill="1" applyBorder="1"/>
    <xf numFmtId="43" fontId="0" fillId="0" borderId="18" xfId="1" applyFont="1" applyFill="1" applyBorder="1" applyAlignment="1">
      <alignment horizontal="center" wrapText="1"/>
    </xf>
    <xf numFmtId="44" fontId="0" fillId="0" borderId="18" xfId="1" applyNumberFormat="1" applyFont="1" applyFill="1" applyBorder="1"/>
    <xf numFmtId="44" fontId="0" fillId="0" borderId="18" xfId="2" applyFont="1" applyFill="1" applyBorder="1"/>
    <xf numFmtId="9" fontId="0" fillId="0" borderId="0" xfId="0" applyNumberFormat="1"/>
    <xf numFmtId="0" fontId="4" fillId="0" borderId="0" xfId="0" applyFont="1" applyAlignment="1">
      <alignment horizontal="center" vertical="center"/>
    </xf>
    <xf numFmtId="44" fontId="0" fillId="17" borderId="0" xfId="2" applyFont="1" applyFill="1"/>
    <xf numFmtId="44" fontId="0" fillId="17" borderId="1" xfId="2" applyFont="1" applyFill="1" applyBorder="1"/>
    <xf numFmtId="44" fontId="4" fillId="0" borderId="18" xfId="1" applyNumberFormat="1" applyFont="1" applyFill="1" applyBorder="1"/>
    <xf numFmtId="0" fontId="4" fillId="0" borderId="0" xfId="0" applyFont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0" xfId="1" applyFont="1" applyFill="1" applyBorder="1" applyAlignment="1">
      <alignment wrapText="1"/>
    </xf>
    <xf numFmtId="43" fontId="4" fillId="0" borderId="3" xfId="1" applyFont="1" applyFill="1" applyBorder="1" applyAlignment="1">
      <alignment horizontal="center" wrapText="1"/>
    </xf>
    <xf numFmtId="44" fontId="4" fillId="0" borderId="3" xfId="1" applyNumberFormat="1" applyFont="1" applyFill="1" applyBorder="1" applyAlignment="1">
      <alignment horizontal="center" wrapText="1"/>
    </xf>
    <xf numFmtId="167" fontId="0" fillId="17" borderId="0" xfId="0" applyNumberFormat="1" applyFill="1"/>
    <xf numFmtId="0" fontId="0" fillId="17" borderId="1" xfId="0" applyFill="1" applyBorder="1"/>
    <xf numFmtId="43" fontId="0" fillId="17" borderId="1" xfId="1" applyFont="1" applyFill="1" applyBorder="1"/>
    <xf numFmtId="0" fontId="33" fillId="0" borderId="0" xfId="0" applyFont="1"/>
    <xf numFmtId="166" fontId="34" fillId="0" borderId="0" xfId="1" applyNumberFormat="1" applyFont="1" applyFill="1" applyAlignment="1">
      <alignment horizontal="center"/>
    </xf>
    <xf numFmtId="0" fontId="34" fillId="0" borderId="0" xfId="0" applyFont="1" applyAlignment="1">
      <alignment horizontal="center"/>
    </xf>
    <xf numFmtId="43" fontId="34" fillId="0" borderId="0" xfId="0" applyNumberFormat="1" applyFont="1" applyAlignment="1">
      <alignment horizontal="center"/>
    </xf>
    <xf numFmtId="0" fontId="33" fillId="0" borderId="0" xfId="0" applyFont="1" applyAlignment="1">
      <alignment wrapText="1"/>
    </xf>
    <xf numFmtId="0" fontId="35" fillId="0" borderId="0" xfId="0" applyFont="1" applyAlignment="1">
      <alignment wrapText="1"/>
    </xf>
    <xf numFmtId="43" fontId="4" fillId="0" borderId="1" xfId="1" applyFont="1" applyFill="1" applyBorder="1" applyAlignment="1">
      <alignment wrapText="1"/>
    </xf>
    <xf numFmtId="44" fontId="4" fillId="0" borderId="1" xfId="1" applyNumberFormat="1" applyFont="1" applyFill="1" applyBorder="1" applyAlignment="1">
      <alignment horizontal="center" wrapText="1"/>
    </xf>
    <xf numFmtId="166" fontId="0" fillId="0" borderId="1" xfId="1" applyNumberFormat="1" applyFont="1" applyFill="1" applyBorder="1"/>
    <xf numFmtId="0" fontId="35" fillId="0" borderId="19" xfId="0" applyFont="1" applyBorder="1" applyAlignment="1">
      <alignment wrapText="1"/>
    </xf>
    <xf numFmtId="0" fontId="0" fillId="0" borderId="0" xfId="0" applyAlignment="1">
      <alignment vertical="center" textRotation="90"/>
    </xf>
    <xf numFmtId="43" fontId="34" fillId="0" borderId="13" xfId="1" applyFont="1" applyFill="1" applyBorder="1"/>
    <xf numFmtId="43" fontId="34" fillId="0" borderId="3" xfId="1" applyFont="1" applyFill="1" applyBorder="1"/>
    <xf numFmtId="43" fontId="34" fillId="0" borderId="3" xfId="0" applyNumberFormat="1" applyFont="1" applyBorder="1"/>
    <xf numFmtId="10" fontId="33" fillId="0" borderId="14" xfId="3" applyNumberFormat="1" applyFont="1" applyFill="1" applyBorder="1"/>
    <xf numFmtId="43" fontId="34" fillId="0" borderId="15" xfId="1" applyFont="1" applyFill="1" applyBorder="1"/>
    <xf numFmtId="43" fontId="34" fillId="0" borderId="0" xfId="1" applyFont="1" applyFill="1"/>
    <xf numFmtId="43" fontId="34" fillId="0" borderId="0" xfId="0" applyNumberFormat="1" applyFont="1"/>
    <xf numFmtId="10" fontId="33" fillId="0" borderId="16" xfId="3" applyNumberFormat="1" applyFont="1" applyFill="1" applyBorder="1"/>
    <xf numFmtId="10" fontId="33" fillId="0" borderId="17" xfId="3" applyNumberFormat="1" applyFont="1" applyFill="1" applyBorder="1"/>
    <xf numFmtId="37" fontId="36" fillId="0" borderId="2" xfId="0" applyNumberFormat="1" applyFont="1" applyBorder="1"/>
    <xf numFmtId="169" fontId="35" fillId="0" borderId="20" xfId="3" applyNumberFormat="1" applyFont="1" applyFill="1" applyBorder="1"/>
    <xf numFmtId="0" fontId="38" fillId="0" borderId="0" xfId="0" applyFont="1"/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3" fillId="0" borderId="0" xfId="4" applyAlignment="1">
      <alignment horizontal="left" vertical="center"/>
    </xf>
    <xf numFmtId="166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3" fillId="0" borderId="0" xfId="4" applyAlignment="1">
      <alignment horizontal="left"/>
    </xf>
    <xf numFmtId="0" fontId="5" fillId="0" borderId="0" xfId="4" applyFont="1" applyAlignment="1">
      <alignment horizontal="center" vertical="center"/>
    </xf>
    <xf numFmtId="0" fontId="0" fillId="0" borderId="5" xfId="0" applyBorder="1" applyAlignment="1">
      <alignment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18" xfId="0" applyBorder="1" applyAlignment="1">
      <alignment vertical="center"/>
    </xf>
    <xf numFmtId="0" fontId="5" fillId="0" borderId="18" xfId="4" applyFont="1" applyBorder="1" applyAlignment="1">
      <alignment horizontal="left"/>
    </xf>
    <xf numFmtId="3" fontId="4" fillId="0" borderId="18" xfId="0" applyNumberFormat="1" applyFont="1" applyBorder="1"/>
    <xf numFmtId="166" fontId="4" fillId="0" borderId="18" xfId="0" applyNumberFormat="1" applyFont="1" applyBorder="1"/>
    <xf numFmtId="43" fontId="4" fillId="0" borderId="18" xfId="1" applyFont="1" applyFill="1" applyBorder="1"/>
    <xf numFmtId="0" fontId="5" fillId="0" borderId="0" xfId="4" applyFont="1" applyAlignment="1">
      <alignment horizontal="left"/>
    </xf>
    <xf numFmtId="3" fontId="4" fillId="0" borderId="0" xfId="0" applyNumberFormat="1" applyFont="1"/>
    <xf numFmtId="166" fontId="4" fillId="0" borderId="0" xfId="0" applyNumberFormat="1" applyFont="1"/>
    <xf numFmtId="43" fontId="4" fillId="0" borderId="0" xfId="1" applyFont="1" applyFill="1" applyBorder="1"/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vertical="center"/>
    </xf>
    <xf numFmtId="0" fontId="5" fillId="0" borderId="2" xfId="4" applyFont="1" applyBorder="1" applyAlignment="1">
      <alignment horizontal="left"/>
    </xf>
    <xf numFmtId="3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vertical="center"/>
    </xf>
    <xf numFmtId="0" fontId="5" fillId="0" borderId="3" xfId="4" applyFont="1" applyBorder="1" applyAlignment="1">
      <alignment horizontal="left"/>
    </xf>
    <xf numFmtId="3" fontId="4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0" fontId="0" fillId="0" borderId="0" xfId="0" applyNumberFormat="1"/>
    <xf numFmtId="164" fontId="0" fillId="0" borderId="0" xfId="0" applyNumberFormat="1"/>
    <xf numFmtId="0" fontId="5" fillId="0" borderId="0" xfId="4" applyFont="1" applyAlignment="1">
      <alignment horizontal="center"/>
    </xf>
    <xf numFmtId="0" fontId="0" fillId="0" borderId="18" xfId="0" applyBorder="1" applyAlignment="1">
      <alignment horizontal="center" vertical="center"/>
    </xf>
    <xf numFmtId="43" fontId="0" fillId="0" borderId="18" xfId="0" applyNumberFormat="1" applyBorder="1"/>
    <xf numFmtId="3" fontId="4" fillId="0" borderId="1" xfId="0" applyNumberFormat="1" applyFont="1" applyBorder="1" applyAlignment="1">
      <alignment wrapText="1"/>
    </xf>
    <xf numFmtId="3" fontId="4" fillId="0" borderId="4" xfId="0" applyNumberFormat="1" applyFont="1" applyBorder="1"/>
    <xf numFmtId="0" fontId="0" fillId="0" borderId="1" xfId="0" applyBorder="1" applyAlignment="1">
      <alignment horizontal="center" vertical="center"/>
    </xf>
    <xf numFmtId="0" fontId="3" fillId="0" borderId="1" xfId="4" applyBorder="1" applyAlignment="1">
      <alignment horizontal="left"/>
    </xf>
    <xf numFmtId="3" fontId="0" fillId="0" borderId="1" xfId="0" applyNumberFormat="1" applyBorder="1"/>
    <xf numFmtId="166" fontId="0" fillId="0" borderId="1" xfId="0" applyNumberFormat="1" applyBorder="1"/>
    <xf numFmtId="0" fontId="0" fillId="0" borderId="18" xfId="0" applyBorder="1" applyAlignment="1">
      <alignment vertical="center" textRotation="90"/>
    </xf>
    <xf numFmtId="0" fontId="0" fillId="0" borderId="18" xfId="0" applyBorder="1"/>
    <xf numFmtId="0" fontId="0" fillId="0" borderId="4" xfId="0" applyBorder="1"/>
    <xf numFmtId="0" fontId="5" fillId="0" borderId="4" xfId="4" applyFont="1" applyBorder="1" applyAlignment="1">
      <alignment horizontal="left"/>
    </xf>
    <xf numFmtId="2" fontId="0" fillId="0" borderId="4" xfId="0" applyNumberFormat="1" applyBorder="1"/>
    <xf numFmtId="0" fontId="33" fillId="0" borderId="16" xfId="0" applyFont="1" applyBorder="1" applyAlignment="1">
      <alignment wrapText="1"/>
    </xf>
    <xf numFmtId="0" fontId="0" fillId="0" borderId="16" xfId="0" applyBorder="1"/>
    <xf numFmtId="43" fontId="0" fillId="0" borderId="0" xfId="1" applyFont="1"/>
    <xf numFmtId="9" fontId="0" fillId="0" borderId="0" xfId="3" applyFont="1"/>
    <xf numFmtId="166" fontId="0" fillId="0" borderId="0" xfId="1" applyNumberFormat="1" applyFont="1" applyFill="1"/>
    <xf numFmtId="37" fontId="35" fillId="0" borderId="19" xfId="0" applyNumberFormat="1" applyFont="1" applyBorder="1"/>
    <xf numFmtId="37" fontId="35" fillId="0" borderId="2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44" fontId="37" fillId="0" borderId="0" xfId="2" applyFont="1" applyFill="1" applyBorder="1"/>
    <xf numFmtId="0" fontId="4" fillId="0" borderId="1" xfId="0" applyFont="1" applyBorder="1" applyAlignment="1">
      <alignment horizontal="center"/>
    </xf>
    <xf numFmtId="166" fontId="0" fillId="0" borderId="0" xfId="0" applyNumberFormat="1" applyFill="1"/>
    <xf numFmtId="43" fontId="0" fillId="0" borderId="0" xfId="0" applyNumberFormat="1" applyFill="1"/>
    <xf numFmtId="44" fontId="37" fillId="0" borderId="0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5" fillId="0" borderId="0" xfId="4" applyFont="1" applyBorder="1" applyAlignment="1">
      <alignment horizontal="left"/>
    </xf>
    <xf numFmtId="3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4" fontId="37" fillId="0" borderId="1" xfId="1" applyNumberFormat="1" applyFont="1" applyFill="1" applyBorder="1" applyAlignment="1">
      <alignment horizontal="center" wrapText="1"/>
    </xf>
    <xf numFmtId="44" fontId="37" fillId="0" borderId="1" xfId="2" applyFont="1" applyFill="1" applyBorder="1"/>
    <xf numFmtId="44" fontId="37" fillId="0" borderId="1" xfId="1" applyNumberFormat="1" applyFont="1" applyFill="1" applyBorder="1"/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1" defaultTableStyle="TableStyleMedium2" defaultPivotStyle="PivotStyleLight16">
    <tableStyle name="Invisible" pivot="0" table="0" count="0" xr9:uid="{FEC3C5EB-F5B8-4E00-B243-83DFC41F0F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zoomScaleNormal="100" workbookViewId="0"/>
  </sheetViews>
  <sheetFormatPr defaultRowHeight="14.4"/>
  <sheetData>
    <row r="2" spans="1:3">
      <c r="A2" s="33" t="s">
        <v>52</v>
      </c>
    </row>
    <row r="4" spans="1:3">
      <c r="B4" t="s">
        <v>53</v>
      </c>
    </row>
    <row r="5" spans="1:3">
      <c r="C5" t="s">
        <v>63</v>
      </c>
    </row>
    <row r="6" spans="1:3">
      <c r="C6" t="s">
        <v>54</v>
      </c>
    </row>
    <row r="7" spans="1:3">
      <c r="C7" t="s">
        <v>64</v>
      </c>
    </row>
    <row r="9" spans="1:3">
      <c r="B9" t="s">
        <v>67</v>
      </c>
    </row>
    <row r="10" spans="1:3">
      <c r="C10" t="s">
        <v>68</v>
      </c>
    </row>
    <row r="12" spans="1:3">
      <c r="B12" t="s">
        <v>69</v>
      </c>
    </row>
    <row r="13" spans="1:3">
      <c r="C13" t="s">
        <v>65</v>
      </c>
    </row>
    <row r="14" spans="1:3">
      <c r="C14" t="s">
        <v>70</v>
      </c>
    </row>
    <row r="15" spans="1:3">
      <c r="C15" t="s">
        <v>66</v>
      </c>
    </row>
    <row r="17" spans="2:3">
      <c r="B17" t="s">
        <v>57</v>
      </c>
    </row>
    <row r="18" spans="2:3">
      <c r="C18" t="s">
        <v>55</v>
      </c>
    </row>
    <row r="19" spans="2:3">
      <c r="C19" t="s">
        <v>56</v>
      </c>
    </row>
    <row r="21" spans="2:3">
      <c r="B21" t="s">
        <v>58</v>
      </c>
    </row>
    <row r="22" spans="2:3">
      <c r="C22" t="s">
        <v>60</v>
      </c>
    </row>
    <row r="23" spans="2:3">
      <c r="C23" t="s">
        <v>59</v>
      </c>
    </row>
    <row r="24" spans="2:3">
      <c r="C24" t="s">
        <v>61</v>
      </c>
    </row>
    <row r="25" spans="2:3">
      <c r="C25" t="s">
        <v>62</v>
      </c>
    </row>
    <row r="27" spans="2:3">
      <c r="B27" t="s">
        <v>72</v>
      </c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Normal="100" workbookViewId="0"/>
  </sheetViews>
  <sheetFormatPr defaultRowHeight="14.4"/>
  <cols>
    <col min="1" max="1" width="37" customWidth="1"/>
    <col min="2" max="2" width="14.44140625" bestFit="1" customWidth="1"/>
    <col min="3" max="3" width="9.44140625" bestFit="1" customWidth="1"/>
    <col min="4" max="4" width="6.5546875" customWidth="1"/>
    <col min="5" max="5" width="10.5546875" customWidth="1"/>
    <col min="6" max="6" width="11.33203125" bestFit="1" customWidth="1"/>
  </cols>
  <sheetData>
    <row r="1" spans="1:7">
      <c r="A1" s="16" t="s">
        <v>94</v>
      </c>
    </row>
    <row r="2" spans="1:7">
      <c r="A2" s="16" t="s">
        <v>95</v>
      </c>
    </row>
    <row r="3" spans="1:7">
      <c r="A3" s="16"/>
    </row>
    <row r="4" spans="1:7">
      <c r="A4" s="16"/>
      <c r="D4" s="138" t="s">
        <v>16</v>
      </c>
      <c r="E4" s="138"/>
      <c r="F4" s="138"/>
      <c r="G4" s="138"/>
    </row>
    <row r="5" spans="1:7">
      <c r="D5" s="28" t="s">
        <v>41</v>
      </c>
      <c r="E5" s="28" t="s">
        <v>42</v>
      </c>
      <c r="F5" s="28" t="s">
        <v>43</v>
      </c>
      <c r="G5" s="28" t="s">
        <v>47</v>
      </c>
    </row>
    <row r="6" spans="1:7">
      <c r="A6" t="s">
        <v>40</v>
      </c>
      <c r="D6" s="31">
        <f>52*2/12</f>
        <v>8.6666666666666661</v>
      </c>
      <c r="E6" s="31">
        <f>D6*2</f>
        <v>17.333333333333332</v>
      </c>
      <c r="F6" s="31">
        <f>D6*3</f>
        <v>26</v>
      </c>
      <c r="G6" s="31">
        <f>D6*4</f>
        <v>34.666666666666664</v>
      </c>
    </row>
    <row r="7" spans="1:7">
      <c r="A7" t="s">
        <v>19</v>
      </c>
      <c r="D7" s="31">
        <f>52/12</f>
        <v>4.333333333333333</v>
      </c>
      <c r="E7" s="31">
        <f t="shared" ref="E7:E9" si="0">D7*2</f>
        <v>8.6666666666666661</v>
      </c>
      <c r="F7" s="31">
        <f t="shared" ref="F7:F9" si="1">D7*3</f>
        <v>13</v>
      </c>
      <c r="G7" s="31">
        <f t="shared" ref="G7:G9" si="2">D7*4</f>
        <v>17.333333333333332</v>
      </c>
    </row>
    <row r="8" spans="1:7">
      <c r="A8" t="s">
        <v>21</v>
      </c>
      <c r="D8" s="31">
        <f>26/12</f>
        <v>2.1666666666666665</v>
      </c>
      <c r="E8" s="31">
        <f t="shared" si="0"/>
        <v>4.333333333333333</v>
      </c>
      <c r="F8" s="31">
        <f t="shared" si="1"/>
        <v>6.5</v>
      </c>
      <c r="G8" s="31">
        <f t="shared" si="2"/>
        <v>8.6666666666666661</v>
      </c>
    </row>
    <row r="9" spans="1:7">
      <c r="A9" t="s">
        <v>20</v>
      </c>
      <c r="D9" s="31">
        <f>12/12</f>
        <v>1</v>
      </c>
      <c r="E9" s="31">
        <f t="shared" si="0"/>
        <v>2</v>
      </c>
      <c r="F9" s="31">
        <f t="shared" si="1"/>
        <v>3</v>
      </c>
      <c r="G9" s="31">
        <f t="shared" si="2"/>
        <v>4</v>
      </c>
    </row>
    <row r="11" spans="1:7">
      <c r="A11" t="s">
        <v>17</v>
      </c>
      <c r="B11" s="34">
        <v>2000</v>
      </c>
    </row>
    <row r="12" spans="1:7">
      <c r="A12" t="s">
        <v>18</v>
      </c>
      <c r="B12" s="13" t="s">
        <v>44</v>
      </c>
    </row>
    <row r="13" spans="1:7">
      <c r="B13" s="82" t="s">
        <v>124</v>
      </c>
      <c r="C13" s="82"/>
      <c r="D13" s="82"/>
      <c r="E13" s="82"/>
    </row>
    <row r="14" spans="1:7">
      <c r="A14" s="14" t="s">
        <v>48</v>
      </c>
      <c r="B14" s="28" t="s">
        <v>5</v>
      </c>
      <c r="C14" s="1" t="s">
        <v>6</v>
      </c>
      <c r="E14" s="14" t="s">
        <v>24</v>
      </c>
      <c r="F14" s="1"/>
    </row>
    <row r="15" spans="1:7">
      <c r="A15" t="s">
        <v>49</v>
      </c>
      <c r="B15" s="49">
        <v>0</v>
      </c>
      <c r="C15" s="5">
        <f>B15/2000</f>
        <v>0</v>
      </c>
      <c r="E15" t="s">
        <v>25</v>
      </c>
      <c r="F15" s="57">
        <f>0.015</f>
        <v>1.4999999999999999E-2</v>
      </c>
      <c r="G15" t="s">
        <v>75</v>
      </c>
    </row>
    <row r="16" spans="1:7">
      <c r="A16" t="s">
        <v>50</v>
      </c>
      <c r="B16" s="50">
        <v>0</v>
      </c>
      <c r="C16" s="6">
        <f>B16/2000</f>
        <v>0</v>
      </c>
      <c r="E16" t="s">
        <v>26</v>
      </c>
      <c r="F16" s="58">
        <f>0.004275</f>
        <v>4.2750000000000002E-3</v>
      </c>
    </row>
    <row r="17" spans="1:6">
      <c r="A17" t="s">
        <v>7</v>
      </c>
      <c r="B17" s="3">
        <f>B16-B15</f>
        <v>0</v>
      </c>
      <c r="C17" s="5">
        <f>C16-C15</f>
        <v>0</v>
      </c>
      <c r="E17" t="s">
        <v>14</v>
      </c>
      <c r="F17" s="15">
        <f>SUM(F15:F16)</f>
        <v>1.9275E-2</v>
      </c>
    </row>
    <row r="18" spans="1:6">
      <c r="E18" t="s">
        <v>27</v>
      </c>
      <c r="F18" s="15">
        <f>1-F17</f>
        <v>0.98072499999999996</v>
      </c>
    </row>
    <row r="20" spans="1:6">
      <c r="A20" t="s">
        <v>4</v>
      </c>
      <c r="B20" s="7">
        <f>B17</f>
        <v>0</v>
      </c>
      <c r="C20" s="7"/>
      <c r="E20" t="s">
        <v>73</v>
      </c>
    </row>
    <row r="21" spans="1:6">
      <c r="A21" t="s">
        <v>23</v>
      </c>
      <c r="B21" s="7">
        <v>0</v>
      </c>
    </row>
    <row r="22" spans="1:6">
      <c r="A22" t="s">
        <v>22</v>
      </c>
      <c r="B22" s="59">
        <v>10487.44</v>
      </c>
      <c r="C22" s="35"/>
    </row>
    <row r="23" spans="1:6">
      <c r="A23" s="16" t="s">
        <v>28</v>
      </c>
      <c r="B23" s="29">
        <f>B21*B22</f>
        <v>0</v>
      </c>
    </row>
    <row r="25" spans="1:6">
      <c r="A25" t="s">
        <v>45</v>
      </c>
      <c r="B25" s="4">
        <f>'Price Out'!S131</f>
        <v>961295.53949665069</v>
      </c>
    </row>
    <row r="26" spans="1:6">
      <c r="A26" s="17" t="s">
        <v>9</v>
      </c>
      <c r="B26" s="7">
        <f>B25-B23</f>
        <v>961295.53949665069</v>
      </c>
    </row>
    <row r="27" spans="1:6">
      <c r="E27" s="32" t="s">
        <v>51</v>
      </c>
      <c r="F27" s="1"/>
    </row>
    <row r="28" spans="1:6">
      <c r="A28" s="16" t="s">
        <v>46</v>
      </c>
      <c r="B28" s="30" t="e">
        <f>'Price Out'!#REF!</f>
        <v>#REF!</v>
      </c>
      <c r="E28">
        <v>0.01</v>
      </c>
    </row>
    <row r="29" spans="1:6">
      <c r="A29" s="17" t="s">
        <v>9</v>
      </c>
      <c r="B29" s="7" t="e">
        <f>B28-B23</f>
        <v>#REF!</v>
      </c>
      <c r="C29" s="8" t="e">
        <f>B29/B23</f>
        <v>#REF!</v>
      </c>
    </row>
  </sheetData>
  <mergeCells count="1">
    <mergeCell ref="D4:G4"/>
  </mergeCells>
  <pageMargins left="0.28000000000000003" right="0.5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92"/>
  <sheetViews>
    <sheetView tabSelected="1" zoomScale="85" zoomScaleNormal="85" workbookViewId="0">
      <pane xSplit="4" ySplit="15" topLeftCell="E16" activePane="bottomRight" state="frozen"/>
      <selection pane="topRight" activeCell="D1" sqref="D1"/>
      <selection pane="bottomLeft" activeCell="A6" sqref="A6"/>
      <selection pane="bottomRight"/>
    </sheetView>
  </sheetViews>
  <sheetFormatPr defaultColWidth="8.5546875" defaultRowHeight="14.4"/>
  <cols>
    <col min="1" max="1" width="4.5546875" bestFit="1" customWidth="1"/>
    <col min="2" max="2" width="8.44140625" bestFit="1" customWidth="1"/>
    <col min="3" max="3" width="6.44140625" bestFit="1" customWidth="1"/>
    <col min="4" max="4" width="64.33203125" bestFit="1" customWidth="1"/>
    <col min="5" max="5" width="14.44140625" customWidth="1"/>
    <col min="6" max="6" width="10.44140625" customWidth="1"/>
    <col min="7" max="7" width="13.33203125" customWidth="1"/>
    <col min="8" max="8" width="13.44140625" hidden="1" customWidth="1"/>
    <col min="9" max="9" width="15.5546875" hidden="1" customWidth="1"/>
    <col min="10" max="10" width="15.44140625" hidden="1" customWidth="1"/>
    <col min="11" max="11" width="11.44140625" hidden="1" customWidth="1"/>
    <col min="12" max="12" width="12.44140625" hidden="1" customWidth="1"/>
    <col min="13" max="13" width="0.44140625" customWidth="1"/>
    <col min="14" max="14" width="10.44140625" customWidth="1"/>
    <col min="15" max="15" width="12.44140625" customWidth="1"/>
    <col min="16" max="16" width="15.44140625" customWidth="1"/>
    <col min="17" max="18" width="20.33203125" customWidth="1"/>
    <col min="19" max="19" width="18.44140625" customWidth="1"/>
    <col min="20" max="20" width="11.44140625" hidden="1" customWidth="1"/>
    <col min="22" max="22" width="9.6640625" bestFit="1" customWidth="1"/>
    <col min="23" max="23" width="13.44140625" bestFit="1" customWidth="1"/>
    <col min="25" max="25" width="11.44140625" customWidth="1"/>
    <col min="28" max="28" width="13.44140625" customWidth="1"/>
  </cols>
  <sheetData>
    <row r="1" spans="1:23">
      <c r="D1" s="16" t="s">
        <v>125</v>
      </c>
      <c r="O1" s="60"/>
      <c r="P1" s="61" t="s">
        <v>79</v>
      </c>
      <c r="Q1" s="62" t="s">
        <v>80</v>
      </c>
      <c r="R1" s="60"/>
      <c r="S1" s="60"/>
    </row>
    <row r="2" spans="1:23">
      <c r="D2" s="16" t="s">
        <v>77</v>
      </c>
      <c r="O2" s="60"/>
      <c r="P2" s="62" t="s">
        <v>81</v>
      </c>
      <c r="Q2" s="62" t="s">
        <v>82</v>
      </c>
      <c r="R2" s="63" t="s">
        <v>83</v>
      </c>
      <c r="S2" s="60" t="s">
        <v>84</v>
      </c>
    </row>
    <row r="3" spans="1:23">
      <c r="D3" s="16"/>
      <c r="O3" s="64" t="s">
        <v>10</v>
      </c>
      <c r="P3" s="71">
        <f>+Q29+Q102</f>
        <v>2431282.8960721204</v>
      </c>
      <c r="Q3" s="72">
        <f>1383735+580830</f>
        <v>1964565</v>
      </c>
      <c r="R3" s="73">
        <f>Q3-P3</f>
        <v>-466717.89607212041</v>
      </c>
      <c r="S3" s="74">
        <f>R3/P3</f>
        <v>-0.19196363237948594</v>
      </c>
    </row>
    <row r="4" spans="1:23">
      <c r="D4" s="16"/>
      <c r="O4" s="131" t="s">
        <v>147</v>
      </c>
      <c r="P4" s="89">
        <f>+Q112+Q37</f>
        <v>275355.53555123997</v>
      </c>
      <c r="Q4">
        <v>78985</v>
      </c>
      <c r="S4" s="132"/>
    </row>
    <row r="5" spans="1:23">
      <c r="D5" s="16"/>
      <c r="O5" s="64" t="s">
        <v>11</v>
      </c>
      <c r="P5" s="75">
        <f>+Q61+Q124</f>
        <v>579476.36363916867</v>
      </c>
      <c r="Q5" s="76">
        <v>1036823</v>
      </c>
      <c r="R5" s="77">
        <f t="shared" ref="R5" si="0">Q5-P5</f>
        <v>457346.63636083133</v>
      </c>
      <c r="S5" s="78">
        <f>R5/P5</f>
        <v>0.78924122718077638</v>
      </c>
    </row>
    <row r="6" spans="1:23">
      <c r="D6" s="16" t="s">
        <v>122</v>
      </c>
      <c r="E6" s="115">
        <v>0.32319999999999999</v>
      </c>
      <c r="O6" s="131" t="s">
        <v>214</v>
      </c>
      <c r="Q6">
        <v>514860</v>
      </c>
      <c r="S6" s="132"/>
    </row>
    <row r="7" spans="1:23">
      <c r="D7" s="16" t="s">
        <v>121</v>
      </c>
      <c r="E7" s="115">
        <v>0.2732</v>
      </c>
      <c r="O7" s="64" t="s">
        <v>74</v>
      </c>
      <c r="P7" s="75">
        <f>+Q88+Q130</f>
        <v>223867.8844282488</v>
      </c>
      <c r="Q7" s="76">
        <v>232043</v>
      </c>
      <c r="R7" s="77">
        <f>Q7-P7</f>
        <v>8175.1155717512011</v>
      </c>
      <c r="S7" s="78">
        <f>R7/P7</f>
        <v>3.6517589794669195E-2</v>
      </c>
    </row>
    <row r="8" spans="1:23">
      <c r="D8" s="16" t="s">
        <v>100</v>
      </c>
      <c r="E8" s="135">
        <v>4719669</v>
      </c>
      <c r="O8" s="65" t="s">
        <v>85</v>
      </c>
      <c r="P8" s="75">
        <f>SUM(P3:P7)</f>
        <v>3509982.6796907773</v>
      </c>
      <c r="Q8" s="76">
        <f>SUM(Q3:Q7)</f>
        <v>3827276</v>
      </c>
      <c r="R8" s="77">
        <f>Q8-P8</f>
        <v>317293.32030922268</v>
      </c>
      <c r="S8" s="78">
        <f>R8/P8</f>
        <v>9.0397403424559236E-2</v>
      </c>
    </row>
    <row r="9" spans="1:23" ht="28.2">
      <c r="D9" s="16"/>
      <c r="E9" s="135"/>
      <c r="O9" s="65" t="s">
        <v>222</v>
      </c>
      <c r="P9" s="76">
        <v>79329.960000000006</v>
      </c>
      <c r="R9" s="77">
        <f t="shared" ref="R9:R11" si="1">Q9-P9</f>
        <v>-79329.960000000006</v>
      </c>
      <c r="S9" s="78"/>
    </row>
    <row r="10" spans="1:23" ht="28.2">
      <c r="D10" s="16"/>
      <c r="E10" s="135"/>
      <c r="O10" s="65" t="s">
        <v>223</v>
      </c>
      <c r="P10" s="76">
        <f>314185+9103.99</f>
        <v>323288.99</v>
      </c>
      <c r="Q10" s="87">
        <v>309975</v>
      </c>
      <c r="R10" s="77">
        <f t="shared" si="1"/>
        <v>-13313.989999999991</v>
      </c>
      <c r="S10" s="78"/>
      <c r="W10" s="87"/>
    </row>
    <row r="11" spans="1:23">
      <c r="D11" s="16" t="s">
        <v>122</v>
      </c>
      <c r="E11" s="135">
        <v>1543980</v>
      </c>
      <c r="O11" s="64" t="s">
        <v>86</v>
      </c>
      <c r="P11" s="75">
        <v>366495</v>
      </c>
      <c r="Q11" s="76">
        <v>366495</v>
      </c>
      <c r="R11" s="77">
        <f t="shared" si="1"/>
        <v>0</v>
      </c>
      <c r="S11" s="79">
        <f>R11/P11</f>
        <v>0</v>
      </c>
    </row>
    <row r="12" spans="1:23">
      <c r="D12" s="16"/>
      <c r="E12" s="135">
        <f>+E8*E7</f>
        <v>1289413.5708000001</v>
      </c>
      <c r="H12" s="13"/>
      <c r="I12" s="13"/>
      <c r="J12" s="13"/>
      <c r="K12" s="13"/>
      <c r="L12" s="13"/>
      <c r="M12" s="13"/>
      <c r="O12" s="69" t="s">
        <v>87</v>
      </c>
      <c r="P12" s="136">
        <f>SUM(P8:P11)</f>
        <v>4279096.6296907775</v>
      </c>
      <c r="Q12" s="137">
        <f>SUM(Q8:Q11)</f>
        <v>4503746</v>
      </c>
      <c r="R12" s="80">
        <f>SUM(R8:R11)</f>
        <v>224649.37030922266</v>
      </c>
      <c r="S12" s="81">
        <f>R12/Q12</f>
        <v>4.9880559496299895E-2</v>
      </c>
    </row>
    <row r="13" spans="1:23">
      <c r="D13" s="16"/>
      <c r="E13" s="47"/>
      <c r="K13" s="36"/>
      <c r="L13" s="36"/>
      <c r="M13" s="36"/>
      <c r="O13" s="39"/>
    </row>
    <row r="14" spans="1:23">
      <c r="D14" s="16"/>
      <c r="E14" s="47"/>
      <c r="K14" s="36"/>
      <c r="L14" s="36"/>
      <c r="M14" s="36"/>
      <c r="O14" s="52"/>
    </row>
    <row r="15" spans="1:23" ht="72.599999999999994" customHeight="1">
      <c r="A15" s="1"/>
      <c r="B15" s="2" t="s">
        <v>71</v>
      </c>
      <c r="C15" s="2" t="s">
        <v>13</v>
      </c>
      <c r="D15" s="142" t="s">
        <v>15</v>
      </c>
      <c r="E15" s="2" t="s">
        <v>37</v>
      </c>
      <c r="F15" s="2" t="s">
        <v>0</v>
      </c>
      <c r="G15" s="2" t="s">
        <v>1</v>
      </c>
      <c r="H15" s="2" t="s">
        <v>8</v>
      </c>
      <c r="I15" s="2" t="s">
        <v>29</v>
      </c>
      <c r="J15" s="2" t="s">
        <v>30</v>
      </c>
      <c r="K15" s="2" t="s">
        <v>7</v>
      </c>
      <c r="L15" s="2" t="s">
        <v>2</v>
      </c>
      <c r="M15" s="2" t="s">
        <v>38</v>
      </c>
      <c r="N15" s="2" t="s">
        <v>34</v>
      </c>
      <c r="O15" s="2" t="s">
        <v>78</v>
      </c>
      <c r="P15" s="2" t="s">
        <v>32</v>
      </c>
      <c r="Q15" s="2" t="s">
        <v>35</v>
      </c>
      <c r="R15" s="2" t="s">
        <v>33</v>
      </c>
      <c r="S15" s="2" t="s">
        <v>39</v>
      </c>
      <c r="T15" s="2" t="s">
        <v>36</v>
      </c>
    </row>
    <row r="16" spans="1:23">
      <c r="B16" s="41"/>
      <c r="C16" s="41"/>
      <c r="D16" s="48"/>
      <c r="E16" s="38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3" ht="15" customHeight="1">
      <c r="A17" s="139" t="s">
        <v>10</v>
      </c>
      <c r="B17" s="88">
        <v>100</v>
      </c>
      <c r="C17" s="88">
        <v>22</v>
      </c>
      <c r="D17" s="91" t="s">
        <v>135</v>
      </c>
      <c r="E17" s="89"/>
      <c r="F17" s="9">
        <f>+References!$D$8</f>
        <v>2.1666666666666665</v>
      </c>
      <c r="G17" s="86">
        <f t="shared" ref="G17" si="2">E17*F17*12</f>
        <v>0</v>
      </c>
      <c r="H17" s="87"/>
      <c r="I17" s="87">
        <f t="shared" ref="I17" si="3">G17*H17</f>
        <v>0</v>
      </c>
      <c r="J17" s="10"/>
      <c r="K17" s="18">
        <f>References!$C$17*J17</f>
        <v>0</v>
      </c>
      <c r="L17" s="22">
        <f>K17/References!$F$18</f>
        <v>0</v>
      </c>
      <c r="M17" s="22" t="e">
        <f t="shared" ref="M17" si="4">L17/G17*F17</f>
        <v>#DIV/0!</v>
      </c>
      <c r="N17" s="42">
        <v>7.35</v>
      </c>
      <c r="O17" s="141">
        <f>+N17*$E$7+N17</f>
        <v>9.3580199999999998</v>
      </c>
      <c r="P17" s="42">
        <f t="shared" ref="P17" si="5">O17</f>
        <v>9.3580199999999998</v>
      </c>
      <c r="Q17" s="20">
        <f t="shared" ref="Q17" si="6">E17*N17*12</f>
        <v>0</v>
      </c>
      <c r="R17" s="20">
        <f t="shared" ref="R17" si="7">E17*P17*12</f>
        <v>0</v>
      </c>
      <c r="S17" s="20">
        <f t="shared" ref="S17" si="8">R17-Q17</f>
        <v>0</v>
      </c>
      <c r="T17" s="41"/>
      <c r="U17" s="134" t="e">
        <f>+S17/Q17</f>
        <v>#DIV/0!</v>
      </c>
    </row>
    <row r="18" spans="1:23" ht="15" customHeight="1">
      <c r="A18" s="139"/>
      <c r="B18" s="88">
        <v>100</v>
      </c>
      <c r="C18" s="88">
        <v>22</v>
      </c>
      <c r="D18" s="91" t="s">
        <v>88</v>
      </c>
      <c r="E18" s="89">
        <v>5187</v>
      </c>
      <c r="F18" s="9">
        <f>References!$D$7</f>
        <v>4.333333333333333</v>
      </c>
      <c r="G18" s="86">
        <f>E18*F18*12</f>
        <v>269724</v>
      </c>
      <c r="H18" s="87"/>
      <c r="I18" s="87">
        <f>G18*H18</f>
        <v>0</v>
      </c>
      <c r="J18" s="10"/>
      <c r="K18" s="18">
        <f>References!$C$17*J18</f>
        <v>0</v>
      </c>
      <c r="L18" s="22">
        <f>K18/References!$F$18</f>
        <v>0</v>
      </c>
      <c r="M18" s="22">
        <f>L18/G18*F18</f>
        <v>0</v>
      </c>
      <c r="N18" s="141">
        <v>15.49</v>
      </c>
      <c r="O18" s="141">
        <f>+N18*$E$7+N18</f>
        <v>19.721868000000001</v>
      </c>
      <c r="P18" s="42">
        <f>O18</f>
        <v>19.721868000000001</v>
      </c>
      <c r="Q18" s="20">
        <f>E18*N18*12</f>
        <v>964159.56</v>
      </c>
      <c r="R18" s="20">
        <f>E18*P18*12</f>
        <v>1227567.9517920001</v>
      </c>
      <c r="S18" s="20">
        <f t="shared" ref="S18:S19" si="9">R18-Q18</f>
        <v>263408.39179200004</v>
      </c>
      <c r="T18" s="41"/>
      <c r="U18" s="134">
        <f>+S18/Q18</f>
        <v>0.2732</v>
      </c>
    </row>
    <row r="19" spans="1:23" ht="15" customHeight="1">
      <c r="A19" s="139"/>
      <c r="B19" s="88">
        <v>100</v>
      </c>
      <c r="C19" s="88">
        <v>22</v>
      </c>
      <c r="D19" s="91" t="s">
        <v>89</v>
      </c>
      <c r="E19" s="89">
        <v>971.67240000000004</v>
      </c>
      <c r="F19" s="9">
        <f>References!$D$7</f>
        <v>4.333333333333333</v>
      </c>
      <c r="G19" s="86">
        <f t="shared" ref="G19:G24" si="10">E19*F19*12</f>
        <v>50526.964800000002</v>
      </c>
      <c r="H19" s="87"/>
      <c r="I19" s="87">
        <f t="shared" ref="I19" si="11">G19*H19</f>
        <v>0</v>
      </c>
      <c r="J19" s="10"/>
      <c r="K19" s="18">
        <f>References!$C$17*J19</f>
        <v>0</v>
      </c>
      <c r="L19" s="22">
        <f>K19/References!$F$18</f>
        <v>0</v>
      </c>
      <c r="M19" s="22">
        <f t="shared" ref="M19" si="12">L19/G19*F19</f>
        <v>0</v>
      </c>
      <c r="N19" s="42">
        <v>21.35</v>
      </c>
      <c r="O19" s="141">
        <f t="shared" ref="O19:O20" si="13">+N19*$E$7+N19</f>
        <v>27.182820000000003</v>
      </c>
      <c r="P19" s="42">
        <f t="shared" ref="P19:P20" si="14">O19</f>
        <v>27.182820000000003</v>
      </c>
      <c r="Q19" s="20">
        <f t="shared" ref="Q19:Q20" si="15">E19*N19*12</f>
        <v>248942.46888</v>
      </c>
      <c r="R19" s="20">
        <f t="shared" ref="R19:R20" si="16">E19*P19*12</f>
        <v>316953.55137801607</v>
      </c>
      <c r="S19" s="20">
        <f t="shared" si="9"/>
        <v>68011.082498016069</v>
      </c>
      <c r="T19" s="41"/>
      <c r="U19" s="134">
        <f t="shared" ref="U19:U80" si="17">+S19/Q19</f>
        <v>0.27320000000000028</v>
      </c>
    </row>
    <row r="20" spans="1:23" ht="15" customHeight="1">
      <c r="A20" s="139"/>
      <c r="B20" s="88">
        <v>100</v>
      </c>
      <c r="C20" s="88">
        <v>22</v>
      </c>
      <c r="D20" s="91" t="s">
        <v>90</v>
      </c>
      <c r="E20" s="89"/>
      <c r="F20" s="9">
        <f>References!$D$7</f>
        <v>4.333333333333333</v>
      </c>
      <c r="G20" s="86">
        <f t="shared" si="10"/>
        <v>0</v>
      </c>
      <c r="H20" s="87"/>
      <c r="I20" s="87"/>
      <c r="J20" s="10"/>
      <c r="K20" s="18"/>
      <c r="L20" s="22"/>
      <c r="M20" s="22"/>
      <c r="N20" s="42">
        <v>27.67</v>
      </c>
      <c r="O20" s="141">
        <f t="shared" si="13"/>
        <v>35.229444000000001</v>
      </c>
      <c r="P20" s="42">
        <f t="shared" si="14"/>
        <v>35.229444000000001</v>
      </c>
      <c r="Q20" s="20">
        <f t="shared" si="15"/>
        <v>0</v>
      </c>
      <c r="R20" s="20">
        <f t="shared" si="16"/>
        <v>0</v>
      </c>
      <c r="S20" s="20">
        <f t="shared" ref="S20:S24" si="18">R20-Q20</f>
        <v>0</v>
      </c>
      <c r="T20" s="41"/>
      <c r="U20" s="134" t="e">
        <f t="shared" si="17"/>
        <v>#DIV/0!</v>
      </c>
    </row>
    <row r="21" spans="1:23" ht="15" customHeight="1">
      <c r="A21" s="139"/>
      <c r="B21" s="88">
        <v>100</v>
      </c>
      <c r="C21" s="88">
        <v>22</v>
      </c>
      <c r="D21" s="91" t="s">
        <v>91</v>
      </c>
      <c r="E21" s="89"/>
      <c r="F21" s="9">
        <f>References!$D$7</f>
        <v>4.333333333333333</v>
      </c>
      <c r="G21" s="86">
        <f t="shared" si="10"/>
        <v>0</v>
      </c>
      <c r="H21" s="87"/>
      <c r="I21" s="87"/>
      <c r="J21" s="10"/>
      <c r="K21" s="18"/>
      <c r="L21" s="22"/>
      <c r="M21" s="22"/>
      <c r="N21" s="42">
        <v>33.72</v>
      </c>
      <c r="O21" s="141">
        <f t="shared" ref="O21:O24" si="19">+N21*$E$7+N21</f>
        <v>42.932304000000002</v>
      </c>
      <c r="P21" s="42">
        <f t="shared" ref="P21:P24" si="20">O21</f>
        <v>42.932304000000002</v>
      </c>
      <c r="Q21" s="20">
        <f t="shared" ref="Q21:Q24" si="21">E21*N21*12</f>
        <v>0</v>
      </c>
      <c r="R21" s="20">
        <f t="shared" ref="R21:R24" si="22">E21*P21*12</f>
        <v>0</v>
      </c>
      <c r="S21" s="20">
        <f t="shared" si="18"/>
        <v>0</v>
      </c>
      <c r="T21" s="41"/>
      <c r="U21" s="134" t="e">
        <f t="shared" si="17"/>
        <v>#DIV/0!</v>
      </c>
    </row>
    <row r="22" spans="1:23" ht="15" customHeight="1">
      <c r="A22" s="139"/>
      <c r="B22" s="88">
        <v>100</v>
      </c>
      <c r="C22" s="88">
        <v>22</v>
      </c>
      <c r="D22" s="91" t="s">
        <v>92</v>
      </c>
      <c r="E22" s="89"/>
      <c r="F22" s="9">
        <f>References!$D$7</f>
        <v>4.333333333333333</v>
      </c>
      <c r="G22" s="86">
        <f t="shared" si="10"/>
        <v>0</v>
      </c>
      <c r="H22" s="87"/>
      <c r="I22" s="87"/>
      <c r="J22" s="10"/>
      <c r="K22" s="18"/>
      <c r="L22" s="22"/>
      <c r="M22" s="22"/>
      <c r="N22" s="42">
        <v>39.67</v>
      </c>
      <c r="O22" s="141">
        <f t="shared" si="19"/>
        <v>50.507844000000006</v>
      </c>
      <c r="P22" s="42">
        <f t="shared" si="20"/>
        <v>50.507844000000006</v>
      </c>
      <c r="Q22" s="20">
        <f t="shared" si="21"/>
        <v>0</v>
      </c>
      <c r="R22" s="20">
        <f t="shared" si="22"/>
        <v>0</v>
      </c>
      <c r="S22" s="20">
        <f t="shared" si="18"/>
        <v>0</v>
      </c>
      <c r="T22" s="41"/>
      <c r="U22" s="134" t="e">
        <f t="shared" si="17"/>
        <v>#DIV/0!</v>
      </c>
    </row>
    <row r="23" spans="1:23" ht="15" customHeight="1">
      <c r="A23" s="139"/>
      <c r="B23" s="88">
        <v>100</v>
      </c>
      <c r="C23" s="88">
        <v>22</v>
      </c>
      <c r="D23" s="91" t="s">
        <v>93</v>
      </c>
      <c r="E23" s="89"/>
      <c r="F23" s="9">
        <f>References!$D$7</f>
        <v>4.333333333333333</v>
      </c>
      <c r="G23" s="86">
        <f t="shared" si="10"/>
        <v>0</v>
      </c>
      <c r="H23" s="87"/>
      <c r="I23" s="87"/>
      <c r="J23" s="10"/>
      <c r="K23" s="18"/>
      <c r="L23" s="22"/>
      <c r="M23" s="22"/>
      <c r="N23" s="42">
        <v>46.72</v>
      </c>
      <c r="O23" s="141">
        <f t="shared" si="19"/>
        <v>59.483903999999995</v>
      </c>
      <c r="P23" s="42">
        <f t="shared" si="20"/>
        <v>59.483903999999995</v>
      </c>
      <c r="Q23" s="20">
        <f t="shared" si="21"/>
        <v>0</v>
      </c>
      <c r="R23" s="20">
        <f t="shared" si="22"/>
        <v>0</v>
      </c>
      <c r="S23" s="20">
        <f t="shared" si="18"/>
        <v>0</v>
      </c>
      <c r="T23" s="41"/>
      <c r="U23" s="134" t="e">
        <f t="shared" si="17"/>
        <v>#DIV/0!</v>
      </c>
    </row>
    <row r="24" spans="1:23" ht="15" customHeight="1">
      <c r="A24" s="139"/>
      <c r="B24" s="88">
        <v>100</v>
      </c>
      <c r="C24" s="88">
        <v>22</v>
      </c>
      <c r="D24" s="91" t="s">
        <v>136</v>
      </c>
      <c r="E24" s="89">
        <v>643.7903</v>
      </c>
      <c r="F24" s="9">
        <f>References!$D$7</f>
        <v>4.333333333333333</v>
      </c>
      <c r="G24" s="86">
        <f t="shared" si="10"/>
        <v>33477.095600000001</v>
      </c>
      <c r="H24" s="87"/>
      <c r="I24" s="87"/>
      <c r="J24" s="10"/>
      <c r="K24" s="18"/>
      <c r="L24" s="22"/>
      <c r="M24" s="22"/>
      <c r="N24" s="42">
        <v>6.86</v>
      </c>
      <c r="O24" s="141">
        <f t="shared" si="19"/>
        <v>8.7341519999999999</v>
      </c>
      <c r="P24" s="42">
        <f t="shared" si="20"/>
        <v>8.7341519999999999</v>
      </c>
      <c r="Q24" s="20">
        <f t="shared" si="21"/>
        <v>52996.817496000003</v>
      </c>
      <c r="R24" s="20">
        <f t="shared" si="22"/>
        <v>67475.548035907195</v>
      </c>
      <c r="S24" s="20">
        <f t="shared" si="18"/>
        <v>14478.730539907192</v>
      </c>
      <c r="T24" s="41"/>
      <c r="U24" s="134">
        <f t="shared" si="17"/>
        <v>0.27319999999999983</v>
      </c>
    </row>
    <row r="25" spans="1:23">
      <c r="A25" s="139"/>
      <c r="B25" s="88">
        <v>100</v>
      </c>
      <c r="C25" s="88">
        <v>22</v>
      </c>
      <c r="D25" s="91" t="s">
        <v>137</v>
      </c>
      <c r="E25" s="89">
        <v>7102.4660000000003</v>
      </c>
      <c r="F25" s="9">
        <f>+References!$D$8</f>
        <v>2.1666666666666665</v>
      </c>
      <c r="G25" s="86">
        <f t="shared" ref="G25:G28" si="23">E25*F25*12</f>
        <v>184664.11599999998</v>
      </c>
      <c r="H25" s="87"/>
      <c r="I25" s="87">
        <f>G25*H25</f>
        <v>0</v>
      </c>
      <c r="J25" s="10"/>
      <c r="K25" s="18">
        <f>References!$C$17*J25</f>
        <v>0</v>
      </c>
      <c r="L25" s="22">
        <f>K25/References!$F$18</f>
        <v>0</v>
      </c>
      <c r="M25" s="22">
        <f>L25/G25*F25</f>
        <v>0</v>
      </c>
      <c r="N25" s="42">
        <v>6.25</v>
      </c>
      <c r="O25" s="141">
        <f t="shared" ref="O25:O28" si="24">+N25*$E$7+N25</f>
        <v>7.9574999999999996</v>
      </c>
      <c r="P25" s="42">
        <f t="shared" ref="P25:P28" si="25">O25</f>
        <v>7.9574999999999996</v>
      </c>
      <c r="Q25" s="20">
        <f t="shared" ref="Q25:Q28" si="26">E25*N25*12</f>
        <v>532684.95000000007</v>
      </c>
      <c r="R25" s="20">
        <f t="shared" ref="R25:R28" si="27">E25*P25*12</f>
        <v>678214.47834000003</v>
      </c>
      <c r="S25" s="20">
        <f t="shared" ref="S25:S28" si="28">R25-Q25</f>
        <v>145529.52833999996</v>
      </c>
      <c r="T25" s="20">
        <f t="shared" ref="T25" si="29">E25*O25*12</f>
        <v>678214.47834000003</v>
      </c>
      <c r="U25" s="134">
        <f t="shared" si="17"/>
        <v>0.27319999999999989</v>
      </c>
    </row>
    <row r="26" spans="1:23" ht="14.85" customHeight="1">
      <c r="A26" s="139"/>
      <c r="B26" s="88">
        <v>100</v>
      </c>
      <c r="C26" s="88">
        <v>22</v>
      </c>
      <c r="D26" s="91" t="s">
        <v>138</v>
      </c>
      <c r="E26" s="89">
        <v>496.22840000000002</v>
      </c>
      <c r="F26" s="9">
        <f>+References!$D$8</f>
        <v>2.1666666666666665</v>
      </c>
      <c r="G26" s="86">
        <f t="shared" si="23"/>
        <v>12901.938400000001</v>
      </c>
      <c r="H26" s="87"/>
      <c r="I26" s="87">
        <f t="shared" ref="I26:I58" si="30">G26*H26</f>
        <v>0</v>
      </c>
      <c r="J26" s="10"/>
      <c r="K26" s="18">
        <f>References!$C$17*J26</f>
        <v>0</v>
      </c>
      <c r="L26" s="22">
        <f>K26/References!$F$18</f>
        <v>0</v>
      </c>
      <c r="M26" s="22">
        <f t="shared" ref="M26:M28" si="31">L26/G26*F26</f>
        <v>0</v>
      </c>
      <c r="N26" s="42">
        <v>9.56</v>
      </c>
      <c r="O26" s="141">
        <f t="shared" si="24"/>
        <v>12.171792</v>
      </c>
      <c r="P26" s="42">
        <f t="shared" si="25"/>
        <v>12.171792</v>
      </c>
      <c r="Q26" s="20">
        <f t="shared" si="26"/>
        <v>56927.322048000009</v>
      </c>
      <c r="R26" s="20">
        <f t="shared" si="27"/>
        <v>72479.866431513597</v>
      </c>
      <c r="S26" s="20">
        <f t="shared" si="28"/>
        <v>15552.544383513588</v>
      </c>
      <c r="T26" s="20">
        <f>G26*O26</f>
        <v>157039.71060161281</v>
      </c>
      <c r="U26" s="134">
        <f t="shared" si="17"/>
        <v>0.27319999999999978</v>
      </c>
    </row>
    <row r="27" spans="1:23">
      <c r="A27" s="139"/>
      <c r="B27" s="88">
        <v>100</v>
      </c>
      <c r="C27" s="88">
        <v>22</v>
      </c>
      <c r="D27" s="91" t="s">
        <v>139</v>
      </c>
      <c r="E27" s="89"/>
      <c r="F27" s="9">
        <f>+References!$D$8</f>
        <v>2.1666666666666665</v>
      </c>
      <c r="G27" s="86">
        <f t="shared" si="23"/>
        <v>0</v>
      </c>
      <c r="H27" s="87"/>
      <c r="I27" s="87">
        <f t="shared" si="30"/>
        <v>0</v>
      </c>
      <c r="J27" s="10"/>
      <c r="K27" s="18">
        <f>References!$C$17*J27</f>
        <v>0</v>
      </c>
      <c r="L27" s="22">
        <f>K27/References!$F$18</f>
        <v>0</v>
      </c>
      <c r="M27" s="22" t="e">
        <f t="shared" si="31"/>
        <v>#DIV/0!</v>
      </c>
      <c r="N27" s="42">
        <v>5.62</v>
      </c>
      <c r="O27" s="141">
        <f t="shared" si="24"/>
        <v>7.1553839999999997</v>
      </c>
      <c r="P27" s="42">
        <f t="shared" si="25"/>
        <v>7.1553839999999997</v>
      </c>
      <c r="Q27" s="20">
        <f t="shared" si="26"/>
        <v>0</v>
      </c>
      <c r="R27" s="20">
        <f t="shared" si="27"/>
        <v>0</v>
      </c>
      <c r="S27" s="20">
        <f t="shared" si="28"/>
        <v>0</v>
      </c>
      <c r="T27" s="20">
        <f>G27*O27</f>
        <v>0</v>
      </c>
      <c r="U27" s="134" t="e">
        <f t="shared" si="17"/>
        <v>#DIV/0!</v>
      </c>
    </row>
    <row r="28" spans="1:23">
      <c r="A28" s="139"/>
      <c r="B28" s="88">
        <v>100</v>
      </c>
      <c r="C28" s="88">
        <v>22</v>
      </c>
      <c r="D28" s="91" t="s">
        <v>140</v>
      </c>
      <c r="E28" s="89">
        <v>4265.1750000000002</v>
      </c>
      <c r="F28" s="9">
        <f>+References!$D$8</f>
        <v>2.1666666666666665</v>
      </c>
      <c r="G28" s="86">
        <f t="shared" si="23"/>
        <v>110894.54999999999</v>
      </c>
      <c r="H28" s="87"/>
      <c r="I28" s="87">
        <f t="shared" si="30"/>
        <v>0</v>
      </c>
      <c r="J28" s="10"/>
      <c r="K28" s="18">
        <f>References!$C$17*J28</f>
        <v>0</v>
      </c>
      <c r="L28" s="22">
        <f>K28/References!$F$18</f>
        <v>0</v>
      </c>
      <c r="M28" s="22">
        <f t="shared" si="31"/>
        <v>0</v>
      </c>
      <c r="N28" s="42">
        <v>10.039999999999999</v>
      </c>
      <c r="O28" s="141">
        <f t="shared" si="24"/>
        <v>12.782927999999998</v>
      </c>
      <c r="P28" s="42">
        <f t="shared" si="25"/>
        <v>12.782927999999998</v>
      </c>
      <c r="Q28" s="20">
        <f t="shared" si="26"/>
        <v>513868.28399999999</v>
      </c>
      <c r="R28" s="20">
        <f t="shared" si="27"/>
        <v>654257.09918879997</v>
      </c>
      <c r="S28" s="20">
        <f t="shared" si="28"/>
        <v>140388.81518879998</v>
      </c>
      <c r="T28" s="20">
        <f>E28*O28*12</f>
        <v>654257.09918879997</v>
      </c>
      <c r="U28" s="134">
        <f t="shared" si="17"/>
        <v>0.2732</v>
      </c>
    </row>
    <row r="29" spans="1:23" ht="15" thickBot="1">
      <c r="A29" s="93"/>
      <c r="B29" s="94"/>
      <c r="C29" s="95"/>
      <c r="D29" s="96" t="s">
        <v>14</v>
      </c>
      <c r="E29" s="97">
        <f>SUM(E17:E28)</f>
        <v>18666.3321</v>
      </c>
      <c r="F29" s="43"/>
      <c r="G29" s="97">
        <f>SUM(G17:G28)</f>
        <v>662188.66479999991</v>
      </c>
      <c r="H29" s="97"/>
      <c r="I29" s="97">
        <f>SUM(I25:I28)</f>
        <v>0</v>
      </c>
      <c r="J29" s="97"/>
      <c r="K29" s="43"/>
      <c r="L29" s="43"/>
      <c r="M29" s="43"/>
      <c r="N29" s="43"/>
      <c r="O29" s="43"/>
      <c r="P29" s="43"/>
      <c r="Q29" s="97">
        <f>SUM(Q17:Q28)</f>
        <v>2369579.4024240002</v>
      </c>
      <c r="R29" s="97">
        <f>SUM(R17:R28)</f>
        <v>3016948.495166237</v>
      </c>
      <c r="S29" s="97">
        <f>SUM(S17:S28)</f>
        <v>647369.0927422368</v>
      </c>
      <c r="T29" s="99">
        <f>SUM(T18:T28)</f>
        <v>1489511.2881304128</v>
      </c>
      <c r="U29" s="134">
        <f t="shared" si="17"/>
        <v>0.2732</v>
      </c>
    </row>
    <row r="30" spans="1:23">
      <c r="A30" s="70"/>
      <c r="B30" s="83"/>
      <c r="C30" s="90"/>
      <c r="D30" s="100"/>
      <c r="E30" s="101"/>
      <c r="F30" s="9"/>
      <c r="G30" s="102"/>
      <c r="H30" s="101"/>
      <c r="I30" s="101"/>
      <c r="J30" s="101"/>
      <c r="K30" s="9"/>
      <c r="L30" s="9"/>
      <c r="M30" s="9"/>
      <c r="N30" s="9"/>
      <c r="O30" s="9"/>
      <c r="P30" s="9"/>
      <c r="Q30" s="103"/>
      <c r="R30" s="103"/>
      <c r="S30" s="103"/>
      <c r="T30" s="101"/>
      <c r="U30" s="134"/>
    </row>
    <row r="31" spans="1:23" ht="15" customHeight="1">
      <c r="A31" s="139" t="s">
        <v>147</v>
      </c>
      <c r="B31" s="88">
        <v>105</v>
      </c>
      <c r="C31" s="88">
        <v>26</v>
      </c>
      <c r="D31" s="91" t="s">
        <v>88</v>
      </c>
      <c r="E31" s="89">
        <v>64.384450000000001</v>
      </c>
      <c r="F31" s="9">
        <f>References!$D$7</f>
        <v>4.333333333333333</v>
      </c>
      <c r="G31" s="86">
        <f t="shared" ref="G31" si="32">E31*F31*12</f>
        <v>3347.9913999999999</v>
      </c>
      <c r="H31" s="87"/>
      <c r="I31" s="87">
        <f t="shared" ref="I31" si="33">G31*H31</f>
        <v>0</v>
      </c>
      <c r="J31" s="10"/>
      <c r="K31" s="18">
        <f>References!$C$17*J31</f>
        <v>0</v>
      </c>
      <c r="L31" s="22">
        <f>K31/References!$F$18</f>
        <v>0</v>
      </c>
      <c r="M31" s="22">
        <f t="shared" ref="M31" si="34">L31/G31*F31</f>
        <v>0</v>
      </c>
      <c r="N31" s="42">
        <v>10.63</v>
      </c>
      <c r="O31" s="141">
        <f t="shared" ref="O31" si="35">+N31*$E$7+N31</f>
        <v>13.534116000000001</v>
      </c>
      <c r="P31" s="42">
        <f t="shared" ref="P31" si="36">O31</f>
        <v>13.534116000000001</v>
      </c>
      <c r="Q31" s="20">
        <f t="shared" ref="Q31" si="37">E31*N31*12</f>
        <v>8212.8804420000015</v>
      </c>
      <c r="R31" s="20">
        <f t="shared" ref="R31" si="38">E31*P31*12</f>
        <v>10456.6393787544</v>
      </c>
      <c r="S31" s="20">
        <f t="shared" ref="S31:S36" si="39">R31-Q31</f>
        <v>2243.7589367543987</v>
      </c>
      <c r="T31" s="41"/>
      <c r="U31" s="134">
        <f t="shared" si="17"/>
        <v>0.27319999999999978</v>
      </c>
    </row>
    <row r="32" spans="1:23" ht="15" customHeight="1">
      <c r="A32" s="139"/>
      <c r="B32" s="88">
        <v>105</v>
      </c>
      <c r="C32" s="88">
        <v>26</v>
      </c>
      <c r="D32" s="91" t="s">
        <v>220</v>
      </c>
      <c r="E32" s="89">
        <v>32.180349999999997</v>
      </c>
      <c r="F32" s="9">
        <v>4.33</v>
      </c>
      <c r="G32" s="86">
        <f>+E32*F32*12</f>
        <v>1672.0909859999999</v>
      </c>
      <c r="H32" s="87"/>
      <c r="I32" s="87"/>
      <c r="J32" s="10"/>
      <c r="K32" s="18"/>
      <c r="L32" s="22"/>
      <c r="M32" s="22"/>
      <c r="N32" s="42">
        <v>14.86</v>
      </c>
      <c r="O32" s="141">
        <f>+N32*$E$7+N32</f>
        <v>18.919751999999999</v>
      </c>
      <c r="P32" s="42">
        <f>O32</f>
        <v>18.919751999999999</v>
      </c>
      <c r="Q32" s="20">
        <f>E32*N32*12</f>
        <v>5738.4000119999992</v>
      </c>
      <c r="R32" s="20">
        <f>E32*P32*12</f>
        <v>7306.1308952783993</v>
      </c>
      <c r="S32" s="20">
        <f t="shared" ref="S32" si="40">R32-Q32</f>
        <v>1567.7308832784001</v>
      </c>
      <c r="T32" s="41"/>
      <c r="U32" s="134">
        <f t="shared" si="17"/>
        <v>0.27320000000000005</v>
      </c>
      <c r="W32" t="s">
        <v>226</v>
      </c>
    </row>
    <row r="33" spans="1:23" ht="15" customHeight="1">
      <c r="A33" s="139"/>
      <c r="B33" s="88">
        <v>105</v>
      </c>
      <c r="C33" s="88">
        <v>26</v>
      </c>
      <c r="D33" s="91" t="s">
        <v>138</v>
      </c>
      <c r="E33" s="89">
        <v>420.79919999999998</v>
      </c>
      <c r="F33" s="9">
        <f>+References!$D$8</f>
        <v>2.1666666666666665</v>
      </c>
      <c r="G33" s="86">
        <f>E33*F33*12</f>
        <v>10940.779199999999</v>
      </c>
      <c r="H33" s="87"/>
      <c r="I33" s="87">
        <f>G33*H33</f>
        <v>0</v>
      </c>
      <c r="J33" s="10"/>
      <c r="K33" s="18">
        <f>References!$C$17*J33</f>
        <v>0</v>
      </c>
      <c r="L33" s="22">
        <f>K33/References!$F$18</f>
        <v>0</v>
      </c>
      <c r="M33" s="22">
        <f>L33/G33*F33</f>
        <v>0</v>
      </c>
      <c r="N33" s="141">
        <v>14.86</v>
      </c>
      <c r="O33" s="141">
        <f>+N33*$E$7+N33</f>
        <v>18.919751999999999</v>
      </c>
      <c r="P33" s="42">
        <f>O33</f>
        <v>18.919751999999999</v>
      </c>
      <c r="Q33" s="20">
        <f>E33*N33*12</f>
        <v>75036.913344000001</v>
      </c>
      <c r="R33" s="20">
        <f>E33*P33*12</f>
        <v>95536.99806958079</v>
      </c>
      <c r="S33" s="20">
        <f t="shared" si="39"/>
        <v>20500.084725580789</v>
      </c>
      <c r="T33" s="41"/>
      <c r="U33" s="134">
        <f t="shared" si="17"/>
        <v>0.27319999999999983</v>
      </c>
    </row>
    <row r="34" spans="1:23" ht="15" customHeight="1">
      <c r="A34" s="139"/>
      <c r="B34" s="88">
        <v>105</v>
      </c>
      <c r="C34" s="88">
        <v>26</v>
      </c>
      <c r="D34" s="91" t="s">
        <v>140</v>
      </c>
      <c r="E34" s="89">
        <v>72.551789999999997</v>
      </c>
      <c r="F34" s="9">
        <f>+References!$D$8</f>
        <v>2.1666666666666665</v>
      </c>
      <c r="G34" s="86">
        <f t="shared" ref="G34:G36" si="41">E34*F34*12</f>
        <v>1886.3465399999998</v>
      </c>
      <c r="H34" s="87"/>
      <c r="I34" s="87">
        <f t="shared" ref="I34" si="42">G34*H34</f>
        <v>0</v>
      </c>
      <c r="J34" s="10"/>
      <c r="K34" s="18">
        <f>References!$C$17*J34</f>
        <v>0</v>
      </c>
      <c r="L34" s="22">
        <f>K34/References!$F$18</f>
        <v>0</v>
      </c>
      <c r="M34" s="22">
        <f t="shared" ref="M34" si="43">L34/G34*F34</f>
        <v>0</v>
      </c>
      <c r="N34" s="42">
        <v>10.039999999999999</v>
      </c>
      <c r="O34" s="141">
        <f t="shared" ref="O34:O36" si="44">+N34*$E$7+N34</f>
        <v>12.782927999999998</v>
      </c>
      <c r="P34" s="42">
        <f t="shared" ref="P34:P36" si="45">O34</f>
        <v>12.782927999999998</v>
      </c>
      <c r="Q34" s="20">
        <f t="shared" ref="Q34:Q36" si="46">E34*N34*12</f>
        <v>8741.0396591999997</v>
      </c>
      <c r="R34" s="20">
        <f t="shared" ref="R34:R36" si="47">E34*P34*12</f>
        <v>11129.091694093437</v>
      </c>
      <c r="S34" s="20">
        <f t="shared" si="39"/>
        <v>2388.0520348934369</v>
      </c>
      <c r="T34" s="41"/>
      <c r="U34" s="134">
        <f t="shared" si="17"/>
        <v>0.27319999999999967</v>
      </c>
    </row>
    <row r="35" spans="1:23" ht="15" customHeight="1">
      <c r="A35" s="139"/>
      <c r="B35" s="88">
        <v>105</v>
      </c>
      <c r="C35" s="88">
        <v>26</v>
      </c>
      <c r="D35" s="91" t="s">
        <v>148</v>
      </c>
      <c r="E35" s="89">
        <v>122.8852</v>
      </c>
      <c r="F35" s="9">
        <f>References!$D$7</f>
        <v>4.333333333333333</v>
      </c>
      <c r="G35" s="86">
        <f t="shared" si="41"/>
        <v>6390.0303999999996</v>
      </c>
      <c r="H35" s="87"/>
      <c r="I35" s="87"/>
      <c r="J35" s="10"/>
      <c r="K35" s="18"/>
      <c r="L35" s="22"/>
      <c r="M35" s="22"/>
      <c r="N35" s="42">
        <v>92.03</v>
      </c>
      <c r="O35" s="141">
        <f t="shared" si="44"/>
        <v>117.172596</v>
      </c>
      <c r="P35" s="42">
        <f t="shared" si="45"/>
        <v>117.172596</v>
      </c>
      <c r="Q35" s="20">
        <f t="shared" si="46"/>
        <v>135709.499472</v>
      </c>
      <c r="R35" s="20">
        <f t="shared" si="47"/>
        <v>172785.33472775039</v>
      </c>
      <c r="S35" s="20">
        <f t="shared" si="39"/>
        <v>37075.835255750397</v>
      </c>
      <c r="T35" s="41"/>
      <c r="U35" s="134">
        <f t="shared" si="17"/>
        <v>0.2732</v>
      </c>
      <c r="W35" t="s">
        <v>219</v>
      </c>
    </row>
    <row r="36" spans="1:23" ht="15" customHeight="1">
      <c r="A36" s="139"/>
      <c r="B36" s="88">
        <v>105</v>
      </c>
      <c r="C36" s="88">
        <v>26</v>
      </c>
      <c r="D36" s="91" t="s">
        <v>149</v>
      </c>
      <c r="E36" s="89">
        <v>1.958915</v>
      </c>
      <c r="F36" s="9">
        <f>+References!$D$8</f>
        <v>2.1666666666666665</v>
      </c>
      <c r="G36" s="86">
        <f t="shared" si="41"/>
        <v>50.931789999999999</v>
      </c>
      <c r="H36" s="87"/>
      <c r="I36" s="87"/>
      <c r="J36" s="10"/>
      <c r="K36" s="18"/>
      <c r="L36" s="22"/>
      <c r="M36" s="22"/>
      <c r="N36" s="42">
        <v>91.03</v>
      </c>
      <c r="O36" s="141">
        <f t="shared" si="44"/>
        <v>115.899396</v>
      </c>
      <c r="P36" s="42">
        <f t="shared" si="45"/>
        <v>115.899396</v>
      </c>
      <c r="Q36" s="20">
        <f t="shared" si="46"/>
        <v>2139.8403893999998</v>
      </c>
      <c r="R36" s="20">
        <f t="shared" si="47"/>
        <v>2724.4447837840798</v>
      </c>
      <c r="S36" s="20">
        <f t="shared" si="39"/>
        <v>584.60439438408002</v>
      </c>
      <c r="T36" s="41"/>
      <c r="U36" s="134">
        <f t="shared" si="17"/>
        <v>0.27320000000000005</v>
      </c>
    </row>
    <row r="37" spans="1:23" ht="15" thickBot="1">
      <c r="A37" s="93"/>
      <c r="B37" s="94"/>
      <c r="C37" s="95"/>
      <c r="D37" s="96" t="s">
        <v>14</v>
      </c>
      <c r="E37" s="97">
        <f>SUM(E31:E36)</f>
        <v>714.759905</v>
      </c>
      <c r="F37" s="43"/>
      <c r="G37" s="97">
        <f>SUM(G31:G36)</f>
        <v>24288.170315999996</v>
      </c>
      <c r="H37" s="97"/>
      <c r="I37" s="97" t="e">
        <f>SUM(#REF!)</f>
        <v>#REF!</v>
      </c>
      <c r="J37" s="97"/>
      <c r="K37" s="43"/>
      <c r="L37" s="43"/>
      <c r="M37" s="43"/>
      <c r="N37" s="43"/>
      <c r="O37" s="43"/>
      <c r="P37" s="43"/>
      <c r="Q37" s="97">
        <f>SUM(Q31:Q36)</f>
        <v>235578.57331859999</v>
      </c>
      <c r="R37" s="97">
        <f>SUM(R31:R36)</f>
        <v>299938.63954924152</v>
      </c>
      <c r="S37" s="97">
        <f>SUM(S31:S36)</f>
        <v>64360.066230641503</v>
      </c>
      <c r="T37" s="99">
        <f>SUM(T33:T36)</f>
        <v>0</v>
      </c>
      <c r="U37" s="134">
        <f t="shared" si="17"/>
        <v>0.27319999999999994</v>
      </c>
    </row>
    <row r="38" spans="1:23">
      <c r="A38" s="70"/>
      <c r="B38" s="83"/>
      <c r="C38" s="90"/>
      <c r="D38" s="100"/>
      <c r="E38" s="101"/>
      <c r="F38" s="9"/>
      <c r="G38" s="102"/>
      <c r="H38" s="101"/>
      <c r="I38" s="101"/>
      <c r="J38" s="101"/>
      <c r="K38" s="9"/>
      <c r="L38" s="9"/>
      <c r="M38" s="9"/>
      <c r="N38" s="9"/>
      <c r="O38" s="9"/>
      <c r="P38" s="9"/>
      <c r="Q38" s="103"/>
      <c r="R38" s="103"/>
      <c r="S38" s="103"/>
      <c r="T38" s="103"/>
      <c r="U38" s="134"/>
    </row>
    <row r="39" spans="1:23">
      <c r="A39" s="139" t="s">
        <v>11</v>
      </c>
      <c r="B39" s="88">
        <v>240</v>
      </c>
      <c r="C39" s="88">
        <v>35</v>
      </c>
      <c r="D39" s="91" t="s">
        <v>163</v>
      </c>
      <c r="E39" s="89"/>
      <c r="F39" s="9">
        <f>References!$D$7</f>
        <v>4.333333333333333</v>
      </c>
      <c r="G39" s="143">
        <f t="shared" ref="G39:G58" si="48">E39*F39*12</f>
        <v>0</v>
      </c>
      <c r="H39" s="144"/>
      <c r="I39" s="144">
        <f t="shared" si="30"/>
        <v>0</v>
      </c>
      <c r="J39" s="10"/>
      <c r="K39" s="18">
        <f>References!$C$17*J39</f>
        <v>0</v>
      </c>
      <c r="L39" s="22">
        <f>K39/References!$F$18</f>
        <v>0</v>
      </c>
      <c r="M39" s="22" t="e">
        <f t="shared" ref="M39:M58" si="49">L39/G39*F39</f>
        <v>#DIV/0!</v>
      </c>
      <c r="N39" s="42">
        <v>25.34</v>
      </c>
      <c r="O39" s="141">
        <f>+N39*$E$7+N39</f>
        <v>32.262887999999997</v>
      </c>
      <c r="P39" s="42">
        <f>O39</f>
        <v>32.262887999999997</v>
      </c>
      <c r="Q39" s="20">
        <f>G39*N39*F39</f>
        <v>0</v>
      </c>
      <c r="R39" s="20">
        <f>G39*P39</f>
        <v>0</v>
      </c>
      <c r="S39" s="20">
        <f t="shared" ref="S39:S58" si="50">R39-Q39</f>
        <v>0</v>
      </c>
      <c r="T39" s="20">
        <f>G39*O39</f>
        <v>0</v>
      </c>
      <c r="U39" s="134" t="e">
        <f t="shared" si="17"/>
        <v>#DIV/0!</v>
      </c>
    </row>
    <row r="40" spans="1:23">
      <c r="A40" s="139"/>
      <c r="B40" s="88">
        <v>240</v>
      </c>
      <c r="C40" s="88">
        <v>35</v>
      </c>
      <c r="D40" s="91" t="s">
        <v>164</v>
      </c>
      <c r="E40" s="89">
        <v>711</v>
      </c>
      <c r="F40" s="9">
        <f>References!$D$8</f>
        <v>2.1666666666666665</v>
      </c>
      <c r="G40" s="143">
        <f>E40*F40*12</f>
        <v>18486</v>
      </c>
      <c r="H40" s="144"/>
      <c r="I40" s="144">
        <f>G40*H40</f>
        <v>0</v>
      </c>
      <c r="J40" s="10"/>
      <c r="K40" s="18">
        <f>References!$C$17*J40</f>
        <v>0</v>
      </c>
      <c r="L40" s="22">
        <f>K40/References!$F$18</f>
        <v>0</v>
      </c>
      <c r="M40" s="22">
        <f>L40/G40*F40</f>
        <v>0</v>
      </c>
      <c r="N40" s="42">
        <v>25.34</v>
      </c>
      <c r="O40" s="141">
        <f>+N40*$E$7+N40</f>
        <v>32.262887999999997</v>
      </c>
      <c r="P40" s="42">
        <f>O40</f>
        <v>32.262887999999997</v>
      </c>
      <c r="Q40" s="20">
        <f>E40*N40*12*F40</f>
        <v>468435.24</v>
      </c>
      <c r="R40" s="20">
        <f>E40*P40*12*F40</f>
        <v>596411.74756799988</v>
      </c>
      <c r="S40" s="20">
        <f>R40-Q40</f>
        <v>127976.50756799988</v>
      </c>
      <c r="T40" s="20">
        <f>G41*O41</f>
        <v>0</v>
      </c>
      <c r="U40" s="134">
        <f t="shared" si="17"/>
        <v>0.27319999999999978</v>
      </c>
    </row>
    <row r="41" spans="1:23">
      <c r="A41" s="139"/>
      <c r="B41" s="88">
        <v>240</v>
      </c>
      <c r="C41" s="88">
        <v>35</v>
      </c>
      <c r="D41" s="91" t="s">
        <v>165</v>
      </c>
      <c r="E41" s="89"/>
      <c r="F41" s="9">
        <f>References!$D$7</f>
        <v>4.333333333333333</v>
      </c>
      <c r="G41" s="143">
        <f t="shared" si="48"/>
        <v>0</v>
      </c>
      <c r="H41" s="144"/>
      <c r="I41" s="144">
        <f t="shared" si="30"/>
        <v>0</v>
      </c>
      <c r="J41" s="10"/>
      <c r="K41" s="18">
        <f>References!$C$17*J41</f>
        <v>0</v>
      </c>
      <c r="L41" s="22">
        <f>K41/References!$F$18</f>
        <v>0</v>
      </c>
      <c r="M41" s="22" t="e">
        <f t="shared" si="49"/>
        <v>#DIV/0!</v>
      </c>
      <c r="N41" s="42">
        <v>33.11</v>
      </c>
      <c r="O41" s="141">
        <f t="shared" ref="O41:O58" si="51">+N41*$E$7+N41</f>
        <v>42.155652000000003</v>
      </c>
      <c r="P41" s="42">
        <f t="shared" ref="P41:P66" si="52">O41</f>
        <v>42.155652000000003</v>
      </c>
      <c r="Q41" s="20">
        <f t="shared" ref="Q41:Q58" si="53">G41*N41</f>
        <v>0</v>
      </c>
      <c r="R41" s="20">
        <f t="shared" ref="R41:R65" si="54">G41*P41</f>
        <v>0</v>
      </c>
      <c r="S41" s="20">
        <f t="shared" si="50"/>
        <v>0</v>
      </c>
      <c r="T41" s="20">
        <f>G44*O44</f>
        <v>0</v>
      </c>
      <c r="U41" s="134" t="e">
        <f t="shared" si="17"/>
        <v>#DIV/0!</v>
      </c>
    </row>
    <row r="42" spans="1:23">
      <c r="A42" s="139"/>
      <c r="B42" s="88">
        <v>240</v>
      </c>
      <c r="C42" s="88">
        <v>35</v>
      </c>
      <c r="D42" s="91" t="s">
        <v>166</v>
      </c>
      <c r="E42" s="89"/>
      <c r="F42" s="9">
        <f>+References!D9</f>
        <v>1</v>
      </c>
      <c r="G42" s="143">
        <f t="shared" ref="G42" si="55">E42*F42*12</f>
        <v>0</v>
      </c>
      <c r="H42" s="144"/>
      <c r="I42" s="144">
        <f t="shared" ref="I42" si="56">G42*H42</f>
        <v>0</v>
      </c>
      <c r="J42" s="10"/>
      <c r="K42" s="18">
        <f>References!$C$17*J42</f>
        <v>0</v>
      </c>
      <c r="L42" s="22">
        <f>K42/References!$F$18</f>
        <v>0</v>
      </c>
      <c r="M42" s="22" t="e">
        <f t="shared" ref="M42" si="57">L42/G42*F42</f>
        <v>#DIV/0!</v>
      </c>
      <c r="N42" s="42">
        <v>28.51</v>
      </c>
      <c r="O42" s="141">
        <f t="shared" ref="O42" si="58">+N42*$E$7+N42</f>
        <v>36.298932000000001</v>
      </c>
      <c r="P42" s="42">
        <f t="shared" ref="P42" si="59">O42</f>
        <v>36.298932000000001</v>
      </c>
      <c r="Q42" s="20">
        <f t="shared" ref="Q42" si="60">G42*N42</f>
        <v>0</v>
      </c>
      <c r="R42" s="20">
        <f t="shared" ref="R42" si="61">G42*P42</f>
        <v>0</v>
      </c>
      <c r="S42" s="20">
        <f t="shared" ref="S42" si="62">R42-Q42</f>
        <v>0</v>
      </c>
      <c r="T42" s="20">
        <f>G49*O49</f>
        <v>0</v>
      </c>
      <c r="U42" s="134" t="e">
        <f t="shared" si="17"/>
        <v>#DIV/0!</v>
      </c>
    </row>
    <row r="43" spans="1:23">
      <c r="A43" s="139"/>
      <c r="B43" s="88">
        <v>240</v>
      </c>
      <c r="C43" s="88">
        <v>35</v>
      </c>
      <c r="D43" s="91" t="s">
        <v>167</v>
      </c>
      <c r="E43" s="89"/>
      <c r="F43" s="9">
        <f>+References!D9</f>
        <v>1</v>
      </c>
      <c r="G43" s="143">
        <f t="shared" si="48"/>
        <v>0</v>
      </c>
      <c r="H43" s="144"/>
      <c r="I43" s="144"/>
      <c r="J43" s="10"/>
      <c r="K43" s="18"/>
      <c r="L43" s="22"/>
      <c r="M43" s="22"/>
      <c r="N43" s="42">
        <v>0.5</v>
      </c>
      <c r="O43" s="141">
        <f t="shared" ref="O43" si="63">+N43*$E$7+N43</f>
        <v>0.63660000000000005</v>
      </c>
      <c r="P43" s="42">
        <f t="shared" ref="P43" si="64">O43</f>
        <v>0.63660000000000005</v>
      </c>
      <c r="Q43" s="20">
        <f t="shared" ref="Q43" si="65">G43*N43</f>
        <v>0</v>
      </c>
      <c r="R43" s="20">
        <f t="shared" ref="R43" si="66">G43*P43</f>
        <v>0</v>
      </c>
      <c r="S43" s="20">
        <f t="shared" ref="S43" si="67">R43-Q43</f>
        <v>0</v>
      </c>
      <c r="T43" s="20">
        <f>G53*O53</f>
        <v>0</v>
      </c>
      <c r="U43" s="134" t="e">
        <f t="shared" si="17"/>
        <v>#DIV/0!</v>
      </c>
    </row>
    <row r="44" spans="1:23">
      <c r="A44" s="139"/>
      <c r="B44" s="88">
        <v>240</v>
      </c>
      <c r="C44" s="88">
        <v>35</v>
      </c>
      <c r="D44" s="91" t="s">
        <v>168</v>
      </c>
      <c r="E44" s="89"/>
      <c r="F44" s="9">
        <f>References!$D$7</f>
        <v>4.333333333333333</v>
      </c>
      <c r="G44" s="143">
        <f t="shared" si="48"/>
        <v>0</v>
      </c>
      <c r="H44" s="144"/>
      <c r="I44" s="144">
        <f t="shared" si="30"/>
        <v>0</v>
      </c>
      <c r="J44" s="10"/>
      <c r="K44" s="18">
        <f>References!$C$17*J44</f>
        <v>0</v>
      </c>
      <c r="L44" s="22">
        <f>K44/References!$F$18</f>
        <v>0</v>
      </c>
      <c r="M44" s="22" t="e">
        <f t="shared" si="49"/>
        <v>#DIV/0!</v>
      </c>
      <c r="N44" s="42">
        <v>9.93</v>
      </c>
      <c r="O44" s="141">
        <f t="shared" si="51"/>
        <v>12.642875999999999</v>
      </c>
      <c r="P44" s="42">
        <f t="shared" si="52"/>
        <v>12.642875999999999</v>
      </c>
      <c r="Q44" s="20">
        <f t="shared" si="53"/>
        <v>0</v>
      </c>
      <c r="R44" s="20">
        <f t="shared" si="54"/>
        <v>0</v>
      </c>
      <c r="S44" s="20">
        <f t="shared" si="50"/>
        <v>0</v>
      </c>
      <c r="T44" s="20">
        <f>G56*O56</f>
        <v>55375.032959999997</v>
      </c>
      <c r="U44" s="134" t="e">
        <f t="shared" si="17"/>
        <v>#DIV/0!</v>
      </c>
    </row>
    <row r="45" spans="1:23">
      <c r="A45" s="139"/>
      <c r="B45" s="88">
        <v>240</v>
      </c>
      <c r="C45" s="88">
        <v>35</v>
      </c>
      <c r="D45" s="91" t="s">
        <v>215</v>
      </c>
      <c r="E45" s="89">
        <v>40</v>
      </c>
      <c r="F45" s="9">
        <v>1</v>
      </c>
      <c r="G45" s="143">
        <f t="shared" ref="G45" si="68">E45*F45*12</f>
        <v>480</v>
      </c>
      <c r="H45" s="144"/>
      <c r="I45" s="144">
        <f t="shared" ref="I45" si="69">G45*H45</f>
        <v>0</v>
      </c>
      <c r="J45" s="10"/>
      <c r="K45" s="18">
        <f>References!$C$17*J45</f>
        <v>0</v>
      </c>
      <c r="L45" s="22">
        <f>K45/References!$F$18</f>
        <v>0</v>
      </c>
      <c r="M45" s="22">
        <f t="shared" ref="M45" si="70">L45/G45*F45</f>
        <v>0</v>
      </c>
      <c r="N45" s="42">
        <v>25.34</v>
      </c>
      <c r="O45" s="141">
        <v>36.6</v>
      </c>
      <c r="P45" s="42">
        <f t="shared" ref="P45" si="71">O45</f>
        <v>36.6</v>
      </c>
      <c r="Q45" s="20">
        <f t="shared" ref="Q45" si="72">G45*N45</f>
        <v>12163.2</v>
      </c>
      <c r="R45" s="20">
        <f t="shared" ref="R45" si="73">G45*P45</f>
        <v>17568</v>
      </c>
      <c r="S45" s="20">
        <f t="shared" ref="S45" si="74">R45-Q45</f>
        <v>5404.7999999999993</v>
      </c>
      <c r="T45" s="20"/>
      <c r="U45" s="134">
        <f t="shared" si="17"/>
        <v>0.44435674822415144</v>
      </c>
    </row>
    <row r="46" spans="1:23" ht="14.85" customHeight="1">
      <c r="A46" s="139"/>
      <c r="B46" s="88">
        <v>240</v>
      </c>
      <c r="C46" s="88">
        <v>36</v>
      </c>
      <c r="D46" s="91" t="s">
        <v>171</v>
      </c>
      <c r="E46" s="89">
        <v>30</v>
      </c>
      <c r="F46" s="9">
        <f>+References!D8</f>
        <v>2.1666666666666665</v>
      </c>
      <c r="G46" s="143">
        <f t="shared" ref="G46" si="75">E46*F46*12</f>
        <v>780</v>
      </c>
      <c r="H46" s="144"/>
      <c r="I46" s="144">
        <f t="shared" ref="I46" si="76">G46*H46</f>
        <v>0</v>
      </c>
      <c r="J46" s="10"/>
      <c r="K46" s="18">
        <f>References!$C$17*J46</f>
        <v>0</v>
      </c>
      <c r="L46" s="22">
        <f>K46/References!$F$18</f>
        <v>0</v>
      </c>
      <c r="M46" s="22">
        <f t="shared" ref="M46" si="77">L46/G46*F46</f>
        <v>0</v>
      </c>
      <c r="N46" s="42">
        <v>3.03</v>
      </c>
      <c r="O46" s="141">
        <f t="shared" ref="O46" si="78">+N46*$E$7+N46</f>
        <v>3.8577959999999996</v>
      </c>
      <c r="P46" s="42">
        <f t="shared" ref="P46" si="79">O46</f>
        <v>3.8577959999999996</v>
      </c>
      <c r="Q46" s="20">
        <f t="shared" ref="Q46" si="80">G46*N46</f>
        <v>2363.3999999999996</v>
      </c>
      <c r="R46" s="20">
        <f t="shared" ref="R46" si="81">G46*P46</f>
        <v>3009.0808799999995</v>
      </c>
      <c r="S46" s="20">
        <f t="shared" ref="S46" si="82">R46-Q46</f>
        <v>645.68087999999989</v>
      </c>
      <c r="T46" s="20" t="e">
        <f>#REF!*#REF!</f>
        <v>#REF!</v>
      </c>
      <c r="U46" s="134">
        <f t="shared" si="17"/>
        <v>0.2732</v>
      </c>
    </row>
    <row r="47" spans="1:23" ht="14.85" customHeight="1">
      <c r="A47" s="139"/>
      <c r="B47" s="88">
        <v>240</v>
      </c>
      <c r="C47" s="88">
        <v>36</v>
      </c>
      <c r="D47" s="91" t="s">
        <v>172</v>
      </c>
      <c r="E47" s="89"/>
      <c r="F47" s="9">
        <f>+References!D7</f>
        <v>4.333333333333333</v>
      </c>
      <c r="G47" s="143">
        <f t="shared" ref="G47:G48" si="83">E47*F47*12</f>
        <v>0</v>
      </c>
      <c r="H47" s="144"/>
      <c r="I47" s="144"/>
      <c r="J47" s="10"/>
      <c r="K47" s="18"/>
      <c r="L47" s="22"/>
      <c r="M47" s="22"/>
      <c r="N47" s="42">
        <v>3.03</v>
      </c>
      <c r="O47" s="141">
        <f t="shared" si="51"/>
        <v>3.8577959999999996</v>
      </c>
      <c r="P47" s="42">
        <f t="shared" si="52"/>
        <v>3.8577959999999996</v>
      </c>
      <c r="Q47" s="20">
        <f t="shared" si="53"/>
        <v>0</v>
      </c>
      <c r="R47" s="20">
        <f t="shared" si="54"/>
        <v>0</v>
      </c>
      <c r="S47" s="20">
        <f t="shared" si="50"/>
        <v>0</v>
      </c>
      <c r="T47" s="20"/>
      <c r="U47" s="134" t="e">
        <f t="shared" si="17"/>
        <v>#DIV/0!</v>
      </c>
    </row>
    <row r="48" spans="1:23" ht="14.85" customHeight="1">
      <c r="A48" s="139"/>
      <c r="B48" s="88">
        <v>240</v>
      </c>
      <c r="C48" s="88">
        <v>36</v>
      </c>
      <c r="D48" s="91" t="s">
        <v>173</v>
      </c>
      <c r="E48" s="89"/>
      <c r="F48" s="9">
        <f>+References!D9</f>
        <v>1</v>
      </c>
      <c r="G48" s="143">
        <f t="shared" si="83"/>
        <v>0</v>
      </c>
      <c r="H48" s="144"/>
      <c r="I48" s="144">
        <f t="shared" ref="I48" si="84">G48*H48</f>
        <v>0</v>
      </c>
      <c r="J48" s="10"/>
      <c r="K48" s="18">
        <f>References!$C$17*J48</f>
        <v>0</v>
      </c>
      <c r="L48" s="22">
        <f>K48/References!$F$18</f>
        <v>0</v>
      </c>
      <c r="M48" s="22" t="e">
        <f t="shared" ref="M48" si="85">L48/G48*F48</f>
        <v>#DIV/0!</v>
      </c>
      <c r="N48" s="42">
        <v>13.15</v>
      </c>
      <c r="O48" s="141">
        <f t="shared" ref="O48" si="86">+N48*$E$7+N48</f>
        <v>16.74258</v>
      </c>
      <c r="P48" s="42">
        <f t="shared" ref="P48" si="87">O48</f>
        <v>16.74258</v>
      </c>
      <c r="Q48" s="20">
        <f t="shared" ref="Q48" si="88">G48*N48</f>
        <v>0</v>
      </c>
      <c r="R48" s="20">
        <f t="shared" ref="R48" si="89">G48*P48</f>
        <v>0</v>
      </c>
      <c r="S48" s="20">
        <f t="shared" ref="S48" si="90">R48-Q48</f>
        <v>0</v>
      </c>
      <c r="T48" s="20"/>
      <c r="U48" s="134" t="e">
        <f t="shared" si="17"/>
        <v>#DIV/0!</v>
      </c>
    </row>
    <row r="49" spans="1:25" ht="14.85" customHeight="1">
      <c r="A49" s="139"/>
      <c r="B49" s="88">
        <v>240</v>
      </c>
      <c r="C49" s="88">
        <v>36</v>
      </c>
      <c r="D49" s="91" t="s">
        <v>174</v>
      </c>
      <c r="E49" s="89"/>
      <c r="F49" s="9">
        <f>References!$D$7</f>
        <v>4.333333333333333</v>
      </c>
      <c r="G49" s="143">
        <f t="shared" si="48"/>
        <v>0</v>
      </c>
      <c r="H49" s="144"/>
      <c r="I49" s="144">
        <f t="shared" si="30"/>
        <v>0</v>
      </c>
      <c r="J49" s="10"/>
      <c r="K49" s="18">
        <f>References!$C$17*J49</f>
        <v>0</v>
      </c>
      <c r="L49" s="22">
        <f>K49/References!$F$18</f>
        <v>0</v>
      </c>
      <c r="M49" s="22" t="e">
        <f t="shared" si="49"/>
        <v>#DIV/0!</v>
      </c>
      <c r="N49" s="42">
        <v>2.4500000000000002</v>
      </c>
      <c r="O49" s="141">
        <f t="shared" si="51"/>
        <v>3.1193400000000002</v>
      </c>
      <c r="P49" s="42">
        <f t="shared" si="52"/>
        <v>3.1193400000000002</v>
      </c>
      <c r="Q49" s="20">
        <f t="shared" si="53"/>
        <v>0</v>
      </c>
      <c r="R49" s="20">
        <f t="shared" si="54"/>
        <v>0</v>
      </c>
      <c r="S49" s="20">
        <f t="shared" si="50"/>
        <v>0</v>
      </c>
      <c r="T49" s="20" t="e">
        <f>#REF!*#REF!</f>
        <v>#REF!</v>
      </c>
      <c r="U49" s="134" t="e">
        <f t="shared" si="17"/>
        <v>#DIV/0!</v>
      </c>
    </row>
    <row r="50" spans="1:25">
      <c r="A50" s="139"/>
      <c r="B50" s="88">
        <v>240</v>
      </c>
      <c r="C50" s="88">
        <v>36</v>
      </c>
      <c r="D50" s="91" t="s">
        <v>175</v>
      </c>
      <c r="E50" s="89"/>
      <c r="F50" s="9">
        <f>References!$D$9</f>
        <v>1</v>
      </c>
      <c r="G50" s="143">
        <f t="shared" si="48"/>
        <v>0</v>
      </c>
      <c r="H50" s="144"/>
      <c r="I50" s="144">
        <f t="shared" si="30"/>
        <v>0</v>
      </c>
      <c r="J50" s="10"/>
      <c r="K50" s="18">
        <f>References!$C$17*J50</f>
        <v>0</v>
      </c>
      <c r="L50" s="22">
        <f>K50/References!$F$18</f>
        <v>0</v>
      </c>
      <c r="M50" s="22" t="e">
        <f t="shared" si="49"/>
        <v>#DIV/0!</v>
      </c>
      <c r="N50" s="42">
        <v>2.4500000000000002</v>
      </c>
      <c r="O50" s="141">
        <f t="shared" si="51"/>
        <v>3.1193400000000002</v>
      </c>
      <c r="P50" s="42">
        <f t="shared" si="52"/>
        <v>3.1193400000000002</v>
      </c>
      <c r="Q50" s="20">
        <f t="shared" si="53"/>
        <v>0</v>
      </c>
      <c r="R50" s="20">
        <f t="shared" si="54"/>
        <v>0</v>
      </c>
      <c r="S50" s="20">
        <f t="shared" si="50"/>
        <v>0</v>
      </c>
      <c r="T50" s="20" t="e">
        <f>#REF!*#REF!</f>
        <v>#REF!</v>
      </c>
      <c r="U50" s="134" t="e">
        <f t="shared" si="17"/>
        <v>#DIV/0!</v>
      </c>
    </row>
    <row r="51" spans="1:25">
      <c r="A51" s="139"/>
      <c r="B51" s="88">
        <v>240</v>
      </c>
      <c r="C51" s="88">
        <v>36</v>
      </c>
      <c r="D51" s="91" t="s">
        <v>177</v>
      </c>
      <c r="E51" s="89"/>
      <c r="F51" s="9">
        <v>1</v>
      </c>
      <c r="G51" s="143"/>
      <c r="H51" s="144"/>
      <c r="I51" s="144"/>
      <c r="J51" s="10"/>
      <c r="K51" s="18"/>
      <c r="L51" s="22"/>
      <c r="M51" s="22"/>
      <c r="N51" s="42">
        <v>14.37</v>
      </c>
      <c r="O51" s="141">
        <f t="shared" si="51"/>
        <v>18.295884000000001</v>
      </c>
      <c r="P51" s="42">
        <f t="shared" si="52"/>
        <v>18.295884000000001</v>
      </c>
      <c r="Q51" s="20"/>
      <c r="R51" s="20"/>
      <c r="S51" s="20"/>
      <c r="T51" s="20"/>
      <c r="U51" s="134" t="e">
        <f t="shared" si="17"/>
        <v>#DIV/0!</v>
      </c>
    </row>
    <row r="52" spans="1:25" ht="14.85" customHeight="1">
      <c r="A52" s="139"/>
      <c r="B52" s="88">
        <v>240</v>
      </c>
      <c r="C52" s="88">
        <v>36</v>
      </c>
      <c r="D52" s="91" t="s">
        <v>176</v>
      </c>
      <c r="E52" s="89">
        <v>150</v>
      </c>
      <c r="F52" s="9">
        <f>References!$D$7</f>
        <v>4.333333333333333</v>
      </c>
      <c r="G52" s="143">
        <f t="shared" si="48"/>
        <v>7800</v>
      </c>
      <c r="H52" s="144"/>
      <c r="I52" s="144">
        <f t="shared" si="30"/>
        <v>0</v>
      </c>
      <c r="J52" s="10"/>
      <c r="K52" s="18">
        <f>References!$C$17*J52</f>
        <v>0</v>
      </c>
      <c r="L52" s="22">
        <f>K52/References!$F$18</f>
        <v>0</v>
      </c>
      <c r="M52" s="22">
        <f t="shared" si="49"/>
        <v>0</v>
      </c>
      <c r="N52" s="42">
        <v>10.73</v>
      </c>
      <c r="O52" s="141">
        <f t="shared" si="51"/>
        <v>13.661436</v>
      </c>
      <c r="P52" s="42">
        <f t="shared" si="52"/>
        <v>13.661436</v>
      </c>
      <c r="Q52" s="20">
        <f>G52*N52/4.33</f>
        <v>19328.868360277134</v>
      </c>
      <c r="R52" s="20">
        <f>G52*P52/4.33</f>
        <v>24609.515196304852</v>
      </c>
      <c r="S52" s="20">
        <f t="shared" si="50"/>
        <v>5280.6468360277177</v>
      </c>
      <c r="T52" s="20" t="e">
        <f>#REF!*#REF!</f>
        <v>#REF!</v>
      </c>
      <c r="U52" s="134">
        <f t="shared" si="17"/>
        <v>0.27320000000000022</v>
      </c>
    </row>
    <row r="53" spans="1:25">
      <c r="A53" s="139"/>
      <c r="B53" s="88">
        <v>240</v>
      </c>
      <c r="C53" s="88">
        <v>36</v>
      </c>
      <c r="D53" s="91" t="s">
        <v>178</v>
      </c>
      <c r="E53" s="89"/>
      <c r="F53" s="9">
        <f>+References!D9</f>
        <v>1</v>
      </c>
      <c r="G53" s="143">
        <f t="shared" si="48"/>
        <v>0</v>
      </c>
      <c r="H53" s="144"/>
      <c r="I53" s="144">
        <f t="shared" si="30"/>
        <v>0</v>
      </c>
      <c r="J53" s="10"/>
      <c r="K53" s="18">
        <f>References!$C$17*J53</f>
        <v>0</v>
      </c>
      <c r="L53" s="22">
        <f>K53/References!$F$18</f>
        <v>0</v>
      </c>
      <c r="M53" s="22" t="e">
        <f t="shared" si="49"/>
        <v>#DIV/0!</v>
      </c>
      <c r="N53" s="42">
        <v>4.71</v>
      </c>
      <c r="O53" s="141">
        <f t="shared" si="51"/>
        <v>5.996772</v>
      </c>
      <c r="P53" s="42">
        <f t="shared" si="52"/>
        <v>5.996772</v>
      </c>
      <c r="Q53" s="20">
        <f t="shared" si="53"/>
        <v>0</v>
      </c>
      <c r="R53" s="20">
        <f t="shared" si="54"/>
        <v>0</v>
      </c>
      <c r="S53" s="20">
        <f t="shared" si="50"/>
        <v>0</v>
      </c>
      <c r="T53" s="20" t="e">
        <f>#REF!*#REF!</f>
        <v>#REF!</v>
      </c>
      <c r="U53" s="134" t="e">
        <f t="shared" si="17"/>
        <v>#DIV/0!</v>
      </c>
    </row>
    <row r="54" spans="1:25">
      <c r="A54" s="139"/>
      <c r="B54" s="88">
        <v>240</v>
      </c>
      <c r="C54" s="88">
        <v>36</v>
      </c>
      <c r="D54" s="91" t="s">
        <v>179</v>
      </c>
      <c r="E54" s="89"/>
      <c r="F54" s="9">
        <f>References!$D$7</f>
        <v>4.333333333333333</v>
      </c>
      <c r="G54" s="143">
        <f t="shared" ref="G54:G55" si="91">E54*F54*12</f>
        <v>0</v>
      </c>
      <c r="H54" s="144"/>
      <c r="I54" s="144">
        <f t="shared" ref="I54:I55" si="92">G54*H54</f>
        <v>0</v>
      </c>
      <c r="J54" s="10"/>
      <c r="K54" s="18">
        <f>References!$C$17*J54</f>
        <v>0</v>
      </c>
      <c r="L54" s="22">
        <f>K54/References!$F$18</f>
        <v>0</v>
      </c>
      <c r="M54" s="22" t="e">
        <f t="shared" ref="M54:M55" si="93">L54/G54*F54</f>
        <v>#DIV/0!</v>
      </c>
      <c r="N54" s="42">
        <v>4.71</v>
      </c>
      <c r="O54" s="141">
        <f t="shared" ref="O54:O55" si="94">+N54*$E$7+N54</f>
        <v>5.996772</v>
      </c>
      <c r="P54" s="42">
        <f t="shared" ref="P54:P55" si="95">O54</f>
        <v>5.996772</v>
      </c>
      <c r="Q54" s="20">
        <f t="shared" ref="Q54:Q55" si="96">G54*N54</f>
        <v>0</v>
      </c>
      <c r="R54" s="20">
        <f t="shared" ref="R54:R55" si="97">G54*P54</f>
        <v>0</v>
      </c>
      <c r="S54" s="20">
        <f t="shared" ref="S54:S55" si="98">R54-Q54</f>
        <v>0</v>
      </c>
      <c r="T54" s="20" t="e">
        <f>#REF!*#REF!</f>
        <v>#REF!</v>
      </c>
      <c r="U54" s="134" t="e">
        <f t="shared" si="17"/>
        <v>#DIV/0!</v>
      </c>
    </row>
    <row r="55" spans="1:25">
      <c r="A55" s="139"/>
      <c r="B55" s="88">
        <v>240</v>
      </c>
      <c r="C55" s="88">
        <v>36</v>
      </c>
      <c r="D55" s="91" t="s">
        <v>180</v>
      </c>
      <c r="E55" s="89"/>
      <c r="F55" s="9">
        <f>References!$D$9</f>
        <v>1</v>
      </c>
      <c r="G55" s="143">
        <f t="shared" si="91"/>
        <v>0</v>
      </c>
      <c r="H55" s="144"/>
      <c r="I55" s="144">
        <f t="shared" si="92"/>
        <v>0</v>
      </c>
      <c r="J55" s="10"/>
      <c r="K55" s="18">
        <f>References!$C$17*J55</f>
        <v>0</v>
      </c>
      <c r="L55" s="22">
        <f>K55/References!$F$18</f>
        <v>0</v>
      </c>
      <c r="M55" s="22" t="e">
        <f t="shared" si="93"/>
        <v>#DIV/0!</v>
      </c>
      <c r="N55" s="42">
        <v>28.11</v>
      </c>
      <c r="O55" s="141">
        <f t="shared" si="94"/>
        <v>35.789651999999997</v>
      </c>
      <c r="P55" s="42">
        <f t="shared" si="95"/>
        <v>35.789651999999997</v>
      </c>
      <c r="Q55" s="20">
        <f t="shared" si="96"/>
        <v>0</v>
      </c>
      <c r="R55" s="20">
        <f t="shared" si="97"/>
        <v>0</v>
      </c>
      <c r="S55" s="20">
        <f t="shared" si="98"/>
        <v>0</v>
      </c>
      <c r="T55" s="20" t="e">
        <f>#REF!*#REF!</f>
        <v>#REF!</v>
      </c>
      <c r="U55" s="134" t="e">
        <f t="shared" si="17"/>
        <v>#DIV/0!</v>
      </c>
    </row>
    <row r="56" spans="1:25">
      <c r="A56" s="139"/>
      <c r="B56" s="88">
        <v>240</v>
      </c>
      <c r="C56" s="88">
        <v>36</v>
      </c>
      <c r="D56" s="91" t="s">
        <v>181</v>
      </c>
      <c r="E56" s="89">
        <v>41</v>
      </c>
      <c r="F56" s="9">
        <f>+References!D7</f>
        <v>4.333333333333333</v>
      </c>
      <c r="G56" s="143">
        <f t="shared" si="48"/>
        <v>2132</v>
      </c>
      <c r="H56" s="144"/>
      <c r="I56" s="144">
        <f t="shared" si="30"/>
        <v>0</v>
      </c>
      <c r="J56" s="10"/>
      <c r="K56" s="18">
        <f>References!$C$17*J56</f>
        <v>0</v>
      </c>
      <c r="L56" s="22">
        <f>K56/References!$F$18</f>
        <v>0</v>
      </c>
      <c r="M56" s="22">
        <f t="shared" si="49"/>
        <v>0</v>
      </c>
      <c r="N56" s="42">
        <v>20.399999999999999</v>
      </c>
      <c r="O56" s="141">
        <f t="shared" si="51"/>
        <v>25.973279999999999</v>
      </c>
      <c r="P56" s="42">
        <f t="shared" si="52"/>
        <v>25.973279999999999</v>
      </c>
      <c r="Q56" s="20">
        <f>G56*N56/4.33</f>
        <v>10044.526558891454</v>
      </c>
      <c r="R56" s="20">
        <f>G56*P56/4.33</f>
        <v>12788.6912147806</v>
      </c>
      <c r="S56" s="20">
        <f t="shared" si="50"/>
        <v>2744.1646558891462</v>
      </c>
      <c r="T56" s="20" t="e">
        <f>#REF!*#REF!</f>
        <v>#REF!</v>
      </c>
      <c r="U56" s="134">
        <f t="shared" si="17"/>
        <v>0.27320000000000011</v>
      </c>
    </row>
    <row r="57" spans="1:25" ht="15" thickBot="1">
      <c r="A57" s="139"/>
      <c r="B57" s="88">
        <v>255</v>
      </c>
      <c r="C57" s="88">
        <v>37</v>
      </c>
      <c r="D57" s="91" t="s">
        <v>182</v>
      </c>
      <c r="E57" s="89"/>
      <c r="F57" s="9">
        <f>+References!D8</f>
        <v>2.1666666666666665</v>
      </c>
      <c r="G57" s="143">
        <f t="shared" si="48"/>
        <v>0</v>
      </c>
      <c r="H57" s="144"/>
      <c r="I57" s="144">
        <f t="shared" si="30"/>
        <v>0</v>
      </c>
      <c r="J57" s="10"/>
      <c r="K57" s="18">
        <f>References!$C$17*J57</f>
        <v>0</v>
      </c>
      <c r="L57" s="22">
        <f>K57/References!$F$18</f>
        <v>0</v>
      </c>
      <c r="M57" s="22" t="e">
        <f t="shared" si="49"/>
        <v>#DIV/0!</v>
      </c>
      <c r="N57" s="42">
        <v>81.93</v>
      </c>
      <c r="O57" s="141">
        <f t="shared" si="51"/>
        <v>104.313276</v>
      </c>
      <c r="P57" s="42">
        <f t="shared" si="52"/>
        <v>104.313276</v>
      </c>
      <c r="Q57" s="20">
        <f t="shared" si="53"/>
        <v>0</v>
      </c>
      <c r="R57" s="20">
        <f t="shared" si="54"/>
        <v>0</v>
      </c>
      <c r="S57" s="20">
        <f t="shared" si="50"/>
        <v>0</v>
      </c>
      <c r="T57" s="45" t="e">
        <f>SUM(T39:T56)</f>
        <v>#REF!</v>
      </c>
      <c r="U57" s="134" t="e">
        <f t="shared" si="17"/>
        <v>#DIV/0!</v>
      </c>
    </row>
    <row r="58" spans="1:25" ht="14.85" customHeight="1">
      <c r="A58" s="139"/>
      <c r="B58" s="88">
        <v>255</v>
      </c>
      <c r="C58" s="88">
        <v>37</v>
      </c>
      <c r="D58" s="91" t="s">
        <v>183</v>
      </c>
      <c r="E58" s="89"/>
      <c r="F58" s="9">
        <f>+References!D8</f>
        <v>2.1666666666666665</v>
      </c>
      <c r="G58" s="143">
        <f t="shared" si="48"/>
        <v>0</v>
      </c>
      <c r="H58" s="144"/>
      <c r="I58" s="144">
        <f t="shared" si="30"/>
        <v>0</v>
      </c>
      <c r="J58" s="10"/>
      <c r="K58" s="18">
        <f>References!$C$17*J58</f>
        <v>0</v>
      </c>
      <c r="L58" s="22">
        <f>K58/References!$F$18</f>
        <v>0</v>
      </c>
      <c r="M58" s="22" t="e">
        <f t="shared" si="49"/>
        <v>#DIV/0!</v>
      </c>
      <c r="N58" s="42">
        <v>81.93</v>
      </c>
      <c r="O58" s="141">
        <f t="shared" si="51"/>
        <v>104.313276</v>
      </c>
      <c r="P58" s="42">
        <f t="shared" si="52"/>
        <v>104.313276</v>
      </c>
      <c r="Q58" s="20">
        <f t="shared" si="53"/>
        <v>0</v>
      </c>
      <c r="R58" s="20">
        <f t="shared" si="54"/>
        <v>0</v>
      </c>
      <c r="S58" s="20">
        <f t="shared" si="50"/>
        <v>0</v>
      </c>
      <c r="T58" s="18"/>
      <c r="U58" s="134" t="e">
        <f t="shared" si="17"/>
        <v>#DIV/0!</v>
      </c>
    </row>
    <row r="59" spans="1:25">
      <c r="A59" s="139"/>
      <c r="B59" s="88">
        <v>255</v>
      </c>
      <c r="C59" s="88">
        <v>37</v>
      </c>
      <c r="D59" s="91" t="s">
        <v>184</v>
      </c>
      <c r="E59" s="89"/>
      <c r="F59" s="9">
        <v>1</v>
      </c>
      <c r="G59" s="143">
        <f t="shared" ref="G59:G60" si="99">E59*F59*12</f>
        <v>0</v>
      </c>
      <c r="H59" s="144"/>
      <c r="I59" s="144">
        <f t="shared" ref="I59:I60" si="100">G59*H59</f>
        <v>0</v>
      </c>
      <c r="J59" s="10"/>
      <c r="K59" s="18">
        <f>References!$C$17*J59</f>
        <v>0</v>
      </c>
      <c r="L59" s="22">
        <f>K59/References!$F$18</f>
        <v>0</v>
      </c>
      <c r="M59" s="22" t="e">
        <f t="shared" ref="M59:M60" si="101">L59/G59*F59</f>
        <v>#DIV/0!</v>
      </c>
      <c r="N59" s="42">
        <v>33.11</v>
      </c>
      <c r="O59" s="141">
        <f t="shared" ref="O59:O60" si="102">+N59*$E$7+N59</f>
        <v>42.155652000000003</v>
      </c>
      <c r="P59" s="42">
        <f t="shared" ref="P59:P60" si="103">O59</f>
        <v>42.155652000000003</v>
      </c>
      <c r="Q59" s="20">
        <f t="shared" ref="Q59:Q60" si="104">G59*N59</f>
        <v>0</v>
      </c>
      <c r="R59" s="20">
        <f t="shared" ref="R59:R60" si="105">G59*P59</f>
        <v>0</v>
      </c>
      <c r="S59" s="20">
        <f t="shared" ref="S59:S60" si="106">R59-Q59</f>
        <v>0</v>
      </c>
      <c r="T59" s="20">
        <f>G63*O63</f>
        <v>37905.162949605583</v>
      </c>
      <c r="U59" s="134" t="e">
        <f t="shared" si="17"/>
        <v>#DIV/0!</v>
      </c>
      <c r="W59" s="116"/>
    </row>
    <row r="60" spans="1:25">
      <c r="A60" s="139"/>
      <c r="B60" s="88">
        <v>255</v>
      </c>
      <c r="C60" s="88">
        <v>37</v>
      </c>
      <c r="D60" s="91" t="s">
        <v>185</v>
      </c>
      <c r="E60" s="89"/>
      <c r="F60" s="9">
        <f>+References!D8</f>
        <v>2.1666666666666665</v>
      </c>
      <c r="G60" s="143">
        <f t="shared" si="99"/>
        <v>0</v>
      </c>
      <c r="H60" s="144"/>
      <c r="I60" s="144">
        <f t="shared" si="100"/>
        <v>0</v>
      </c>
      <c r="J60" s="10"/>
      <c r="K60" s="18">
        <f>References!$C$17*J60</f>
        <v>0</v>
      </c>
      <c r="L60" s="22">
        <f>K60/References!$F$18</f>
        <v>0</v>
      </c>
      <c r="M60" s="22" t="e">
        <f t="shared" si="101"/>
        <v>#DIV/0!</v>
      </c>
      <c r="N60" s="42">
        <v>81.93</v>
      </c>
      <c r="O60" s="141">
        <f t="shared" si="102"/>
        <v>104.313276</v>
      </c>
      <c r="P60" s="42">
        <f t="shared" si="103"/>
        <v>104.313276</v>
      </c>
      <c r="Q60" s="20">
        <f t="shared" si="104"/>
        <v>0</v>
      </c>
      <c r="R60" s="20">
        <f t="shared" si="105"/>
        <v>0</v>
      </c>
      <c r="S60" s="20">
        <f t="shared" si="106"/>
        <v>0</v>
      </c>
      <c r="T60" s="20">
        <f>G64*O64</f>
        <v>61236.833472550512</v>
      </c>
      <c r="U60" s="134" t="e">
        <f t="shared" si="17"/>
        <v>#DIV/0!</v>
      </c>
      <c r="W60" s="116"/>
    </row>
    <row r="61" spans="1:25" ht="15" thickBot="1">
      <c r="A61" s="94"/>
      <c r="B61" s="118"/>
      <c r="C61" s="95"/>
      <c r="D61" s="96" t="s">
        <v>14</v>
      </c>
      <c r="E61" s="97">
        <f>SUM(E39:E60)</f>
        <v>972</v>
      </c>
      <c r="F61" s="43"/>
      <c r="G61" s="98">
        <f>SUM(G39:G60)</f>
        <v>29678</v>
      </c>
      <c r="H61" s="119"/>
      <c r="I61" s="119">
        <f t="shared" ref="I61" si="107">G61*H61</f>
        <v>0</v>
      </c>
      <c r="J61" s="44"/>
      <c r="K61" s="45"/>
      <c r="L61" s="46"/>
      <c r="M61" s="46"/>
      <c r="N61" s="45"/>
      <c r="O61" s="45"/>
      <c r="P61" s="45"/>
      <c r="Q61" s="51">
        <f>SUM(Q39:Q60)</f>
        <v>512335.23491916864</v>
      </c>
      <c r="R61" s="51">
        <f>SUM(R39:R60)</f>
        <v>654387.03485908534</v>
      </c>
      <c r="S61" s="51">
        <f>SUM(S39:S60)</f>
        <v>142051.79993991673</v>
      </c>
      <c r="T61" s="116"/>
      <c r="U61" s="134">
        <f t="shared" si="17"/>
        <v>0.27726338197748257</v>
      </c>
    </row>
    <row r="62" spans="1:25">
      <c r="A62" s="83"/>
      <c r="B62" s="88"/>
      <c r="C62" s="90"/>
      <c r="D62" s="91"/>
      <c r="E62" s="89"/>
      <c r="F62" s="9"/>
      <c r="G62" s="86"/>
      <c r="H62" s="87"/>
      <c r="I62" s="87"/>
      <c r="J62" s="10"/>
      <c r="K62" s="18"/>
      <c r="L62" s="22"/>
      <c r="M62" s="22"/>
      <c r="N62" s="18"/>
      <c r="O62" s="18"/>
      <c r="P62" s="18"/>
      <c r="Q62" s="18"/>
      <c r="R62" s="18"/>
      <c r="S62" s="18"/>
      <c r="T62" s="116"/>
      <c r="U62" s="134"/>
    </row>
    <row r="63" spans="1:25">
      <c r="A63" s="139" t="s">
        <v>74</v>
      </c>
      <c r="B63" s="88">
        <v>260</v>
      </c>
      <c r="C63" s="88">
        <v>38</v>
      </c>
      <c r="D63" s="91" t="s">
        <v>188</v>
      </c>
      <c r="E63" s="89">
        <f>44.79864528+0.4166667</f>
        <v>45.215311980000003</v>
      </c>
      <c r="F63" s="9">
        <f>References!$D$9</f>
        <v>1</v>
      </c>
      <c r="G63" s="86">
        <f>E63*F63*12</f>
        <v>542.58374376000006</v>
      </c>
      <c r="H63" s="87"/>
      <c r="I63" s="87">
        <f t="shared" ref="I63:I87" si="108">G63*H63</f>
        <v>0</v>
      </c>
      <c r="J63" s="10"/>
      <c r="K63" s="18">
        <f>References!$C$17*J63</f>
        <v>0</v>
      </c>
      <c r="L63" s="22">
        <f>K63/References!$F$18</f>
        <v>0</v>
      </c>
      <c r="M63" s="22">
        <f t="shared" ref="M63:M87" si="109">L63/G63</f>
        <v>0</v>
      </c>
      <c r="N63" s="42">
        <v>54.87</v>
      </c>
      <c r="O63" s="141">
        <f t="shared" ref="O63:O87" si="110">+N63*$E$7+N63</f>
        <v>69.860484</v>
      </c>
      <c r="P63" s="42">
        <f t="shared" si="52"/>
        <v>69.860484</v>
      </c>
      <c r="Q63" s="20">
        <f t="shared" ref="Q63:Q87" si="111">G63*N63</f>
        <v>29771.570020111201</v>
      </c>
      <c r="R63" s="20">
        <f t="shared" si="54"/>
        <v>37905.162949605583</v>
      </c>
      <c r="S63" s="20">
        <f t="shared" ref="S63:S87" si="112">R63-Q63</f>
        <v>8133.5929294943817</v>
      </c>
      <c r="T63" s="68">
        <f>E129*O129*12</f>
        <v>95634.686448000008</v>
      </c>
      <c r="U63" s="134">
        <f t="shared" si="17"/>
        <v>0.27320000000000005</v>
      </c>
      <c r="Y63" s="116"/>
    </row>
    <row r="64" spans="1:25" ht="15" customHeight="1">
      <c r="A64" s="139"/>
      <c r="B64" s="88">
        <v>260</v>
      </c>
      <c r="C64" s="88">
        <v>38</v>
      </c>
      <c r="D64" s="91" t="s">
        <v>189</v>
      </c>
      <c r="E64" s="89">
        <f>45.5+0.416667</f>
        <v>45.916666999999997</v>
      </c>
      <c r="F64" s="9">
        <f>References!$D$9</f>
        <v>1</v>
      </c>
      <c r="G64" s="86">
        <f t="shared" ref="G64:G87" si="113">E64*F64*12</f>
        <v>551.00000399999999</v>
      </c>
      <c r="H64" s="87"/>
      <c r="I64" s="87">
        <f t="shared" si="108"/>
        <v>0</v>
      </c>
      <c r="J64" s="10"/>
      <c r="K64" s="18">
        <f>References!$C$17*J64</f>
        <v>0</v>
      </c>
      <c r="L64" s="22">
        <f>K64/References!$F$18</f>
        <v>0</v>
      </c>
      <c r="M64" s="22">
        <f t="shared" si="109"/>
        <v>0</v>
      </c>
      <c r="N64" s="42">
        <v>87.29</v>
      </c>
      <c r="O64" s="141">
        <f t="shared" si="110"/>
        <v>111.13762800000001</v>
      </c>
      <c r="P64" s="42">
        <f t="shared" si="52"/>
        <v>111.13762800000001</v>
      </c>
      <c r="Q64" s="20">
        <f t="shared" si="111"/>
        <v>48096.790349160001</v>
      </c>
      <c r="R64" s="20">
        <f t="shared" si="54"/>
        <v>61236.833472550512</v>
      </c>
      <c r="S64" s="20">
        <f t="shared" si="112"/>
        <v>13140.043123390511</v>
      </c>
      <c r="T64" s="120">
        <f>SUM(T61:T63)</f>
        <v>95634.686448000008</v>
      </c>
      <c r="U64" s="134">
        <f t="shared" si="17"/>
        <v>0.2732</v>
      </c>
    </row>
    <row r="65" spans="1:28" ht="15" thickBot="1">
      <c r="A65" s="139"/>
      <c r="B65" s="88">
        <v>260</v>
      </c>
      <c r="C65" s="88">
        <v>38</v>
      </c>
      <c r="D65" s="91" t="s">
        <v>190</v>
      </c>
      <c r="E65" s="89"/>
      <c r="F65" s="9">
        <f>References!$D$9</f>
        <v>1</v>
      </c>
      <c r="G65" s="86">
        <f t="shared" ref="G65" si="114">E65*F65*12</f>
        <v>0</v>
      </c>
      <c r="H65" s="87"/>
      <c r="I65" s="87">
        <f t="shared" ref="I65" si="115">G65*H65</f>
        <v>0</v>
      </c>
      <c r="J65" s="10"/>
      <c r="K65" s="18">
        <f>References!$C$17*J65</f>
        <v>0</v>
      </c>
      <c r="L65" s="22">
        <f>K65/References!$F$18</f>
        <v>0</v>
      </c>
      <c r="M65" s="22" t="e">
        <f t="shared" ref="M65" si="116">L65/G65</f>
        <v>#DIV/0!</v>
      </c>
      <c r="N65" s="42">
        <v>54.87</v>
      </c>
      <c r="O65" s="141">
        <f t="shared" ref="O65" si="117">+N65*$E$7+N65</f>
        <v>69.860484</v>
      </c>
      <c r="P65" s="42">
        <f t="shared" ref="P65" si="118">O65</f>
        <v>69.860484</v>
      </c>
      <c r="Q65" s="20">
        <f t="shared" ref="Q65" si="119">G65*N65</f>
        <v>0</v>
      </c>
      <c r="R65" s="20">
        <f t="shared" si="54"/>
        <v>0</v>
      </c>
      <c r="S65" s="20">
        <f t="shared" ref="S65" si="120">R65-Q65</f>
        <v>0</v>
      </c>
      <c r="T65" s="121" t="e">
        <f>+T29+T57+#REF!+#REF!+#REF!+T64</f>
        <v>#REF!</v>
      </c>
      <c r="U65" s="134" t="e">
        <f t="shared" si="17"/>
        <v>#DIV/0!</v>
      </c>
    </row>
    <row r="66" spans="1:28" ht="15" thickTop="1">
      <c r="A66" s="139"/>
      <c r="B66" s="88">
        <v>260</v>
      </c>
      <c r="C66" s="88">
        <v>38</v>
      </c>
      <c r="D66" s="91" t="s">
        <v>191</v>
      </c>
      <c r="E66" s="89"/>
      <c r="F66" s="9">
        <f>References!$D$9</f>
        <v>1</v>
      </c>
      <c r="G66" s="86">
        <f t="shared" si="113"/>
        <v>0</v>
      </c>
      <c r="H66" s="87"/>
      <c r="I66" s="87">
        <f t="shared" si="108"/>
        <v>0</v>
      </c>
      <c r="J66" s="10"/>
      <c r="K66" s="18">
        <f>References!$C$17*J66</f>
        <v>0</v>
      </c>
      <c r="L66" s="22">
        <f>K66/References!$F$18</f>
        <v>0</v>
      </c>
      <c r="M66" s="22" t="e">
        <f t="shared" si="109"/>
        <v>#DIV/0!</v>
      </c>
      <c r="N66" s="42">
        <v>87.29</v>
      </c>
      <c r="O66" s="141">
        <f t="shared" si="110"/>
        <v>111.13762800000001</v>
      </c>
      <c r="P66" s="42">
        <f t="shared" si="52"/>
        <v>111.13762800000001</v>
      </c>
      <c r="Q66" s="20">
        <f t="shared" si="111"/>
        <v>0</v>
      </c>
      <c r="R66" s="20">
        <f t="shared" ref="R66:R87" si="121">G66*P66</f>
        <v>0</v>
      </c>
      <c r="S66" s="20">
        <f t="shared" si="112"/>
        <v>0</v>
      </c>
      <c r="T66" s="116"/>
      <c r="U66" s="134" t="e">
        <f t="shared" si="17"/>
        <v>#DIV/0!</v>
      </c>
      <c r="AB66" s="116"/>
    </row>
    <row r="67" spans="1:28">
      <c r="A67" s="139"/>
      <c r="B67" s="88">
        <v>260</v>
      </c>
      <c r="C67" s="88">
        <v>38</v>
      </c>
      <c r="D67" s="91" t="s">
        <v>192</v>
      </c>
      <c r="E67" s="89"/>
      <c r="F67" s="9">
        <f>References!$D$9</f>
        <v>1</v>
      </c>
      <c r="G67" s="86">
        <f t="shared" si="113"/>
        <v>0</v>
      </c>
      <c r="H67" s="87"/>
      <c r="I67" s="87">
        <f t="shared" ref="I67:I84" si="122">G67*H67</f>
        <v>0</v>
      </c>
      <c r="J67" s="10"/>
      <c r="K67" s="18">
        <f>References!$C$17*J67</f>
        <v>0</v>
      </c>
      <c r="L67" s="22">
        <f>K67/References!$F$18</f>
        <v>0</v>
      </c>
      <c r="M67" s="22" t="e">
        <f t="shared" ref="M67:M84" si="123">L67/G67</f>
        <v>#DIV/0!</v>
      </c>
      <c r="N67" s="42">
        <v>76.56</v>
      </c>
      <c r="O67" s="141">
        <f t="shared" ref="O67:O84" si="124">+N67*$E$7+N67</f>
        <v>97.476191999999998</v>
      </c>
      <c r="P67" s="42">
        <f t="shared" ref="P67:P84" si="125">O67</f>
        <v>97.476191999999998</v>
      </c>
      <c r="Q67" s="20">
        <f t="shared" ref="Q67:Q84" si="126">G67*N67</f>
        <v>0</v>
      </c>
      <c r="R67" s="20">
        <f t="shared" si="121"/>
        <v>0</v>
      </c>
      <c r="S67" s="20">
        <f t="shared" ref="S67:S84" si="127">R67-Q67</f>
        <v>0</v>
      </c>
      <c r="T67" s="116"/>
      <c r="U67" s="134" t="e">
        <f t="shared" si="17"/>
        <v>#DIV/0!</v>
      </c>
      <c r="AB67" s="116"/>
    </row>
    <row r="68" spans="1:28">
      <c r="A68" s="139"/>
      <c r="B68" s="88">
        <v>260</v>
      </c>
      <c r="C68" s="88">
        <v>38</v>
      </c>
      <c r="D68" s="91" t="s">
        <v>193</v>
      </c>
      <c r="E68" s="89"/>
      <c r="F68" s="9">
        <f>References!$D$9</f>
        <v>1</v>
      </c>
      <c r="G68" s="86">
        <f t="shared" ref="G68:G84" si="128">E68*F68*12</f>
        <v>0</v>
      </c>
      <c r="H68" s="87"/>
      <c r="I68" s="87">
        <f t="shared" si="122"/>
        <v>0</v>
      </c>
      <c r="J68" s="10"/>
      <c r="K68" s="18">
        <f>References!$C$17*J68</f>
        <v>0</v>
      </c>
      <c r="L68" s="22">
        <f>K68/References!$F$18</f>
        <v>0</v>
      </c>
      <c r="M68" s="22" t="e">
        <f t="shared" si="123"/>
        <v>#DIV/0!</v>
      </c>
      <c r="N68" s="42">
        <v>105.99</v>
      </c>
      <c r="O68" s="141">
        <f t="shared" si="124"/>
        <v>134.94646799999998</v>
      </c>
      <c r="P68" s="42">
        <f t="shared" si="125"/>
        <v>134.94646799999998</v>
      </c>
      <c r="Q68" s="20">
        <f t="shared" si="126"/>
        <v>0</v>
      </c>
      <c r="R68" s="20">
        <f t="shared" si="121"/>
        <v>0</v>
      </c>
      <c r="S68" s="20">
        <f t="shared" si="127"/>
        <v>0</v>
      </c>
      <c r="T68" s="116"/>
      <c r="U68" s="134" t="e">
        <f t="shared" si="17"/>
        <v>#DIV/0!</v>
      </c>
      <c r="AB68" s="116"/>
    </row>
    <row r="69" spans="1:28">
      <c r="A69" s="139"/>
      <c r="B69" s="88">
        <v>260</v>
      </c>
      <c r="C69" s="88">
        <v>38</v>
      </c>
      <c r="D69" s="91" t="s">
        <v>194</v>
      </c>
      <c r="E69" s="89"/>
      <c r="F69" s="9">
        <f>References!$D$9</f>
        <v>1</v>
      </c>
      <c r="G69" s="86">
        <f t="shared" si="128"/>
        <v>0</v>
      </c>
      <c r="H69" s="87"/>
      <c r="I69" s="87">
        <f t="shared" si="122"/>
        <v>0</v>
      </c>
      <c r="J69" s="10"/>
      <c r="K69" s="18">
        <f>References!$C$17*J69</f>
        <v>0</v>
      </c>
      <c r="L69" s="22">
        <f>K69/References!$F$18</f>
        <v>0</v>
      </c>
      <c r="M69" s="22" t="e">
        <f t="shared" si="123"/>
        <v>#DIV/0!</v>
      </c>
      <c r="N69" s="42">
        <v>76.56</v>
      </c>
      <c r="O69" s="141">
        <f t="shared" si="124"/>
        <v>97.476191999999998</v>
      </c>
      <c r="P69" s="42">
        <f t="shared" si="125"/>
        <v>97.476191999999998</v>
      </c>
      <c r="Q69" s="20">
        <f t="shared" si="126"/>
        <v>0</v>
      </c>
      <c r="R69" s="20">
        <f t="shared" si="121"/>
        <v>0</v>
      </c>
      <c r="S69" s="20">
        <f t="shared" si="127"/>
        <v>0</v>
      </c>
      <c r="T69" s="116"/>
      <c r="U69" s="134" t="e">
        <f t="shared" si="17"/>
        <v>#DIV/0!</v>
      </c>
      <c r="AB69" s="116"/>
    </row>
    <row r="70" spans="1:28">
      <c r="A70" s="139"/>
      <c r="B70" s="88">
        <v>260</v>
      </c>
      <c r="C70" s="88">
        <v>38</v>
      </c>
      <c r="D70" s="91" t="s">
        <v>195</v>
      </c>
      <c r="E70" s="89"/>
      <c r="F70" s="9">
        <f>References!$D$9</f>
        <v>1</v>
      </c>
      <c r="G70" s="86">
        <f t="shared" si="128"/>
        <v>0</v>
      </c>
      <c r="H70" s="87"/>
      <c r="I70" s="87">
        <f t="shared" si="122"/>
        <v>0</v>
      </c>
      <c r="J70" s="10"/>
      <c r="K70" s="18">
        <f>References!$C$17*J70</f>
        <v>0</v>
      </c>
      <c r="L70" s="22">
        <f>K70/References!$F$18</f>
        <v>0</v>
      </c>
      <c r="M70" s="22" t="e">
        <f t="shared" si="123"/>
        <v>#DIV/0!</v>
      </c>
      <c r="N70" s="42">
        <v>105.99</v>
      </c>
      <c r="O70" s="141">
        <f t="shared" si="124"/>
        <v>134.94646799999998</v>
      </c>
      <c r="P70" s="42">
        <f t="shared" si="125"/>
        <v>134.94646799999998</v>
      </c>
      <c r="Q70" s="20">
        <f t="shared" si="126"/>
        <v>0</v>
      </c>
      <c r="R70" s="20">
        <f t="shared" ref="R70:R84" si="129">G70*P70</f>
        <v>0</v>
      </c>
      <c r="S70" s="20">
        <f t="shared" si="127"/>
        <v>0</v>
      </c>
      <c r="T70" s="116"/>
      <c r="U70" s="134" t="e">
        <f t="shared" si="17"/>
        <v>#DIV/0!</v>
      </c>
      <c r="AB70" s="116"/>
    </row>
    <row r="71" spans="1:28">
      <c r="A71" s="139"/>
      <c r="B71" s="88">
        <v>260</v>
      </c>
      <c r="C71" s="88">
        <v>38</v>
      </c>
      <c r="D71" s="91" t="s">
        <v>196</v>
      </c>
      <c r="E71" s="89">
        <v>16.666699999999999</v>
      </c>
      <c r="F71" s="9">
        <f>References!$D$9</f>
        <v>1</v>
      </c>
      <c r="G71" s="86">
        <f t="shared" si="128"/>
        <v>200.00039999999998</v>
      </c>
      <c r="H71" s="87"/>
      <c r="I71" s="87">
        <f t="shared" si="122"/>
        <v>0</v>
      </c>
      <c r="J71" s="10"/>
      <c r="K71" s="18">
        <f>References!$C$17*J71</f>
        <v>0</v>
      </c>
      <c r="L71" s="22">
        <f>K71/References!$F$18</f>
        <v>0</v>
      </c>
      <c r="M71" s="22">
        <f t="shared" si="123"/>
        <v>0</v>
      </c>
      <c r="N71" s="42">
        <v>98.32</v>
      </c>
      <c r="O71" s="141">
        <f t="shared" si="124"/>
        <v>125.18102399999999</v>
      </c>
      <c r="P71" s="42">
        <f t="shared" si="125"/>
        <v>125.18102399999999</v>
      </c>
      <c r="Q71" s="20">
        <f t="shared" si="126"/>
        <v>19664.039327999999</v>
      </c>
      <c r="R71" s="20">
        <f t="shared" si="129"/>
        <v>25036.254872409598</v>
      </c>
      <c r="S71" s="20">
        <f t="shared" si="127"/>
        <v>5372.2155444095988</v>
      </c>
      <c r="T71" s="116"/>
      <c r="U71" s="134">
        <f t="shared" si="17"/>
        <v>0.27319999999999994</v>
      </c>
      <c r="AB71" s="116"/>
    </row>
    <row r="72" spans="1:28">
      <c r="A72" s="139"/>
      <c r="B72" s="88">
        <v>260</v>
      </c>
      <c r="C72" s="88">
        <v>38</v>
      </c>
      <c r="D72" s="91" t="s">
        <v>197</v>
      </c>
      <c r="E72" s="89">
        <v>17.083300000000001</v>
      </c>
      <c r="F72" s="9">
        <f>References!$D$9</f>
        <v>1</v>
      </c>
      <c r="G72" s="86">
        <f t="shared" si="128"/>
        <v>204.99960000000002</v>
      </c>
      <c r="H72" s="87"/>
      <c r="I72" s="87">
        <f t="shared" si="122"/>
        <v>0</v>
      </c>
      <c r="J72" s="10"/>
      <c r="K72" s="18">
        <f>References!$C$17*J72</f>
        <v>0</v>
      </c>
      <c r="L72" s="22">
        <f>K72/References!$F$18</f>
        <v>0</v>
      </c>
      <c r="M72" s="22">
        <f t="shared" si="123"/>
        <v>0</v>
      </c>
      <c r="N72" s="42">
        <v>124.7</v>
      </c>
      <c r="O72" s="141">
        <f t="shared" si="124"/>
        <v>158.76804000000001</v>
      </c>
      <c r="P72" s="42">
        <f t="shared" si="125"/>
        <v>158.76804000000001</v>
      </c>
      <c r="Q72" s="20">
        <f t="shared" si="126"/>
        <v>25563.450120000001</v>
      </c>
      <c r="R72" s="20">
        <f t="shared" si="129"/>
        <v>32547.384692784006</v>
      </c>
      <c r="S72" s="20">
        <f t="shared" si="127"/>
        <v>6983.9345727840046</v>
      </c>
      <c r="T72" s="116"/>
      <c r="U72" s="134">
        <f t="shared" si="17"/>
        <v>0.27320000000000016</v>
      </c>
      <c r="AB72" s="116"/>
    </row>
    <row r="73" spans="1:28">
      <c r="A73" s="139"/>
      <c r="B73" s="88">
        <v>260</v>
      </c>
      <c r="C73" s="88">
        <v>38</v>
      </c>
      <c r="D73" s="91" t="s">
        <v>198</v>
      </c>
      <c r="E73" s="89"/>
      <c r="F73" s="9">
        <f>References!$D$9</f>
        <v>1</v>
      </c>
      <c r="G73" s="86">
        <f t="shared" si="128"/>
        <v>0</v>
      </c>
      <c r="H73" s="87"/>
      <c r="I73" s="87">
        <f t="shared" si="122"/>
        <v>0</v>
      </c>
      <c r="J73" s="10"/>
      <c r="K73" s="18">
        <f>References!$C$17*J73</f>
        <v>0</v>
      </c>
      <c r="L73" s="22">
        <f>K73/References!$F$18</f>
        <v>0</v>
      </c>
      <c r="M73" s="22" t="e">
        <f t="shared" si="123"/>
        <v>#DIV/0!</v>
      </c>
      <c r="N73" s="42">
        <v>98.32</v>
      </c>
      <c r="O73" s="141">
        <f t="shared" si="124"/>
        <v>125.18102399999999</v>
      </c>
      <c r="P73" s="42">
        <f t="shared" si="125"/>
        <v>125.18102399999999</v>
      </c>
      <c r="Q73" s="20">
        <f t="shared" si="126"/>
        <v>0</v>
      </c>
      <c r="R73" s="20">
        <f t="shared" si="129"/>
        <v>0</v>
      </c>
      <c r="S73" s="20">
        <f t="shared" si="127"/>
        <v>0</v>
      </c>
      <c r="T73" s="116"/>
      <c r="U73" s="134" t="e">
        <f t="shared" si="17"/>
        <v>#DIV/0!</v>
      </c>
      <c r="AB73" s="116"/>
    </row>
    <row r="74" spans="1:28">
      <c r="A74" s="139"/>
      <c r="B74" s="88">
        <v>260</v>
      </c>
      <c r="C74" s="88">
        <v>38</v>
      </c>
      <c r="D74" s="91" t="s">
        <v>199</v>
      </c>
      <c r="E74" s="89"/>
      <c r="F74" s="9">
        <f>References!$D$9</f>
        <v>1</v>
      </c>
      <c r="G74" s="86">
        <f t="shared" si="128"/>
        <v>0</v>
      </c>
      <c r="H74" s="87"/>
      <c r="I74" s="87">
        <f t="shared" si="122"/>
        <v>0</v>
      </c>
      <c r="J74" s="10"/>
      <c r="K74" s="18">
        <f>References!$C$17*J74</f>
        <v>0</v>
      </c>
      <c r="L74" s="22">
        <f>K74/References!$F$18</f>
        <v>0</v>
      </c>
      <c r="M74" s="22" t="e">
        <f t="shared" si="123"/>
        <v>#DIV/0!</v>
      </c>
      <c r="N74" s="42">
        <v>124.7</v>
      </c>
      <c r="O74" s="141">
        <f t="shared" si="124"/>
        <v>158.76804000000001</v>
      </c>
      <c r="P74" s="42">
        <f t="shared" si="125"/>
        <v>158.76804000000001</v>
      </c>
      <c r="Q74" s="20">
        <f t="shared" si="126"/>
        <v>0</v>
      </c>
      <c r="R74" s="20">
        <f t="shared" si="129"/>
        <v>0</v>
      </c>
      <c r="S74" s="20">
        <f t="shared" si="127"/>
        <v>0</v>
      </c>
      <c r="U74" s="134" t="e">
        <f t="shared" si="17"/>
        <v>#DIV/0!</v>
      </c>
      <c r="AB74" s="116"/>
    </row>
    <row r="75" spans="1:28">
      <c r="A75" s="139"/>
      <c r="B75" s="88">
        <v>260</v>
      </c>
      <c r="C75" s="88">
        <v>38</v>
      </c>
      <c r="D75" s="91" t="s">
        <v>200</v>
      </c>
      <c r="E75" s="89">
        <v>6.4166670000000003</v>
      </c>
      <c r="F75" s="9">
        <f>References!$D$9</f>
        <v>1</v>
      </c>
      <c r="G75" s="86">
        <f t="shared" si="128"/>
        <v>77.000004000000004</v>
      </c>
      <c r="H75" s="87"/>
      <c r="I75" s="87">
        <f t="shared" si="122"/>
        <v>0</v>
      </c>
      <c r="J75" s="10"/>
      <c r="K75" s="18">
        <f>References!$C$17*J75</f>
        <v>0</v>
      </c>
      <c r="L75" s="22">
        <f>K75/References!$F$18</f>
        <v>0</v>
      </c>
      <c r="M75" s="22">
        <f t="shared" si="123"/>
        <v>0</v>
      </c>
      <c r="N75" s="42">
        <v>114.97</v>
      </c>
      <c r="O75" s="141">
        <f t="shared" si="124"/>
        <v>146.37980400000001</v>
      </c>
      <c r="P75" s="42">
        <f t="shared" si="125"/>
        <v>146.37980400000001</v>
      </c>
      <c r="Q75" s="20">
        <f t="shared" si="126"/>
        <v>8852.6904598800011</v>
      </c>
      <c r="R75" s="20">
        <f t="shared" si="129"/>
        <v>11271.245493519216</v>
      </c>
      <c r="S75" s="20">
        <f t="shared" si="127"/>
        <v>2418.5550336392153</v>
      </c>
      <c r="U75" s="134">
        <f t="shared" si="17"/>
        <v>0.27319999999999989</v>
      </c>
      <c r="AB75" s="116"/>
    </row>
    <row r="76" spans="1:28">
      <c r="A76" s="139"/>
      <c r="B76" s="88">
        <v>260</v>
      </c>
      <c r="C76" s="88">
        <v>38</v>
      </c>
      <c r="D76" s="91" t="s">
        <v>201</v>
      </c>
      <c r="E76" s="89">
        <v>6.6666699999999999</v>
      </c>
      <c r="F76" s="9">
        <f>References!$D$9</f>
        <v>1</v>
      </c>
      <c r="G76" s="86">
        <f t="shared" si="128"/>
        <v>80.000039999999998</v>
      </c>
      <c r="H76" s="87"/>
      <c r="I76" s="87">
        <f t="shared" si="122"/>
        <v>0</v>
      </c>
      <c r="J76" s="10"/>
      <c r="K76" s="18">
        <f>References!$C$17*J76</f>
        <v>0</v>
      </c>
      <c r="L76" s="22">
        <f>K76/References!$F$18</f>
        <v>0</v>
      </c>
      <c r="M76" s="22">
        <f t="shared" si="123"/>
        <v>0</v>
      </c>
      <c r="N76" s="42">
        <v>130.93</v>
      </c>
      <c r="O76" s="141">
        <f t="shared" si="124"/>
        <v>166.70007600000002</v>
      </c>
      <c r="P76" s="42">
        <f t="shared" si="125"/>
        <v>166.70007600000002</v>
      </c>
      <c r="Q76" s="20">
        <f t="shared" si="126"/>
        <v>10474.405237200001</v>
      </c>
      <c r="R76" s="20">
        <f t="shared" si="129"/>
        <v>13336.012748003042</v>
      </c>
      <c r="S76" s="20">
        <f t="shared" si="127"/>
        <v>2861.6075108030418</v>
      </c>
      <c r="U76" s="134">
        <f t="shared" si="17"/>
        <v>0.27320000000000016</v>
      </c>
      <c r="AB76" s="116"/>
    </row>
    <row r="77" spans="1:28">
      <c r="A77" s="139"/>
      <c r="B77" s="88">
        <v>260</v>
      </c>
      <c r="C77" s="88">
        <v>38</v>
      </c>
      <c r="D77" s="91" t="s">
        <v>202</v>
      </c>
      <c r="E77" s="89"/>
      <c r="F77" s="9">
        <f>References!$D$9</f>
        <v>1</v>
      </c>
      <c r="G77" s="86">
        <f t="shared" si="128"/>
        <v>0</v>
      </c>
      <c r="H77" s="87"/>
      <c r="I77" s="87">
        <f t="shared" si="122"/>
        <v>0</v>
      </c>
      <c r="J77" s="10"/>
      <c r="K77" s="18">
        <f>References!$C$17*J77</f>
        <v>0</v>
      </c>
      <c r="L77" s="22">
        <f>K77/References!$F$18</f>
        <v>0</v>
      </c>
      <c r="M77" s="22" t="e">
        <f t="shared" si="123"/>
        <v>#DIV/0!</v>
      </c>
      <c r="N77" s="42">
        <v>114.97</v>
      </c>
      <c r="O77" s="141">
        <f t="shared" si="124"/>
        <v>146.37980400000001</v>
      </c>
      <c r="P77" s="42">
        <f t="shared" si="125"/>
        <v>146.37980400000001</v>
      </c>
      <c r="Q77" s="20">
        <f t="shared" si="126"/>
        <v>0</v>
      </c>
      <c r="R77" s="20">
        <f t="shared" si="129"/>
        <v>0</v>
      </c>
      <c r="S77" s="20">
        <f t="shared" si="127"/>
        <v>0</v>
      </c>
      <c r="U77" s="134" t="e">
        <f t="shared" si="17"/>
        <v>#DIV/0!</v>
      </c>
      <c r="AB77" s="116"/>
    </row>
    <row r="78" spans="1:28">
      <c r="A78" s="139"/>
      <c r="B78" s="88">
        <v>260</v>
      </c>
      <c r="C78" s="88">
        <v>38</v>
      </c>
      <c r="D78" s="91" t="s">
        <v>203</v>
      </c>
      <c r="E78" s="89"/>
      <c r="F78" s="9">
        <f>References!$D$9</f>
        <v>1</v>
      </c>
      <c r="G78" s="86">
        <f t="shared" si="128"/>
        <v>0</v>
      </c>
      <c r="H78" s="87"/>
      <c r="I78" s="87">
        <f t="shared" si="122"/>
        <v>0</v>
      </c>
      <c r="J78" s="10"/>
      <c r="K78" s="18">
        <f>References!$C$17*J78</f>
        <v>0</v>
      </c>
      <c r="L78" s="22">
        <f>K78/References!$F$18</f>
        <v>0</v>
      </c>
      <c r="M78" s="22" t="e">
        <f t="shared" si="123"/>
        <v>#DIV/0!</v>
      </c>
      <c r="N78" s="42">
        <v>130.93</v>
      </c>
      <c r="O78" s="141">
        <f t="shared" si="124"/>
        <v>166.70007600000002</v>
      </c>
      <c r="P78" s="42">
        <f t="shared" si="125"/>
        <v>166.70007600000002</v>
      </c>
      <c r="Q78" s="20">
        <f t="shared" si="126"/>
        <v>0</v>
      </c>
      <c r="R78" s="20">
        <f t="shared" si="129"/>
        <v>0</v>
      </c>
      <c r="S78" s="20">
        <f t="shared" si="127"/>
        <v>0</v>
      </c>
      <c r="U78" s="134" t="e">
        <f t="shared" si="17"/>
        <v>#DIV/0!</v>
      </c>
      <c r="AB78" s="116"/>
    </row>
    <row r="79" spans="1:28">
      <c r="A79" s="139"/>
      <c r="B79" s="88">
        <v>260</v>
      </c>
      <c r="C79" s="88">
        <v>38</v>
      </c>
      <c r="D79" s="91" t="s">
        <v>204</v>
      </c>
      <c r="E79" s="89"/>
      <c r="F79" s="9">
        <f>References!$D$9</f>
        <v>1</v>
      </c>
      <c r="G79" s="86">
        <f t="shared" si="128"/>
        <v>0</v>
      </c>
      <c r="H79" s="87"/>
      <c r="I79" s="87">
        <f t="shared" si="122"/>
        <v>0</v>
      </c>
      <c r="J79" s="10"/>
      <c r="K79" s="18">
        <f>References!$C$17*J79</f>
        <v>0</v>
      </c>
      <c r="L79" s="22">
        <f>K79/References!$F$18</f>
        <v>0</v>
      </c>
      <c r="M79" s="22" t="e">
        <f t="shared" si="123"/>
        <v>#DIV/0!</v>
      </c>
      <c r="N79" s="42">
        <v>137.94</v>
      </c>
      <c r="O79" s="141">
        <f t="shared" si="124"/>
        <v>175.62520799999999</v>
      </c>
      <c r="P79" s="42">
        <f t="shared" si="125"/>
        <v>175.62520799999999</v>
      </c>
      <c r="Q79" s="20">
        <f t="shared" si="126"/>
        <v>0</v>
      </c>
      <c r="R79" s="20">
        <f t="shared" si="129"/>
        <v>0</v>
      </c>
      <c r="S79" s="20">
        <f t="shared" si="127"/>
        <v>0</v>
      </c>
      <c r="U79" s="134" t="e">
        <f t="shared" si="17"/>
        <v>#DIV/0!</v>
      </c>
      <c r="AB79" s="116"/>
    </row>
    <row r="80" spans="1:28">
      <c r="A80" s="139"/>
      <c r="B80" s="88">
        <v>260</v>
      </c>
      <c r="C80" s="88">
        <v>38</v>
      </c>
      <c r="D80" s="91" t="s">
        <v>205</v>
      </c>
      <c r="E80" s="89">
        <v>0.16666666999999999</v>
      </c>
      <c r="F80" s="9">
        <f>References!$D$9</f>
        <v>1</v>
      </c>
      <c r="G80" s="86">
        <f t="shared" si="128"/>
        <v>2.0000000399999998</v>
      </c>
      <c r="H80" s="87"/>
      <c r="I80" s="87">
        <f t="shared" si="122"/>
        <v>0</v>
      </c>
      <c r="J80" s="10"/>
      <c r="K80" s="18">
        <f>References!$C$17*J80</f>
        <v>0</v>
      </c>
      <c r="L80" s="22">
        <f>K80/References!$F$18</f>
        <v>0</v>
      </c>
      <c r="M80" s="22">
        <f t="shared" si="123"/>
        <v>0</v>
      </c>
      <c r="N80" s="42">
        <v>137.94</v>
      </c>
      <c r="O80" s="141">
        <f t="shared" si="124"/>
        <v>175.62520799999999</v>
      </c>
      <c r="P80" s="42">
        <f t="shared" si="125"/>
        <v>175.62520799999999</v>
      </c>
      <c r="Q80" s="20">
        <f t="shared" si="126"/>
        <v>275.88000551759995</v>
      </c>
      <c r="R80" s="20">
        <f t="shared" si="129"/>
        <v>351.25042302500827</v>
      </c>
      <c r="S80" s="20">
        <f t="shared" si="127"/>
        <v>75.37041750740832</v>
      </c>
      <c r="U80" s="134">
        <f t="shared" si="17"/>
        <v>0.27320000000000005</v>
      </c>
      <c r="AB80" s="116"/>
    </row>
    <row r="81" spans="1:28">
      <c r="A81" s="139"/>
      <c r="B81" s="88">
        <v>260</v>
      </c>
      <c r="C81" s="88">
        <v>38</v>
      </c>
      <c r="D81" s="91" t="s">
        <v>206</v>
      </c>
      <c r="E81" s="89"/>
      <c r="F81" s="9">
        <f>References!$D$9</f>
        <v>1</v>
      </c>
      <c r="G81" s="86">
        <f t="shared" si="128"/>
        <v>0</v>
      </c>
      <c r="H81" s="87"/>
      <c r="I81" s="87">
        <f t="shared" si="122"/>
        <v>0</v>
      </c>
      <c r="J81" s="10"/>
      <c r="K81" s="18">
        <f>References!$C$17*J81</f>
        <v>0</v>
      </c>
      <c r="L81" s="22">
        <f>K81/References!$F$18</f>
        <v>0</v>
      </c>
      <c r="M81" s="22" t="e">
        <f t="shared" si="123"/>
        <v>#DIV/0!</v>
      </c>
      <c r="N81" s="42">
        <v>137.94</v>
      </c>
      <c r="O81" s="141">
        <f t="shared" si="124"/>
        <v>175.62520799999999</v>
      </c>
      <c r="P81" s="42">
        <f t="shared" si="125"/>
        <v>175.62520799999999</v>
      </c>
      <c r="Q81" s="20">
        <f t="shared" si="126"/>
        <v>0</v>
      </c>
      <c r="R81" s="20">
        <f t="shared" si="129"/>
        <v>0</v>
      </c>
      <c r="S81" s="20">
        <f t="shared" si="127"/>
        <v>0</v>
      </c>
      <c r="U81" s="134" t="e">
        <f t="shared" ref="U81:U131" si="130">+S81/Q81</f>
        <v>#DIV/0!</v>
      </c>
      <c r="AB81" s="116"/>
    </row>
    <row r="82" spans="1:28">
      <c r="A82" s="139"/>
      <c r="B82" s="88">
        <v>260</v>
      </c>
      <c r="C82" s="88">
        <v>38</v>
      </c>
      <c r="D82" s="91" t="s">
        <v>207</v>
      </c>
      <c r="E82" s="89"/>
      <c r="F82" s="9">
        <f>References!$D$9</f>
        <v>1</v>
      </c>
      <c r="G82" s="86">
        <f t="shared" si="128"/>
        <v>0</v>
      </c>
      <c r="H82" s="87"/>
      <c r="I82" s="87">
        <f t="shared" si="122"/>
        <v>0</v>
      </c>
      <c r="J82" s="10"/>
      <c r="K82" s="18">
        <f>References!$C$17*J82</f>
        <v>0</v>
      </c>
      <c r="L82" s="22">
        <f>K82/References!$F$18</f>
        <v>0</v>
      </c>
      <c r="M82" s="22" t="e">
        <f t="shared" si="123"/>
        <v>#DIV/0!</v>
      </c>
      <c r="N82" s="42">
        <v>137.94</v>
      </c>
      <c r="O82" s="141">
        <f t="shared" si="124"/>
        <v>175.62520799999999</v>
      </c>
      <c r="P82" s="42">
        <f t="shared" si="125"/>
        <v>175.62520799999999</v>
      </c>
      <c r="Q82" s="20">
        <f t="shared" si="126"/>
        <v>0</v>
      </c>
      <c r="R82" s="20">
        <f t="shared" si="129"/>
        <v>0</v>
      </c>
      <c r="S82" s="20">
        <f t="shared" si="127"/>
        <v>0</v>
      </c>
      <c r="U82" s="134" t="e">
        <f t="shared" si="130"/>
        <v>#DIV/0!</v>
      </c>
      <c r="AB82" s="116"/>
    </row>
    <row r="83" spans="1:28">
      <c r="A83" s="139"/>
      <c r="B83" s="88">
        <v>270</v>
      </c>
      <c r="C83" s="88">
        <v>39</v>
      </c>
      <c r="D83" s="91" t="s">
        <v>212</v>
      </c>
      <c r="E83" s="89"/>
      <c r="F83" s="9">
        <f>References!$D$9</f>
        <v>1</v>
      </c>
      <c r="G83" s="86">
        <f t="shared" si="128"/>
        <v>0</v>
      </c>
      <c r="H83" s="87"/>
      <c r="I83" s="87">
        <f t="shared" si="122"/>
        <v>0</v>
      </c>
      <c r="J83" s="10"/>
      <c r="K83" s="18">
        <f>References!$C$17*J83</f>
        <v>0</v>
      </c>
      <c r="L83" s="22">
        <f>K83/References!$F$18</f>
        <v>0</v>
      </c>
      <c r="M83" s="22" t="e">
        <f t="shared" si="123"/>
        <v>#DIV/0!</v>
      </c>
      <c r="N83" s="42">
        <v>77.31</v>
      </c>
      <c r="O83" s="141">
        <f t="shared" si="124"/>
        <v>98.431092000000007</v>
      </c>
      <c r="P83" s="42">
        <f t="shared" si="125"/>
        <v>98.431092000000007</v>
      </c>
      <c r="Q83" s="20">
        <f t="shared" si="126"/>
        <v>0</v>
      </c>
      <c r="R83" s="20">
        <f t="shared" si="129"/>
        <v>0</v>
      </c>
      <c r="S83" s="20">
        <f t="shared" si="127"/>
        <v>0</v>
      </c>
      <c r="U83" s="134" t="e">
        <f t="shared" si="130"/>
        <v>#DIV/0!</v>
      </c>
      <c r="AB83" s="116"/>
    </row>
    <row r="84" spans="1:28">
      <c r="A84" s="139"/>
      <c r="B84" s="88">
        <v>270</v>
      </c>
      <c r="C84" s="88">
        <v>39</v>
      </c>
      <c r="D84" s="91" t="s">
        <v>210</v>
      </c>
      <c r="E84" s="89">
        <v>2.75</v>
      </c>
      <c r="F84" s="9">
        <f>References!$D$9</f>
        <v>1</v>
      </c>
      <c r="G84" s="86">
        <f t="shared" si="128"/>
        <v>33</v>
      </c>
      <c r="H84" s="87"/>
      <c r="I84" s="87">
        <f t="shared" si="122"/>
        <v>0</v>
      </c>
      <c r="J84" s="10"/>
      <c r="K84" s="18">
        <f>References!$C$17*J84</f>
        <v>0</v>
      </c>
      <c r="L84" s="22">
        <f>K84/References!$F$18</f>
        <v>0</v>
      </c>
      <c r="M84" s="22">
        <f t="shared" si="123"/>
        <v>0</v>
      </c>
      <c r="N84" s="42">
        <v>83.55</v>
      </c>
      <c r="O84" s="141">
        <f t="shared" si="124"/>
        <v>106.37585999999999</v>
      </c>
      <c r="P84" s="42">
        <f t="shared" si="125"/>
        <v>106.37585999999999</v>
      </c>
      <c r="Q84" s="20">
        <f t="shared" si="126"/>
        <v>2757.15</v>
      </c>
      <c r="R84" s="20">
        <f t="shared" si="129"/>
        <v>3510.4033799999997</v>
      </c>
      <c r="S84" s="20">
        <f t="shared" si="127"/>
        <v>753.25337999999965</v>
      </c>
      <c r="U84" s="134">
        <f t="shared" si="130"/>
        <v>0.27319999999999989</v>
      </c>
      <c r="AB84" s="116"/>
    </row>
    <row r="85" spans="1:28">
      <c r="A85" s="139"/>
      <c r="B85" s="88">
        <v>270</v>
      </c>
      <c r="C85" s="88">
        <v>39</v>
      </c>
      <c r="D85" s="91" t="s">
        <v>211</v>
      </c>
      <c r="E85" s="89">
        <v>2</v>
      </c>
      <c r="F85" s="9">
        <f>References!$D$9</f>
        <v>1</v>
      </c>
      <c r="G85" s="86">
        <f t="shared" si="113"/>
        <v>24</v>
      </c>
      <c r="H85" s="87"/>
      <c r="I85" s="87">
        <f t="shared" si="108"/>
        <v>0</v>
      </c>
      <c r="J85" s="10"/>
      <c r="K85" s="18">
        <f>References!$C$17*J85</f>
        <v>0</v>
      </c>
      <c r="L85" s="22">
        <f>K85/References!$F$18</f>
        <v>0</v>
      </c>
      <c r="M85" s="22">
        <f t="shared" si="109"/>
        <v>0</v>
      </c>
      <c r="N85" s="42">
        <v>89.78</v>
      </c>
      <c r="O85" s="141">
        <f t="shared" si="110"/>
        <v>114.307896</v>
      </c>
      <c r="P85" s="42">
        <f t="shared" ref="P85:P87" si="131">O85</f>
        <v>114.307896</v>
      </c>
      <c r="Q85" s="20">
        <f t="shared" si="111"/>
        <v>2154.7200000000003</v>
      </c>
      <c r="R85" s="20">
        <f t="shared" si="121"/>
        <v>2743.3895039999998</v>
      </c>
      <c r="S85" s="20">
        <f t="shared" si="112"/>
        <v>588.66950399999951</v>
      </c>
      <c r="T85" s="25" t="e">
        <f>#REF!*#REF!</f>
        <v>#REF!</v>
      </c>
      <c r="U85" s="134">
        <f t="shared" si="130"/>
        <v>0.27319999999999972</v>
      </c>
    </row>
    <row r="86" spans="1:28">
      <c r="A86" s="139"/>
      <c r="B86" s="88">
        <v>270</v>
      </c>
      <c r="C86" s="88">
        <v>39</v>
      </c>
      <c r="D86" s="91" t="s">
        <v>98</v>
      </c>
      <c r="E86" s="89"/>
      <c r="F86" s="9">
        <f>References!$D$9</f>
        <v>1</v>
      </c>
      <c r="G86" s="86">
        <f t="shared" si="113"/>
        <v>0</v>
      </c>
      <c r="H86" s="87"/>
      <c r="I86" s="87">
        <f t="shared" si="108"/>
        <v>0</v>
      </c>
      <c r="J86" s="10"/>
      <c r="K86" s="18">
        <f>References!$C$17*J86</f>
        <v>0</v>
      </c>
      <c r="L86" s="22">
        <f>K86/References!$F$18</f>
        <v>0</v>
      </c>
      <c r="M86" s="22" t="e">
        <f t="shared" si="109"/>
        <v>#DIV/0!</v>
      </c>
      <c r="N86" s="42">
        <v>96</v>
      </c>
      <c r="O86" s="141">
        <f t="shared" si="110"/>
        <v>122.2272</v>
      </c>
      <c r="P86" s="42">
        <f t="shared" si="131"/>
        <v>122.2272</v>
      </c>
      <c r="Q86" s="20">
        <f t="shared" si="111"/>
        <v>0</v>
      </c>
      <c r="R86" s="20">
        <f t="shared" si="121"/>
        <v>0</v>
      </c>
      <c r="S86" s="20">
        <f t="shared" si="112"/>
        <v>0</v>
      </c>
      <c r="T86" s="25" t="e">
        <f>#REF!*#REF!</f>
        <v>#REF!</v>
      </c>
      <c r="U86" s="134" t="e">
        <f t="shared" si="130"/>
        <v>#DIV/0!</v>
      </c>
    </row>
    <row r="87" spans="1:28">
      <c r="A87" s="140"/>
      <c r="B87" s="88">
        <v>270</v>
      </c>
      <c r="C87" s="88">
        <v>39</v>
      </c>
      <c r="D87" s="91" t="s">
        <v>99</v>
      </c>
      <c r="E87" s="89">
        <v>0.12835199999999999</v>
      </c>
      <c r="F87" s="9">
        <f>References!$D$9</f>
        <v>1</v>
      </c>
      <c r="G87" s="86">
        <f t="shared" si="113"/>
        <v>1.5402239999999998</v>
      </c>
      <c r="H87" s="87"/>
      <c r="I87" s="87">
        <f t="shared" si="108"/>
        <v>0</v>
      </c>
      <c r="J87" s="10"/>
      <c r="K87" s="18">
        <f>References!$C$17*J87</f>
        <v>0</v>
      </c>
      <c r="L87" s="22">
        <f>K87/References!$F$18</f>
        <v>0</v>
      </c>
      <c r="M87" s="22">
        <f t="shared" si="109"/>
        <v>0</v>
      </c>
      <c r="N87" s="42">
        <v>108.49</v>
      </c>
      <c r="O87" s="141">
        <f t="shared" si="110"/>
        <v>138.129468</v>
      </c>
      <c r="P87" s="42">
        <f t="shared" si="131"/>
        <v>138.129468</v>
      </c>
      <c r="Q87" s="20">
        <f t="shared" si="111"/>
        <v>167.09890175999996</v>
      </c>
      <c r="R87" s="20">
        <f t="shared" si="121"/>
        <v>212.75032172083198</v>
      </c>
      <c r="S87" s="20">
        <f t="shared" si="112"/>
        <v>45.651419960832015</v>
      </c>
      <c r="T87" s="25" t="e">
        <f>#REF!*#REF!</f>
        <v>#REF!</v>
      </c>
      <c r="U87" s="134">
        <f t="shared" si="130"/>
        <v>0.27320000000000016</v>
      </c>
    </row>
    <row r="88" spans="1:28" ht="15" thickBot="1">
      <c r="A88" s="126"/>
      <c r="B88" s="94"/>
      <c r="C88" s="127"/>
      <c r="D88" s="96" t="s">
        <v>14</v>
      </c>
      <c r="E88" s="97">
        <f>SUM(E63:E87)</f>
        <v>143.01033465000003</v>
      </c>
      <c r="F88" s="43"/>
      <c r="G88" s="97">
        <f>SUM(G63:G87)</f>
        <v>1716.1240158000001</v>
      </c>
      <c r="H88" s="119"/>
      <c r="I88" s="97">
        <f>SUM(I63:I87)</f>
        <v>0</v>
      </c>
      <c r="J88" s="97"/>
      <c r="K88" s="43"/>
      <c r="L88" s="43"/>
      <c r="M88" s="43"/>
      <c r="N88" s="43"/>
      <c r="O88" s="43"/>
      <c r="P88" s="43"/>
      <c r="Q88" s="97">
        <f>SUM(Q63:Q87)</f>
        <v>147777.79442162879</v>
      </c>
      <c r="R88" s="97">
        <f>SUM(R63:R87)</f>
        <v>188150.6878576178</v>
      </c>
      <c r="S88" s="97">
        <f>SUM(S63:S87)</f>
        <v>40372.893435989005</v>
      </c>
      <c r="T88" s="25">
        <f>O139*G139</f>
        <v>0</v>
      </c>
      <c r="U88" s="134">
        <f t="shared" si="130"/>
        <v>0.27320000000000011</v>
      </c>
    </row>
    <row r="89" spans="1:28">
      <c r="A89" s="70"/>
      <c r="B89" s="83"/>
      <c r="D89" s="100"/>
      <c r="E89" s="101"/>
      <c r="F89" s="9"/>
      <c r="G89" s="101"/>
      <c r="H89" s="87"/>
      <c r="I89" s="101"/>
      <c r="J89" s="101"/>
      <c r="K89" s="9"/>
      <c r="L89" s="9"/>
      <c r="M89" s="9"/>
      <c r="N89" s="9"/>
      <c r="O89" s="9"/>
      <c r="P89" s="9"/>
      <c r="Q89" s="101"/>
      <c r="R89" s="101"/>
      <c r="S89" s="101"/>
      <c r="T89" s="25">
        <f>O140*G140</f>
        <v>0</v>
      </c>
      <c r="U89" s="134"/>
    </row>
    <row r="90" spans="1:28" ht="15" customHeight="1">
      <c r="A90" s="139" t="s">
        <v>213</v>
      </c>
      <c r="B90" s="92"/>
      <c r="C90" s="92"/>
      <c r="D90" s="92" t="s">
        <v>10</v>
      </c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25">
        <f>O142*G142</f>
        <v>0</v>
      </c>
      <c r="U90" s="134"/>
    </row>
    <row r="91" spans="1:28">
      <c r="A91" s="139"/>
      <c r="B91" s="88">
        <v>70</v>
      </c>
      <c r="C91" s="13">
        <v>18</v>
      </c>
      <c r="D91" s="85" t="s">
        <v>134</v>
      </c>
      <c r="E91" s="89">
        <v>5.0833300000000001</v>
      </c>
      <c r="F91" s="9">
        <f>References!$D$9</f>
        <v>1</v>
      </c>
      <c r="G91" s="86">
        <f t="shared" ref="G91" si="132">+E91*F91*12</f>
        <v>60.999960000000002</v>
      </c>
      <c r="H91" s="10"/>
      <c r="I91" s="87">
        <f t="shared" ref="I91" si="133">G91*H91</f>
        <v>0</v>
      </c>
      <c r="J91" s="10"/>
      <c r="K91" s="18">
        <f>References!$C$17*J91</f>
        <v>0</v>
      </c>
      <c r="L91" s="18">
        <f>K91/References!$F$18</f>
        <v>0</v>
      </c>
      <c r="M91" s="22">
        <f t="shared" ref="M91" si="134">L91/G91</f>
        <v>0</v>
      </c>
      <c r="N91" s="145">
        <v>23.17</v>
      </c>
      <c r="O91" s="141">
        <f t="shared" ref="O91" si="135">+N91*$E$7+N91</f>
        <v>29.500044000000003</v>
      </c>
      <c r="P91" s="42">
        <f t="shared" ref="P91" si="136">O91</f>
        <v>29.500044000000003</v>
      </c>
      <c r="Q91" s="20">
        <f t="shared" ref="Q91" si="137">N91*G91</f>
        <v>1413.3690732000002</v>
      </c>
      <c r="R91" s="20">
        <f t="shared" ref="R91" si="138">P91*G91</f>
        <v>1799.5015039982402</v>
      </c>
      <c r="S91" s="20">
        <f t="shared" ref="S91" si="139">R91-Q91</f>
        <v>386.13243079823997</v>
      </c>
      <c r="T91" s="25" t="e">
        <f>#REF!*#REF!</f>
        <v>#REF!</v>
      </c>
      <c r="U91" s="134">
        <f t="shared" si="130"/>
        <v>0.27319999999999994</v>
      </c>
      <c r="W91" t="s">
        <v>217</v>
      </c>
    </row>
    <row r="92" spans="1:28">
      <c r="A92" s="139"/>
      <c r="B92" s="88">
        <v>100</v>
      </c>
      <c r="C92" s="88">
        <v>23</v>
      </c>
      <c r="D92" s="91" t="s">
        <v>141</v>
      </c>
      <c r="E92" s="89"/>
      <c r="F92" s="9">
        <v>1</v>
      </c>
      <c r="G92" s="86">
        <f t="shared" ref="G92" si="140">+E92*F92*12</f>
        <v>0</v>
      </c>
      <c r="H92" s="10"/>
      <c r="I92" s="87"/>
      <c r="J92" s="10"/>
      <c r="K92" s="18"/>
      <c r="L92" s="18"/>
      <c r="M92" s="22"/>
      <c r="N92" s="145">
        <v>1.37</v>
      </c>
      <c r="O92" s="141">
        <f t="shared" ref="O92" si="141">+N92*$E$7+N92</f>
        <v>1.7442840000000002</v>
      </c>
      <c r="P92" s="42">
        <f t="shared" ref="P92" si="142">O92</f>
        <v>1.7442840000000002</v>
      </c>
      <c r="Q92" s="20">
        <f t="shared" ref="Q92" si="143">N92*G92</f>
        <v>0</v>
      </c>
      <c r="R92" s="20">
        <f t="shared" ref="R92" si="144">P92*G92</f>
        <v>0</v>
      </c>
      <c r="S92" s="20">
        <f t="shared" ref="S92" si="145">R92-Q92</f>
        <v>0</v>
      </c>
      <c r="T92" s="25"/>
      <c r="U92" s="134" t="e">
        <f t="shared" si="130"/>
        <v>#DIV/0!</v>
      </c>
    </row>
    <row r="93" spans="1:28">
      <c r="A93" s="139"/>
      <c r="B93" s="88">
        <v>100</v>
      </c>
      <c r="C93" s="88">
        <v>23</v>
      </c>
      <c r="D93" s="91" t="s">
        <v>142</v>
      </c>
      <c r="E93" s="89">
        <v>1218.998</v>
      </c>
      <c r="F93" s="9">
        <f>References!$D$9</f>
        <v>1</v>
      </c>
      <c r="G93" s="86">
        <f>+E93*F93*12</f>
        <v>14627.976000000001</v>
      </c>
      <c r="H93" s="87"/>
      <c r="I93" s="87">
        <f t="shared" ref="I93:I94" si="146">G93*H93</f>
        <v>0</v>
      </c>
      <c r="J93" s="10"/>
      <c r="K93" s="18">
        <f>References!$C$17*J93</f>
        <v>0</v>
      </c>
      <c r="L93" s="18">
        <f>K93/References!$F$18</f>
        <v>0</v>
      </c>
      <c r="M93" s="22">
        <f t="shared" ref="M93:M94" si="147">L93/G93</f>
        <v>0</v>
      </c>
      <c r="N93" s="42">
        <v>3.69</v>
      </c>
      <c r="O93" s="141">
        <f>+N93*$E$7+N93</f>
        <v>4.6981079999999995</v>
      </c>
      <c r="P93" s="42">
        <f>O93</f>
        <v>4.6981079999999995</v>
      </c>
      <c r="Q93" s="20">
        <f>N93*G93</f>
        <v>53977.231440000003</v>
      </c>
      <c r="R93" s="20">
        <f>P93*G93</f>
        <v>68723.811069407995</v>
      </c>
      <c r="S93" s="20">
        <f>R93-Q93</f>
        <v>14746.579629407992</v>
      </c>
      <c r="T93" s="25">
        <f>O146*G146</f>
        <v>0</v>
      </c>
      <c r="U93" s="134">
        <f t="shared" si="130"/>
        <v>0.27319999999999983</v>
      </c>
    </row>
    <row r="94" spans="1:28">
      <c r="A94" s="139"/>
      <c r="B94" s="88">
        <v>100</v>
      </c>
      <c r="C94" s="88">
        <v>23</v>
      </c>
      <c r="D94" s="91" t="s">
        <v>12</v>
      </c>
      <c r="E94" s="89"/>
      <c r="F94" s="9">
        <f>References!$D$9</f>
        <v>1</v>
      </c>
      <c r="G94" s="86">
        <f t="shared" ref="G94" si="148">+E94*F94*12</f>
        <v>0</v>
      </c>
      <c r="H94" s="87"/>
      <c r="I94" s="87">
        <f t="shared" si="146"/>
        <v>0</v>
      </c>
      <c r="J94" s="10"/>
      <c r="K94" s="18">
        <f>References!$C$17*J94</f>
        <v>0</v>
      </c>
      <c r="L94" s="18">
        <f>K94/References!$F$18</f>
        <v>0</v>
      </c>
      <c r="M94" s="22" t="e">
        <f t="shared" si="147"/>
        <v>#DIV/0!</v>
      </c>
      <c r="N94" s="145">
        <v>3.69</v>
      </c>
      <c r="O94" s="141">
        <f t="shared" ref="O94" si="149">+N94*$E$7+N94</f>
        <v>4.6981079999999995</v>
      </c>
      <c r="P94" s="42">
        <f t="shared" ref="P94" si="150">O94</f>
        <v>4.6981079999999995</v>
      </c>
      <c r="Q94" s="20">
        <f t="shared" ref="Q94" si="151">N94*G94</f>
        <v>0</v>
      </c>
      <c r="R94" s="20">
        <f t="shared" ref="R94" si="152">P94*G94</f>
        <v>0</v>
      </c>
      <c r="S94" s="20">
        <f t="shared" ref="S94" si="153">R94-Q94</f>
        <v>0</v>
      </c>
      <c r="T94" s="25">
        <f>O147*G147</f>
        <v>0</v>
      </c>
      <c r="U94" s="134" t="e">
        <f t="shared" si="130"/>
        <v>#DIV/0!</v>
      </c>
    </row>
    <row r="95" spans="1:28">
      <c r="A95" s="139"/>
      <c r="B95" s="88">
        <v>100</v>
      </c>
      <c r="C95" s="88">
        <v>23</v>
      </c>
      <c r="D95" s="91" t="s">
        <v>96</v>
      </c>
      <c r="E95" s="89"/>
      <c r="F95" s="9">
        <f>References!$D$9</f>
        <v>1</v>
      </c>
      <c r="G95" s="86">
        <f>+E95*F95*12</f>
        <v>0</v>
      </c>
      <c r="H95" s="87"/>
      <c r="I95" s="87">
        <f>G95*H95</f>
        <v>0</v>
      </c>
      <c r="J95" s="10"/>
      <c r="K95" s="18">
        <f>References!$C$17*J95</f>
        <v>0</v>
      </c>
      <c r="L95" s="18">
        <f>K95/References!$F$18</f>
        <v>0</v>
      </c>
      <c r="M95" s="22" t="e">
        <f>L95/G95</f>
        <v>#DIV/0!</v>
      </c>
      <c r="N95" s="145">
        <v>10.050000000000001</v>
      </c>
      <c r="O95" s="141">
        <f>+N95*$E$7+N95</f>
        <v>12.795660000000002</v>
      </c>
      <c r="P95" s="42">
        <f>O95</f>
        <v>12.795660000000002</v>
      </c>
      <c r="Q95" s="20">
        <f>N95*G95</f>
        <v>0</v>
      </c>
      <c r="R95" s="20">
        <f>P95*G95</f>
        <v>0</v>
      </c>
      <c r="S95" s="20">
        <f>R95-Q95</f>
        <v>0</v>
      </c>
      <c r="T95" s="25">
        <f>O150*G150</f>
        <v>0</v>
      </c>
      <c r="U95" s="134" t="e">
        <f t="shared" si="130"/>
        <v>#DIV/0!</v>
      </c>
    </row>
    <row r="96" spans="1:28">
      <c r="A96" s="139"/>
      <c r="B96" s="88">
        <v>100</v>
      </c>
      <c r="C96" s="88">
        <v>23</v>
      </c>
      <c r="D96" s="91" t="s">
        <v>143</v>
      </c>
      <c r="E96" s="89"/>
      <c r="F96" s="9">
        <v>1</v>
      </c>
      <c r="G96" s="86">
        <f>+E96*F96*12</f>
        <v>0</v>
      </c>
      <c r="H96" s="87"/>
      <c r="I96" s="87"/>
      <c r="J96" s="10"/>
      <c r="K96" s="18"/>
      <c r="L96" s="18"/>
      <c r="M96" s="22"/>
      <c r="N96" s="145">
        <v>1.1599999999999999</v>
      </c>
      <c r="O96" s="141">
        <f>+N96*$E$7+N96</f>
        <v>1.476912</v>
      </c>
      <c r="P96" s="42">
        <f>O96</f>
        <v>1.476912</v>
      </c>
      <c r="Q96" s="20">
        <f>N96*G96</f>
        <v>0</v>
      </c>
      <c r="R96" s="20">
        <f>P96*G96</f>
        <v>0</v>
      </c>
      <c r="S96" s="20">
        <f>R96-Q96</f>
        <v>0</v>
      </c>
      <c r="T96" s="25"/>
      <c r="U96" s="134" t="e">
        <f t="shared" si="130"/>
        <v>#DIV/0!</v>
      </c>
    </row>
    <row r="97" spans="1:23">
      <c r="A97" s="139"/>
      <c r="B97" s="88">
        <v>100</v>
      </c>
      <c r="C97" s="88">
        <v>25</v>
      </c>
      <c r="D97" s="91" t="s">
        <v>144</v>
      </c>
      <c r="E97" s="89">
        <v>0.49217699999999998</v>
      </c>
      <c r="F97" s="9">
        <v>1</v>
      </c>
      <c r="G97" s="86">
        <f t="shared" ref="G97:G101" si="154">+E97*F97*12</f>
        <v>5.9061240000000002</v>
      </c>
      <c r="H97" s="87"/>
      <c r="I97" s="87"/>
      <c r="J97" s="10"/>
      <c r="K97" s="18"/>
      <c r="L97" s="18"/>
      <c r="M97" s="22"/>
      <c r="N97" s="145">
        <v>27.59</v>
      </c>
      <c r="O97" s="141">
        <f>+N97*$E$7+N97</f>
        <v>35.127588000000003</v>
      </c>
      <c r="P97" s="42">
        <f>O97</f>
        <v>35.127588000000003</v>
      </c>
      <c r="Q97" s="20">
        <f t="shared" ref="Q97:Q101" si="155">N97*G97</f>
        <v>162.94996116000002</v>
      </c>
      <c r="R97" s="20">
        <f t="shared" ref="R97:R101" si="156">P97*G97</f>
        <v>207.46789054891201</v>
      </c>
      <c r="S97" s="20">
        <f t="shared" ref="S97:S101" si="157">R97-Q97</f>
        <v>44.517929388911995</v>
      </c>
      <c r="T97" s="25"/>
      <c r="U97" s="134">
        <f t="shared" si="130"/>
        <v>0.27319999999999994</v>
      </c>
    </row>
    <row r="98" spans="1:23">
      <c r="A98" s="139"/>
      <c r="B98" s="88">
        <v>100</v>
      </c>
      <c r="C98" s="88">
        <v>25</v>
      </c>
      <c r="D98" s="91" t="s">
        <v>145</v>
      </c>
      <c r="E98" s="89">
        <v>31.58</v>
      </c>
      <c r="F98" s="9">
        <v>1</v>
      </c>
      <c r="G98" s="86">
        <f t="shared" si="154"/>
        <v>378.96</v>
      </c>
      <c r="H98" s="87"/>
      <c r="I98" s="87"/>
      <c r="J98" s="10"/>
      <c r="K98" s="18"/>
      <c r="L98" s="18"/>
      <c r="M98" s="22"/>
      <c r="N98" s="145">
        <v>15.17</v>
      </c>
      <c r="O98" s="141">
        <f>+N98*$E$7+N98</f>
        <v>19.314444000000002</v>
      </c>
      <c r="P98" s="42">
        <f>O98</f>
        <v>19.314444000000002</v>
      </c>
      <c r="Q98" s="20">
        <f t="shared" si="155"/>
        <v>5748.8231999999998</v>
      </c>
      <c r="R98" s="20">
        <f t="shared" si="156"/>
        <v>7319.4016982399999</v>
      </c>
      <c r="S98" s="20">
        <f t="shared" si="157"/>
        <v>1570.57849824</v>
      </c>
      <c r="T98" s="25"/>
      <c r="U98" s="134">
        <f t="shared" si="130"/>
        <v>0.2732</v>
      </c>
    </row>
    <row r="99" spans="1:23">
      <c r="A99" s="139"/>
      <c r="B99" s="88">
        <v>100</v>
      </c>
      <c r="C99" s="88">
        <v>25</v>
      </c>
      <c r="D99" s="91" t="s">
        <v>146</v>
      </c>
      <c r="E99" s="89"/>
      <c r="F99" s="9">
        <v>1</v>
      </c>
      <c r="G99" s="86">
        <f t="shared" si="154"/>
        <v>0</v>
      </c>
      <c r="H99" s="87"/>
      <c r="I99" s="87"/>
      <c r="J99" s="10"/>
      <c r="K99" s="18"/>
      <c r="L99" s="18"/>
      <c r="M99" s="22"/>
      <c r="N99" s="145">
        <v>5.52</v>
      </c>
      <c r="O99" s="141">
        <f>+N99*$E$7+N99</f>
        <v>7.0280639999999996</v>
      </c>
      <c r="P99" s="42">
        <f>O99</f>
        <v>7.0280639999999996</v>
      </c>
      <c r="Q99" s="20">
        <f t="shared" si="155"/>
        <v>0</v>
      </c>
      <c r="R99" s="20">
        <f t="shared" si="156"/>
        <v>0</v>
      </c>
      <c r="S99" s="20">
        <f t="shared" si="157"/>
        <v>0</v>
      </c>
      <c r="T99" s="25"/>
      <c r="U99" s="134" t="e">
        <f t="shared" si="130"/>
        <v>#DIV/0!</v>
      </c>
    </row>
    <row r="100" spans="1:23">
      <c r="A100" s="139"/>
      <c r="B100" s="13">
        <v>51</v>
      </c>
      <c r="C100" s="13">
        <v>16</v>
      </c>
      <c r="D100" s="85" t="s">
        <v>97</v>
      </c>
      <c r="E100">
        <v>1.6160000000000001</v>
      </c>
      <c r="F100" s="9">
        <f>References!$D$9</f>
        <v>1</v>
      </c>
      <c r="G100" s="86">
        <f t="shared" si="154"/>
        <v>19.392000000000003</v>
      </c>
      <c r="H100" s="10"/>
      <c r="I100" s="87">
        <f t="shared" ref="I100:I101" si="158">G100*H100</f>
        <v>0</v>
      </c>
      <c r="J100" s="10"/>
      <c r="K100" s="18">
        <f>References!$C$17*J100</f>
        <v>0</v>
      </c>
      <c r="L100" s="18">
        <f>K100/References!$F$18</f>
        <v>0</v>
      </c>
      <c r="M100" s="22">
        <f t="shared" ref="M100:M101" si="159">L100/G100</f>
        <v>0</v>
      </c>
      <c r="N100" s="145">
        <v>11.04</v>
      </c>
      <c r="O100" s="141">
        <f t="shared" ref="O100:O101" si="160">+N100*$E$7+N100</f>
        <v>14.056127999999999</v>
      </c>
      <c r="P100" s="42">
        <f t="shared" ref="P100:P101" si="161">O100</f>
        <v>14.056127999999999</v>
      </c>
      <c r="Q100" s="20">
        <f t="shared" si="155"/>
        <v>214.08768000000001</v>
      </c>
      <c r="R100" s="20">
        <f t="shared" si="156"/>
        <v>272.57643417600002</v>
      </c>
      <c r="S100" s="20">
        <f t="shared" si="157"/>
        <v>58.488754176000015</v>
      </c>
      <c r="T100" s="25" t="e">
        <f>#REF!*#REF!</f>
        <v>#REF!</v>
      </c>
      <c r="U100" s="134">
        <f t="shared" si="130"/>
        <v>0.27320000000000005</v>
      </c>
      <c r="W100" t="s">
        <v>217</v>
      </c>
    </row>
    <row r="101" spans="1:23">
      <c r="A101" s="139"/>
      <c r="B101" s="13">
        <v>52</v>
      </c>
      <c r="C101" s="13">
        <v>16</v>
      </c>
      <c r="D101" s="85" t="s">
        <v>126</v>
      </c>
      <c r="E101">
        <v>1.0335559999999999</v>
      </c>
      <c r="F101" s="9">
        <f>References!$D$9</f>
        <v>1</v>
      </c>
      <c r="G101" s="86">
        <f t="shared" si="154"/>
        <v>12.402671999999999</v>
      </c>
      <c r="H101" s="10"/>
      <c r="I101" s="87">
        <f t="shared" si="158"/>
        <v>0</v>
      </c>
      <c r="J101" s="10"/>
      <c r="K101" s="18">
        <f>References!$C$17*J101</f>
        <v>0</v>
      </c>
      <c r="L101" s="18">
        <f>K101/References!$F$18</f>
        <v>0</v>
      </c>
      <c r="M101" s="22">
        <f t="shared" si="159"/>
        <v>0</v>
      </c>
      <c r="N101" s="145">
        <v>15.08</v>
      </c>
      <c r="O101" s="141">
        <f t="shared" si="160"/>
        <v>19.199856</v>
      </c>
      <c r="P101" s="42">
        <f t="shared" si="161"/>
        <v>19.199856</v>
      </c>
      <c r="Q101" s="20">
        <f t="shared" si="155"/>
        <v>187.03229375999999</v>
      </c>
      <c r="R101" s="20">
        <f t="shared" si="156"/>
        <v>238.12951641523199</v>
      </c>
      <c r="S101" s="20">
        <f t="shared" si="157"/>
        <v>51.097222655232002</v>
      </c>
      <c r="T101" s="25"/>
      <c r="U101" s="134">
        <f t="shared" si="130"/>
        <v>0.27320000000000005</v>
      </c>
      <c r="W101" t="s">
        <v>217</v>
      </c>
    </row>
    <row r="102" spans="1:23">
      <c r="A102" s="139"/>
      <c r="B102" s="104"/>
      <c r="C102" s="105"/>
      <c r="D102" s="106" t="s">
        <v>14</v>
      </c>
      <c r="E102" s="107">
        <f>SUM(E91:E101)</f>
        <v>1258.8030630000001</v>
      </c>
      <c r="F102" s="108"/>
      <c r="G102" s="107">
        <f>SUM(G91:G101)</f>
        <v>15105.636755999998</v>
      </c>
      <c r="H102" s="53"/>
      <c r="I102" s="107">
        <f>SUM(I92:I94)</f>
        <v>0</v>
      </c>
      <c r="J102" s="107"/>
      <c r="K102" s="24"/>
      <c r="L102" s="26"/>
      <c r="M102" s="26"/>
      <c r="N102" s="26"/>
      <c r="O102" s="26"/>
      <c r="P102" s="26"/>
      <c r="Q102" s="107">
        <f>SUM(Q91:Q101)</f>
        <v>61703.493648119998</v>
      </c>
      <c r="R102" s="107">
        <f>SUM(R91:R101)</f>
        <v>78560.888112786371</v>
      </c>
      <c r="S102" s="107">
        <f>SUM(S91:S101)</f>
        <v>16857.394464666377</v>
      </c>
      <c r="T102" s="25" t="e">
        <f>#REF!*#REF!</f>
        <v>#REF!</v>
      </c>
      <c r="U102" s="134">
        <f t="shared" si="130"/>
        <v>0.27319999999999989</v>
      </c>
    </row>
    <row r="103" spans="1:23">
      <c r="A103" s="139"/>
      <c r="B103" s="83"/>
      <c r="C103" s="109"/>
      <c r="D103" s="110"/>
      <c r="E103" s="111"/>
      <c r="F103" s="112"/>
      <c r="G103" s="111"/>
      <c r="H103" s="55"/>
      <c r="I103" s="113"/>
      <c r="J103" s="111"/>
      <c r="K103" s="54"/>
      <c r="L103" s="56"/>
      <c r="M103" s="27"/>
      <c r="N103" s="56"/>
      <c r="O103" s="27"/>
      <c r="P103" s="56"/>
      <c r="Q103" s="113"/>
      <c r="R103" s="113"/>
      <c r="S103" s="113"/>
      <c r="T103" s="25">
        <f>O157*G157</f>
        <v>0</v>
      </c>
      <c r="U103" s="134"/>
    </row>
    <row r="104" spans="1:23">
      <c r="A104" s="139"/>
      <c r="B104" s="92"/>
      <c r="C104" s="92"/>
      <c r="D104" s="92" t="s">
        <v>147</v>
      </c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25">
        <f>O157*G157</f>
        <v>0</v>
      </c>
      <c r="U104" s="134"/>
    </row>
    <row r="105" spans="1:23">
      <c r="A105" s="139"/>
      <c r="B105" s="88">
        <v>70</v>
      </c>
      <c r="C105" s="13">
        <v>18</v>
      </c>
      <c r="D105" s="85" t="s">
        <v>108</v>
      </c>
      <c r="E105" s="89">
        <v>0.75</v>
      </c>
      <c r="F105" s="9">
        <f>References!$D$9</f>
        <v>1</v>
      </c>
      <c r="G105" s="86">
        <f t="shared" ref="G105" si="162">+E105*F105*12</f>
        <v>9</v>
      </c>
      <c r="H105" s="10"/>
      <c r="I105" s="87">
        <f t="shared" ref="I105" si="163">G105*H105</f>
        <v>0</v>
      </c>
      <c r="J105" s="10"/>
      <c r="K105" s="18">
        <f>References!$C$17*J105</f>
        <v>0</v>
      </c>
      <c r="L105" s="18">
        <f>K105/References!$F$18</f>
        <v>0</v>
      </c>
      <c r="M105" s="22">
        <f t="shared" ref="M105" si="164">L105/G105</f>
        <v>0</v>
      </c>
      <c r="N105" s="145">
        <v>23.17</v>
      </c>
      <c r="O105" s="141">
        <f t="shared" ref="O105" si="165">+N105*$E$7+N105</f>
        <v>29.500044000000003</v>
      </c>
      <c r="P105" s="42">
        <f t="shared" ref="P105" si="166">O105</f>
        <v>29.500044000000003</v>
      </c>
      <c r="Q105" s="20">
        <f t="shared" ref="Q105" si="167">N105*G105</f>
        <v>208.53000000000003</v>
      </c>
      <c r="R105" s="20">
        <f t="shared" ref="R105" si="168">P105*G105</f>
        <v>265.50039600000002</v>
      </c>
      <c r="S105" s="20">
        <f t="shared" ref="S105" si="169">R105-Q105</f>
        <v>56.970395999999994</v>
      </c>
      <c r="T105" s="25" t="e">
        <f>#REF!*#REF!</f>
        <v>#REF!</v>
      </c>
      <c r="U105" s="134">
        <f t="shared" si="130"/>
        <v>0.27319999999999994</v>
      </c>
      <c r="W105" t="s">
        <v>221</v>
      </c>
    </row>
    <row r="106" spans="1:23">
      <c r="A106" s="139"/>
      <c r="B106" s="88">
        <v>105</v>
      </c>
      <c r="C106" s="88">
        <v>26</v>
      </c>
      <c r="D106" s="91" t="s">
        <v>142</v>
      </c>
      <c r="E106" s="89">
        <v>2.8448509999999998</v>
      </c>
      <c r="F106" s="9">
        <f>References!$D$9</f>
        <v>1</v>
      </c>
      <c r="G106" s="86">
        <f>+E106*F106*12</f>
        <v>34.138211999999996</v>
      </c>
      <c r="H106" s="87"/>
      <c r="I106" s="87">
        <f t="shared" ref="I106:I107" si="170">G106*H106</f>
        <v>0</v>
      </c>
      <c r="J106" s="10"/>
      <c r="K106" s="18">
        <f>References!$C$17*J106</f>
        <v>0</v>
      </c>
      <c r="L106" s="18">
        <f>K106/References!$F$18</f>
        <v>0</v>
      </c>
      <c r="M106" s="22">
        <f t="shared" ref="M106:M107" si="171">L106/G106</f>
        <v>0</v>
      </c>
      <c r="N106" s="42">
        <v>3.69</v>
      </c>
      <c r="O106" s="141">
        <f>+N106*$E$7+N106</f>
        <v>4.6981079999999995</v>
      </c>
      <c r="P106" s="42">
        <f>O106</f>
        <v>4.6981079999999995</v>
      </c>
      <c r="Q106" s="20">
        <f>N106*G106</f>
        <v>125.97000227999999</v>
      </c>
      <c r="R106" s="20">
        <f>P106*G106</f>
        <v>160.38500690289595</v>
      </c>
      <c r="S106" s="20">
        <f>R106-Q106</f>
        <v>34.415004622895964</v>
      </c>
      <c r="T106" s="25">
        <f>O166*G166</f>
        <v>0</v>
      </c>
      <c r="U106" s="134">
        <f t="shared" si="130"/>
        <v>0.27319999999999972</v>
      </c>
    </row>
    <row r="107" spans="1:23">
      <c r="A107" s="139"/>
      <c r="B107" s="88">
        <v>105</v>
      </c>
      <c r="C107" s="88">
        <v>26</v>
      </c>
      <c r="D107" s="91" t="s">
        <v>150</v>
      </c>
      <c r="E107" s="89">
        <v>38.712249999999997</v>
      </c>
      <c r="F107" s="9">
        <f>References!$D$9</f>
        <v>1</v>
      </c>
      <c r="G107" s="86">
        <f t="shared" ref="G107" si="172">+E107*F107*12</f>
        <v>464.54699999999997</v>
      </c>
      <c r="H107" s="87"/>
      <c r="I107" s="87">
        <f t="shared" si="170"/>
        <v>0</v>
      </c>
      <c r="J107" s="10"/>
      <c r="K107" s="18">
        <f>References!$C$17*J107</f>
        <v>0</v>
      </c>
      <c r="L107" s="18">
        <f>K107/References!$F$18</f>
        <v>0</v>
      </c>
      <c r="M107" s="22">
        <f t="shared" si="171"/>
        <v>0</v>
      </c>
      <c r="N107" s="145">
        <v>38.32</v>
      </c>
      <c r="O107" s="141">
        <f t="shared" ref="O107" si="173">+N107*$E$7+N107</f>
        <v>48.789023999999998</v>
      </c>
      <c r="P107" s="42">
        <f t="shared" ref="P107" si="174">O107</f>
        <v>48.789023999999998</v>
      </c>
      <c r="Q107" s="20">
        <f t="shared" ref="Q107" si="175">N107*G107</f>
        <v>17801.441039999998</v>
      </c>
      <c r="R107" s="20">
        <f t="shared" ref="R107" si="176">P107*G107</f>
        <v>22664.794732127997</v>
      </c>
      <c r="S107" s="20">
        <f t="shared" ref="S107" si="177">R107-Q107</f>
        <v>4863.3536921279992</v>
      </c>
      <c r="T107" s="25">
        <f>O120*G120</f>
        <v>37445.524991999999</v>
      </c>
      <c r="U107" s="134">
        <f t="shared" si="130"/>
        <v>0.2732</v>
      </c>
    </row>
    <row r="108" spans="1:23">
      <c r="A108" s="139"/>
      <c r="B108" s="88">
        <v>105</v>
      </c>
      <c r="C108" s="88">
        <v>26</v>
      </c>
      <c r="D108" s="91" t="s">
        <v>151</v>
      </c>
      <c r="E108" s="89">
        <v>8.6666699999999999</v>
      </c>
      <c r="F108" s="9">
        <f>References!$D$9</f>
        <v>1</v>
      </c>
      <c r="G108" s="86">
        <f>+E108*F108*12</f>
        <v>104.00004</v>
      </c>
      <c r="H108" s="87"/>
      <c r="I108" s="87">
        <f>G108*H108</f>
        <v>0</v>
      </c>
      <c r="J108" s="10"/>
      <c r="K108" s="18">
        <f>References!$C$17*J108</f>
        <v>0</v>
      </c>
      <c r="L108" s="18">
        <f>K108/References!$F$18</f>
        <v>0</v>
      </c>
      <c r="M108" s="22">
        <f>L108/G108</f>
        <v>0</v>
      </c>
      <c r="N108" s="145">
        <v>21.02</v>
      </c>
      <c r="O108" s="141">
        <f>+N108*$E$7+N108</f>
        <v>26.762664000000001</v>
      </c>
      <c r="P108" s="42">
        <f>O108</f>
        <v>26.762664000000001</v>
      </c>
      <c r="Q108" s="20">
        <f>N108*G108</f>
        <v>2186.0808407999998</v>
      </c>
      <c r="R108" s="20">
        <f>P108*G108</f>
        <v>2783.31812650656</v>
      </c>
      <c r="S108" s="20">
        <f>R108-Q108</f>
        <v>597.23728570656021</v>
      </c>
      <c r="T108" s="25">
        <f>O169*G169</f>
        <v>0</v>
      </c>
      <c r="U108" s="134">
        <f t="shared" si="130"/>
        <v>0.27320000000000011</v>
      </c>
    </row>
    <row r="109" spans="1:23">
      <c r="A109" s="139"/>
      <c r="B109" s="88">
        <v>100</v>
      </c>
      <c r="C109" s="88">
        <v>25</v>
      </c>
      <c r="D109" s="91" t="s">
        <v>145</v>
      </c>
      <c r="E109" s="89">
        <v>0.58681499999999998</v>
      </c>
      <c r="F109" s="9">
        <v>1</v>
      </c>
      <c r="G109" s="86">
        <f t="shared" ref="G109" si="178">+E109*F109*12</f>
        <v>7.0417799999999993</v>
      </c>
      <c r="H109" s="87"/>
      <c r="I109" s="87"/>
      <c r="J109" s="10"/>
      <c r="K109" s="18"/>
      <c r="L109" s="18"/>
      <c r="M109" s="22"/>
      <c r="N109" s="145">
        <v>15.17</v>
      </c>
      <c r="O109" s="141">
        <f>+N109*$E$7+N109</f>
        <v>19.314444000000002</v>
      </c>
      <c r="P109" s="42">
        <f>O109</f>
        <v>19.314444000000002</v>
      </c>
      <c r="Q109" s="20">
        <f t="shared" ref="Q109" si="179">N109*G109</f>
        <v>106.82380259999999</v>
      </c>
      <c r="R109" s="20">
        <f t="shared" ref="R109" si="180">P109*G109</f>
        <v>136.00806547031999</v>
      </c>
      <c r="S109" s="20">
        <f t="shared" ref="S109" si="181">R109-Q109</f>
        <v>29.184262870319998</v>
      </c>
      <c r="T109" s="25"/>
      <c r="U109" s="134">
        <f t="shared" si="130"/>
        <v>0.2732</v>
      </c>
    </row>
    <row r="110" spans="1:23">
      <c r="A110" s="139"/>
      <c r="B110" s="88">
        <v>105</v>
      </c>
      <c r="C110" s="88">
        <v>26</v>
      </c>
      <c r="D110" s="91" t="s">
        <v>141</v>
      </c>
      <c r="E110" s="89">
        <f>1.447689+194.7011</f>
        <v>196.14878899999999</v>
      </c>
      <c r="F110" s="9">
        <v>1</v>
      </c>
      <c r="G110" s="86">
        <f>+E110*F110*12</f>
        <v>2353.785468</v>
      </c>
      <c r="H110" s="87"/>
      <c r="I110" s="87"/>
      <c r="J110" s="10"/>
      <c r="K110" s="18"/>
      <c r="L110" s="18"/>
      <c r="M110" s="22"/>
      <c r="N110" s="145">
        <v>8.2200000000000006</v>
      </c>
      <c r="O110" s="141">
        <v>10.54</v>
      </c>
      <c r="P110" s="42">
        <f>O110</f>
        <v>10.54</v>
      </c>
      <c r="Q110" s="20">
        <f>N110*G110</f>
        <v>19348.116546960002</v>
      </c>
      <c r="R110" s="20">
        <f>P110*G110</f>
        <v>24808.898832719999</v>
      </c>
      <c r="S110" s="20">
        <f>R110-Q110</f>
        <v>5460.7822857599967</v>
      </c>
      <c r="T110" s="25"/>
      <c r="U110" s="134">
        <f t="shared" si="130"/>
        <v>0.28223844282238425</v>
      </c>
      <c r="W110" t="s">
        <v>218</v>
      </c>
    </row>
    <row r="111" spans="1:23">
      <c r="A111" s="139"/>
      <c r="B111" s="88">
        <v>105</v>
      </c>
      <c r="C111" s="88">
        <v>27</v>
      </c>
      <c r="D111" s="91" t="s">
        <v>152</v>
      </c>
      <c r="E111" s="89"/>
      <c r="F111" s="9">
        <v>1</v>
      </c>
      <c r="G111" s="86">
        <f t="shared" ref="G111" si="182">+E111*F111*12</f>
        <v>0</v>
      </c>
      <c r="H111" s="87"/>
      <c r="I111" s="87"/>
      <c r="J111" s="10"/>
      <c r="K111" s="18"/>
      <c r="L111" s="18"/>
      <c r="M111" s="22"/>
      <c r="N111" s="145">
        <v>3.98</v>
      </c>
      <c r="O111" s="141">
        <f>+N111*$E$7+N111</f>
        <v>5.0673360000000001</v>
      </c>
      <c r="P111" s="42">
        <f>O111</f>
        <v>5.0673360000000001</v>
      </c>
      <c r="Q111" s="20">
        <f t="shared" ref="Q111" si="183">N111*G111</f>
        <v>0</v>
      </c>
      <c r="R111" s="20">
        <f t="shared" ref="R111" si="184">P111*G111</f>
        <v>0</v>
      </c>
      <c r="S111" s="20">
        <f t="shared" ref="S111" si="185">R111-Q111</f>
        <v>0</v>
      </c>
      <c r="T111" s="25"/>
      <c r="U111" s="134" t="e">
        <f t="shared" si="130"/>
        <v>#DIV/0!</v>
      </c>
    </row>
    <row r="112" spans="1:23">
      <c r="A112" s="139"/>
      <c r="B112" s="104"/>
      <c r="C112" s="105"/>
      <c r="D112" s="106" t="s">
        <v>14</v>
      </c>
      <c r="E112" s="107">
        <f>SUM(E105:E111)</f>
        <v>247.70937499999999</v>
      </c>
      <c r="F112" s="108"/>
      <c r="G112" s="107">
        <f>SUM(G105:G111)</f>
        <v>2972.5124999999998</v>
      </c>
      <c r="H112" s="53"/>
      <c r="I112" s="107">
        <f>SUM(I106:I107)</f>
        <v>0</v>
      </c>
      <c r="J112" s="107"/>
      <c r="K112" s="24"/>
      <c r="L112" s="26"/>
      <c r="M112" s="26"/>
      <c r="N112" s="26"/>
      <c r="O112" s="26"/>
      <c r="P112" s="26"/>
      <c r="Q112" s="107">
        <f>SUM(Q105:Q111)</f>
        <v>39776.962232639999</v>
      </c>
      <c r="R112" s="107">
        <f>SUM(R105:R111)</f>
        <v>50818.905159727772</v>
      </c>
      <c r="S112" s="107">
        <f>SUM(S105:S111)</f>
        <v>11041.942927087772</v>
      </c>
      <c r="T112" s="25">
        <f>O170*G170</f>
        <v>0</v>
      </c>
      <c r="U112" s="134">
        <f t="shared" si="130"/>
        <v>0.27759643540669943</v>
      </c>
    </row>
    <row r="113" spans="1:24">
      <c r="A113" s="139"/>
      <c r="B113" s="146"/>
      <c r="C113" s="147"/>
      <c r="D113" s="148"/>
      <c r="E113" s="149"/>
      <c r="F113" s="150"/>
      <c r="G113" s="149"/>
      <c r="H113" s="40"/>
      <c r="I113" s="149"/>
      <c r="J113" s="149"/>
      <c r="K113" s="54"/>
      <c r="L113" s="27"/>
      <c r="M113" s="27"/>
      <c r="N113" s="27"/>
      <c r="O113" s="27"/>
      <c r="P113" s="27"/>
      <c r="Q113" s="149"/>
      <c r="R113" s="149"/>
      <c r="S113" s="149"/>
      <c r="T113" s="25"/>
      <c r="U113" s="134"/>
    </row>
    <row r="114" spans="1:24">
      <c r="A114" s="139"/>
      <c r="B114" s="83"/>
      <c r="C114" s="90"/>
      <c r="D114" s="117" t="s">
        <v>11</v>
      </c>
      <c r="E114" s="113"/>
      <c r="F114" s="39"/>
      <c r="G114" s="113"/>
      <c r="H114" s="40"/>
      <c r="I114" s="113"/>
      <c r="J114" s="113"/>
      <c r="K114" s="54"/>
      <c r="L114" s="27"/>
      <c r="M114" s="27"/>
      <c r="N114" s="27"/>
      <c r="O114" s="27"/>
      <c r="P114" s="27"/>
      <c r="Q114" s="113"/>
      <c r="R114" s="113"/>
      <c r="S114" s="113"/>
      <c r="T114" s="25">
        <f>O162*G162</f>
        <v>0</v>
      </c>
      <c r="U114" s="134"/>
    </row>
    <row r="115" spans="1:24">
      <c r="A115" s="139"/>
      <c r="B115" s="13">
        <v>52</v>
      </c>
      <c r="C115" s="13">
        <v>16</v>
      </c>
      <c r="D115" s="85" t="s">
        <v>127</v>
      </c>
      <c r="E115">
        <v>1</v>
      </c>
      <c r="F115" s="9">
        <f>References!$D$9</f>
        <v>1</v>
      </c>
      <c r="G115" s="86">
        <f t="shared" ref="G115:G118" si="186">+E115*F115*12</f>
        <v>12</v>
      </c>
      <c r="H115" s="10"/>
      <c r="I115" s="87">
        <f t="shared" ref="I115:I118" si="187">G115*H115</f>
        <v>0</v>
      </c>
      <c r="J115" s="10"/>
      <c r="K115" s="18">
        <f>References!$C$17*J115</f>
        <v>0</v>
      </c>
      <c r="L115" s="18">
        <f>K115/References!$F$18</f>
        <v>0</v>
      </c>
      <c r="M115" s="22">
        <f t="shared" ref="M115:M118" si="188">L115/G115</f>
        <v>0</v>
      </c>
      <c r="N115" s="145">
        <v>34.76</v>
      </c>
      <c r="O115" s="141">
        <f t="shared" ref="O115:O118" si="189">+N115*$E$7+N115</f>
        <v>44.256431999999997</v>
      </c>
      <c r="P115" s="42">
        <f t="shared" ref="P115:P118" si="190">O115</f>
        <v>44.256431999999997</v>
      </c>
      <c r="Q115" s="20">
        <f t="shared" ref="Q115:Q118" si="191">N115*G115</f>
        <v>417.12</v>
      </c>
      <c r="R115" s="20">
        <f t="shared" ref="R115:R118" si="192">P115*G115</f>
        <v>531.07718399999999</v>
      </c>
      <c r="S115" s="20">
        <f t="shared" ref="S115:S118" si="193">R115-Q115</f>
        <v>113.95718399999998</v>
      </c>
      <c r="T115" s="25"/>
      <c r="U115" s="134">
        <f t="shared" si="130"/>
        <v>0.27319999999999994</v>
      </c>
      <c r="W115" t="s">
        <v>216</v>
      </c>
    </row>
    <row r="116" spans="1:24">
      <c r="A116" s="139"/>
      <c r="B116" s="88">
        <v>55</v>
      </c>
      <c r="C116" s="13">
        <v>17</v>
      </c>
      <c r="D116" s="85" t="s">
        <v>133</v>
      </c>
      <c r="E116" s="89">
        <v>98.188500000000005</v>
      </c>
      <c r="F116" s="9">
        <f>References!$D$9</f>
        <v>1</v>
      </c>
      <c r="G116" s="86">
        <f t="shared" si="186"/>
        <v>1178.2620000000002</v>
      </c>
      <c r="H116" s="10"/>
      <c r="I116" s="87">
        <f t="shared" si="187"/>
        <v>0</v>
      </c>
      <c r="J116" s="10"/>
      <c r="K116" s="18">
        <f>References!$C$17*J116</f>
        <v>0</v>
      </c>
      <c r="L116" s="18">
        <f>K116/References!$F$18</f>
        <v>0</v>
      </c>
      <c r="M116" s="22">
        <f t="shared" si="188"/>
        <v>0</v>
      </c>
      <c r="N116" s="145">
        <v>3.86</v>
      </c>
      <c r="O116" s="141">
        <f t="shared" si="189"/>
        <v>4.9145519999999996</v>
      </c>
      <c r="P116" s="42">
        <f t="shared" si="190"/>
        <v>4.9145519999999996</v>
      </c>
      <c r="Q116" s="20">
        <f t="shared" si="191"/>
        <v>4548.0913200000005</v>
      </c>
      <c r="R116" s="20">
        <f t="shared" si="192"/>
        <v>5790.6298686240007</v>
      </c>
      <c r="S116" s="20">
        <f t="shared" si="193"/>
        <v>1242.5385486240002</v>
      </c>
      <c r="T116" s="25" t="e">
        <f>#REF!*#REF!</f>
        <v>#REF!</v>
      </c>
      <c r="U116" s="134">
        <f t="shared" si="130"/>
        <v>0.2732</v>
      </c>
      <c r="W116" t="s">
        <v>216</v>
      </c>
    </row>
    <row r="117" spans="1:24">
      <c r="A117" s="139"/>
      <c r="B117" s="88">
        <v>70</v>
      </c>
      <c r="C117" s="13">
        <v>18</v>
      </c>
      <c r="D117" s="85" t="s">
        <v>105</v>
      </c>
      <c r="E117" s="89">
        <v>15</v>
      </c>
      <c r="F117" s="9">
        <f>References!$D$9</f>
        <v>1</v>
      </c>
      <c r="G117" s="86">
        <f t="shared" si="186"/>
        <v>180</v>
      </c>
      <c r="H117" s="10"/>
      <c r="I117" s="87">
        <f t="shared" si="187"/>
        <v>0</v>
      </c>
      <c r="J117" s="10"/>
      <c r="K117" s="18">
        <f>References!$C$17*J117</f>
        <v>0</v>
      </c>
      <c r="L117" s="18">
        <f>K117/References!$F$18</f>
        <v>0</v>
      </c>
      <c r="M117" s="22">
        <f t="shared" si="188"/>
        <v>0</v>
      </c>
      <c r="N117" s="145">
        <v>23.17</v>
      </c>
      <c r="O117" s="141">
        <f t="shared" si="189"/>
        <v>29.500044000000003</v>
      </c>
      <c r="P117" s="42">
        <f t="shared" si="190"/>
        <v>29.500044000000003</v>
      </c>
      <c r="Q117" s="20">
        <f t="shared" si="191"/>
        <v>4170.6000000000004</v>
      </c>
      <c r="R117" s="20">
        <f t="shared" si="192"/>
        <v>5310.00792</v>
      </c>
      <c r="S117" s="20">
        <f t="shared" si="193"/>
        <v>1139.4079199999996</v>
      </c>
      <c r="T117" s="25" t="e">
        <f>#REF!*#REF!</f>
        <v>#REF!</v>
      </c>
      <c r="U117" s="134">
        <f t="shared" si="130"/>
        <v>0.27319999999999989</v>
      </c>
      <c r="W117" t="s">
        <v>216</v>
      </c>
    </row>
    <row r="118" spans="1:24">
      <c r="A118" s="139"/>
      <c r="B118" s="88">
        <v>160</v>
      </c>
      <c r="C118" s="88">
        <v>29</v>
      </c>
      <c r="D118" s="91" t="s">
        <v>115</v>
      </c>
      <c r="E118" s="89">
        <f>14+2.485</f>
        <v>16.484999999999999</v>
      </c>
      <c r="F118" s="9">
        <f>References!$D$9</f>
        <v>1</v>
      </c>
      <c r="G118" s="86">
        <f t="shared" si="186"/>
        <v>197.82</v>
      </c>
      <c r="H118" s="10"/>
      <c r="I118" s="87">
        <f t="shared" si="187"/>
        <v>0</v>
      </c>
      <c r="J118" s="10"/>
      <c r="K118" s="18">
        <f>References!$C$17*J118</f>
        <v>0</v>
      </c>
      <c r="L118" s="18">
        <f>K118/References!$F$18</f>
        <v>0</v>
      </c>
      <c r="M118" s="22">
        <f t="shared" si="188"/>
        <v>0</v>
      </c>
      <c r="N118" s="145">
        <v>86.07</v>
      </c>
      <c r="O118" s="141">
        <f t="shared" si="189"/>
        <v>109.584324</v>
      </c>
      <c r="P118" s="42">
        <f t="shared" si="190"/>
        <v>109.584324</v>
      </c>
      <c r="Q118" s="20">
        <f t="shared" si="191"/>
        <v>17026.367399999999</v>
      </c>
      <c r="R118" s="20">
        <f t="shared" si="192"/>
        <v>21677.97097368</v>
      </c>
      <c r="S118" s="20">
        <f t="shared" si="193"/>
        <v>4651.6035736800004</v>
      </c>
      <c r="T118" s="25"/>
      <c r="U118" s="134">
        <f t="shared" si="130"/>
        <v>0.27320000000000005</v>
      </c>
      <c r="W118" t="s">
        <v>216</v>
      </c>
      <c r="X118" t="s">
        <v>221</v>
      </c>
    </row>
    <row r="119" spans="1:24">
      <c r="A119" s="139"/>
      <c r="B119" s="88" t="s">
        <v>186</v>
      </c>
      <c r="C119" s="13" t="s">
        <v>187</v>
      </c>
      <c r="D119" s="85" t="s">
        <v>169</v>
      </c>
      <c r="E119" s="89">
        <v>52</v>
      </c>
      <c r="F119" s="9">
        <f>References!$D$9</f>
        <v>1</v>
      </c>
      <c r="G119" s="86">
        <f t="shared" ref="G119" si="194">+E119*F119*12</f>
        <v>624</v>
      </c>
      <c r="H119" s="10"/>
      <c r="I119" s="87">
        <f t="shared" ref="I119" si="195">G119*H119</f>
        <v>0</v>
      </c>
      <c r="J119" s="10"/>
      <c r="K119" s="18">
        <f>References!$C$17*J119</f>
        <v>0</v>
      </c>
      <c r="L119" s="18">
        <f>K119/References!$F$18</f>
        <v>0</v>
      </c>
      <c r="M119" s="22">
        <f t="shared" ref="M119" si="196">L119/G119</f>
        <v>0</v>
      </c>
      <c r="N119" s="145">
        <v>15.01</v>
      </c>
      <c r="O119" s="141">
        <f t="shared" ref="O119:O120" si="197">+N119*$E$7+N119</f>
        <v>19.110731999999999</v>
      </c>
      <c r="P119" s="42">
        <f t="shared" ref="P119" si="198">O119</f>
        <v>19.110731999999999</v>
      </c>
      <c r="Q119" s="20">
        <f t="shared" ref="Q119" si="199">N119*G119</f>
        <v>9366.24</v>
      </c>
      <c r="R119" s="20">
        <f t="shared" ref="R119" si="200">P119*G119</f>
        <v>11925.096767999999</v>
      </c>
      <c r="S119" s="20">
        <f t="shared" ref="S119" si="201">R119-Q119</f>
        <v>2558.8567679999996</v>
      </c>
      <c r="T119" s="25">
        <f t="shared" ref="T119" si="202">O163*G163</f>
        <v>0</v>
      </c>
      <c r="U119" s="134">
        <f t="shared" si="130"/>
        <v>0.27319999999999994</v>
      </c>
    </row>
    <row r="120" spans="1:24">
      <c r="A120" s="139"/>
      <c r="B120" s="88">
        <v>205</v>
      </c>
      <c r="C120" s="88">
        <v>31</v>
      </c>
      <c r="D120" s="91" t="s">
        <v>117</v>
      </c>
      <c r="E120" s="89">
        <v>296</v>
      </c>
      <c r="F120" s="9">
        <f>References!$D$9</f>
        <v>1</v>
      </c>
      <c r="G120" s="86">
        <f>+E120*F120*12</f>
        <v>3552</v>
      </c>
      <c r="H120" s="10"/>
      <c r="I120" s="87">
        <f>G120*H120</f>
        <v>0</v>
      </c>
      <c r="J120" s="10"/>
      <c r="K120" s="18">
        <f>References!$C$17*J120</f>
        <v>0</v>
      </c>
      <c r="L120" s="18">
        <f>K120/References!$F$18</f>
        <v>0</v>
      </c>
      <c r="M120" s="22">
        <f>L120/G120</f>
        <v>0</v>
      </c>
      <c r="N120" s="145">
        <v>8.2799999999999994</v>
      </c>
      <c r="O120" s="141">
        <f t="shared" si="197"/>
        <v>10.542095999999999</v>
      </c>
      <c r="P120" s="42">
        <f>O120</f>
        <v>10.542095999999999</v>
      </c>
      <c r="Q120" s="20">
        <f>N120*G120</f>
        <v>29410.559999999998</v>
      </c>
      <c r="R120" s="20">
        <f>P120*G120</f>
        <v>37445.524991999999</v>
      </c>
      <c r="S120" s="20">
        <f>R120-Q120</f>
        <v>8034.9649920000011</v>
      </c>
      <c r="T120" s="25"/>
      <c r="U120" s="134">
        <f t="shared" si="130"/>
        <v>0.27320000000000005</v>
      </c>
    </row>
    <row r="121" spans="1:24">
      <c r="A121" s="139"/>
      <c r="B121" s="88">
        <v>240</v>
      </c>
      <c r="C121" s="88">
        <v>35</v>
      </c>
      <c r="D121" s="91" t="s">
        <v>170</v>
      </c>
      <c r="E121" s="89">
        <v>25</v>
      </c>
      <c r="F121" s="9">
        <f>References!$D$9</f>
        <v>1</v>
      </c>
      <c r="G121" s="86">
        <f t="shared" ref="G121" si="203">+E121*F121*12</f>
        <v>300</v>
      </c>
      <c r="H121" s="10"/>
      <c r="I121" s="87">
        <f t="shared" ref="I121" si="204">G121*H121</f>
        <v>0</v>
      </c>
      <c r="J121" s="10"/>
      <c r="K121" s="18">
        <f>References!$C$17*J121</f>
        <v>0</v>
      </c>
      <c r="L121" s="18">
        <f>K121/References!$F$18</f>
        <v>0</v>
      </c>
      <c r="M121" s="22">
        <f t="shared" ref="M121" si="205">L121/G121</f>
        <v>0</v>
      </c>
      <c r="N121" s="145">
        <v>5.52</v>
      </c>
      <c r="O121" s="141">
        <v>7.4</v>
      </c>
      <c r="P121" s="42">
        <f t="shared" ref="P121" si="206">O121</f>
        <v>7.4</v>
      </c>
      <c r="Q121" s="20">
        <f t="shared" ref="Q121" si="207">N121*G121</f>
        <v>1655.9999999999998</v>
      </c>
      <c r="R121" s="20">
        <f t="shared" ref="R121" si="208">P121*G121</f>
        <v>2220</v>
      </c>
      <c r="S121" s="20">
        <f t="shared" ref="S121" si="209">R121-Q121</f>
        <v>564.00000000000023</v>
      </c>
      <c r="T121" s="25" t="e">
        <f>#REF!*#REF!</f>
        <v>#REF!</v>
      </c>
      <c r="U121" s="134">
        <f t="shared" si="130"/>
        <v>0.34057971014492772</v>
      </c>
    </row>
    <row r="122" spans="1:24">
      <c r="A122" s="139"/>
      <c r="B122" s="88">
        <v>245</v>
      </c>
      <c r="C122" s="88">
        <v>36</v>
      </c>
      <c r="D122" s="91" t="s">
        <v>170</v>
      </c>
      <c r="E122" s="89"/>
      <c r="F122" s="9">
        <f>References!$D$9</f>
        <v>1</v>
      </c>
      <c r="G122" s="86">
        <f t="shared" ref="G122:G123" si="210">+E122*F122*12</f>
        <v>0</v>
      </c>
      <c r="H122" s="10"/>
      <c r="I122" s="87">
        <f t="shared" ref="I122" si="211">G122*H122</f>
        <v>0</v>
      </c>
      <c r="J122" s="10"/>
      <c r="K122" s="18">
        <f>References!$C$17*J122</f>
        <v>0</v>
      </c>
      <c r="L122" s="18">
        <f>K122/References!$F$18</f>
        <v>0</v>
      </c>
      <c r="M122" s="22" t="e">
        <f t="shared" ref="M122" si="212">L122/G122</f>
        <v>#DIV/0!</v>
      </c>
      <c r="N122" s="145">
        <v>5.81</v>
      </c>
      <c r="O122" s="141">
        <f t="shared" ref="O122" si="213">+N122*$E$7+N122</f>
        <v>7.3972919999999993</v>
      </c>
      <c r="P122" s="42">
        <f t="shared" ref="P122" si="214">O122</f>
        <v>7.3972919999999993</v>
      </c>
      <c r="Q122" s="20">
        <f t="shared" ref="Q122" si="215">N122*G122</f>
        <v>0</v>
      </c>
      <c r="R122" s="20">
        <f t="shared" ref="R122" si="216">P122*G122</f>
        <v>0</v>
      </c>
      <c r="S122" s="20">
        <f t="shared" ref="S122" si="217">R122-Q122</f>
        <v>0</v>
      </c>
      <c r="T122" s="25"/>
      <c r="U122" s="134" t="e">
        <f t="shared" si="130"/>
        <v>#DIV/0!</v>
      </c>
    </row>
    <row r="123" spans="1:24">
      <c r="A123" s="139"/>
      <c r="B123" s="88">
        <v>255</v>
      </c>
      <c r="C123" s="88">
        <v>37</v>
      </c>
      <c r="D123" s="91" t="s">
        <v>170</v>
      </c>
      <c r="E123" s="89">
        <v>2.75</v>
      </c>
      <c r="F123" s="9">
        <v>1</v>
      </c>
      <c r="G123" s="86">
        <f t="shared" si="210"/>
        <v>33</v>
      </c>
      <c r="H123" s="10"/>
      <c r="I123" s="87"/>
      <c r="J123" s="10"/>
      <c r="K123" s="18"/>
      <c r="L123" s="18"/>
      <c r="M123" s="22"/>
      <c r="N123" s="145">
        <v>16.55</v>
      </c>
      <c r="O123" s="141">
        <f t="shared" ref="O123" si="218">+N123*$E$7+N123</f>
        <v>21.071460000000002</v>
      </c>
      <c r="P123" s="42">
        <f t="shared" ref="P123" si="219">O123</f>
        <v>21.071460000000002</v>
      </c>
      <c r="Q123" s="20">
        <f t="shared" ref="Q123" si="220">N123*G123</f>
        <v>546.15</v>
      </c>
      <c r="R123" s="20">
        <f t="shared" ref="R123" si="221">P123*G123</f>
        <v>695.35818000000006</v>
      </c>
      <c r="S123" s="20">
        <f t="shared" ref="S123" si="222">R123-Q123</f>
        <v>149.20818000000008</v>
      </c>
      <c r="T123" s="25"/>
      <c r="U123" s="134">
        <f t="shared" si="130"/>
        <v>0.27320000000000016</v>
      </c>
    </row>
    <row r="124" spans="1:24">
      <c r="A124" s="139"/>
      <c r="B124" s="104"/>
      <c r="C124" s="105"/>
      <c r="D124" s="106" t="s">
        <v>14</v>
      </c>
      <c r="E124" s="107">
        <f>SUM(E115:E123)</f>
        <v>506.42349999999999</v>
      </c>
      <c r="F124" s="108"/>
      <c r="G124" s="107">
        <f>SUM(G115:G123)</f>
        <v>6077.0820000000003</v>
      </c>
      <c r="H124" s="53"/>
      <c r="I124" s="107" t="e">
        <f>SUM(#REF!)</f>
        <v>#REF!</v>
      </c>
      <c r="J124" s="107"/>
      <c r="K124" s="24"/>
      <c r="L124" s="26"/>
      <c r="M124" s="26"/>
      <c r="N124" s="26"/>
      <c r="O124" s="26"/>
      <c r="P124" s="26"/>
      <c r="Q124" s="107">
        <f>SUM(Q115:Q123)</f>
        <v>67141.128719999993</v>
      </c>
      <c r="R124" s="107">
        <f>SUM(R115:R123)</f>
        <v>85595.665886304007</v>
      </c>
      <c r="S124" s="107">
        <f>SUM(S115:S123)</f>
        <v>18454.537166304002</v>
      </c>
      <c r="T124" s="25">
        <f>O166*G166</f>
        <v>0</v>
      </c>
      <c r="U124" s="134">
        <f t="shared" si="130"/>
        <v>0.27486188448313598</v>
      </c>
    </row>
    <row r="125" spans="1:24">
      <c r="A125" s="139"/>
      <c r="B125" s="83"/>
      <c r="C125" s="90"/>
      <c r="D125" s="100"/>
      <c r="E125" s="113"/>
      <c r="F125" s="39"/>
      <c r="G125" s="113"/>
      <c r="H125" s="40"/>
      <c r="I125" s="113"/>
      <c r="J125" s="113"/>
      <c r="K125" s="54"/>
      <c r="L125" s="27"/>
      <c r="M125" s="27"/>
      <c r="N125" s="27"/>
      <c r="O125" s="27"/>
      <c r="P125" s="27"/>
      <c r="Q125" s="113"/>
      <c r="R125" s="113"/>
      <c r="S125" s="113"/>
      <c r="T125" s="25">
        <f>O120*G120</f>
        <v>37445.524991999999</v>
      </c>
      <c r="U125" s="134"/>
    </row>
    <row r="126" spans="1:24">
      <c r="A126" s="139"/>
      <c r="B126" s="83"/>
      <c r="C126" s="90"/>
      <c r="D126" s="117" t="s">
        <v>74</v>
      </c>
      <c r="E126" s="113"/>
      <c r="F126" s="39"/>
      <c r="G126" s="113"/>
      <c r="H126" s="40"/>
      <c r="I126" s="113"/>
      <c r="J126" s="113"/>
      <c r="K126" s="54"/>
      <c r="L126" s="27"/>
      <c r="M126" s="27"/>
      <c r="N126" s="27"/>
      <c r="O126" s="27"/>
      <c r="P126" s="27"/>
      <c r="Q126" s="113"/>
      <c r="R126" s="113"/>
      <c r="S126" s="113"/>
      <c r="T126" s="25" t="e">
        <f>#REF!*#REF!</f>
        <v>#REF!</v>
      </c>
      <c r="U126" s="134"/>
    </row>
    <row r="127" spans="1:24">
      <c r="A127" s="139"/>
      <c r="B127" s="88">
        <v>260</v>
      </c>
      <c r="C127" s="88">
        <v>38</v>
      </c>
      <c r="D127" s="91" t="s">
        <v>208</v>
      </c>
      <c r="E127" s="89">
        <v>4.9166667000000004</v>
      </c>
      <c r="F127" s="9">
        <f>References!$D$9</f>
        <v>1</v>
      </c>
      <c r="G127" s="86">
        <f t="shared" ref="G127:G128" si="223">+E127*F127*12</f>
        <v>59.000000400000005</v>
      </c>
      <c r="H127" s="10"/>
      <c r="I127" s="10">
        <f t="shared" ref="I127" si="224">G127*H127/12</f>
        <v>0</v>
      </c>
      <c r="J127" s="10"/>
      <c r="K127" s="18">
        <f>References!$C$17*J127</f>
        <v>0</v>
      </c>
      <c r="L127" s="18">
        <f>K127/References!$F$18</f>
        <v>0</v>
      </c>
      <c r="M127" s="22">
        <f t="shared" ref="M127" si="225">L127/G127</f>
        <v>0</v>
      </c>
      <c r="N127" s="145">
        <v>16.55</v>
      </c>
      <c r="O127" s="141">
        <f>+N127*$E$7+N127</f>
        <v>21.071460000000002</v>
      </c>
      <c r="P127" s="42">
        <f t="shared" ref="P127" si="226">O127</f>
        <v>21.071460000000002</v>
      </c>
      <c r="Q127" s="20">
        <f t="shared" ref="Q127" si="227">N127*G127</f>
        <v>976.45000662000007</v>
      </c>
      <c r="R127" s="20">
        <f t="shared" ref="R127" si="228">P127*G127</f>
        <v>1243.2161484285841</v>
      </c>
      <c r="S127" s="20">
        <f t="shared" ref="S127" si="229">R127-Q127</f>
        <v>266.76614180858405</v>
      </c>
      <c r="T127" s="25">
        <f>O170*G170</f>
        <v>0</v>
      </c>
      <c r="U127" s="134">
        <f t="shared" si="130"/>
        <v>0.27320000000000005</v>
      </c>
    </row>
    <row r="128" spans="1:24">
      <c r="A128" s="139"/>
      <c r="B128" s="13">
        <v>275</v>
      </c>
      <c r="C128" s="13">
        <v>39</v>
      </c>
      <c r="D128" t="s">
        <v>209</v>
      </c>
      <c r="F128" s="9">
        <v>1</v>
      </c>
      <c r="G128" s="86">
        <f t="shared" si="223"/>
        <v>0</v>
      </c>
      <c r="N128" s="145">
        <v>16.55</v>
      </c>
      <c r="O128" s="141">
        <f>+N128*$E$7+N128</f>
        <v>21.071460000000002</v>
      </c>
      <c r="P128" s="42">
        <f t="shared" ref="P128" si="230">O128</f>
        <v>21.071460000000002</v>
      </c>
      <c r="Q128" s="20">
        <f t="shared" ref="Q128" si="231">N128*G128</f>
        <v>0</v>
      </c>
      <c r="R128" s="20">
        <f t="shared" ref="R128" si="232">P128*G128</f>
        <v>0</v>
      </c>
      <c r="S128" s="20">
        <f t="shared" ref="S128" si="233">R128-Q128</f>
        <v>0</v>
      </c>
      <c r="U128" s="134" t="e">
        <f t="shared" si="130"/>
        <v>#DIV/0!</v>
      </c>
    </row>
    <row r="129" spans="1:21">
      <c r="A129" s="139"/>
      <c r="B129" s="122" t="s">
        <v>225</v>
      </c>
      <c r="C129" s="122" t="s">
        <v>224</v>
      </c>
      <c r="D129" s="123" t="s">
        <v>120</v>
      </c>
      <c r="E129" s="124">
        <v>2181</v>
      </c>
      <c r="F129" s="11">
        <f>References!$D$9</f>
        <v>1</v>
      </c>
      <c r="G129" s="125">
        <f t="shared" ref="G129" si="234">+E129*F129*12</f>
        <v>26172</v>
      </c>
      <c r="H129" s="12"/>
      <c r="I129" s="12">
        <f t="shared" ref="I129" si="235">G129*H129/12</f>
        <v>0</v>
      </c>
      <c r="J129" s="12"/>
      <c r="K129" s="19">
        <f>References!$C$17*J129</f>
        <v>0</v>
      </c>
      <c r="L129" s="19">
        <f>K129/References!$F$18</f>
        <v>0</v>
      </c>
      <c r="M129" s="23">
        <f>L129/G129</f>
        <v>0</v>
      </c>
      <c r="N129" s="151">
        <v>2.87</v>
      </c>
      <c r="O129" s="152">
        <f>+N129*$E$7+N129</f>
        <v>3.6540840000000001</v>
      </c>
      <c r="P129" s="153">
        <f t="shared" ref="P129" si="236">O129</f>
        <v>3.6540840000000001</v>
      </c>
      <c r="Q129" s="21">
        <f t="shared" ref="Q129" si="237">N129*G129</f>
        <v>75113.64</v>
      </c>
      <c r="R129" s="21">
        <f t="shared" ref="R129" si="238">P129*G129</f>
        <v>95634.686448000008</v>
      </c>
      <c r="S129" s="21">
        <f t="shared" ref="S129" si="239">R129-Q129</f>
        <v>20521.046448000008</v>
      </c>
      <c r="T129" s="25">
        <f>O171*G171</f>
        <v>0</v>
      </c>
      <c r="U129" s="134">
        <f t="shared" si="130"/>
        <v>0.27320000000000011</v>
      </c>
    </row>
    <row r="130" spans="1:21" ht="14.85" customHeight="1">
      <c r="A130" s="83"/>
      <c r="B130" s="84"/>
      <c r="C130" s="90"/>
      <c r="D130" s="100" t="s">
        <v>14</v>
      </c>
      <c r="E130" s="113">
        <f>SUM(E127:E129)</f>
        <v>2185.9166667</v>
      </c>
      <c r="F130" s="39"/>
      <c r="G130" s="113">
        <f>SUM(G127:G129)</f>
        <v>26231.000000399999</v>
      </c>
      <c r="H130" s="40"/>
      <c r="I130" s="120" t="e">
        <f>SUM(I103:I129)</f>
        <v>#REF!</v>
      </c>
      <c r="J130" s="113"/>
      <c r="K130" s="66"/>
      <c r="L130" s="67"/>
      <c r="M130" s="67"/>
      <c r="N130" s="27"/>
      <c r="O130" s="67"/>
      <c r="P130" s="27"/>
      <c r="Q130" s="113">
        <f>SUM(Q127:Q129)</f>
        <v>76090.090006619997</v>
      </c>
      <c r="R130" s="113">
        <f>SUM(R127:R129)</f>
        <v>96877.902596428597</v>
      </c>
      <c r="S130" s="113">
        <f>SUM(S127:S129)</f>
        <v>20787.812589808593</v>
      </c>
      <c r="T130" s="25" t="e">
        <f>#REF!*#REF!</f>
        <v>#REF!</v>
      </c>
      <c r="U130" s="134">
        <f t="shared" si="130"/>
        <v>0.27320000000000011</v>
      </c>
    </row>
    <row r="131" spans="1:21" ht="15" thickBot="1">
      <c r="B131" s="128"/>
      <c r="C131" s="128"/>
      <c r="D131" s="129" t="s">
        <v>3</v>
      </c>
      <c r="E131" s="121">
        <f>+E29+E61+E88+E124+E130+E102+E112</f>
        <v>23980.195039349997</v>
      </c>
      <c r="F131" s="128"/>
      <c r="G131" s="121">
        <f>+G29+G61+G88+G124+G130+G102+G112</f>
        <v>743969.02007219987</v>
      </c>
      <c r="H131" s="128"/>
      <c r="I131" s="121" t="e">
        <f>+I29+I61+I88+#REF!+I124+I130</f>
        <v>#REF!</v>
      </c>
      <c r="J131" s="121"/>
      <c r="K131" s="130"/>
      <c r="L131" s="130"/>
      <c r="M131" s="130"/>
      <c r="N131" s="128"/>
      <c r="O131" s="128"/>
      <c r="P131" s="128"/>
      <c r="Q131" s="121">
        <f>+Q29+Q61+Q88+Q124+Q130+Q102+Q112+Q37</f>
        <v>3509982.6796907778</v>
      </c>
      <c r="R131" s="121">
        <f>+R29+R61+R88+R124+R130+R102+R112+R37</f>
        <v>4471278.2191874282</v>
      </c>
      <c r="S131" s="121">
        <f>+S29+S61+S88+S124+S130+S102+S112+S37</f>
        <v>961295.53949665069</v>
      </c>
      <c r="T131" s="25"/>
      <c r="U131" s="134">
        <f t="shared" si="130"/>
        <v>0.27387472452751216</v>
      </c>
    </row>
    <row r="132" spans="1:21" ht="15" thickTop="1">
      <c r="J132" s="87"/>
      <c r="T132" s="25"/>
    </row>
    <row r="133" spans="1:21">
      <c r="D133" s="92" t="s">
        <v>31</v>
      </c>
      <c r="H133" s="114"/>
      <c r="I133" s="37"/>
      <c r="J133" s="87"/>
      <c r="R133" s="115"/>
      <c r="S133" s="116"/>
      <c r="T133" s="25" t="e">
        <f>#REF!*#REF!</f>
        <v>#REF!</v>
      </c>
    </row>
    <row r="134" spans="1:21">
      <c r="B134" s="13">
        <v>52</v>
      </c>
      <c r="C134" s="13">
        <v>16</v>
      </c>
      <c r="D134" s="85" t="s">
        <v>128</v>
      </c>
      <c r="E134">
        <v>0</v>
      </c>
      <c r="F134" s="9">
        <f>References!$D$9</f>
        <v>1</v>
      </c>
      <c r="G134" s="86">
        <f t="shared" ref="G134:G135" si="240">+E134*F134*12</f>
        <v>0</v>
      </c>
      <c r="H134" s="10"/>
      <c r="I134" s="87">
        <f t="shared" ref="I134:I135" si="241">G134*H134</f>
        <v>0</v>
      </c>
      <c r="J134" s="10"/>
      <c r="K134" s="18">
        <f>References!$C$17*J134</f>
        <v>0</v>
      </c>
      <c r="L134" s="18">
        <f>K134/References!$F$18</f>
        <v>0</v>
      </c>
      <c r="M134" s="22" t="e">
        <f t="shared" ref="M134:M135" si="242">L134/G134</f>
        <v>#DIV/0!</v>
      </c>
      <c r="N134" s="145">
        <v>86.51</v>
      </c>
      <c r="O134" s="141">
        <f t="shared" ref="O134:O135" si="243">+N134*$E$7+N134</f>
        <v>110.144532</v>
      </c>
      <c r="P134" s="42">
        <f t="shared" ref="P134:P135" si="244">O134</f>
        <v>110.144532</v>
      </c>
      <c r="Q134" s="20">
        <f t="shared" ref="Q134:Q135" si="245">N134*G134</f>
        <v>0</v>
      </c>
      <c r="R134" s="20">
        <f t="shared" ref="R134:R135" si="246">P134*G134</f>
        <v>0</v>
      </c>
      <c r="S134" s="20">
        <f t="shared" ref="S134:S135" si="247">R134-Q134</f>
        <v>0</v>
      </c>
      <c r="T134" s="25"/>
    </row>
    <row r="135" spans="1:21">
      <c r="B135" s="13">
        <v>52</v>
      </c>
      <c r="C135" s="13">
        <v>16</v>
      </c>
      <c r="D135" s="85" t="s">
        <v>129</v>
      </c>
      <c r="E135">
        <v>0</v>
      </c>
      <c r="F135" s="9">
        <f>References!$D$9</f>
        <v>1</v>
      </c>
      <c r="G135" s="86">
        <f t="shared" si="240"/>
        <v>0</v>
      </c>
      <c r="H135" s="10"/>
      <c r="I135" s="87">
        <f t="shared" si="241"/>
        <v>0</v>
      </c>
      <c r="J135" s="10"/>
      <c r="K135" s="18">
        <f>References!$C$17*J135</f>
        <v>0</v>
      </c>
      <c r="L135" s="18">
        <f>K135/References!$F$18</f>
        <v>0</v>
      </c>
      <c r="M135" s="22" t="e">
        <f t="shared" si="242"/>
        <v>#DIV/0!</v>
      </c>
      <c r="N135" s="145">
        <v>105.05</v>
      </c>
      <c r="O135" s="141">
        <f t="shared" si="243"/>
        <v>133.74966000000001</v>
      </c>
      <c r="P135" s="42">
        <f t="shared" si="244"/>
        <v>133.74966000000001</v>
      </c>
      <c r="Q135" s="20">
        <f t="shared" si="245"/>
        <v>0</v>
      </c>
      <c r="R135" s="20">
        <f t="shared" si="246"/>
        <v>0</v>
      </c>
      <c r="S135" s="20">
        <f t="shared" si="247"/>
        <v>0</v>
      </c>
      <c r="T135" s="25"/>
    </row>
    <row r="136" spans="1:21">
      <c r="B136" s="13">
        <v>52</v>
      </c>
      <c r="C136" s="13">
        <v>16</v>
      </c>
      <c r="D136" s="85" t="s">
        <v>130</v>
      </c>
      <c r="E136">
        <v>0</v>
      </c>
      <c r="F136" s="9">
        <f>References!$D$9</f>
        <v>1</v>
      </c>
      <c r="G136" s="86">
        <f t="shared" ref="G136:G138" si="248">+E136*F136*12</f>
        <v>0</v>
      </c>
      <c r="H136" s="10"/>
      <c r="I136" s="87">
        <f t="shared" ref="I136:I138" si="249">G136*H136</f>
        <v>0</v>
      </c>
      <c r="J136" s="10"/>
      <c r="K136" s="18">
        <f>References!$C$17*J136</f>
        <v>0</v>
      </c>
      <c r="L136" s="18">
        <f>K136/References!$F$18</f>
        <v>0</v>
      </c>
      <c r="M136" s="22" t="e">
        <f t="shared" ref="M136:M138" si="250">L136/G136</f>
        <v>#DIV/0!</v>
      </c>
      <c r="N136" s="145">
        <v>123.59</v>
      </c>
      <c r="O136" s="141">
        <f t="shared" ref="O136:O138" si="251">+N136*$E$7+N136</f>
        <v>157.35478800000001</v>
      </c>
      <c r="P136" s="42">
        <f t="shared" ref="P136:P138" si="252">O136</f>
        <v>157.35478800000001</v>
      </c>
      <c r="Q136" s="20">
        <f t="shared" ref="Q136:Q138" si="253">N136*G136</f>
        <v>0</v>
      </c>
      <c r="R136" s="20">
        <f t="shared" ref="R136:R138" si="254">P136*G136</f>
        <v>0</v>
      </c>
      <c r="S136" s="20">
        <f t="shared" ref="S136:S138" si="255">R136-Q136</f>
        <v>0</v>
      </c>
      <c r="T136" s="25"/>
    </row>
    <row r="137" spans="1:21">
      <c r="B137" s="13">
        <v>52</v>
      </c>
      <c r="C137" s="13">
        <v>16</v>
      </c>
      <c r="D137" s="85" t="s">
        <v>131</v>
      </c>
      <c r="E137">
        <v>0</v>
      </c>
      <c r="F137" s="9">
        <f>References!$D$9</f>
        <v>1</v>
      </c>
      <c r="G137" s="86">
        <f t="shared" si="248"/>
        <v>0</v>
      </c>
      <c r="H137" s="10"/>
      <c r="I137" s="87">
        <f t="shared" si="249"/>
        <v>0</v>
      </c>
      <c r="J137" s="10"/>
      <c r="K137" s="18">
        <f>References!$C$17*J137</f>
        <v>0</v>
      </c>
      <c r="L137" s="18">
        <f>K137/References!$F$18</f>
        <v>0</v>
      </c>
      <c r="M137" s="22" t="e">
        <f t="shared" si="250"/>
        <v>#DIV/0!</v>
      </c>
      <c r="N137" s="145">
        <v>129.77000000000001</v>
      </c>
      <c r="O137" s="141">
        <f t="shared" si="251"/>
        <v>165.223164</v>
      </c>
      <c r="P137" s="42">
        <f t="shared" si="252"/>
        <v>165.223164</v>
      </c>
      <c r="Q137" s="20">
        <f t="shared" si="253"/>
        <v>0</v>
      </c>
      <c r="R137" s="20">
        <f t="shared" si="254"/>
        <v>0</v>
      </c>
      <c r="S137" s="20">
        <f t="shared" si="255"/>
        <v>0</v>
      </c>
      <c r="T137" s="25"/>
    </row>
    <row r="138" spans="1:21">
      <c r="B138" s="13">
        <v>52</v>
      </c>
      <c r="C138" s="13">
        <v>16</v>
      </c>
      <c r="D138" s="85" t="s">
        <v>132</v>
      </c>
      <c r="E138">
        <v>0</v>
      </c>
      <c r="F138" s="9">
        <f>References!$D$9</f>
        <v>1</v>
      </c>
      <c r="G138" s="86">
        <f t="shared" si="248"/>
        <v>0</v>
      </c>
      <c r="H138" s="10"/>
      <c r="I138" s="87">
        <f t="shared" si="249"/>
        <v>0</v>
      </c>
      <c r="J138" s="10"/>
      <c r="K138" s="18">
        <f>References!$C$17*J138</f>
        <v>0</v>
      </c>
      <c r="L138" s="18">
        <f>K138/References!$F$18</f>
        <v>0</v>
      </c>
      <c r="M138" s="22" t="e">
        <f t="shared" si="250"/>
        <v>#DIV/0!</v>
      </c>
      <c r="N138" s="145">
        <v>137.94</v>
      </c>
      <c r="O138" s="141">
        <f t="shared" si="251"/>
        <v>175.62520799999999</v>
      </c>
      <c r="P138" s="42">
        <f t="shared" si="252"/>
        <v>175.62520799999999</v>
      </c>
      <c r="Q138" s="20">
        <f t="shared" si="253"/>
        <v>0</v>
      </c>
      <c r="R138" s="20">
        <f t="shared" si="254"/>
        <v>0</v>
      </c>
      <c r="S138" s="20">
        <f t="shared" si="255"/>
        <v>0</v>
      </c>
      <c r="T138" s="25" t="e">
        <f>#REF!*#REF!</f>
        <v>#REF!</v>
      </c>
    </row>
    <row r="139" spans="1:21">
      <c r="B139" s="88">
        <v>55</v>
      </c>
      <c r="C139" s="13">
        <v>17</v>
      </c>
      <c r="D139" s="85" t="s">
        <v>111</v>
      </c>
      <c r="E139" s="89">
        <v>0</v>
      </c>
      <c r="F139" s="9">
        <f>References!$D$9</f>
        <v>1</v>
      </c>
      <c r="G139" s="86">
        <f t="shared" ref="G139" si="256">+E139*F139*12</f>
        <v>0</v>
      </c>
      <c r="H139" s="10"/>
      <c r="I139" s="87">
        <f t="shared" ref="I139" si="257">G139*H139</f>
        <v>0</v>
      </c>
      <c r="J139" s="10"/>
      <c r="K139" s="18">
        <f>References!$C$17*J139</f>
        <v>0</v>
      </c>
      <c r="L139" s="18">
        <f>K139/References!$F$18</f>
        <v>0</v>
      </c>
      <c r="M139" s="22" t="e">
        <f t="shared" ref="M139" si="258">L139/G139</f>
        <v>#DIV/0!</v>
      </c>
      <c r="N139" s="145">
        <v>4.97</v>
      </c>
      <c r="O139" s="141">
        <f t="shared" ref="O139" si="259">+N139*$E$7+N139</f>
        <v>6.3278039999999995</v>
      </c>
      <c r="P139" s="42">
        <f t="shared" ref="P139" si="260">O139</f>
        <v>6.3278039999999995</v>
      </c>
      <c r="Q139" s="20">
        <f t="shared" ref="Q139" si="261">N139*G139</f>
        <v>0</v>
      </c>
      <c r="R139" s="20">
        <f t="shared" ref="R139" si="262">P139*G139</f>
        <v>0</v>
      </c>
      <c r="S139" s="20">
        <f t="shared" ref="S139" si="263">R139-Q139</f>
        <v>0</v>
      </c>
      <c r="T139" s="25"/>
    </row>
    <row r="140" spans="1:21">
      <c r="B140" s="88">
        <v>60</v>
      </c>
      <c r="C140" s="13">
        <v>17</v>
      </c>
      <c r="D140" s="85" t="s">
        <v>112</v>
      </c>
      <c r="E140" s="89">
        <v>0</v>
      </c>
      <c r="F140" s="9">
        <f>References!$D$9</f>
        <v>1</v>
      </c>
      <c r="G140" s="86">
        <f t="shared" ref="G140" si="264">+E140*F140*12</f>
        <v>0</v>
      </c>
      <c r="H140" s="10"/>
      <c r="I140" s="87">
        <f t="shared" ref="I140" si="265">G140*H140</f>
        <v>0</v>
      </c>
      <c r="J140" s="10"/>
      <c r="K140" s="18">
        <f>References!$C$17*J140</f>
        <v>0</v>
      </c>
      <c r="L140" s="18">
        <f>K140/References!$F$18</f>
        <v>0</v>
      </c>
      <c r="M140" s="22" t="e">
        <f t="shared" ref="M140" si="266">L140/G140</f>
        <v>#DIV/0!</v>
      </c>
      <c r="N140" s="145">
        <v>38.619999999999997</v>
      </c>
      <c r="O140" s="141">
        <f t="shared" ref="O140" si="267">+N140*$E$7+N140</f>
        <v>49.170983999999997</v>
      </c>
      <c r="P140" s="42">
        <f t="shared" ref="P140" si="268">O140</f>
        <v>49.170983999999997</v>
      </c>
      <c r="Q140" s="20">
        <f t="shared" ref="Q140" si="269">N140*G140</f>
        <v>0</v>
      </c>
      <c r="R140" s="20">
        <f t="shared" ref="R140" si="270">P140*G140</f>
        <v>0</v>
      </c>
      <c r="S140" s="20">
        <f t="shared" ref="S140" si="271">R140-Q140</f>
        <v>0</v>
      </c>
      <c r="T140" s="25" t="e">
        <f>#REF!*#REF!</f>
        <v>#REF!</v>
      </c>
    </row>
    <row r="141" spans="1:21">
      <c r="B141" s="88">
        <v>70</v>
      </c>
      <c r="C141" s="13">
        <v>18</v>
      </c>
      <c r="D141" s="85" t="s">
        <v>106</v>
      </c>
      <c r="E141" s="89">
        <v>0</v>
      </c>
      <c r="F141" s="9">
        <f>References!$D$9</f>
        <v>1</v>
      </c>
      <c r="G141" s="86">
        <f t="shared" ref="G141:G144" si="272">+E141*F141*12</f>
        <v>0</v>
      </c>
      <c r="H141" s="10"/>
      <c r="I141" s="87">
        <f t="shared" ref="I141:I144" si="273">G141*H141</f>
        <v>0</v>
      </c>
      <c r="J141" s="10"/>
      <c r="K141" s="18">
        <f>References!$C$17*J141</f>
        <v>0</v>
      </c>
      <c r="L141" s="18">
        <f>K141/References!$F$18</f>
        <v>0</v>
      </c>
      <c r="M141" s="22" t="e">
        <f t="shared" ref="M141:M144" si="274">L141/G141</f>
        <v>#DIV/0!</v>
      </c>
      <c r="N141" s="145">
        <v>23.17</v>
      </c>
      <c r="O141" s="141">
        <f t="shared" ref="O141:O144" si="275">+N141*$E$7+N141</f>
        <v>29.500044000000003</v>
      </c>
      <c r="P141" s="42">
        <f t="shared" ref="P141:P144" si="276">O141</f>
        <v>29.500044000000003</v>
      </c>
      <c r="Q141" s="20">
        <f t="shared" ref="Q141:Q144" si="277">N141*G141</f>
        <v>0</v>
      </c>
      <c r="R141" s="20">
        <f t="shared" ref="R141:R144" si="278">P141*G141</f>
        <v>0</v>
      </c>
      <c r="S141" s="20">
        <f t="shared" ref="S141:S144" si="279">R141-Q141</f>
        <v>0</v>
      </c>
      <c r="T141" s="25" t="e">
        <f>#REF!*#REF!</f>
        <v>#REF!</v>
      </c>
    </row>
    <row r="142" spans="1:21">
      <c r="B142" s="88">
        <v>70</v>
      </c>
      <c r="C142" s="13">
        <v>18</v>
      </c>
      <c r="D142" s="85" t="s">
        <v>107</v>
      </c>
      <c r="E142" s="89">
        <v>0</v>
      </c>
      <c r="F142" s="9">
        <f>References!$D$9</f>
        <v>1</v>
      </c>
      <c r="G142" s="86">
        <f t="shared" si="272"/>
        <v>0</v>
      </c>
      <c r="H142" s="10"/>
      <c r="I142" s="87">
        <f t="shared" si="273"/>
        <v>0</v>
      </c>
      <c r="J142" s="10"/>
      <c r="K142" s="18">
        <f>References!$C$17*J142</f>
        <v>0</v>
      </c>
      <c r="L142" s="18">
        <f>K142/References!$F$18</f>
        <v>0</v>
      </c>
      <c r="M142" s="22" t="e">
        <f t="shared" si="274"/>
        <v>#DIV/0!</v>
      </c>
      <c r="N142" s="145">
        <v>23.17</v>
      </c>
      <c r="O142" s="141">
        <f t="shared" si="275"/>
        <v>29.500044000000003</v>
      </c>
      <c r="P142" s="42">
        <f t="shared" si="276"/>
        <v>29.500044000000003</v>
      </c>
      <c r="Q142" s="20">
        <f t="shared" si="277"/>
        <v>0</v>
      </c>
      <c r="R142" s="20">
        <f t="shared" si="278"/>
        <v>0</v>
      </c>
      <c r="S142" s="20">
        <f t="shared" si="279"/>
        <v>0</v>
      </c>
      <c r="T142" s="25" t="e">
        <f>#REF!*#REF!</f>
        <v>#REF!</v>
      </c>
    </row>
    <row r="143" spans="1:21">
      <c r="B143" s="88">
        <v>70</v>
      </c>
      <c r="C143" s="13">
        <v>18</v>
      </c>
      <c r="D143" s="85" t="s">
        <v>109</v>
      </c>
      <c r="E143" s="89">
        <v>0</v>
      </c>
      <c r="F143" s="9">
        <f>References!$D$9</f>
        <v>1</v>
      </c>
      <c r="G143" s="86">
        <f t="shared" si="272"/>
        <v>0</v>
      </c>
      <c r="H143" s="10"/>
      <c r="I143" s="87">
        <f t="shared" si="273"/>
        <v>0</v>
      </c>
      <c r="J143" s="10"/>
      <c r="K143" s="18">
        <f>References!$C$17*J143</f>
        <v>0</v>
      </c>
      <c r="L143" s="18">
        <f>K143/References!$F$18</f>
        <v>0</v>
      </c>
      <c r="M143" s="22" t="e">
        <f t="shared" si="274"/>
        <v>#DIV/0!</v>
      </c>
      <c r="N143" s="145">
        <v>23.17</v>
      </c>
      <c r="O143" s="141">
        <f t="shared" si="275"/>
        <v>29.500044000000003</v>
      </c>
      <c r="P143" s="42">
        <f t="shared" si="276"/>
        <v>29.500044000000003</v>
      </c>
      <c r="Q143" s="20">
        <f t="shared" si="277"/>
        <v>0</v>
      </c>
      <c r="R143" s="20">
        <f t="shared" si="278"/>
        <v>0</v>
      </c>
      <c r="S143" s="20">
        <f t="shared" si="279"/>
        <v>0</v>
      </c>
      <c r="T143" s="25" t="e">
        <f>#REF!*#REF!</f>
        <v>#REF!</v>
      </c>
    </row>
    <row r="144" spans="1:21">
      <c r="B144" s="88">
        <v>70</v>
      </c>
      <c r="C144" s="13">
        <v>18</v>
      </c>
      <c r="D144" s="85" t="s">
        <v>110</v>
      </c>
      <c r="E144" s="89">
        <v>0</v>
      </c>
      <c r="F144" s="9">
        <f>References!$D$9</f>
        <v>1</v>
      </c>
      <c r="G144" s="86">
        <f t="shared" si="272"/>
        <v>0</v>
      </c>
      <c r="H144" s="10"/>
      <c r="I144" s="87">
        <f t="shared" si="273"/>
        <v>0</v>
      </c>
      <c r="J144" s="10"/>
      <c r="K144" s="18">
        <f>References!$C$17*J144</f>
        <v>0</v>
      </c>
      <c r="L144" s="18">
        <f>K144/References!$F$18</f>
        <v>0</v>
      </c>
      <c r="M144" s="22" t="e">
        <f t="shared" si="274"/>
        <v>#DIV/0!</v>
      </c>
      <c r="N144" s="145">
        <v>23.17</v>
      </c>
      <c r="O144" s="141">
        <f t="shared" si="275"/>
        <v>29.500044000000003</v>
      </c>
      <c r="P144" s="42">
        <f t="shared" si="276"/>
        <v>29.500044000000003</v>
      </c>
      <c r="Q144" s="20">
        <f t="shared" si="277"/>
        <v>0</v>
      </c>
      <c r="R144" s="20">
        <f t="shared" si="278"/>
        <v>0</v>
      </c>
      <c r="S144" s="20">
        <f t="shared" si="279"/>
        <v>0</v>
      </c>
      <c r="T144" s="25"/>
    </row>
    <row r="145" spans="2:20">
      <c r="B145" s="88">
        <v>80</v>
      </c>
      <c r="C145" s="88">
        <v>20</v>
      </c>
      <c r="D145" s="91" t="s">
        <v>101</v>
      </c>
      <c r="E145" s="89">
        <v>0</v>
      </c>
      <c r="F145" s="9">
        <f>References!$D$9</f>
        <v>1</v>
      </c>
      <c r="G145" s="86">
        <f t="shared" ref="G145:G146" si="280">+E145*F145*12</f>
        <v>0</v>
      </c>
      <c r="H145" s="10"/>
      <c r="I145" s="87">
        <f t="shared" ref="I145:I146" si="281">G145*H145</f>
        <v>0</v>
      </c>
      <c r="J145" s="10"/>
      <c r="K145" s="18">
        <f>References!$C$17*J145</f>
        <v>0</v>
      </c>
      <c r="L145" s="18">
        <f>K145/References!$F$18</f>
        <v>0</v>
      </c>
      <c r="M145" s="22" t="e">
        <f t="shared" ref="M145:M146" si="282">L145/G145</f>
        <v>#DIV/0!</v>
      </c>
      <c r="N145" s="145">
        <v>0.77</v>
      </c>
      <c r="O145" s="141">
        <f t="shared" ref="O145:O146" si="283">+N145*$E$7+N145</f>
        <v>0.98036400000000001</v>
      </c>
      <c r="P145" s="42">
        <f t="shared" ref="P145:P146" si="284">O145</f>
        <v>0.98036400000000001</v>
      </c>
      <c r="Q145" s="20">
        <f t="shared" ref="Q145:Q146" si="285">N145*G145</f>
        <v>0</v>
      </c>
      <c r="R145" s="20">
        <f t="shared" ref="R145:R146" si="286">P145*G145</f>
        <v>0</v>
      </c>
      <c r="S145" s="20">
        <f t="shared" ref="S145:S146" si="287">R145-Q145</f>
        <v>0</v>
      </c>
      <c r="T145" s="25" t="e">
        <f>#REF!*#REF!</f>
        <v>#REF!</v>
      </c>
    </row>
    <row r="146" spans="2:20">
      <c r="B146" s="88">
        <v>80</v>
      </c>
      <c r="C146" s="88">
        <v>20</v>
      </c>
      <c r="D146" s="91" t="s">
        <v>102</v>
      </c>
      <c r="E146" s="89">
        <v>0</v>
      </c>
      <c r="F146" s="9">
        <f>References!$D$9</f>
        <v>1</v>
      </c>
      <c r="G146" s="86">
        <f t="shared" si="280"/>
        <v>0</v>
      </c>
      <c r="H146" s="10"/>
      <c r="I146" s="87">
        <f t="shared" si="281"/>
        <v>0</v>
      </c>
      <c r="J146" s="10"/>
      <c r="K146" s="18">
        <f>References!$C$17*J146</f>
        <v>0</v>
      </c>
      <c r="L146" s="18">
        <f>K146/References!$F$18</f>
        <v>0</v>
      </c>
      <c r="M146" s="22" t="e">
        <f t="shared" si="282"/>
        <v>#DIV/0!</v>
      </c>
      <c r="N146" s="145">
        <v>0.44</v>
      </c>
      <c r="O146" s="141">
        <f t="shared" si="283"/>
        <v>0.56020800000000004</v>
      </c>
      <c r="P146" s="42">
        <f t="shared" si="284"/>
        <v>0.56020800000000004</v>
      </c>
      <c r="Q146" s="20">
        <f t="shared" si="285"/>
        <v>0</v>
      </c>
      <c r="R146" s="20">
        <f t="shared" si="286"/>
        <v>0</v>
      </c>
      <c r="S146" s="20">
        <f t="shared" si="287"/>
        <v>0</v>
      </c>
      <c r="T146" s="25">
        <f>O95*G95</f>
        <v>0</v>
      </c>
    </row>
    <row r="147" spans="2:20">
      <c r="B147" s="88">
        <v>80</v>
      </c>
      <c r="C147" s="88">
        <v>20</v>
      </c>
      <c r="D147" s="91" t="s">
        <v>103</v>
      </c>
      <c r="E147" s="89">
        <v>0</v>
      </c>
      <c r="F147" s="9">
        <f>References!$D$9</f>
        <v>1</v>
      </c>
      <c r="G147" s="86">
        <f t="shared" ref="G147:G148" si="288">+E147*F147*12</f>
        <v>0</v>
      </c>
      <c r="H147" s="10"/>
      <c r="I147" s="87">
        <f t="shared" ref="I147:I148" si="289">G147*H147</f>
        <v>0</v>
      </c>
      <c r="J147" s="10"/>
      <c r="K147" s="18">
        <f>References!$C$17*J147</f>
        <v>0</v>
      </c>
      <c r="L147" s="18">
        <f>K147/References!$F$18</f>
        <v>0</v>
      </c>
      <c r="M147" s="22" t="e">
        <f t="shared" ref="M147:M148" si="290">L147/G147</f>
        <v>#DIV/0!</v>
      </c>
      <c r="N147" s="145">
        <v>0.77</v>
      </c>
      <c r="O147" s="141">
        <f t="shared" ref="O147:O148" si="291">+N147*$E$7+N147</f>
        <v>0.98036400000000001</v>
      </c>
      <c r="P147" s="42">
        <f t="shared" ref="P147:P148" si="292">O147</f>
        <v>0.98036400000000001</v>
      </c>
      <c r="Q147" s="20">
        <f t="shared" ref="Q147:Q148" si="293">N147*G147</f>
        <v>0</v>
      </c>
      <c r="R147" s="20">
        <f t="shared" ref="R147:R148" si="294">P147*G147</f>
        <v>0</v>
      </c>
      <c r="S147" s="20">
        <f t="shared" ref="S147:S148" si="295">R147-Q147</f>
        <v>0</v>
      </c>
      <c r="T147" s="25" t="e">
        <f>#REF!*#REF!</f>
        <v>#REF!</v>
      </c>
    </row>
    <row r="148" spans="2:20">
      <c r="B148" s="88">
        <v>80</v>
      </c>
      <c r="C148" s="88">
        <v>20</v>
      </c>
      <c r="D148" s="91" t="s">
        <v>104</v>
      </c>
      <c r="E148" s="89">
        <v>0</v>
      </c>
      <c r="F148" s="9">
        <f>References!$D$9</f>
        <v>1</v>
      </c>
      <c r="G148" s="86">
        <f t="shared" si="288"/>
        <v>0</v>
      </c>
      <c r="H148" s="10"/>
      <c r="I148" s="87">
        <f t="shared" si="289"/>
        <v>0</v>
      </c>
      <c r="J148" s="10"/>
      <c r="K148" s="18">
        <f>References!$C$17*J148</f>
        <v>0</v>
      </c>
      <c r="L148" s="18">
        <f>K148/References!$F$18</f>
        <v>0</v>
      </c>
      <c r="M148" s="22" t="e">
        <f t="shared" si="290"/>
        <v>#DIV/0!</v>
      </c>
      <c r="N148" s="145">
        <v>0.44</v>
      </c>
      <c r="O148" s="141">
        <f t="shared" si="291"/>
        <v>0.56020800000000004</v>
      </c>
      <c r="P148" s="42">
        <f t="shared" si="292"/>
        <v>0.56020800000000004</v>
      </c>
      <c r="Q148" s="20">
        <f t="shared" si="293"/>
        <v>0</v>
      </c>
      <c r="R148" s="20">
        <f t="shared" si="294"/>
        <v>0</v>
      </c>
      <c r="S148" s="20">
        <f t="shared" si="295"/>
        <v>0</v>
      </c>
      <c r="T148" s="25" t="e">
        <f>#REF!*#REF!</f>
        <v>#REF!</v>
      </c>
    </row>
    <row r="149" spans="2:20">
      <c r="B149" s="88">
        <v>90</v>
      </c>
      <c r="C149" s="88">
        <v>21</v>
      </c>
      <c r="D149" s="91" t="s">
        <v>113</v>
      </c>
      <c r="E149" s="89">
        <v>0</v>
      </c>
      <c r="F149" s="9">
        <f>References!$D$9</f>
        <v>1</v>
      </c>
      <c r="G149" s="86">
        <f t="shared" ref="G149:G150" si="296">+E149*F149*12</f>
        <v>0</v>
      </c>
      <c r="H149" s="10"/>
      <c r="I149" s="87">
        <f t="shared" ref="I149:I150" si="297">G149*H149</f>
        <v>0</v>
      </c>
      <c r="J149" s="10"/>
      <c r="K149" s="18">
        <f>References!$C$17*J149</f>
        <v>0</v>
      </c>
      <c r="L149" s="18">
        <f>K149/References!$F$18</f>
        <v>0</v>
      </c>
      <c r="M149" s="22" t="e">
        <f t="shared" ref="M149:M150" si="298">L149/G149</f>
        <v>#DIV/0!</v>
      </c>
      <c r="N149" s="145">
        <v>0.44</v>
      </c>
      <c r="O149" s="141">
        <f t="shared" ref="O149:O150" si="299">+N149*$E$7+N149</f>
        <v>0.56020800000000004</v>
      </c>
      <c r="P149" s="42">
        <f t="shared" ref="P149:P150" si="300">O149</f>
        <v>0.56020800000000004</v>
      </c>
      <c r="Q149" s="20">
        <f t="shared" ref="Q149:Q150" si="301">N149*G149</f>
        <v>0</v>
      </c>
      <c r="R149" s="20">
        <f t="shared" ref="R149:R150" si="302">P149*G149</f>
        <v>0</v>
      </c>
      <c r="S149" s="20">
        <f t="shared" ref="S149:S150" si="303">R149-Q149</f>
        <v>0</v>
      </c>
      <c r="T149" s="25" t="e">
        <f>#REF!*#REF!</f>
        <v>#REF!</v>
      </c>
    </row>
    <row r="150" spans="2:20">
      <c r="B150" s="88">
        <v>90</v>
      </c>
      <c r="C150" s="88">
        <v>21</v>
      </c>
      <c r="D150" s="91" t="s">
        <v>114</v>
      </c>
      <c r="E150" s="89">
        <v>0</v>
      </c>
      <c r="F150" s="9">
        <f>References!$D$9</f>
        <v>1</v>
      </c>
      <c r="G150" s="86">
        <f t="shared" si="296"/>
        <v>0</v>
      </c>
      <c r="H150" s="10"/>
      <c r="I150" s="87">
        <f t="shared" si="297"/>
        <v>0</v>
      </c>
      <c r="J150" s="10"/>
      <c r="K150" s="18">
        <f>References!$C$17*J150</f>
        <v>0</v>
      </c>
      <c r="L150" s="18">
        <f>K150/References!$F$18</f>
        <v>0</v>
      </c>
      <c r="M150" s="22" t="e">
        <f t="shared" si="298"/>
        <v>#DIV/0!</v>
      </c>
      <c r="N150" s="145">
        <v>0.44</v>
      </c>
      <c r="O150" s="141">
        <f t="shared" si="299"/>
        <v>0.56020800000000004</v>
      </c>
      <c r="P150" s="42">
        <f t="shared" si="300"/>
        <v>0.56020800000000004</v>
      </c>
      <c r="Q150" s="20">
        <f t="shared" si="301"/>
        <v>0</v>
      </c>
      <c r="R150" s="20">
        <f t="shared" si="302"/>
        <v>0</v>
      </c>
      <c r="S150" s="20">
        <f t="shared" si="303"/>
        <v>0</v>
      </c>
      <c r="T150" s="25" t="e">
        <f>#REF!*#REF!</f>
        <v>#REF!</v>
      </c>
    </row>
    <row r="151" spans="2:20">
      <c r="B151" s="88">
        <v>130</v>
      </c>
      <c r="C151" s="88">
        <v>28</v>
      </c>
      <c r="D151" s="91" t="s">
        <v>153</v>
      </c>
      <c r="E151" s="89">
        <v>0</v>
      </c>
      <c r="F151" s="9">
        <f>References!$D$9</f>
        <v>1</v>
      </c>
      <c r="G151" s="86">
        <f>+E151*F151*12</f>
        <v>0</v>
      </c>
      <c r="H151" s="87"/>
      <c r="I151" s="87">
        <f>G151*H151</f>
        <v>0</v>
      </c>
      <c r="J151" s="10"/>
      <c r="K151" s="18">
        <f>References!$C$17*J151</f>
        <v>0</v>
      </c>
      <c r="L151" s="18">
        <f>K151/References!$F$18</f>
        <v>0</v>
      </c>
      <c r="M151" s="22" t="e">
        <f>L151/G151</f>
        <v>#DIV/0!</v>
      </c>
      <c r="N151" s="145">
        <v>3.59</v>
      </c>
      <c r="O151" s="141">
        <f>+N151*$E$7+N151</f>
        <v>4.5707880000000003</v>
      </c>
      <c r="P151" s="42">
        <f>O151</f>
        <v>4.5707880000000003</v>
      </c>
      <c r="Q151" s="20">
        <f>N151*G151</f>
        <v>0</v>
      </c>
      <c r="R151" s="20">
        <f>P151*G151</f>
        <v>0</v>
      </c>
      <c r="S151" s="20">
        <f>R151-Q151</f>
        <v>0</v>
      </c>
      <c r="T151" s="25">
        <f>O153*G153</f>
        <v>0</v>
      </c>
    </row>
    <row r="152" spans="2:20">
      <c r="B152" s="88">
        <v>130</v>
      </c>
      <c r="C152" s="88">
        <v>28</v>
      </c>
      <c r="D152" s="91" t="s">
        <v>154</v>
      </c>
      <c r="E152" s="89">
        <v>0</v>
      </c>
      <c r="F152" s="9">
        <f>References!$D$9</f>
        <v>1</v>
      </c>
      <c r="G152" s="86">
        <f t="shared" ref="G152" si="304">+E152*F152*12</f>
        <v>0</v>
      </c>
      <c r="H152" s="87"/>
      <c r="I152" s="87">
        <f t="shared" ref="I152" si="305">G152*H152</f>
        <v>0</v>
      </c>
      <c r="J152" s="10"/>
      <c r="K152" s="18">
        <f>References!$C$17*J152</f>
        <v>0</v>
      </c>
      <c r="L152" s="18">
        <f>K152/References!$F$18</f>
        <v>0</v>
      </c>
      <c r="M152" s="22" t="e">
        <f t="shared" ref="M152" si="306">L152/G152</f>
        <v>#DIV/0!</v>
      </c>
      <c r="N152" s="145">
        <v>15.56</v>
      </c>
      <c r="O152" s="141">
        <f t="shared" ref="O152" si="307">+N152*$E$7+N152</f>
        <v>19.810991999999999</v>
      </c>
      <c r="P152" s="42">
        <f t="shared" ref="P152" si="308">O152</f>
        <v>19.810991999999999</v>
      </c>
      <c r="Q152" s="20">
        <f t="shared" ref="Q152" si="309">N152*G152</f>
        <v>0</v>
      </c>
      <c r="R152" s="20">
        <f t="shared" ref="R152" si="310">P152*G152</f>
        <v>0</v>
      </c>
      <c r="S152" s="20">
        <f t="shared" ref="S152" si="311">R152-Q152</f>
        <v>0</v>
      </c>
      <c r="T152" s="25"/>
    </row>
    <row r="153" spans="2:20">
      <c r="B153" s="88">
        <v>150</v>
      </c>
      <c r="C153" s="88">
        <v>28</v>
      </c>
      <c r="D153" s="91" t="s">
        <v>155</v>
      </c>
      <c r="E153" s="89">
        <v>0</v>
      </c>
      <c r="F153" s="9">
        <f>References!$D$9</f>
        <v>1</v>
      </c>
      <c r="G153" s="86">
        <f>+E153*F153*12</f>
        <v>0</v>
      </c>
      <c r="H153" s="87"/>
      <c r="I153" s="87">
        <f>G153*H153</f>
        <v>0</v>
      </c>
      <c r="J153" s="10"/>
      <c r="K153" s="18">
        <f>References!$C$17*J153</f>
        <v>0</v>
      </c>
      <c r="L153" s="18">
        <f>K153/References!$F$18</f>
        <v>0</v>
      </c>
      <c r="M153" s="22" t="e">
        <f>L153/G153</f>
        <v>#DIV/0!</v>
      </c>
      <c r="N153" s="145">
        <v>21.02</v>
      </c>
      <c r="O153" s="141">
        <f>+N153*$E$7+N153</f>
        <v>26.762664000000001</v>
      </c>
      <c r="P153" s="42">
        <f>O153</f>
        <v>26.762664000000001</v>
      </c>
      <c r="Q153" s="20">
        <f>N153*G153</f>
        <v>0</v>
      </c>
      <c r="R153" s="20">
        <f>P153*G153</f>
        <v>0</v>
      </c>
      <c r="S153" s="20">
        <f>R153-Q153</f>
        <v>0</v>
      </c>
      <c r="T153" s="25"/>
    </row>
    <row r="154" spans="2:20">
      <c r="B154" s="88">
        <v>150</v>
      </c>
      <c r="C154" s="88">
        <v>28</v>
      </c>
      <c r="D154" s="91" t="s">
        <v>156</v>
      </c>
      <c r="E154" s="89">
        <v>0</v>
      </c>
      <c r="F154" s="9">
        <f>References!$D$9</f>
        <v>1</v>
      </c>
      <c r="G154" s="86">
        <f>+E154*F154*12</f>
        <v>0</v>
      </c>
      <c r="H154" s="87"/>
      <c r="I154" s="87"/>
      <c r="J154" s="10"/>
      <c r="K154" s="18"/>
      <c r="L154" s="18"/>
      <c r="M154" s="22"/>
      <c r="N154" s="145">
        <v>21.02</v>
      </c>
      <c r="O154" s="141">
        <f>+N154*$E$7+N154</f>
        <v>26.762664000000001</v>
      </c>
      <c r="P154" s="42">
        <f>O154</f>
        <v>26.762664000000001</v>
      </c>
      <c r="Q154" s="20">
        <f>N154*G154</f>
        <v>0</v>
      </c>
      <c r="R154" s="20">
        <f>P154*G154</f>
        <v>0</v>
      </c>
      <c r="S154" s="20">
        <f>R154-Q154</f>
        <v>0</v>
      </c>
      <c r="T154" s="25"/>
    </row>
    <row r="155" spans="2:20">
      <c r="B155" s="88">
        <v>150</v>
      </c>
      <c r="C155" s="88">
        <v>28</v>
      </c>
      <c r="D155" s="91" t="s">
        <v>157</v>
      </c>
      <c r="E155" s="89">
        <v>0</v>
      </c>
      <c r="F155" s="9">
        <f>References!$D$9</f>
        <v>1</v>
      </c>
      <c r="G155" s="86">
        <f>+E155*F155*12</f>
        <v>0</v>
      </c>
      <c r="H155" s="87"/>
      <c r="I155" s="87"/>
      <c r="J155" s="10"/>
      <c r="K155" s="18"/>
      <c r="L155" s="18"/>
      <c r="M155" s="22"/>
      <c r="N155" s="145">
        <v>21.02</v>
      </c>
      <c r="O155" s="141">
        <f>+N155*$E$7+N155</f>
        <v>26.762664000000001</v>
      </c>
      <c r="P155" s="42">
        <f>O155</f>
        <v>26.762664000000001</v>
      </c>
      <c r="Q155" s="20">
        <f>N155*G155</f>
        <v>0</v>
      </c>
      <c r="R155" s="20">
        <f>P155*G155</f>
        <v>0</v>
      </c>
      <c r="S155" s="20">
        <f>R155-Q155</f>
        <v>0</v>
      </c>
      <c r="T155" s="25"/>
    </row>
    <row r="156" spans="2:20">
      <c r="B156" s="88">
        <v>150</v>
      </c>
      <c r="C156" s="88">
        <v>28</v>
      </c>
      <c r="D156" s="91" t="s">
        <v>158</v>
      </c>
      <c r="E156" s="89">
        <v>0</v>
      </c>
      <c r="F156" s="9">
        <f>References!$D$9</f>
        <v>1</v>
      </c>
      <c r="G156" s="86">
        <f>+E156*F156*12</f>
        <v>0</v>
      </c>
      <c r="H156" s="87"/>
      <c r="I156" s="87"/>
      <c r="J156" s="10"/>
      <c r="K156" s="18"/>
      <c r="L156" s="18"/>
      <c r="M156" s="22"/>
      <c r="N156" s="145">
        <v>5.52</v>
      </c>
      <c r="O156" s="141">
        <f>+N156*$E$7+N156</f>
        <v>7.0280639999999996</v>
      </c>
      <c r="P156" s="42">
        <f>O156</f>
        <v>7.0280639999999996</v>
      </c>
      <c r="Q156" s="20">
        <f>N156*G156</f>
        <v>0</v>
      </c>
      <c r="R156" s="20">
        <f>P156*G156</f>
        <v>0</v>
      </c>
      <c r="S156" s="20">
        <f>R156-Q156</f>
        <v>0</v>
      </c>
      <c r="T156" s="25"/>
    </row>
    <row r="157" spans="2:20" ht="14.7" customHeight="1">
      <c r="B157" s="88">
        <v>160</v>
      </c>
      <c r="C157" s="88">
        <v>29</v>
      </c>
      <c r="D157" s="91" t="s">
        <v>76</v>
      </c>
      <c r="E157" s="89">
        <v>0</v>
      </c>
      <c r="F157" s="9">
        <f>References!$D$9</f>
        <v>1</v>
      </c>
      <c r="G157" s="86">
        <f t="shared" ref="G157:G167" si="312">+E157*F157*12</f>
        <v>0</v>
      </c>
      <c r="H157" s="10"/>
      <c r="I157" s="87">
        <f t="shared" ref="I157" si="313">G157*H157</f>
        <v>0</v>
      </c>
      <c r="J157" s="10"/>
      <c r="K157" s="18">
        <f>References!$C$17*J157</f>
        <v>0</v>
      </c>
      <c r="L157" s="18">
        <f>K157/References!$F$18</f>
        <v>0</v>
      </c>
      <c r="M157" s="22" t="e">
        <f t="shared" ref="M157" si="314">L157/G157</f>
        <v>#DIV/0!</v>
      </c>
      <c r="N157" s="145">
        <v>43.04</v>
      </c>
      <c r="O157" s="141">
        <f t="shared" ref="O157:O158" si="315">+N157*$E$7+N157</f>
        <v>54.798527999999997</v>
      </c>
      <c r="P157" s="42">
        <f t="shared" ref="P157:P158" si="316">O157</f>
        <v>54.798527999999997</v>
      </c>
      <c r="Q157" s="20">
        <f t="shared" ref="Q157:Q158" si="317">N157*G157</f>
        <v>0</v>
      </c>
      <c r="R157" s="20">
        <f t="shared" ref="R157:R158" si="318">P157*G157</f>
        <v>0</v>
      </c>
      <c r="S157" s="20">
        <f t="shared" ref="S157:S158" si="319">R157-Q157</f>
        <v>0</v>
      </c>
      <c r="T157" s="25"/>
    </row>
    <row r="158" spans="2:20" ht="14.7" customHeight="1">
      <c r="B158" s="88">
        <v>160</v>
      </c>
      <c r="C158" s="88">
        <v>29</v>
      </c>
      <c r="D158" s="91" t="s">
        <v>159</v>
      </c>
      <c r="E158" s="89">
        <v>0</v>
      </c>
      <c r="F158" s="9">
        <f>References!$D$9</f>
        <v>1</v>
      </c>
      <c r="G158" s="86">
        <f t="shared" si="312"/>
        <v>0</v>
      </c>
      <c r="H158" s="10"/>
      <c r="I158" s="87"/>
      <c r="J158" s="10"/>
      <c r="K158" s="18"/>
      <c r="L158" s="18"/>
      <c r="M158" s="22"/>
      <c r="N158" s="145">
        <v>86.07</v>
      </c>
      <c r="O158" s="141">
        <f t="shared" si="315"/>
        <v>109.584324</v>
      </c>
      <c r="P158" s="42">
        <f t="shared" si="316"/>
        <v>109.584324</v>
      </c>
      <c r="Q158" s="20">
        <f t="shared" si="317"/>
        <v>0</v>
      </c>
      <c r="R158" s="20">
        <f t="shared" si="318"/>
        <v>0</v>
      </c>
      <c r="S158" s="20">
        <f t="shared" si="319"/>
        <v>0</v>
      </c>
      <c r="T158" s="25"/>
    </row>
    <row r="159" spans="2:20">
      <c r="B159" s="88">
        <v>160</v>
      </c>
      <c r="C159" s="88">
        <v>29</v>
      </c>
      <c r="D159" s="91" t="s">
        <v>160</v>
      </c>
      <c r="E159" s="89">
        <v>0</v>
      </c>
      <c r="F159" s="9">
        <f>References!$D$9</f>
        <v>1</v>
      </c>
      <c r="G159" s="86">
        <f t="shared" si="312"/>
        <v>0</v>
      </c>
      <c r="H159" s="10"/>
      <c r="I159" s="87">
        <f t="shared" ref="I159:I160" si="320">G159*H159</f>
        <v>0</v>
      </c>
      <c r="J159" s="10"/>
      <c r="K159" s="18">
        <f>References!$C$17*J159</f>
        <v>0</v>
      </c>
      <c r="L159" s="18">
        <f>K159/References!$F$18</f>
        <v>0</v>
      </c>
      <c r="M159" s="22" t="e">
        <f t="shared" ref="M159:M160" si="321">L159/G159</f>
        <v>#DIV/0!</v>
      </c>
      <c r="N159" s="145">
        <v>86.07</v>
      </c>
      <c r="O159" s="141">
        <f t="shared" ref="O159:O161" si="322">+N159*$E$7+N159</f>
        <v>109.584324</v>
      </c>
      <c r="P159" s="42">
        <f t="shared" ref="P159:P161" si="323">O159</f>
        <v>109.584324</v>
      </c>
      <c r="Q159" s="20">
        <f t="shared" ref="Q159:Q161" si="324">N159*G159</f>
        <v>0</v>
      </c>
      <c r="R159" s="20">
        <f t="shared" ref="R159:R161" si="325">P159*G159</f>
        <v>0</v>
      </c>
      <c r="S159" s="20">
        <f t="shared" ref="S159:S161" si="326">R159-Q159</f>
        <v>0</v>
      </c>
      <c r="T159" s="25"/>
    </row>
    <row r="160" spans="2:20" ht="14.7" customHeight="1">
      <c r="B160" s="88">
        <v>160</v>
      </c>
      <c r="C160" s="88">
        <v>29</v>
      </c>
      <c r="D160" s="91" t="s">
        <v>76</v>
      </c>
      <c r="E160" s="89">
        <v>0</v>
      </c>
      <c r="F160" s="9">
        <f>References!$D$9</f>
        <v>1</v>
      </c>
      <c r="G160" s="86">
        <f t="shared" si="312"/>
        <v>0</v>
      </c>
      <c r="H160" s="10"/>
      <c r="I160" s="87">
        <f t="shared" si="320"/>
        <v>0</v>
      </c>
      <c r="J160" s="10"/>
      <c r="K160" s="18">
        <f>References!$C$17*J160</f>
        <v>0</v>
      </c>
      <c r="L160" s="18">
        <f>K160/References!$F$18</f>
        <v>0</v>
      </c>
      <c r="M160" s="22" t="e">
        <f t="shared" si="321"/>
        <v>#DIV/0!</v>
      </c>
      <c r="N160" s="145">
        <v>43.04</v>
      </c>
      <c r="O160" s="141">
        <f t="shared" si="322"/>
        <v>54.798527999999997</v>
      </c>
      <c r="P160" s="42">
        <f t="shared" si="323"/>
        <v>54.798527999999997</v>
      </c>
      <c r="Q160" s="20">
        <f t="shared" si="324"/>
        <v>0</v>
      </c>
      <c r="R160" s="20">
        <f t="shared" si="325"/>
        <v>0</v>
      </c>
      <c r="S160" s="20">
        <f t="shared" si="326"/>
        <v>0</v>
      </c>
      <c r="T160" s="25"/>
    </row>
    <row r="161" spans="1:20" ht="14.7" customHeight="1">
      <c r="B161" s="88">
        <v>160</v>
      </c>
      <c r="C161" s="88">
        <v>29</v>
      </c>
      <c r="D161" s="91" t="s">
        <v>159</v>
      </c>
      <c r="E161" s="89">
        <v>0</v>
      </c>
      <c r="F161" s="9">
        <f>References!$D$9</f>
        <v>1</v>
      </c>
      <c r="G161" s="86">
        <f t="shared" si="312"/>
        <v>0</v>
      </c>
      <c r="H161" s="10"/>
      <c r="I161" s="87"/>
      <c r="J161" s="10"/>
      <c r="K161" s="18"/>
      <c r="L161" s="18"/>
      <c r="M161" s="22"/>
      <c r="N161" s="145">
        <v>86.07</v>
      </c>
      <c r="O161" s="141">
        <f t="shared" si="322"/>
        <v>109.584324</v>
      </c>
      <c r="P161" s="42">
        <f t="shared" si="323"/>
        <v>109.584324</v>
      </c>
      <c r="Q161" s="20">
        <f t="shared" si="324"/>
        <v>0</v>
      </c>
      <c r="R161" s="20">
        <f t="shared" si="325"/>
        <v>0</v>
      </c>
      <c r="S161" s="20">
        <f t="shared" si="326"/>
        <v>0</v>
      </c>
      <c r="T161" s="25"/>
    </row>
    <row r="162" spans="1:20">
      <c r="A162" s="70"/>
      <c r="B162" s="88">
        <v>160</v>
      </c>
      <c r="C162" s="88">
        <v>29</v>
      </c>
      <c r="D162" s="91" t="s">
        <v>161</v>
      </c>
      <c r="E162" s="89">
        <v>0</v>
      </c>
      <c r="F162" s="9">
        <f>References!$D$9</f>
        <v>1</v>
      </c>
      <c r="G162" s="86">
        <f t="shared" si="312"/>
        <v>0</v>
      </c>
      <c r="H162" s="10"/>
      <c r="I162" s="87">
        <f t="shared" ref="I162:I166" si="327">G162*H162</f>
        <v>0</v>
      </c>
      <c r="J162" s="10"/>
      <c r="K162" s="18">
        <f>References!$C$17*J162</f>
        <v>0</v>
      </c>
      <c r="L162" s="18">
        <f>K162/References!$F$18</f>
        <v>0</v>
      </c>
      <c r="M162" s="22" t="e">
        <f t="shared" ref="M162:M166" si="328">L162/G162</f>
        <v>#DIV/0!</v>
      </c>
      <c r="N162" s="145">
        <v>86.07</v>
      </c>
      <c r="O162" s="141">
        <f t="shared" ref="O162:O167" si="329">+N162*$E$7+N162</f>
        <v>109.584324</v>
      </c>
      <c r="P162" s="42">
        <f t="shared" ref="P162:P167" si="330">O162</f>
        <v>109.584324</v>
      </c>
      <c r="Q162" s="20">
        <f t="shared" ref="Q162:Q167" si="331">N162*G162</f>
        <v>0</v>
      </c>
      <c r="R162" s="20">
        <f t="shared" ref="R162:R167" si="332">P162*G162</f>
        <v>0</v>
      </c>
      <c r="S162" s="20">
        <f t="shared" ref="S162:S167" si="333">R162-Q162</f>
        <v>0</v>
      </c>
      <c r="T162" s="25"/>
    </row>
    <row r="163" spans="1:20">
      <c r="A163" s="70"/>
      <c r="B163" s="88">
        <v>160</v>
      </c>
      <c r="C163" s="88">
        <v>29</v>
      </c>
      <c r="D163" s="91" t="s">
        <v>76</v>
      </c>
      <c r="E163" s="89">
        <v>0</v>
      </c>
      <c r="F163" s="9">
        <f>References!$D$9</f>
        <v>1</v>
      </c>
      <c r="G163" s="86">
        <f t="shared" si="312"/>
        <v>0</v>
      </c>
      <c r="H163" s="10"/>
      <c r="I163" s="87">
        <f t="shared" si="327"/>
        <v>0</v>
      </c>
      <c r="J163" s="10"/>
      <c r="K163" s="18">
        <f>References!$C$17*J163</f>
        <v>0</v>
      </c>
      <c r="L163" s="18">
        <f>K163/References!$F$18</f>
        <v>0</v>
      </c>
      <c r="M163" s="22" t="e">
        <f t="shared" si="328"/>
        <v>#DIV/0!</v>
      </c>
      <c r="N163" s="145">
        <v>43.04</v>
      </c>
      <c r="O163" s="141">
        <f t="shared" si="329"/>
        <v>54.798527999999997</v>
      </c>
      <c r="P163" s="42">
        <f t="shared" si="330"/>
        <v>54.798527999999997</v>
      </c>
      <c r="Q163" s="20">
        <f t="shared" si="331"/>
        <v>0</v>
      </c>
      <c r="R163" s="20">
        <f t="shared" si="332"/>
        <v>0</v>
      </c>
      <c r="S163" s="20">
        <f t="shared" si="333"/>
        <v>0</v>
      </c>
      <c r="T163" s="25"/>
    </row>
    <row r="164" spans="1:20">
      <c r="A164" s="70"/>
      <c r="B164" s="88">
        <v>160</v>
      </c>
      <c r="C164" s="88">
        <v>29</v>
      </c>
      <c r="D164" s="91" t="s">
        <v>159</v>
      </c>
      <c r="E164" s="89">
        <v>0</v>
      </c>
      <c r="F164" s="9">
        <f>References!$D$9</f>
        <v>1</v>
      </c>
      <c r="G164" s="86">
        <f t="shared" si="312"/>
        <v>0</v>
      </c>
      <c r="H164" s="10"/>
      <c r="I164" s="87"/>
      <c r="J164" s="10"/>
      <c r="K164" s="18"/>
      <c r="L164" s="18"/>
      <c r="M164" s="22"/>
      <c r="N164" s="145">
        <v>86.07</v>
      </c>
      <c r="O164" s="141">
        <f t="shared" si="329"/>
        <v>109.584324</v>
      </c>
      <c r="P164" s="42">
        <f t="shared" si="330"/>
        <v>109.584324</v>
      </c>
      <c r="Q164" s="20">
        <f t="shared" si="331"/>
        <v>0</v>
      </c>
      <c r="R164" s="20">
        <f t="shared" si="332"/>
        <v>0</v>
      </c>
      <c r="S164" s="20">
        <f t="shared" si="333"/>
        <v>0</v>
      </c>
      <c r="T164" s="25"/>
    </row>
    <row r="165" spans="1:20">
      <c r="A165" s="70"/>
      <c r="B165" s="88">
        <v>160</v>
      </c>
      <c r="C165" s="88">
        <v>29</v>
      </c>
      <c r="D165" s="91" t="s">
        <v>116</v>
      </c>
      <c r="E165" s="89">
        <v>0</v>
      </c>
      <c r="F165" s="9">
        <f>References!$D$9</f>
        <v>1</v>
      </c>
      <c r="G165" s="86">
        <f t="shared" si="312"/>
        <v>0</v>
      </c>
      <c r="H165" s="10"/>
      <c r="I165" s="87">
        <f t="shared" si="327"/>
        <v>0</v>
      </c>
      <c r="J165" s="10"/>
      <c r="K165" s="18">
        <f>References!$C$17*J165</f>
        <v>0</v>
      </c>
      <c r="L165" s="18">
        <f>K165/References!$F$18</f>
        <v>0</v>
      </c>
      <c r="M165" s="22" t="e">
        <f t="shared" si="328"/>
        <v>#DIV/0!</v>
      </c>
      <c r="N165" s="145">
        <v>86.07</v>
      </c>
      <c r="O165" s="141">
        <f t="shared" si="329"/>
        <v>109.584324</v>
      </c>
      <c r="P165" s="42">
        <f t="shared" si="330"/>
        <v>109.584324</v>
      </c>
      <c r="Q165" s="20">
        <f t="shared" si="331"/>
        <v>0</v>
      </c>
      <c r="R165" s="20">
        <f t="shared" si="332"/>
        <v>0</v>
      </c>
      <c r="S165" s="20">
        <f t="shared" si="333"/>
        <v>0</v>
      </c>
      <c r="T165" s="25"/>
    </row>
    <row r="166" spans="1:20">
      <c r="A166" s="70"/>
      <c r="B166" s="88">
        <v>160</v>
      </c>
      <c r="C166" s="88">
        <v>29</v>
      </c>
      <c r="D166" s="91" t="s">
        <v>76</v>
      </c>
      <c r="E166" s="89">
        <v>0</v>
      </c>
      <c r="F166" s="9">
        <f>References!$D$9</f>
        <v>1</v>
      </c>
      <c r="G166" s="86">
        <f t="shared" si="312"/>
        <v>0</v>
      </c>
      <c r="H166" s="10"/>
      <c r="I166" s="87">
        <f t="shared" si="327"/>
        <v>0</v>
      </c>
      <c r="J166" s="10"/>
      <c r="K166" s="18">
        <f>References!$C$17*J166</f>
        <v>0</v>
      </c>
      <c r="L166" s="18">
        <f>K166/References!$F$18</f>
        <v>0</v>
      </c>
      <c r="M166" s="22" t="e">
        <f t="shared" si="328"/>
        <v>#DIV/0!</v>
      </c>
      <c r="N166" s="145">
        <v>43.04</v>
      </c>
      <c r="O166" s="141">
        <f t="shared" si="329"/>
        <v>54.798527999999997</v>
      </c>
      <c r="P166" s="42">
        <f t="shared" si="330"/>
        <v>54.798527999999997</v>
      </c>
      <c r="Q166" s="20">
        <f t="shared" si="331"/>
        <v>0</v>
      </c>
      <c r="R166" s="20">
        <f t="shared" si="332"/>
        <v>0</v>
      </c>
      <c r="S166" s="20">
        <f t="shared" si="333"/>
        <v>0</v>
      </c>
      <c r="T166" s="25"/>
    </row>
    <row r="167" spans="1:20">
      <c r="A167" s="70"/>
      <c r="B167" s="88">
        <v>160</v>
      </c>
      <c r="C167" s="88">
        <v>29</v>
      </c>
      <c r="D167" s="91" t="s">
        <v>159</v>
      </c>
      <c r="E167" s="89">
        <v>0</v>
      </c>
      <c r="F167" s="9">
        <f>References!$D$9</f>
        <v>1</v>
      </c>
      <c r="G167" s="86">
        <f t="shared" si="312"/>
        <v>0</v>
      </c>
      <c r="H167" s="10"/>
      <c r="I167" s="87"/>
      <c r="J167" s="10"/>
      <c r="K167" s="18"/>
      <c r="L167" s="18"/>
      <c r="M167" s="22"/>
      <c r="N167" s="145">
        <v>86.07</v>
      </c>
      <c r="O167" s="141">
        <f t="shared" si="329"/>
        <v>109.584324</v>
      </c>
      <c r="P167" s="42">
        <f t="shared" si="330"/>
        <v>109.584324</v>
      </c>
      <c r="Q167" s="20">
        <f t="shared" si="331"/>
        <v>0</v>
      </c>
      <c r="R167" s="20">
        <f t="shared" si="332"/>
        <v>0</v>
      </c>
      <c r="S167" s="20">
        <f t="shared" si="333"/>
        <v>0</v>
      </c>
      <c r="T167" s="25"/>
    </row>
    <row r="168" spans="1:20">
      <c r="A168" s="70"/>
      <c r="B168" s="88">
        <v>210</v>
      </c>
      <c r="C168" s="88">
        <v>33</v>
      </c>
      <c r="D168" s="91" t="s">
        <v>123</v>
      </c>
      <c r="E168" s="89">
        <v>0</v>
      </c>
      <c r="F168" s="9">
        <f>References!$D$9</f>
        <v>1</v>
      </c>
      <c r="G168" s="86">
        <f t="shared" ref="G168:G171" si="334">+E168*F168*12</f>
        <v>0</v>
      </c>
      <c r="H168" s="10"/>
      <c r="I168" s="87">
        <f t="shared" ref="I168:I171" si="335">G168*H168</f>
        <v>0</v>
      </c>
      <c r="J168" s="10"/>
      <c r="K168" s="18">
        <f>References!$C$17*J168</f>
        <v>0</v>
      </c>
      <c r="L168" s="18">
        <f>K168/References!$F$18</f>
        <v>0</v>
      </c>
      <c r="M168" s="22" t="e">
        <f t="shared" ref="M168:M171" si="336">L168/G168</f>
        <v>#DIV/0!</v>
      </c>
      <c r="N168" s="145">
        <v>38.619999999999997</v>
      </c>
      <c r="O168" s="141">
        <f t="shared" ref="O168:O171" si="337">+N168*$E$7+N168</f>
        <v>49.170983999999997</v>
      </c>
      <c r="P168" s="42">
        <f t="shared" ref="P168:P171" si="338">O168</f>
        <v>49.170983999999997</v>
      </c>
      <c r="Q168" s="20">
        <f t="shared" ref="Q168:Q171" si="339">N168*G168</f>
        <v>0</v>
      </c>
      <c r="R168" s="20">
        <f t="shared" ref="R168:R171" si="340">P168*G168</f>
        <v>0</v>
      </c>
      <c r="S168" s="20">
        <f t="shared" ref="S168:S171" si="341">R168-Q168</f>
        <v>0</v>
      </c>
      <c r="T168" s="25"/>
    </row>
    <row r="169" spans="1:20">
      <c r="A169" s="70"/>
      <c r="B169" s="88">
        <v>210</v>
      </c>
      <c r="C169" s="88">
        <v>33</v>
      </c>
      <c r="D169" s="91" t="s">
        <v>162</v>
      </c>
      <c r="E169" s="89">
        <v>0</v>
      </c>
      <c r="F169" s="9">
        <f>References!$D$9</f>
        <v>1</v>
      </c>
      <c r="G169" s="86">
        <f t="shared" si="334"/>
        <v>0</v>
      </c>
      <c r="H169" s="10"/>
      <c r="I169" s="87">
        <f t="shared" si="335"/>
        <v>0</v>
      </c>
      <c r="J169" s="10"/>
      <c r="K169" s="18">
        <f>References!$C$17*J169</f>
        <v>0</v>
      </c>
      <c r="L169" s="18">
        <f>K169/References!$F$18</f>
        <v>0</v>
      </c>
      <c r="M169" s="22" t="e">
        <f t="shared" si="336"/>
        <v>#DIV/0!</v>
      </c>
      <c r="N169" s="145">
        <v>38.619999999999997</v>
      </c>
      <c r="O169" s="141">
        <f t="shared" si="337"/>
        <v>49.170983999999997</v>
      </c>
      <c r="P169" s="42">
        <f t="shared" si="338"/>
        <v>49.170983999999997</v>
      </c>
      <c r="Q169" s="20">
        <f t="shared" si="339"/>
        <v>0</v>
      </c>
      <c r="R169" s="20">
        <f t="shared" si="340"/>
        <v>0</v>
      </c>
      <c r="S169" s="20">
        <f t="shared" si="341"/>
        <v>0</v>
      </c>
      <c r="T169" s="25"/>
    </row>
    <row r="170" spans="1:20">
      <c r="A170" s="70"/>
      <c r="B170" s="88">
        <v>210</v>
      </c>
      <c r="C170" s="88">
        <v>33</v>
      </c>
      <c r="D170" s="91" t="s">
        <v>118</v>
      </c>
      <c r="E170" s="89">
        <v>0</v>
      </c>
      <c r="F170" s="9">
        <f>References!$D$9</f>
        <v>1</v>
      </c>
      <c r="G170" s="86">
        <f t="shared" si="334"/>
        <v>0</v>
      </c>
      <c r="H170" s="10"/>
      <c r="I170" s="87">
        <f t="shared" si="335"/>
        <v>0</v>
      </c>
      <c r="J170" s="10"/>
      <c r="K170" s="18">
        <f>References!$C$17*J170</f>
        <v>0</v>
      </c>
      <c r="L170" s="18">
        <f>K170/References!$F$18</f>
        <v>0</v>
      </c>
      <c r="M170" s="22" t="e">
        <f t="shared" si="336"/>
        <v>#DIV/0!</v>
      </c>
      <c r="N170" s="145">
        <v>34.76</v>
      </c>
      <c r="O170" s="141">
        <f t="shared" si="337"/>
        <v>44.256431999999997</v>
      </c>
      <c r="P170" s="42">
        <f t="shared" si="338"/>
        <v>44.256431999999997</v>
      </c>
      <c r="Q170" s="20">
        <f t="shared" si="339"/>
        <v>0</v>
      </c>
      <c r="R170" s="20">
        <f t="shared" si="340"/>
        <v>0</v>
      </c>
      <c r="S170" s="20">
        <f t="shared" si="341"/>
        <v>0</v>
      </c>
      <c r="T170" s="25"/>
    </row>
    <row r="171" spans="1:20">
      <c r="A171" s="70"/>
      <c r="B171" s="88">
        <v>210</v>
      </c>
      <c r="C171" s="88">
        <v>33</v>
      </c>
      <c r="D171" s="91" t="s">
        <v>119</v>
      </c>
      <c r="E171" s="89">
        <v>0</v>
      </c>
      <c r="F171" s="9">
        <f>References!$D$9</f>
        <v>1</v>
      </c>
      <c r="G171" s="86">
        <f t="shared" si="334"/>
        <v>0</v>
      </c>
      <c r="H171" s="10"/>
      <c r="I171" s="87">
        <f t="shared" si="335"/>
        <v>0</v>
      </c>
      <c r="J171" s="10"/>
      <c r="K171" s="18">
        <f>References!$C$17*J171</f>
        <v>0</v>
      </c>
      <c r="L171" s="18">
        <f>K171/References!$F$18</f>
        <v>0</v>
      </c>
      <c r="M171" s="22" t="e">
        <f t="shared" si="336"/>
        <v>#DIV/0!</v>
      </c>
      <c r="N171" s="145">
        <v>57.93</v>
      </c>
      <c r="O171" s="141">
        <f t="shared" si="337"/>
        <v>73.756475999999992</v>
      </c>
      <c r="P171" s="42">
        <f t="shared" si="338"/>
        <v>73.756475999999992</v>
      </c>
      <c r="Q171" s="20">
        <f t="shared" si="339"/>
        <v>0</v>
      </c>
      <c r="R171" s="20">
        <f t="shared" si="340"/>
        <v>0</v>
      </c>
      <c r="S171" s="20">
        <f t="shared" si="341"/>
        <v>0</v>
      </c>
      <c r="T171" s="25"/>
    </row>
    <row r="176" spans="1:20">
      <c r="Q176" s="7"/>
    </row>
    <row r="179" spans="17:18">
      <c r="Q179" s="89"/>
    </row>
    <row r="182" spans="17:18">
      <c r="Q182" s="116"/>
    </row>
    <row r="184" spans="17:18">
      <c r="R184" s="116"/>
    </row>
    <row r="186" spans="17:18">
      <c r="R186" s="116"/>
    </row>
    <row r="187" spans="17:18">
      <c r="Q187" s="133"/>
    </row>
    <row r="190" spans="17:18">
      <c r="Q190" s="7"/>
    </row>
    <row r="192" spans="17:18">
      <c r="Q192" s="7"/>
    </row>
  </sheetData>
  <mergeCells count="5">
    <mergeCell ref="A17:A28"/>
    <mergeCell ref="A63:A87"/>
    <mergeCell ref="A39:A60"/>
    <mergeCell ref="A31:A36"/>
    <mergeCell ref="A90:A129"/>
  </mergeCells>
  <phoneticPr fontId="32" type="noConversion"/>
  <pageMargins left="0.2" right="0.22" top="0.38" bottom="0.34" header="0.19" footer="0.17"/>
  <pageSetup scale="59" fitToHeight="0" orientation="landscape" r:id="rId1"/>
  <headerFooter>
    <oddFooter>&amp;L&amp;F&amp;A&amp;R&amp;D</oddFooter>
  </headerFooter>
  <rowBreaks count="3" manualBreakCount="3">
    <brk id="38" max="20" man="1"/>
    <brk id="89" max="20" man="1"/>
    <brk id="132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4AA1D43D80014CB4A69244BADFA951" ma:contentTypeVersion="24" ma:contentTypeDescription="" ma:contentTypeScope="" ma:versionID="79b6968a1ccb8a2aae08738076d90e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2023-12-21T08:00:00+00:00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231050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5C50E1-77AC-4EA0-ABC1-A562F3A040E9}"/>
</file>

<file path=customXml/itemProps2.xml><?xml version="1.0" encoding="utf-8"?>
<ds:datastoreItem xmlns:ds="http://schemas.openxmlformats.org/officeDocument/2006/customXml" ds:itemID="{52B2A2EF-2567-45E3-94B4-584B14E1196E}"/>
</file>

<file path=customXml/itemProps3.xml><?xml version="1.0" encoding="utf-8"?>
<ds:datastoreItem xmlns:ds="http://schemas.openxmlformats.org/officeDocument/2006/customXml" ds:itemID="{634407DB-35A0-4BC5-9B25-884D90ADD036}"/>
</file>

<file path=customXml/itemProps4.xml><?xml version="1.0" encoding="utf-8"?>
<ds:datastoreItem xmlns:ds="http://schemas.openxmlformats.org/officeDocument/2006/customXml" ds:itemID="{60826D26-FC11-4201-8D33-755A12BF9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References</vt:lpstr>
      <vt:lpstr>Price Out</vt:lpstr>
      <vt:lpstr>'Price Out'!Print_Area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Randy Poole</cp:lastModifiedBy>
  <cp:lastPrinted>2023-02-14T00:50:23Z</cp:lastPrinted>
  <dcterms:created xsi:type="dcterms:W3CDTF">2013-10-29T22:33:54Z</dcterms:created>
  <dcterms:modified xsi:type="dcterms:W3CDTF">2023-12-21T15:17:06Z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0x0101006E56B4D1795A2E4DB2F0B01679ED314A00614AA1D43D80014CB4A69244BADFA951</vt:lpwstr>
  </property>
  <property fmtid="{D5CDD505-2E9C-101B-9397-08002B2CF9AE}" pid="3" name="_docset_NoMedatataSyncRequired">
    <vt:lpwstr>False</vt:lpwstr>
  </property>
</Properties>
</file>